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jvjos\Desktop\System\Data\"/>
    </mc:Choice>
  </mc:AlternateContent>
  <xr:revisionPtr revIDLastSave="0" documentId="13_ncr:1_{14175A29-5A02-4FF7-AB2B-1DCC86359396}" xr6:coauthVersionLast="47" xr6:coauthVersionMax="47" xr10:uidLastSave="{00000000-0000-0000-0000-000000000000}"/>
  <bookViews>
    <workbookView xWindow="-120" yWindow="-120" windowWidth="29040" windowHeight="15840" tabRatio="870" firstSheet="1" activeTab="3" xr2:uid="{00000000-000D-0000-FFFF-FFFF00000000}"/>
  </bookViews>
  <sheets>
    <sheet name="גרפים לוורד" sheetId="21" state="hidden" r:id="rId1"/>
    <sheet name="סיכום" sheetId="1" r:id="rId2"/>
    <sheet name="הנחות עבודה" sheetId="2" r:id="rId3"/>
    <sheet name="הספק קיים ותחזית יצור" sheetId="9" r:id="rId4"/>
    <sheet name="מטריצת ייצור מתחדשות" sheetId="12" r:id="rId5"/>
    <sheet name="הספק נוסף נדרש" sheetId="8" r:id="rId6"/>
    <sheet name="התפלגות ייצור וסל דלקים" sheetId="10" r:id="rId7"/>
    <sheet name="אנרגיה" sheetId="3" r:id="rId8"/>
    <sheet name="השקעות &amp; תפעול ק. - מ.יצור" sheetId="4" r:id="rId9"/>
    <sheet name="השקעות &amp; תפעול ק. -מתחדשות ואגי" sheetId="11" r:id="rId10"/>
    <sheet name="השקעות &amp; תפעול - רשת" sheetId="5" r:id="rId11"/>
    <sheet name="גזי חממה (CO2)" sheetId="13" r:id="rId12"/>
    <sheet name="מזהם מקומי- NOX" sheetId="19" r:id="rId13"/>
    <sheet name="מזהם מקומי- SOX" sheetId="20" r:id="rId14"/>
    <sheet name="מזהם מקומי- חלקיקים" sheetId="18" r:id="rId15"/>
    <sheet name="ביטחון אנרגטי" sheetId="7" r:id="rId16"/>
  </sheets>
  <definedNames>
    <definedName name="_xlnm._FilterDatabase" localSheetId="3" hidden="1">'הספק קיים ותחזית יצור'!$A$4:$AI$28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9" l="1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7" i="9"/>
  <c r="C33" i="9"/>
  <c r="J10" i="8"/>
  <c r="C56" i="9"/>
  <c r="G69" i="2" l="1"/>
  <c r="K16" i="21" l="1"/>
  <c r="L16" i="21"/>
  <c r="M16" i="21"/>
  <c r="N16" i="21"/>
  <c r="K17" i="21"/>
  <c r="L17" i="21"/>
  <c r="M17" i="21"/>
  <c r="N17" i="21"/>
  <c r="N33" i="2" l="1"/>
  <c r="N34" i="2" s="1"/>
  <c r="N35" i="2" s="1"/>
  <c r="H22" i="21" l="1"/>
  <c r="L9" i="21" l="1"/>
  <c r="N9" i="21"/>
  <c r="L10" i="21"/>
  <c r="N10" i="21"/>
  <c r="L11" i="21"/>
  <c r="N11" i="21"/>
  <c r="L13" i="21"/>
  <c r="N13" i="21"/>
  <c r="L14" i="21"/>
  <c r="N14" i="21"/>
  <c r="L20" i="21"/>
  <c r="N20" i="21"/>
  <c r="L21" i="21"/>
  <c r="N21" i="21"/>
  <c r="L23" i="21"/>
  <c r="N23" i="21"/>
  <c r="L25" i="21"/>
  <c r="N25" i="21"/>
  <c r="N8" i="21"/>
  <c r="L8" i="21"/>
  <c r="K9" i="21"/>
  <c r="M9" i="21"/>
  <c r="K11" i="21"/>
  <c r="M11" i="21"/>
  <c r="K13" i="21"/>
  <c r="M13" i="21"/>
  <c r="K14" i="21"/>
  <c r="M14" i="21"/>
  <c r="K20" i="21"/>
  <c r="M20" i="21"/>
  <c r="K21" i="21"/>
  <c r="M21" i="21"/>
  <c r="K23" i="21"/>
  <c r="M23" i="21"/>
  <c r="K25" i="21"/>
  <c r="M25" i="21"/>
  <c r="M39" i="2"/>
  <c r="C43" i="8" l="1"/>
  <c r="C70" i="8"/>
  <c r="C96" i="8"/>
  <c r="I12" i="21" l="1"/>
  <c r="H12" i="21"/>
  <c r="H24" i="21"/>
  <c r="H29" i="21" s="1"/>
  <c r="I22" i="21"/>
  <c r="J22" i="21"/>
  <c r="H18" i="21"/>
  <c r="I18" i="21"/>
  <c r="J18" i="21"/>
  <c r="H15" i="21"/>
  <c r="I15" i="21"/>
  <c r="L15" i="21" s="1"/>
  <c r="J15" i="21"/>
  <c r="J12" i="21"/>
  <c r="I28" i="2"/>
  <c r="I27" i="2"/>
  <c r="N18" i="21" l="1"/>
  <c r="N15" i="21"/>
  <c r="L18" i="21"/>
  <c r="N12" i="21"/>
  <c r="J24" i="21"/>
  <c r="N22" i="21"/>
  <c r="I24" i="21"/>
  <c r="L22" i="21"/>
  <c r="L12" i="21"/>
  <c r="J19" i="21"/>
  <c r="H19" i="21"/>
  <c r="I19" i="21"/>
  <c r="H171" i="21"/>
  <c r="E170" i="21"/>
  <c r="G170" i="21" s="1"/>
  <c r="F170" i="21"/>
  <c r="H170" i="21" s="1"/>
  <c r="D172" i="21"/>
  <c r="D173" i="21" s="1"/>
  <c r="D174" i="21" s="1"/>
  <c r="D175" i="21" s="1"/>
  <c r="D176" i="21" s="1"/>
  <c r="D177" i="21" s="1"/>
  <c r="D178" i="21" s="1"/>
  <c r="D179" i="21" s="1"/>
  <c r="D180" i="21" s="1"/>
  <c r="D181" i="21" s="1"/>
  <c r="D182" i="21" s="1"/>
  <c r="D183" i="21" s="1"/>
  <c r="D184" i="21" s="1"/>
  <c r="D185" i="21" s="1"/>
  <c r="D186" i="21" s="1"/>
  <c r="D187" i="21" s="1"/>
  <c r="D188" i="21" s="1"/>
  <c r="D189" i="21" s="1"/>
  <c r="D190" i="21" s="1"/>
  <c r="D191" i="21" s="1"/>
  <c r="L19" i="21" l="1"/>
  <c r="N19" i="21"/>
  <c r="I29" i="21"/>
  <c r="L24" i="21"/>
  <c r="J29" i="21"/>
  <c r="N24" i="21"/>
  <c r="H26" i="21"/>
  <c r="H28" i="21"/>
  <c r="H30" i="21" s="1"/>
  <c r="I26" i="21"/>
  <c r="I28" i="21"/>
  <c r="J26" i="21"/>
  <c r="J28" i="21"/>
  <c r="N13" i="2"/>
  <c r="N14" i="2"/>
  <c r="N15" i="2"/>
  <c r="M14" i="2"/>
  <c r="M15" i="2"/>
  <c r="M13" i="2"/>
  <c r="J30" i="21" l="1"/>
  <c r="I30" i="21"/>
  <c r="N26" i="21"/>
  <c r="L26" i="21"/>
  <c r="J16" i="8"/>
  <c r="C71" i="2" l="1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70" i="2"/>
  <c r="D70" i="2"/>
  <c r="D69" i="2"/>
  <c r="C69" i="2"/>
  <c r="D26" i="2"/>
  <c r="D25" i="2"/>
  <c r="C137" i="21" l="1"/>
  <c r="C138" i="21" s="1"/>
  <c r="C139" i="21" s="1"/>
  <c r="C140" i="21" s="1"/>
  <c r="C141" i="21" s="1"/>
  <c r="C142" i="21" s="1"/>
  <c r="C143" i="21" s="1"/>
  <c r="C144" i="21" s="1"/>
  <c r="C145" i="21" s="1"/>
  <c r="C146" i="21" s="1"/>
  <c r="C147" i="21" s="1"/>
  <c r="C148" i="21" s="1"/>
  <c r="C149" i="21" s="1"/>
  <c r="C150" i="21" s="1"/>
  <c r="C151" i="21" s="1"/>
  <c r="C152" i="21" s="1"/>
  <c r="C153" i="21" s="1"/>
  <c r="C154" i="21" s="1"/>
  <c r="C155" i="21" s="1"/>
  <c r="C156" i="21" s="1"/>
  <c r="C111" i="21"/>
  <c r="C112" i="21" s="1"/>
  <c r="C113" i="21" s="1"/>
  <c r="C114" i="21" s="1"/>
  <c r="C115" i="21" s="1"/>
  <c r="C116" i="21" s="1"/>
  <c r="C117" i="21" s="1"/>
  <c r="C118" i="21" s="1"/>
  <c r="C119" i="21" s="1"/>
  <c r="C120" i="21" s="1"/>
  <c r="C121" i="21" s="1"/>
  <c r="C122" i="21" s="1"/>
  <c r="C123" i="21" s="1"/>
  <c r="C124" i="21" s="1"/>
  <c r="C125" i="21" s="1"/>
  <c r="C126" i="21" s="1"/>
  <c r="C127" i="21" s="1"/>
  <c r="C128" i="21" s="1"/>
  <c r="C129" i="21" s="1"/>
  <c r="C130" i="21" s="1"/>
  <c r="C5" i="1" l="1"/>
  <c r="N29" i="21" l="1"/>
  <c r="L29" i="21"/>
  <c r="C5" i="7"/>
  <c r="B5" i="7"/>
  <c r="C9" i="5" l="1"/>
  <c r="B9" i="5"/>
  <c r="B8" i="5"/>
  <c r="C8" i="5"/>
  <c r="C7" i="5"/>
  <c r="B7" i="5"/>
  <c r="C5" i="5"/>
  <c r="E19" i="5" s="1"/>
  <c r="M19" i="5" s="1"/>
  <c r="M20" i="5" s="1"/>
  <c r="M21" i="5" s="1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M32" i="5" s="1"/>
  <c r="M33" i="5" s="1"/>
  <c r="M34" i="5" s="1"/>
  <c r="M35" i="5" s="1"/>
  <c r="M36" i="5" s="1"/>
  <c r="M37" i="5" s="1"/>
  <c r="M38" i="5" s="1"/>
  <c r="M39" i="5" s="1"/>
  <c r="M40" i="5" s="1"/>
  <c r="M18" i="5"/>
  <c r="C11" i="5"/>
  <c r="B11" i="5"/>
  <c r="H17" i="5"/>
  <c r="I17" i="5" s="1"/>
  <c r="Q17" i="5" s="1"/>
  <c r="J17" i="5"/>
  <c r="K17" i="5" s="1"/>
  <c r="S17" i="5" s="1"/>
  <c r="F17" i="5"/>
  <c r="C6" i="5"/>
  <c r="B6" i="5"/>
  <c r="B5" i="5"/>
  <c r="K18" i="5"/>
  <c r="S18" i="5" s="1"/>
  <c r="J18" i="5"/>
  <c r="R18" i="5" s="1"/>
  <c r="I18" i="5"/>
  <c r="Q18" i="5" s="1"/>
  <c r="H18" i="5"/>
  <c r="P18" i="5" s="1"/>
  <c r="G18" i="5"/>
  <c r="O18" i="5" s="1"/>
  <c r="F18" i="5"/>
  <c r="N18" i="5" s="1"/>
  <c r="O135" i="2"/>
  <c r="C148" i="2"/>
  <c r="C147" i="2"/>
  <c r="C146" i="2"/>
  <c r="M135" i="2"/>
  <c r="H127" i="2"/>
  <c r="I127" i="2"/>
  <c r="J127" i="2"/>
  <c r="K127" i="2"/>
  <c r="H128" i="2"/>
  <c r="I128" i="2"/>
  <c r="J128" i="2"/>
  <c r="K128" i="2"/>
  <c r="H129" i="2"/>
  <c r="I129" i="2"/>
  <c r="J129" i="2"/>
  <c r="K129" i="2"/>
  <c r="H130" i="2"/>
  <c r="I130" i="2"/>
  <c r="J130" i="2"/>
  <c r="K130" i="2"/>
  <c r="H131" i="2"/>
  <c r="I131" i="2"/>
  <c r="J131" i="2"/>
  <c r="K131" i="2"/>
  <c r="H132" i="2"/>
  <c r="I132" i="2"/>
  <c r="J132" i="2"/>
  <c r="K132" i="2"/>
  <c r="H133" i="2"/>
  <c r="I133" i="2"/>
  <c r="J133" i="2"/>
  <c r="K133" i="2"/>
  <c r="H134" i="2"/>
  <c r="I134" i="2"/>
  <c r="J134" i="2"/>
  <c r="K134" i="2"/>
  <c r="K126" i="2"/>
  <c r="J126" i="2"/>
  <c r="I126" i="2"/>
  <c r="H126" i="2"/>
  <c r="C135" i="2"/>
  <c r="C134" i="2"/>
  <c r="C133" i="2"/>
  <c r="H135" i="2" l="1"/>
  <c r="M41" i="5"/>
  <c r="Q40" i="5"/>
  <c r="R40" i="5"/>
  <c r="O40" i="5"/>
  <c r="S40" i="5"/>
  <c r="P40" i="5"/>
  <c r="N40" i="5"/>
  <c r="G17" i="5"/>
  <c r="O17" i="5" s="1"/>
  <c r="N17" i="5"/>
  <c r="R17" i="5"/>
  <c r="P17" i="5"/>
  <c r="E20" i="5"/>
  <c r="I135" i="2"/>
  <c r="L133" i="2"/>
  <c r="N133" i="2" s="1"/>
  <c r="L130" i="2"/>
  <c r="N130" i="2" s="1"/>
  <c r="L129" i="2"/>
  <c r="N129" i="2" s="1"/>
  <c r="L127" i="2"/>
  <c r="N127" i="2" s="1"/>
  <c r="L131" i="2"/>
  <c r="N131" i="2" s="1"/>
  <c r="L134" i="2"/>
  <c r="N134" i="2" s="1"/>
  <c r="L132" i="2"/>
  <c r="N132" i="2" s="1"/>
  <c r="L128" i="2"/>
  <c r="N128" i="2" s="1"/>
  <c r="K135" i="2"/>
  <c r="J135" i="2"/>
  <c r="L126" i="2"/>
  <c r="E42" i="9"/>
  <c r="E37" i="9"/>
  <c r="D42" i="9"/>
  <c r="D37" i="9"/>
  <c r="M42" i="5" l="1"/>
  <c r="P41" i="5"/>
  <c r="N41" i="5"/>
  <c r="Q41" i="5"/>
  <c r="R41" i="5"/>
  <c r="O41" i="5"/>
  <c r="S41" i="5"/>
  <c r="E21" i="5"/>
  <c r="L135" i="2"/>
  <c r="N135" i="2" s="1"/>
  <c r="N126" i="2"/>
  <c r="BA13" i="2"/>
  <c r="AD14" i="2"/>
  <c r="F173" i="21" s="1"/>
  <c r="AD15" i="2"/>
  <c r="F174" i="21" s="1"/>
  <c r="AD16" i="2"/>
  <c r="F175" i="21" s="1"/>
  <c r="AD17" i="2"/>
  <c r="F176" i="21" s="1"/>
  <c r="AD18" i="2"/>
  <c r="F177" i="21" s="1"/>
  <c r="AD19" i="2"/>
  <c r="F178" i="21" s="1"/>
  <c r="AD20" i="2"/>
  <c r="F179" i="21" s="1"/>
  <c r="AD21" i="2"/>
  <c r="F180" i="21" s="1"/>
  <c r="AD22" i="2"/>
  <c r="F181" i="21" s="1"/>
  <c r="AD23" i="2"/>
  <c r="F182" i="21" s="1"/>
  <c r="AD24" i="2"/>
  <c r="F183" i="21" s="1"/>
  <c r="AD25" i="2"/>
  <c r="F184" i="21" s="1"/>
  <c r="AD26" i="2"/>
  <c r="F185" i="21" s="1"/>
  <c r="AD27" i="2"/>
  <c r="F186" i="21" s="1"/>
  <c r="AD28" i="2"/>
  <c r="F187" i="21" s="1"/>
  <c r="AD29" i="2"/>
  <c r="F188" i="21" s="1"/>
  <c r="AD30" i="2"/>
  <c r="F189" i="21" s="1"/>
  <c r="AD31" i="2"/>
  <c r="F190" i="21" s="1"/>
  <c r="AD32" i="2"/>
  <c r="F191" i="21" s="1"/>
  <c r="AD13" i="2"/>
  <c r="F172" i="21" s="1"/>
  <c r="AD12" i="2"/>
  <c r="F171" i="21" s="1"/>
  <c r="BA14" i="2" l="1"/>
  <c r="H172" i="21"/>
  <c r="M43" i="5"/>
  <c r="O42" i="5"/>
  <c r="S42" i="5"/>
  <c r="P42" i="5"/>
  <c r="N42" i="5"/>
  <c r="Q42" i="5"/>
  <c r="R42" i="5"/>
  <c r="E22" i="5"/>
  <c r="C3" i="7"/>
  <c r="C4" i="7"/>
  <c r="C6" i="7"/>
  <c r="C7" i="7"/>
  <c r="B4" i="7"/>
  <c r="B6" i="7"/>
  <c r="B7" i="7"/>
  <c r="B3" i="7"/>
  <c r="C18" i="7"/>
  <c r="C24" i="7" s="1"/>
  <c r="B19" i="7"/>
  <c r="B25" i="7" s="1"/>
  <c r="B20" i="7"/>
  <c r="B26" i="7" s="1"/>
  <c r="B21" i="7"/>
  <c r="B27" i="7" s="1"/>
  <c r="B18" i="7"/>
  <c r="B24" i="7" s="1"/>
  <c r="D9" i="7"/>
  <c r="BA15" i="2" l="1"/>
  <c r="H173" i="21"/>
  <c r="M44" i="5"/>
  <c r="R43" i="5"/>
  <c r="O43" i="5"/>
  <c r="S43" i="5"/>
  <c r="P43" i="5"/>
  <c r="N43" i="5"/>
  <c r="Q43" i="5"/>
  <c r="E23" i="5"/>
  <c r="I55" i="2"/>
  <c r="I54" i="2"/>
  <c r="BA16" i="2" l="1"/>
  <c r="H174" i="21"/>
  <c r="M45" i="5"/>
  <c r="Q44" i="5"/>
  <c r="R44" i="5"/>
  <c r="O44" i="5"/>
  <c r="S44" i="5"/>
  <c r="P44" i="5"/>
  <c r="N44" i="5"/>
  <c r="E24" i="5"/>
  <c r="AS8" i="8"/>
  <c r="AS9" i="8"/>
  <c r="AS10" i="8"/>
  <c r="AS11" i="8"/>
  <c r="AS12" i="8"/>
  <c r="AS13" i="8"/>
  <c r="AS14" i="8"/>
  <c r="AS15" i="8"/>
  <c r="AS16" i="8"/>
  <c r="AS17" i="8"/>
  <c r="AS18" i="8"/>
  <c r="AS19" i="8"/>
  <c r="AS20" i="8"/>
  <c r="AS21" i="8"/>
  <c r="AS22" i="8"/>
  <c r="AS23" i="8"/>
  <c r="AS24" i="8"/>
  <c r="AS25" i="8"/>
  <c r="AS26" i="8"/>
  <c r="AS27" i="8"/>
  <c r="AS28" i="8"/>
  <c r="AI8" i="8"/>
  <c r="AJ8" i="8"/>
  <c r="AL8" i="8"/>
  <c r="AP8" i="8"/>
  <c r="AI9" i="8"/>
  <c r="AJ9" i="8"/>
  <c r="AL9" i="8"/>
  <c r="AP9" i="8"/>
  <c r="AI10" i="8"/>
  <c r="AJ10" i="8"/>
  <c r="AL10" i="8"/>
  <c r="AP10" i="8"/>
  <c r="AI11" i="8"/>
  <c r="AJ11" i="8"/>
  <c r="AL11" i="8"/>
  <c r="AP11" i="8"/>
  <c r="AI12" i="8"/>
  <c r="AJ12" i="8"/>
  <c r="AL12" i="8"/>
  <c r="AP12" i="8"/>
  <c r="AI13" i="8"/>
  <c r="AJ13" i="8"/>
  <c r="AL13" i="8"/>
  <c r="AP13" i="8"/>
  <c r="AI14" i="8"/>
  <c r="AJ14" i="8"/>
  <c r="AL14" i="8"/>
  <c r="AP14" i="8"/>
  <c r="AI15" i="8"/>
  <c r="AJ15" i="8"/>
  <c r="AL15" i="8"/>
  <c r="AP15" i="8"/>
  <c r="AI16" i="8"/>
  <c r="AJ16" i="8"/>
  <c r="AL16" i="8"/>
  <c r="AP16" i="8"/>
  <c r="AI17" i="8"/>
  <c r="AJ17" i="8"/>
  <c r="AL17" i="8"/>
  <c r="AP17" i="8"/>
  <c r="AI18" i="8"/>
  <c r="AJ18" i="8"/>
  <c r="AL18" i="8"/>
  <c r="AP18" i="8"/>
  <c r="AI19" i="8"/>
  <c r="AJ19" i="8"/>
  <c r="AL19" i="8"/>
  <c r="AP19" i="8"/>
  <c r="AI20" i="8"/>
  <c r="AJ20" i="8"/>
  <c r="AL20" i="8"/>
  <c r="AP20" i="8"/>
  <c r="AI21" i="8"/>
  <c r="AJ21" i="8"/>
  <c r="AL21" i="8"/>
  <c r="AP21" i="8"/>
  <c r="AI22" i="8"/>
  <c r="AJ22" i="8"/>
  <c r="AL22" i="8"/>
  <c r="AP22" i="8"/>
  <c r="AI23" i="8"/>
  <c r="AJ23" i="8"/>
  <c r="AL23" i="8"/>
  <c r="AP23" i="8"/>
  <c r="AI24" i="8"/>
  <c r="AJ24" i="8"/>
  <c r="AL24" i="8"/>
  <c r="AP24" i="8"/>
  <c r="AI25" i="8"/>
  <c r="AJ25" i="8"/>
  <c r="AL25" i="8"/>
  <c r="AP25" i="8"/>
  <c r="AI26" i="8"/>
  <c r="AJ26" i="8"/>
  <c r="AL26" i="8"/>
  <c r="AP26" i="8"/>
  <c r="AI27" i="8"/>
  <c r="AJ27" i="8"/>
  <c r="AL27" i="8"/>
  <c r="AP27" i="8"/>
  <c r="AI28" i="8"/>
  <c r="AJ28" i="8"/>
  <c r="AL28" i="8"/>
  <c r="AP28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AC24" i="8"/>
  <c r="AC25" i="8"/>
  <c r="AC26" i="8"/>
  <c r="AC27" i="8"/>
  <c r="AC28" i="8"/>
  <c r="S8" i="8"/>
  <c r="T8" i="8"/>
  <c r="V8" i="8"/>
  <c r="Z8" i="8"/>
  <c r="S9" i="8"/>
  <c r="T9" i="8"/>
  <c r="V9" i="8"/>
  <c r="Z9" i="8"/>
  <c r="S10" i="8"/>
  <c r="T10" i="8"/>
  <c r="V10" i="8"/>
  <c r="Z10" i="8"/>
  <c r="S11" i="8"/>
  <c r="T11" i="8"/>
  <c r="V11" i="8"/>
  <c r="Z11" i="8"/>
  <c r="S12" i="8"/>
  <c r="T12" i="8"/>
  <c r="V12" i="8"/>
  <c r="Z12" i="8"/>
  <c r="S13" i="8"/>
  <c r="T13" i="8"/>
  <c r="V13" i="8"/>
  <c r="Z13" i="8"/>
  <c r="S14" i="8"/>
  <c r="T14" i="8"/>
  <c r="V14" i="8"/>
  <c r="Z14" i="8"/>
  <c r="S15" i="8"/>
  <c r="T15" i="8"/>
  <c r="V15" i="8"/>
  <c r="Z15" i="8"/>
  <c r="S16" i="8"/>
  <c r="T16" i="8"/>
  <c r="V16" i="8"/>
  <c r="Z16" i="8"/>
  <c r="S17" i="8"/>
  <c r="T17" i="8"/>
  <c r="V17" i="8"/>
  <c r="Z17" i="8"/>
  <c r="S18" i="8"/>
  <c r="T18" i="8"/>
  <c r="V18" i="8"/>
  <c r="Z18" i="8"/>
  <c r="S19" i="8"/>
  <c r="T19" i="8"/>
  <c r="V19" i="8"/>
  <c r="Z19" i="8"/>
  <c r="S20" i="8"/>
  <c r="T20" i="8"/>
  <c r="V20" i="8"/>
  <c r="Z20" i="8"/>
  <c r="S21" i="8"/>
  <c r="T21" i="8"/>
  <c r="V21" i="8"/>
  <c r="Z21" i="8"/>
  <c r="S22" i="8"/>
  <c r="T22" i="8"/>
  <c r="V22" i="8"/>
  <c r="Z22" i="8"/>
  <c r="S23" i="8"/>
  <c r="T23" i="8"/>
  <c r="V23" i="8"/>
  <c r="Z23" i="8"/>
  <c r="S24" i="8"/>
  <c r="T24" i="8"/>
  <c r="V24" i="8"/>
  <c r="Z24" i="8"/>
  <c r="S25" i="8"/>
  <c r="T25" i="8"/>
  <c r="V25" i="8"/>
  <c r="Z25" i="8"/>
  <c r="S26" i="8"/>
  <c r="T26" i="8"/>
  <c r="V26" i="8"/>
  <c r="Z26" i="8"/>
  <c r="S27" i="8"/>
  <c r="T27" i="8"/>
  <c r="V27" i="8"/>
  <c r="Z27" i="8"/>
  <c r="S28" i="8"/>
  <c r="T28" i="8"/>
  <c r="V28" i="8"/>
  <c r="Z28" i="8"/>
  <c r="J8" i="8"/>
  <c r="M8" i="8"/>
  <c r="J9" i="8"/>
  <c r="M9" i="8"/>
  <c r="M10" i="8"/>
  <c r="J11" i="8"/>
  <c r="M11" i="8"/>
  <c r="J12" i="8"/>
  <c r="M12" i="8"/>
  <c r="J13" i="8"/>
  <c r="M13" i="8"/>
  <c r="J14" i="8"/>
  <c r="M14" i="8"/>
  <c r="J15" i="8"/>
  <c r="M15" i="8"/>
  <c r="M16" i="8"/>
  <c r="J17" i="8"/>
  <c r="M17" i="8"/>
  <c r="J18" i="8"/>
  <c r="M18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6" i="8"/>
  <c r="M26" i="8"/>
  <c r="J27" i="8"/>
  <c r="M27" i="8"/>
  <c r="J28" i="8"/>
  <c r="M28" i="8"/>
  <c r="D8" i="8"/>
  <c r="F8" i="8"/>
  <c r="D9" i="8"/>
  <c r="F9" i="8"/>
  <c r="D10" i="8"/>
  <c r="F10" i="8"/>
  <c r="D11" i="8"/>
  <c r="F11" i="8"/>
  <c r="D12" i="8"/>
  <c r="F12" i="8"/>
  <c r="D13" i="8"/>
  <c r="F13" i="8"/>
  <c r="D14" i="8"/>
  <c r="F14" i="8"/>
  <c r="D15" i="8"/>
  <c r="F15" i="8"/>
  <c r="D16" i="8"/>
  <c r="F16" i="8"/>
  <c r="D17" i="8"/>
  <c r="F17" i="8"/>
  <c r="D18" i="8"/>
  <c r="F18" i="8"/>
  <c r="D19" i="8"/>
  <c r="F19" i="8"/>
  <c r="D20" i="8"/>
  <c r="F20" i="8"/>
  <c r="D21" i="8"/>
  <c r="F21" i="8"/>
  <c r="D22" i="8"/>
  <c r="F22" i="8"/>
  <c r="D23" i="8"/>
  <c r="F23" i="8"/>
  <c r="D24" i="8"/>
  <c r="F24" i="8"/>
  <c r="D25" i="8"/>
  <c r="F25" i="8"/>
  <c r="D26" i="8"/>
  <c r="F26" i="8"/>
  <c r="D27" i="8"/>
  <c r="F27" i="8"/>
  <c r="D28" i="8"/>
  <c r="F2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8" i="8"/>
  <c r="AM36" i="8"/>
  <c r="AU36" i="8" s="1"/>
  <c r="AN36" i="8"/>
  <c r="AV36" i="8" s="1"/>
  <c r="AM37" i="8"/>
  <c r="AU37" i="8" s="1"/>
  <c r="AN37" i="8"/>
  <c r="AM38" i="8"/>
  <c r="AU38" i="8" s="1"/>
  <c r="AN38" i="8"/>
  <c r="AM39" i="8"/>
  <c r="AU39" i="8" s="1"/>
  <c r="AN39" i="8"/>
  <c r="AV39" i="8" s="1"/>
  <c r="AM40" i="8"/>
  <c r="AU40" i="8" s="1"/>
  <c r="AN40" i="8"/>
  <c r="AV40" i="8" s="1"/>
  <c r="AM41" i="8"/>
  <c r="AU41" i="8" s="1"/>
  <c r="AN41" i="8"/>
  <c r="AM42" i="8"/>
  <c r="AU42" i="8" s="1"/>
  <c r="AN42" i="8"/>
  <c r="AV42" i="8" s="1"/>
  <c r="AM43" i="8"/>
  <c r="AN43" i="8"/>
  <c r="AV43" i="8" s="1"/>
  <c r="AM44" i="8"/>
  <c r="AU44" i="8" s="1"/>
  <c r="AN44" i="8"/>
  <c r="AM45" i="8"/>
  <c r="AU45" i="8" s="1"/>
  <c r="AN45" i="8"/>
  <c r="AM46" i="8"/>
  <c r="AU46" i="8" s="1"/>
  <c r="AN46" i="8"/>
  <c r="AV46" i="8" s="1"/>
  <c r="AM47" i="8"/>
  <c r="AU47" i="8" s="1"/>
  <c r="AN47" i="8"/>
  <c r="AV47" i="8" s="1"/>
  <c r="AM48" i="8"/>
  <c r="AN48" i="8"/>
  <c r="AV48" i="8" s="1"/>
  <c r="AM49" i="8"/>
  <c r="AU49" i="8" s="1"/>
  <c r="AN49" i="8"/>
  <c r="AM50" i="8"/>
  <c r="AU50" i="8" s="1"/>
  <c r="AN50" i="8"/>
  <c r="AM51" i="8"/>
  <c r="AU51" i="8" s="1"/>
  <c r="AN51" i="8"/>
  <c r="AV51" i="8" s="1"/>
  <c r="AM52" i="8"/>
  <c r="AN52" i="8"/>
  <c r="AV52" i="8" s="1"/>
  <c r="AM53" i="8"/>
  <c r="AU53" i="8" s="1"/>
  <c r="AN53" i="8"/>
  <c r="AM54" i="8"/>
  <c r="AU54" i="8" s="1"/>
  <c r="AN54" i="8"/>
  <c r="AV54" i="8" s="1"/>
  <c r="AM55" i="8"/>
  <c r="AU55" i="8" s="1"/>
  <c r="AN55" i="8"/>
  <c r="AV55" i="8" s="1"/>
  <c r="AN35" i="8"/>
  <c r="AV35" i="8" s="1"/>
  <c r="AM35" i="8"/>
  <c r="W36" i="8"/>
  <c r="AE36" i="8" s="1"/>
  <c r="X36" i="8"/>
  <c r="AF36" i="8" s="1"/>
  <c r="W37" i="8"/>
  <c r="AE37" i="8" s="1"/>
  <c r="X37" i="8"/>
  <c r="AF37" i="8" s="1"/>
  <c r="W38" i="8"/>
  <c r="AE38" i="8" s="1"/>
  <c r="X38" i="8"/>
  <c r="AF38" i="8" s="1"/>
  <c r="W39" i="8"/>
  <c r="AE39" i="8" s="1"/>
  <c r="X39" i="8"/>
  <c r="AF39" i="8" s="1"/>
  <c r="W40" i="8"/>
  <c r="AE40" i="8" s="1"/>
  <c r="X40" i="8"/>
  <c r="W41" i="8"/>
  <c r="AE41" i="8" s="1"/>
  <c r="X41" i="8"/>
  <c r="AF41" i="8" s="1"/>
  <c r="W42" i="8"/>
  <c r="AE42" i="8" s="1"/>
  <c r="X42" i="8"/>
  <c r="W43" i="8"/>
  <c r="X43" i="8"/>
  <c r="AF43" i="8" s="1"/>
  <c r="W44" i="8"/>
  <c r="AE44" i="8" s="1"/>
  <c r="X44" i="8"/>
  <c r="W45" i="8"/>
  <c r="AE45" i="8" s="1"/>
  <c r="X45" i="8"/>
  <c r="AF45" i="8" s="1"/>
  <c r="W46" i="8"/>
  <c r="AE46" i="8" s="1"/>
  <c r="X46" i="8"/>
  <c r="AF46" i="8" s="1"/>
  <c r="W47" i="8"/>
  <c r="X47" i="8"/>
  <c r="W48" i="8"/>
  <c r="AE48" i="8" s="1"/>
  <c r="X48" i="8"/>
  <c r="W49" i="8"/>
  <c r="AE49" i="8" s="1"/>
  <c r="X49" i="8"/>
  <c r="AF49" i="8" s="1"/>
  <c r="W50" i="8"/>
  <c r="AE50" i="8" s="1"/>
  <c r="X50" i="8"/>
  <c r="AF50" i="8" s="1"/>
  <c r="W51" i="8"/>
  <c r="X51" i="8"/>
  <c r="W52" i="8"/>
  <c r="AE52" i="8" s="1"/>
  <c r="X52" i="8"/>
  <c r="W53" i="8"/>
  <c r="AE53" i="8" s="1"/>
  <c r="X53" i="8"/>
  <c r="AF53" i="8" s="1"/>
  <c r="W54" i="8"/>
  <c r="AE54" i="8" s="1"/>
  <c r="X54" i="8"/>
  <c r="AF54" i="8" s="1"/>
  <c r="W55" i="8"/>
  <c r="X55" i="8"/>
  <c r="AF55" i="8" s="1"/>
  <c r="X35" i="8"/>
  <c r="AF35" i="8" s="1"/>
  <c r="W35" i="8"/>
  <c r="G36" i="8"/>
  <c r="O36" i="8" s="1"/>
  <c r="H36" i="8"/>
  <c r="G37" i="8"/>
  <c r="O37" i="8" s="1"/>
  <c r="H37" i="8"/>
  <c r="P37" i="8" s="1"/>
  <c r="G38" i="8"/>
  <c r="O38" i="8" s="1"/>
  <c r="H38" i="8"/>
  <c r="P38" i="8" s="1"/>
  <c r="G39" i="8"/>
  <c r="O39" i="8" s="1"/>
  <c r="H39" i="8"/>
  <c r="G40" i="8"/>
  <c r="O40" i="8" s="1"/>
  <c r="H40" i="8"/>
  <c r="P40" i="8" s="1"/>
  <c r="G41" i="8"/>
  <c r="O41" i="8" s="1"/>
  <c r="H41" i="8"/>
  <c r="G42" i="8"/>
  <c r="H42" i="8"/>
  <c r="P42" i="8" s="1"/>
  <c r="G43" i="8"/>
  <c r="O43" i="8" s="1"/>
  <c r="H43" i="8"/>
  <c r="P43" i="8" s="1"/>
  <c r="G44" i="8"/>
  <c r="O44" i="8" s="1"/>
  <c r="H44" i="8"/>
  <c r="P44" i="8" s="1"/>
  <c r="G45" i="8"/>
  <c r="O45" i="8" s="1"/>
  <c r="H45" i="8"/>
  <c r="P45" i="8" s="1"/>
  <c r="G46" i="8"/>
  <c r="H46" i="8"/>
  <c r="P46" i="8" s="1"/>
  <c r="G47" i="8"/>
  <c r="O47" i="8" s="1"/>
  <c r="H47" i="8"/>
  <c r="G48" i="8"/>
  <c r="O48" i="8" s="1"/>
  <c r="H48" i="8"/>
  <c r="G49" i="8"/>
  <c r="O49" i="8" s="1"/>
  <c r="H49" i="8"/>
  <c r="P49" i="8" s="1"/>
  <c r="G50" i="8"/>
  <c r="H50" i="8"/>
  <c r="P50" i="8" s="1"/>
  <c r="G51" i="8"/>
  <c r="O51" i="8" s="1"/>
  <c r="H51" i="8"/>
  <c r="G52" i="8"/>
  <c r="O52" i="8" s="1"/>
  <c r="H52" i="8"/>
  <c r="P52" i="8" s="1"/>
  <c r="G53" i="8"/>
  <c r="O53" i="8" s="1"/>
  <c r="H53" i="8"/>
  <c r="P53" i="8" s="1"/>
  <c r="G54" i="8"/>
  <c r="O54" i="8" s="1"/>
  <c r="H54" i="8"/>
  <c r="P54" i="8" s="1"/>
  <c r="G55" i="8"/>
  <c r="O55" i="8" s="1"/>
  <c r="H55" i="8"/>
  <c r="H35" i="8"/>
  <c r="P35" i="8" s="1"/>
  <c r="G35" i="8"/>
  <c r="O35" i="8" s="1"/>
  <c r="B34" i="8"/>
  <c r="B35" i="8"/>
  <c r="B33" i="8"/>
  <c r="AX55" i="8"/>
  <c r="AR55" i="8"/>
  <c r="AQ55" i="8"/>
  <c r="AH55" i="8"/>
  <c r="AB55" i="8"/>
  <c r="AA55" i="8"/>
  <c r="R55" i="8"/>
  <c r="L55" i="8"/>
  <c r="K55" i="8"/>
  <c r="AX54" i="8"/>
  <c r="AR54" i="8"/>
  <c r="AQ54" i="8"/>
  <c r="AH54" i="8"/>
  <c r="AB54" i="8"/>
  <c r="AA54" i="8"/>
  <c r="R54" i="8"/>
  <c r="L54" i="8"/>
  <c r="K54" i="8"/>
  <c r="AX53" i="8"/>
  <c r="AR53" i="8"/>
  <c r="AQ53" i="8"/>
  <c r="AH53" i="8"/>
  <c r="AB53" i="8"/>
  <c r="AA53" i="8"/>
  <c r="R53" i="8"/>
  <c r="L53" i="8"/>
  <c r="K53" i="8"/>
  <c r="AX52" i="8"/>
  <c r="AR52" i="8"/>
  <c r="AQ52" i="8"/>
  <c r="AH52" i="8"/>
  <c r="AB52" i="8"/>
  <c r="AA52" i="8"/>
  <c r="R52" i="8"/>
  <c r="L52" i="8"/>
  <c r="K52" i="8"/>
  <c r="AX51" i="8"/>
  <c r="AR51" i="8"/>
  <c r="AQ51" i="8"/>
  <c r="AH51" i="8"/>
  <c r="AB51" i="8"/>
  <c r="AA51" i="8"/>
  <c r="R51" i="8"/>
  <c r="L51" i="8"/>
  <c r="K51" i="8"/>
  <c r="AX50" i="8"/>
  <c r="AR50" i="8"/>
  <c r="AQ50" i="8"/>
  <c r="AH50" i="8"/>
  <c r="AB50" i="8"/>
  <c r="AA50" i="8"/>
  <c r="R50" i="8"/>
  <c r="L50" i="8"/>
  <c r="K50" i="8"/>
  <c r="AX49" i="8"/>
  <c r="AR49" i="8"/>
  <c r="AQ49" i="8"/>
  <c r="AH49" i="8"/>
  <c r="AB49" i="8"/>
  <c r="AA49" i="8"/>
  <c r="R49" i="8"/>
  <c r="L49" i="8"/>
  <c r="K49" i="8"/>
  <c r="AX48" i="8"/>
  <c r="AR48" i="8"/>
  <c r="AQ48" i="8"/>
  <c r="AH48" i="8"/>
  <c r="AB48" i="8"/>
  <c r="AA48" i="8"/>
  <c r="R48" i="8"/>
  <c r="L48" i="8"/>
  <c r="K48" i="8"/>
  <c r="AX47" i="8"/>
  <c r="AR47" i="8"/>
  <c r="AQ47" i="8"/>
  <c r="AH47" i="8"/>
  <c r="AB47" i="8"/>
  <c r="AA47" i="8"/>
  <c r="R47" i="8"/>
  <c r="L47" i="8"/>
  <c r="K47" i="8"/>
  <c r="AX46" i="8"/>
  <c r="AR46" i="8"/>
  <c r="AQ46" i="8"/>
  <c r="AH46" i="8"/>
  <c r="AB46" i="8"/>
  <c r="AA46" i="8"/>
  <c r="R46" i="8"/>
  <c r="L46" i="8"/>
  <c r="K46" i="8"/>
  <c r="AX45" i="8"/>
  <c r="AR45" i="8"/>
  <c r="AQ45" i="8"/>
  <c r="AH45" i="8"/>
  <c r="AB45" i="8"/>
  <c r="AA45" i="8"/>
  <c r="R45" i="8"/>
  <c r="L45" i="8"/>
  <c r="K45" i="8"/>
  <c r="AX44" i="8"/>
  <c r="AR44" i="8"/>
  <c r="AQ44" i="8"/>
  <c r="AH44" i="8"/>
  <c r="AB44" i="8"/>
  <c r="AA44" i="8"/>
  <c r="R44" i="8"/>
  <c r="L44" i="8"/>
  <c r="K44" i="8"/>
  <c r="AX43" i="8"/>
  <c r="AU43" i="8"/>
  <c r="AR43" i="8"/>
  <c r="AQ43" i="8"/>
  <c r="AH43" i="8"/>
  <c r="AB43" i="8"/>
  <c r="AA43" i="8"/>
  <c r="R43" i="8"/>
  <c r="L43" i="8"/>
  <c r="K43" i="8"/>
  <c r="AX42" i="8"/>
  <c r="AR42" i="8"/>
  <c r="AQ42" i="8"/>
  <c r="AH42" i="8"/>
  <c r="AB42" i="8"/>
  <c r="AA42" i="8"/>
  <c r="R42" i="8"/>
  <c r="L42" i="8"/>
  <c r="K42" i="8"/>
  <c r="AX41" i="8"/>
  <c r="AR41" i="8"/>
  <c r="AQ41" i="8"/>
  <c r="AH41" i="8"/>
  <c r="AB41" i="8"/>
  <c r="AA41" i="8"/>
  <c r="R41" i="8"/>
  <c r="L41" i="8"/>
  <c r="K41" i="8"/>
  <c r="AX40" i="8"/>
  <c r="AR40" i="8"/>
  <c r="AQ40" i="8"/>
  <c r="AH40" i="8"/>
  <c r="AB40" i="8"/>
  <c r="AA40" i="8"/>
  <c r="R40" i="8"/>
  <c r="L40" i="8"/>
  <c r="K40" i="8"/>
  <c r="AX39" i="8"/>
  <c r="AR39" i="8"/>
  <c r="AQ39" i="8"/>
  <c r="AH39" i="8"/>
  <c r="AB39" i="8"/>
  <c r="AA39" i="8"/>
  <c r="R39" i="8"/>
  <c r="L39" i="8"/>
  <c r="K39" i="8"/>
  <c r="AX38" i="8"/>
  <c r="AR38" i="8"/>
  <c r="AQ38" i="8"/>
  <c r="AH38" i="8"/>
  <c r="AB38" i="8"/>
  <c r="AA38" i="8"/>
  <c r="R38" i="8"/>
  <c r="L38" i="8"/>
  <c r="K38" i="8"/>
  <c r="AX37" i="8"/>
  <c r="AR37" i="8"/>
  <c r="AQ37" i="8"/>
  <c r="AH37" i="8"/>
  <c r="AB37" i="8"/>
  <c r="AA37" i="8"/>
  <c r="R37" i="8"/>
  <c r="L37" i="8"/>
  <c r="K37" i="8"/>
  <c r="AX36" i="8"/>
  <c r="AR36" i="8"/>
  <c r="AQ36" i="8"/>
  <c r="AH36" i="8"/>
  <c r="AB36" i="8"/>
  <c r="AA36" i="8"/>
  <c r="R36" i="8"/>
  <c r="L36" i="8"/>
  <c r="K36" i="8"/>
  <c r="AX35" i="8"/>
  <c r="AR35" i="8"/>
  <c r="AQ35" i="8"/>
  <c r="AH35" i="8"/>
  <c r="AB35" i="8"/>
  <c r="AA35" i="8"/>
  <c r="R35" i="8"/>
  <c r="L35" i="8"/>
  <c r="K35" i="8"/>
  <c r="AM89" i="8"/>
  <c r="AU89" i="8" s="1"/>
  <c r="AN89" i="8"/>
  <c r="AV89" i="8" s="1"/>
  <c r="AV9" i="8" s="1"/>
  <c r="AM90" i="8"/>
  <c r="AU90" i="8" s="1"/>
  <c r="AN90" i="8"/>
  <c r="AV90" i="8" s="1"/>
  <c r="AM91" i="8"/>
  <c r="AU91" i="8" s="1"/>
  <c r="AN91" i="8"/>
  <c r="AV91" i="8" s="1"/>
  <c r="AM92" i="8"/>
  <c r="AU92" i="8" s="1"/>
  <c r="AN92" i="8"/>
  <c r="AV92" i="8" s="1"/>
  <c r="AM93" i="8"/>
  <c r="AU93" i="8" s="1"/>
  <c r="AN93" i="8"/>
  <c r="AV93" i="8" s="1"/>
  <c r="AM94" i="8"/>
  <c r="AU94" i="8" s="1"/>
  <c r="AN94" i="8"/>
  <c r="AV94" i="8" s="1"/>
  <c r="AM95" i="8"/>
  <c r="AU95" i="8" s="1"/>
  <c r="AN95" i="8"/>
  <c r="AV95" i="8" s="1"/>
  <c r="AM96" i="8"/>
  <c r="AU96" i="8" s="1"/>
  <c r="AN96" i="8"/>
  <c r="AM97" i="8"/>
  <c r="AU97" i="8" s="1"/>
  <c r="AN97" i="8"/>
  <c r="AV97" i="8" s="1"/>
  <c r="AM98" i="8"/>
  <c r="AU98" i="8" s="1"/>
  <c r="AN98" i="8"/>
  <c r="AV98" i="8" s="1"/>
  <c r="AM99" i="8"/>
  <c r="AN99" i="8"/>
  <c r="AV99" i="8" s="1"/>
  <c r="AM100" i="8"/>
  <c r="AU100" i="8" s="1"/>
  <c r="AN100" i="8"/>
  <c r="AV100" i="8" s="1"/>
  <c r="AM101" i="8"/>
  <c r="AU101" i="8" s="1"/>
  <c r="AN101" i="8"/>
  <c r="AV101" i="8" s="1"/>
  <c r="AM102" i="8"/>
  <c r="AU102" i="8" s="1"/>
  <c r="AN102" i="8"/>
  <c r="AV102" i="8" s="1"/>
  <c r="AM103" i="8"/>
  <c r="AU103" i="8" s="1"/>
  <c r="AN103" i="8"/>
  <c r="AV103" i="8" s="1"/>
  <c r="AM104" i="8"/>
  <c r="AU104" i="8" s="1"/>
  <c r="AN104" i="8"/>
  <c r="AV104" i="8" s="1"/>
  <c r="AM105" i="8"/>
  <c r="AU105" i="8" s="1"/>
  <c r="AN105" i="8"/>
  <c r="AV105" i="8" s="1"/>
  <c r="AV25" i="8" s="1"/>
  <c r="AM106" i="8"/>
  <c r="AU106" i="8" s="1"/>
  <c r="AN106" i="8"/>
  <c r="AV106" i="8" s="1"/>
  <c r="AM107" i="8"/>
  <c r="AU107" i="8" s="1"/>
  <c r="AN107" i="8"/>
  <c r="AV107" i="8" s="1"/>
  <c r="AM108" i="8"/>
  <c r="AU108" i="8" s="1"/>
  <c r="AN108" i="8"/>
  <c r="AV108" i="8" s="1"/>
  <c r="AN88" i="8"/>
  <c r="AV88" i="8" s="1"/>
  <c r="AM88" i="8"/>
  <c r="AU88" i="8" s="1"/>
  <c r="W89" i="8"/>
  <c r="X89" i="8"/>
  <c r="AF89" i="8" s="1"/>
  <c r="W90" i="8"/>
  <c r="AE90" i="8" s="1"/>
  <c r="X90" i="8"/>
  <c r="X10" i="8" s="1"/>
  <c r="W91" i="8"/>
  <c r="AE91" i="8" s="1"/>
  <c r="X91" i="8"/>
  <c r="AF91" i="8" s="1"/>
  <c r="W92" i="8"/>
  <c r="AE92" i="8" s="1"/>
  <c r="X92" i="8"/>
  <c r="AF92" i="8" s="1"/>
  <c r="AF12" i="8" s="1"/>
  <c r="W93" i="8"/>
  <c r="X93" i="8"/>
  <c r="AF93" i="8" s="1"/>
  <c r="W94" i="8"/>
  <c r="AE94" i="8" s="1"/>
  <c r="X94" i="8"/>
  <c r="W95" i="8"/>
  <c r="AE95" i="8" s="1"/>
  <c r="X95" i="8"/>
  <c r="AF95" i="8" s="1"/>
  <c r="W96" i="8"/>
  <c r="AE96" i="8" s="1"/>
  <c r="X96" i="8"/>
  <c r="AF96" i="8" s="1"/>
  <c r="W97" i="8"/>
  <c r="X97" i="8"/>
  <c r="AF97" i="8" s="1"/>
  <c r="W98" i="8"/>
  <c r="AE98" i="8" s="1"/>
  <c r="X98" i="8"/>
  <c r="X18" i="8" s="1"/>
  <c r="W99" i="8"/>
  <c r="AE99" i="8" s="1"/>
  <c r="X99" i="8"/>
  <c r="AF99" i="8" s="1"/>
  <c r="W100" i="8"/>
  <c r="AE100" i="8" s="1"/>
  <c r="X100" i="8"/>
  <c r="AF100" i="8" s="1"/>
  <c r="W101" i="8"/>
  <c r="X101" i="8"/>
  <c r="AF101" i="8" s="1"/>
  <c r="W102" i="8"/>
  <c r="AE102" i="8" s="1"/>
  <c r="X102" i="8"/>
  <c r="W103" i="8"/>
  <c r="AE103" i="8" s="1"/>
  <c r="X103" i="8"/>
  <c r="AF103" i="8" s="1"/>
  <c r="W104" i="8"/>
  <c r="AE104" i="8" s="1"/>
  <c r="X104" i="8"/>
  <c r="AF104" i="8" s="1"/>
  <c r="W105" i="8"/>
  <c r="X105" i="8"/>
  <c r="AF105" i="8" s="1"/>
  <c r="W106" i="8"/>
  <c r="AE106" i="8" s="1"/>
  <c r="X106" i="8"/>
  <c r="X26" i="8" s="1"/>
  <c r="W107" i="8"/>
  <c r="AE107" i="8" s="1"/>
  <c r="X107" i="8"/>
  <c r="AF107" i="8" s="1"/>
  <c r="W108" i="8"/>
  <c r="AE108" i="8" s="1"/>
  <c r="X108" i="8"/>
  <c r="AF108" i="8" s="1"/>
  <c r="AF28" i="8" s="1"/>
  <c r="X88" i="8"/>
  <c r="W88" i="8"/>
  <c r="AE88" i="8" s="1"/>
  <c r="G89" i="8"/>
  <c r="O89" i="8" s="1"/>
  <c r="H89" i="8"/>
  <c r="P89" i="8" s="1"/>
  <c r="G90" i="8"/>
  <c r="O90" i="8" s="1"/>
  <c r="H90" i="8"/>
  <c r="P90" i="8" s="1"/>
  <c r="G91" i="8"/>
  <c r="O91" i="8" s="1"/>
  <c r="H91" i="8"/>
  <c r="P91" i="8" s="1"/>
  <c r="G92" i="8"/>
  <c r="H92" i="8"/>
  <c r="P92" i="8" s="1"/>
  <c r="G93" i="8"/>
  <c r="O93" i="8" s="1"/>
  <c r="H93" i="8"/>
  <c r="P93" i="8" s="1"/>
  <c r="P13" i="8" s="1"/>
  <c r="G94" i="8"/>
  <c r="O94" i="8" s="1"/>
  <c r="H94" i="8"/>
  <c r="P94" i="8" s="1"/>
  <c r="G95" i="8"/>
  <c r="O95" i="8" s="1"/>
  <c r="H95" i="8"/>
  <c r="P95" i="8" s="1"/>
  <c r="P15" i="8" s="1"/>
  <c r="G96" i="8"/>
  <c r="H96" i="8"/>
  <c r="P96" i="8" s="1"/>
  <c r="G97" i="8"/>
  <c r="O97" i="8" s="1"/>
  <c r="H97" i="8"/>
  <c r="P97" i="8" s="1"/>
  <c r="G98" i="8"/>
  <c r="O98" i="8" s="1"/>
  <c r="H98" i="8"/>
  <c r="P98" i="8" s="1"/>
  <c r="G99" i="8"/>
  <c r="O99" i="8" s="1"/>
  <c r="H99" i="8"/>
  <c r="P99" i="8" s="1"/>
  <c r="G100" i="8"/>
  <c r="O100" i="8" s="1"/>
  <c r="H100" i="8"/>
  <c r="P100" i="8" s="1"/>
  <c r="G101" i="8"/>
  <c r="O101" i="8" s="1"/>
  <c r="H101" i="8"/>
  <c r="P101" i="8" s="1"/>
  <c r="G102" i="8"/>
  <c r="O102" i="8" s="1"/>
  <c r="H102" i="8"/>
  <c r="P102" i="8" s="1"/>
  <c r="G103" i="8"/>
  <c r="O103" i="8" s="1"/>
  <c r="H103" i="8"/>
  <c r="P103" i="8" s="1"/>
  <c r="P23" i="8" s="1"/>
  <c r="G104" i="8"/>
  <c r="H104" i="8"/>
  <c r="P104" i="8" s="1"/>
  <c r="G105" i="8"/>
  <c r="O105" i="8" s="1"/>
  <c r="H105" i="8"/>
  <c r="P105" i="8" s="1"/>
  <c r="G106" i="8"/>
  <c r="O106" i="8" s="1"/>
  <c r="H106" i="8"/>
  <c r="P106" i="8" s="1"/>
  <c r="G107" i="8"/>
  <c r="O107" i="8" s="1"/>
  <c r="O27" i="8" s="1"/>
  <c r="H107" i="8"/>
  <c r="P107" i="8" s="1"/>
  <c r="G108" i="8"/>
  <c r="H108" i="8"/>
  <c r="P108" i="8" s="1"/>
  <c r="H88" i="8"/>
  <c r="P88" i="8" s="1"/>
  <c r="G88" i="8"/>
  <c r="G8" i="8" s="1"/>
  <c r="AX108" i="8"/>
  <c r="AR108" i="8"/>
  <c r="AR28" i="8" s="1"/>
  <c r="AQ108" i="8"/>
  <c r="AH108" i="8"/>
  <c r="AB108" i="8"/>
  <c r="AA108" i="8"/>
  <c r="R108" i="8"/>
  <c r="L108" i="8"/>
  <c r="K108" i="8"/>
  <c r="AX107" i="8"/>
  <c r="AR107" i="8"/>
  <c r="AQ107" i="8"/>
  <c r="AH107" i="8"/>
  <c r="AB107" i="8"/>
  <c r="AA107" i="8"/>
  <c r="R107" i="8"/>
  <c r="L107" i="8"/>
  <c r="K107" i="8"/>
  <c r="AX106" i="8"/>
  <c r="AR106" i="8"/>
  <c r="AQ106" i="8"/>
  <c r="AH106" i="8"/>
  <c r="AB106" i="8"/>
  <c r="AA106" i="8"/>
  <c r="R106" i="8"/>
  <c r="L106" i="8"/>
  <c r="K106" i="8"/>
  <c r="AX105" i="8"/>
  <c r="AR105" i="8"/>
  <c r="AR25" i="8" s="1"/>
  <c r="AQ105" i="8"/>
  <c r="AH105" i="8"/>
  <c r="AB105" i="8"/>
  <c r="AA105" i="8"/>
  <c r="R105" i="8"/>
  <c r="L105" i="8"/>
  <c r="K105" i="8"/>
  <c r="AX104" i="8"/>
  <c r="AR104" i="8"/>
  <c r="AQ104" i="8"/>
  <c r="AH104" i="8"/>
  <c r="AB104" i="8"/>
  <c r="AA104" i="8"/>
  <c r="R104" i="8"/>
  <c r="L104" i="8"/>
  <c r="K104" i="8"/>
  <c r="K24" i="8" s="1"/>
  <c r="AX103" i="8"/>
  <c r="AR103" i="8"/>
  <c r="AQ103" i="8"/>
  <c r="AH103" i="8"/>
  <c r="AH23" i="8" s="1"/>
  <c r="AB103" i="8"/>
  <c r="AA103" i="8"/>
  <c r="R103" i="8"/>
  <c r="L103" i="8"/>
  <c r="K103" i="8"/>
  <c r="AX102" i="8"/>
  <c r="AR102" i="8"/>
  <c r="AR22" i="8" s="1"/>
  <c r="AQ102" i="8"/>
  <c r="AH102" i="8"/>
  <c r="AB102" i="8"/>
  <c r="AA102" i="8"/>
  <c r="R102" i="8"/>
  <c r="R22" i="8" s="1"/>
  <c r="L102" i="8"/>
  <c r="L22" i="8" s="1"/>
  <c r="K102" i="8"/>
  <c r="AX101" i="8"/>
  <c r="AR101" i="8"/>
  <c r="AR21" i="8" s="1"/>
  <c r="AQ101" i="8"/>
  <c r="AH101" i="8"/>
  <c r="AB101" i="8"/>
  <c r="AA101" i="8"/>
  <c r="R101" i="8"/>
  <c r="L101" i="8"/>
  <c r="K101" i="8"/>
  <c r="AX100" i="8"/>
  <c r="AR100" i="8"/>
  <c r="AQ100" i="8"/>
  <c r="AH100" i="8"/>
  <c r="AB100" i="8"/>
  <c r="AA100" i="8"/>
  <c r="R100" i="8"/>
  <c r="L100" i="8"/>
  <c r="K100" i="8"/>
  <c r="AX99" i="8"/>
  <c r="AR99" i="8"/>
  <c r="AQ99" i="8"/>
  <c r="AH99" i="8"/>
  <c r="AB99" i="8"/>
  <c r="AA99" i="8"/>
  <c r="R99" i="8"/>
  <c r="R19" i="8" s="1"/>
  <c r="L99" i="8"/>
  <c r="K99" i="8"/>
  <c r="AX98" i="8"/>
  <c r="AR98" i="8"/>
  <c r="AQ98" i="8"/>
  <c r="AH98" i="8"/>
  <c r="AB98" i="8"/>
  <c r="AA98" i="8"/>
  <c r="R98" i="8"/>
  <c r="R18" i="8" s="1"/>
  <c r="L98" i="8"/>
  <c r="K98" i="8"/>
  <c r="AX97" i="8"/>
  <c r="AR97" i="8"/>
  <c r="AQ97" i="8"/>
  <c r="AH97" i="8"/>
  <c r="AB97" i="8"/>
  <c r="AA97" i="8"/>
  <c r="R97" i="8"/>
  <c r="L97" i="8"/>
  <c r="K97" i="8"/>
  <c r="AX96" i="8"/>
  <c r="AX16" i="8" s="1"/>
  <c r="AR96" i="8"/>
  <c r="AQ96" i="8"/>
  <c r="AH96" i="8"/>
  <c r="AB96" i="8"/>
  <c r="AA96" i="8"/>
  <c r="R96" i="8"/>
  <c r="L96" i="8"/>
  <c r="K96" i="8"/>
  <c r="AX95" i="8"/>
  <c r="AR95" i="8"/>
  <c r="AR15" i="8" s="1"/>
  <c r="AQ95" i="8"/>
  <c r="AH95" i="8"/>
  <c r="AB95" i="8"/>
  <c r="AA95" i="8"/>
  <c r="R95" i="8"/>
  <c r="R15" i="8" s="1"/>
  <c r="L95" i="8"/>
  <c r="K95" i="8"/>
  <c r="AX94" i="8"/>
  <c r="AX14" i="8" s="1"/>
  <c r="AR94" i="8"/>
  <c r="AR14" i="8" s="1"/>
  <c r="AQ94" i="8"/>
  <c r="AH94" i="8"/>
  <c r="AB94" i="8"/>
  <c r="AA94" i="8"/>
  <c r="R94" i="8"/>
  <c r="L94" i="8"/>
  <c r="K94" i="8"/>
  <c r="K14" i="8" s="1"/>
  <c r="AX93" i="8"/>
  <c r="AR93" i="8"/>
  <c r="AQ93" i="8"/>
  <c r="AH93" i="8"/>
  <c r="AB93" i="8"/>
  <c r="AB13" i="8" s="1"/>
  <c r="AA93" i="8"/>
  <c r="R93" i="8"/>
  <c r="L93" i="8"/>
  <c r="K93" i="8"/>
  <c r="K13" i="8" s="1"/>
  <c r="AX92" i="8"/>
  <c r="AR92" i="8"/>
  <c r="AQ92" i="8"/>
  <c r="AH92" i="8"/>
  <c r="AB92" i="8"/>
  <c r="AA92" i="8"/>
  <c r="R92" i="8"/>
  <c r="L92" i="8"/>
  <c r="K92" i="8"/>
  <c r="AX91" i="8"/>
  <c r="AR91" i="8"/>
  <c r="AQ91" i="8"/>
  <c r="AQ11" i="8" s="1"/>
  <c r="AH91" i="8"/>
  <c r="AB91" i="8"/>
  <c r="AA91" i="8"/>
  <c r="R91" i="8"/>
  <c r="L91" i="8"/>
  <c r="K91" i="8"/>
  <c r="AX90" i="8"/>
  <c r="AR90" i="8"/>
  <c r="AQ90" i="8"/>
  <c r="AH90" i="8"/>
  <c r="AB90" i="8"/>
  <c r="AA90" i="8"/>
  <c r="R90" i="8"/>
  <c r="L90" i="8"/>
  <c r="K90" i="8"/>
  <c r="AX89" i="8"/>
  <c r="AX9" i="8" s="1"/>
  <c r="AR89" i="8"/>
  <c r="AQ89" i="8"/>
  <c r="AH89" i="8"/>
  <c r="AB89" i="8"/>
  <c r="AA89" i="8"/>
  <c r="R89" i="8"/>
  <c r="L89" i="8"/>
  <c r="K89" i="8"/>
  <c r="AX88" i="8"/>
  <c r="AR88" i="8"/>
  <c r="AQ88" i="8"/>
  <c r="AH88" i="8"/>
  <c r="AB88" i="8"/>
  <c r="AA88" i="8"/>
  <c r="AF88" i="8"/>
  <c r="AF8" i="8" s="1"/>
  <c r="R88" i="8"/>
  <c r="L88" i="8"/>
  <c r="L8" i="8" s="1"/>
  <c r="K88" i="8"/>
  <c r="AX62" i="8"/>
  <c r="AX63" i="8"/>
  <c r="AX64" i="8"/>
  <c r="AX65" i="8"/>
  <c r="AX66" i="8"/>
  <c r="AX67" i="8"/>
  <c r="AX68" i="8"/>
  <c r="AX69" i="8"/>
  <c r="AX70" i="8"/>
  <c r="AX71" i="8"/>
  <c r="AX72" i="8"/>
  <c r="AX73" i="8"/>
  <c r="AX74" i="8"/>
  <c r="AX75" i="8"/>
  <c r="AX76" i="8"/>
  <c r="AX77" i="8"/>
  <c r="AX78" i="8"/>
  <c r="AX79" i="8"/>
  <c r="AX80" i="8"/>
  <c r="AX81" i="8"/>
  <c r="AX82" i="8"/>
  <c r="AM63" i="8"/>
  <c r="AN63" i="8"/>
  <c r="AM64" i="8"/>
  <c r="AN64" i="8"/>
  <c r="AM65" i="8"/>
  <c r="AN65" i="8"/>
  <c r="AM66" i="8"/>
  <c r="AN66" i="8"/>
  <c r="AM67" i="8"/>
  <c r="AN67" i="8"/>
  <c r="AM68" i="8"/>
  <c r="AN68" i="8"/>
  <c r="AV68" i="8" s="1"/>
  <c r="AM69" i="8"/>
  <c r="AN69" i="8"/>
  <c r="AM70" i="8"/>
  <c r="AN70" i="8"/>
  <c r="AM71" i="8"/>
  <c r="AN71" i="8"/>
  <c r="AM72" i="8"/>
  <c r="AN72" i="8"/>
  <c r="AM73" i="8"/>
  <c r="AN73" i="8"/>
  <c r="AM74" i="8"/>
  <c r="AN74" i="8"/>
  <c r="AM75" i="8"/>
  <c r="AN75" i="8"/>
  <c r="AM76" i="8"/>
  <c r="AN76" i="8"/>
  <c r="AV76" i="8" s="1"/>
  <c r="AM77" i="8"/>
  <c r="AN77" i="8"/>
  <c r="AM78" i="8"/>
  <c r="AN78" i="8"/>
  <c r="AM79" i="8"/>
  <c r="AN79" i="8"/>
  <c r="AM80" i="8"/>
  <c r="AN80" i="8"/>
  <c r="AV80" i="8" s="1"/>
  <c r="AM81" i="8"/>
  <c r="AN81" i="8"/>
  <c r="AM82" i="8"/>
  <c r="AN82" i="8"/>
  <c r="AN62" i="8"/>
  <c r="AM62" i="8"/>
  <c r="AH62" i="8"/>
  <c r="AH63" i="8"/>
  <c r="AH64" i="8"/>
  <c r="AH65" i="8"/>
  <c r="AH66" i="8"/>
  <c r="AH67" i="8"/>
  <c r="AH68" i="8"/>
  <c r="AH69" i="8"/>
  <c r="AH70" i="8"/>
  <c r="AH71" i="8"/>
  <c r="AH72" i="8"/>
  <c r="AH73" i="8"/>
  <c r="AH74" i="8"/>
  <c r="AH75" i="8"/>
  <c r="AH76" i="8"/>
  <c r="AH77" i="8"/>
  <c r="AH78" i="8"/>
  <c r="AH79" i="8"/>
  <c r="AH80" i="8"/>
  <c r="AH81" i="8"/>
  <c r="AH82" i="8"/>
  <c r="W63" i="8"/>
  <c r="AE63" i="8" s="1"/>
  <c r="X63" i="8"/>
  <c r="AF63" i="8" s="1"/>
  <c r="W64" i="8"/>
  <c r="AE64" i="8" s="1"/>
  <c r="X64" i="8"/>
  <c r="AF64" i="8" s="1"/>
  <c r="W65" i="8"/>
  <c r="AE65" i="8" s="1"/>
  <c r="X65" i="8"/>
  <c r="AF65" i="8" s="1"/>
  <c r="W66" i="8"/>
  <c r="AE66" i="8" s="1"/>
  <c r="X66" i="8"/>
  <c r="AF66" i="8" s="1"/>
  <c r="W67" i="8"/>
  <c r="AE67" i="8" s="1"/>
  <c r="X67" i="8"/>
  <c r="AF67" i="8" s="1"/>
  <c r="W68" i="8"/>
  <c r="AE68" i="8" s="1"/>
  <c r="X68" i="8"/>
  <c r="AF68" i="8" s="1"/>
  <c r="W69" i="8"/>
  <c r="AE69" i="8" s="1"/>
  <c r="X69" i="8"/>
  <c r="AF69" i="8" s="1"/>
  <c r="W70" i="8"/>
  <c r="AE70" i="8" s="1"/>
  <c r="X70" i="8"/>
  <c r="AF70" i="8" s="1"/>
  <c r="W71" i="8"/>
  <c r="AE71" i="8" s="1"/>
  <c r="X71" i="8"/>
  <c r="AF71" i="8" s="1"/>
  <c r="W72" i="8"/>
  <c r="AE72" i="8" s="1"/>
  <c r="X72" i="8"/>
  <c r="AF72" i="8" s="1"/>
  <c r="W73" i="8"/>
  <c r="AE73" i="8" s="1"/>
  <c r="X73" i="8"/>
  <c r="AF73" i="8" s="1"/>
  <c r="W74" i="8"/>
  <c r="AE74" i="8" s="1"/>
  <c r="X74" i="8"/>
  <c r="AF74" i="8" s="1"/>
  <c r="W75" i="8"/>
  <c r="AE75" i="8" s="1"/>
  <c r="X75" i="8"/>
  <c r="AF75" i="8" s="1"/>
  <c r="W76" i="8"/>
  <c r="AE76" i="8" s="1"/>
  <c r="X76" i="8"/>
  <c r="AF76" i="8" s="1"/>
  <c r="W77" i="8"/>
  <c r="AE77" i="8" s="1"/>
  <c r="X77" i="8"/>
  <c r="AF77" i="8" s="1"/>
  <c r="W78" i="8"/>
  <c r="AE78" i="8" s="1"/>
  <c r="X78" i="8"/>
  <c r="AF78" i="8" s="1"/>
  <c r="W79" i="8"/>
  <c r="AE79" i="8" s="1"/>
  <c r="X79" i="8"/>
  <c r="AF79" i="8" s="1"/>
  <c r="W80" i="8"/>
  <c r="AE80" i="8" s="1"/>
  <c r="X80" i="8"/>
  <c r="AF80" i="8" s="1"/>
  <c r="W81" i="8"/>
  <c r="AE81" i="8" s="1"/>
  <c r="X81" i="8"/>
  <c r="AF81" i="8" s="1"/>
  <c r="W82" i="8"/>
  <c r="AE82" i="8" s="1"/>
  <c r="X82" i="8"/>
  <c r="AF82" i="8" s="1"/>
  <c r="X62" i="8"/>
  <c r="AF62" i="8" s="1"/>
  <c r="W62" i="8"/>
  <c r="AE62" i="8" s="1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G63" i="8"/>
  <c r="O63" i="8" s="1"/>
  <c r="H63" i="8"/>
  <c r="P63" i="8" s="1"/>
  <c r="G64" i="8"/>
  <c r="O64" i="8" s="1"/>
  <c r="H64" i="8"/>
  <c r="P64" i="8" s="1"/>
  <c r="G65" i="8"/>
  <c r="O65" i="8" s="1"/>
  <c r="H65" i="8"/>
  <c r="P65" i="8" s="1"/>
  <c r="G66" i="8"/>
  <c r="O66" i="8" s="1"/>
  <c r="H66" i="8"/>
  <c r="P66" i="8" s="1"/>
  <c r="G67" i="8"/>
  <c r="O67" i="8" s="1"/>
  <c r="H67" i="8"/>
  <c r="P67" i="8" s="1"/>
  <c r="G68" i="8"/>
  <c r="O68" i="8" s="1"/>
  <c r="H68" i="8"/>
  <c r="P68" i="8" s="1"/>
  <c r="G69" i="8"/>
  <c r="O69" i="8" s="1"/>
  <c r="H69" i="8"/>
  <c r="P69" i="8" s="1"/>
  <c r="G70" i="8"/>
  <c r="O70" i="8" s="1"/>
  <c r="H70" i="8"/>
  <c r="P70" i="8" s="1"/>
  <c r="G71" i="8"/>
  <c r="O71" i="8" s="1"/>
  <c r="H71" i="8"/>
  <c r="P71" i="8" s="1"/>
  <c r="G72" i="8"/>
  <c r="O72" i="8" s="1"/>
  <c r="H72" i="8"/>
  <c r="P72" i="8" s="1"/>
  <c r="G73" i="8"/>
  <c r="O73" i="8" s="1"/>
  <c r="H73" i="8"/>
  <c r="P73" i="8" s="1"/>
  <c r="G74" i="8"/>
  <c r="O74" i="8" s="1"/>
  <c r="H74" i="8"/>
  <c r="P74" i="8" s="1"/>
  <c r="G75" i="8"/>
  <c r="O75" i="8" s="1"/>
  <c r="H75" i="8"/>
  <c r="P75" i="8" s="1"/>
  <c r="G76" i="8"/>
  <c r="O76" i="8" s="1"/>
  <c r="H76" i="8"/>
  <c r="P76" i="8" s="1"/>
  <c r="G77" i="8"/>
  <c r="O77" i="8" s="1"/>
  <c r="H77" i="8"/>
  <c r="P77" i="8" s="1"/>
  <c r="G78" i="8"/>
  <c r="O78" i="8" s="1"/>
  <c r="H78" i="8"/>
  <c r="P78" i="8" s="1"/>
  <c r="G79" i="8"/>
  <c r="O79" i="8" s="1"/>
  <c r="H79" i="8"/>
  <c r="P79" i="8" s="1"/>
  <c r="G80" i="8"/>
  <c r="O80" i="8" s="1"/>
  <c r="H80" i="8"/>
  <c r="P80" i="8" s="1"/>
  <c r="G81" i="8"/>
  <c r="O81" i="8" s="1"/>
  <c r="H81" i="8"/>
  <c r="P81" i="8" s="1"/>
  <c r="G82" i="8"/>
  <c r="O82" i="8" s="1"/>
  <c r="H82" i="8"/>
  <c r="P82" i="8" s="1"/>
  <c r="H62" i="8"/>
  <c r="P62" i="8" s="1"/>
  <c r="G62" i="8"/>
  <c r="O62" i="8" s="1"/>
  <c r="B61" i="8"/>
  <c r="B87" i="8" s="1"/>
  <c r="B62" i="8"/>
  <c r="B88" i="8" s="1"/>
  <c r="B60" i="8"/>
  <c r="B86" i="8" s="1"/>
  <c r="AR82" i="8"/>
  <c r="AQ82" i="8"/>
  <c r="AB82" i="8"/>
  <c r="AA82" i="8"/>
  <c r="L82" i="8"/>
  <c r="K82" i="8"/>
  <c r="AR81" i="8"/>
  <c r="AQ81" i="8"/>
  <c r="AB81" i="8"/>
  <c r="AA81" i="8"/>
  <c r="L81" i="8"/>
  <c r="K81" i="8"/>
  <c r="AR80" i="8"/>
  <c r="AQ80" i="8"/>
  <c r="AB80" i="8"/>
  <c r="AA80" i="8"/>
  <c r="L80" i="8"/>
  <c r="K80" i="8"/>
  <c r="AR79" i="8"/>
  <c r="AQ79" i="8"/>
  <c r="AB79" i="8"/>
  <c r="AA79" i="8"/>
  <c r="L79" i="8"/>
  <c r="K79" i="8"/>
  <c r="AR78" i="8"/>
  <c r="AQ78" i="8"/>
  <c r="AB78" i="8"/>
  <c r="AA78" i="8"/>
  <c r="L78" i="8"/>
  <c r="K78" i="8"/>
  <c r="AR77" i="8"/>
  <c r="AQ77" i="8"/>
  <c r="AB77" i="8"/>
  <c r="AA77" i="8"/>
  <c r="L77" i="8"/>
  <c r="K77" i="8"/>
  <c r="AR76" i="8"/>
  <c r="AQ76" i="8"/>
  <c r="AB76" i="8"/>
  <c r="AA76" i="8"/>
  <c r="L76" i="8"/>
  <c r="K76" i="8"/>
  <c r="AR75" i="8"/>
  <c r="AQ75" i="8"/>
  <c r="AB75" i="8"/>
  <c r="AA75" i="8"/>
  <c r="L75" i="8"/>
  <c r="K75" i="8"/>
  <c r="AR74" i="8"/>
  <c r="AQ74" i="8"/>
  <c r="AB74" i="8"/>
  <c r="AA74" i="8"/>
  <c r="L74" i="8"/>
  <c r="K74" i="8"/>
  <c r="AR73" i="8"/>
  <c r="AQ73" i="8"/>
  <c r="AB73" i="8"/>
  <c r="AA73" i="8"/>
  <c r="L73" i="8"/>
  <c r="K73" i="8"/>
  <c r="AR72" i="8"/>
  <c r="AQ72" i="8"/>
  <c r="AB72" i="8"/>
  <c r="AA72" i="8"/>
  <c r="L72" i="8"/>
  <c r="K72" i="8"/>
  <c r="AR71" i="8"/>
  <c r="AQ71" i="8"/>
  <c r="AB71" i="8"/>
  <c r="AA71" i="8"/>
  <c r="L71" i="8"/>
  <c r="K71" i="8"/>
  <c r="AR70" i="8"/>
  <c r="AQ70" i="8"/>
  <c r="AB70" i="8"/>
  <c r="AA70" i="8"/>
  <c r="L70" i="8"/>
  <c r="K70" i="8"/>
  <c r="AR69" i="8"/>
  <c r="AQ69" i="8"/>
  <c r="AB69" i="8"/>
  <c r="AA69" i="8"/>
  <c r="L69" i="8"/>
  <c r="K69" i="8"/>
  <c r="AR68" i="8"/>
  <c r="AQ68" i="8"/>
  <c r="AB68" i="8"/>
  <c r="AA68" i="8"/>
  <c r="L68" i="8"/>
  <c r="K68" i="8"/>
  <c r="AR67" i="8"/>
  <c r="AQ67" i="8"/>
  <c r="AB67" i="8"/>
  <c r="AA67" i="8"/>
  <c r="L67" i="8"/>
  <c r="K67" i="8"/>
  <c r="AR66" i="8"/>
  <c r="AQ66" i="8"/>
  <c r="AB66" i="8"/>
  <c r="AA66" i="8"/>
  <c r="L66" i="8"/>
  <c r="K66" i="8"/>
  <c r="AR65" i="8"/>
  <c r="AQ65" i="8"/>
  <c r="AB65" i="8"/>
  <c r="AA65" i="8"/>
  <c r="L65" i="8"/>
  <c r="K65" i="8"/>
  <c r="AR64" i="8"/>
  <c r="AQ64" i="8"/>
  <c r="AB64" i="8"/>
  <c r="AA64" i="8"/>
  <c r="L64" i="8"/>
  <c r="K64" i="8"/>
  <c r="AR63" i="8"/>
  <c r="AQ63" i="8"/>
  <c r="AB63" i="8"/>
  <c r="AA63" i="8"/>
  <c r="L63" i="8"/>
  <c r="K63" i="8"/>
  <c r="AR62" i="8"/>
  <c r="AQ62" i="8"/>
  <c r="AB62" i="8"/>
  <c r="AA62" i="8"/>
  <c r="L62" i="8"/>
  <c r="K62" i="8"/>
  <c r="BD64" i="10"/>
  <c r="BE64" i="10"/>
  <c r="BG64" i="10"/>
  <c r="BH64" i="10"/>
  <c r="BI64" i="10"/>
  <c r="BJ64" i="10"/>
  <c r="BD65" i="10"/>
  <c r="BE65" i="10"/>
  <c r="BG65" i="10"/>
  <c r="BH65" i="10"/>
  <c r="BJ65" i="10"/>
  <c r="BD66" i="10"/>
  <c r="BE66" i="10"/>
  <c r="BG66" i="10"/>
  <c r="BH66" i="10"/>
  <c r="BI66" i="10"/>
  <c r="BJ66" i="10"/>
  <c r="BD67" i="10"/>
  <c r="BE67" i="10"/>
  <c r="BG67" i="10"/>
  <c r="BH67" i="10"/>
  <c r="BI67" i="10"/>
  <c r="BJ67" i="10"/>
  <c r="BD68" i="10"/>
  <c r="BE68" i="10"/>
  <c r="BG68" i="10"/>
  <c r="BH68" i="10"/>
  <c r="BI68" i="10"/>
  <c r="BJ68" i="10"/>
  <c r="BD69" i="10"/>
  <c r="BE69" i="10"/>
  <c r="BG69" i="10"/>
  <c r="BH69" i="10"/>
  <c r="BI69" i="10"/>
  <c r="BJ69" i="10"/>
  <c r="BD70" i="10"/>
  <c r="BE70" i="10"/>
  <c r="BG70" i="10"/>
  <c r="BH70" i="10"/>
  <c r="BI70" i="10"/>
  <c r="BJ70" i="10"/>
  <c r="BD71" i="10"/>
  <c r="BE71" i="10"/>
  <c r="BG71" i="10"/>
  <c r="BH71" i="10"/>
  <c r="BI71" i="10"/>
  <c r="BJ71" i="10"/>
  <c r="BD72" i="10"/>
  <c r="BE72" i="10"/>
  <c r="BG72" i="10"/>
  <c r="BH72" i="10"/>
  <c r="BI72" i="10"/>
  <c r="BJ72" i="10"/>
  <c r="BD73" i="10"/>
  <c r="BE73" i="10"/>
  <c r="BG73" i="10"/>
  <c r="BH73" i="10"/>
  <c r="BI73" i="10"/>
  <c r="BJ73" i="10"/>
  <c r="BD74" i="10"/>
  <c r="BE74" i="10"/>
  <c r="BG74" i="10"/>
  <c r="BH74" i="10"/>
  <c r="BI74" i="10"/>
  <c r="BJ74" i="10"/>
  <c r="BD75" i="10"/>
  <c r="BE75" i="10"/>
  <c r="BG75" i="10"/>
  <c r="BH75" i="10"/>
  <c r="BI75" i="10"/>
  <c r="BJ75" i="10"/>
  <c r="BD76" i="10"/>
  <c r="BE76" i="10"/>
  <c r="BG76" i="10"/>
  <c r="BH76" i="10"/>
  <c r="BI76" i="10"/>
  <c r="BJ76" i="10"/>
  <c r="BD77" i="10"/>
  <c r="BE77" i="10"/>
  <c r="BG77" i="10"/>
  <c r="BH77" i="10"/>
  <c r="BI77" i="10"/>
  <c r="BJ77" i="10"/>
  <c r="BD78" i="10"/>
  <c r="BE78" i="10"/>
  <c r="BG78" i="10"/>
  <c r="BH78" i="10"/>
  <c r="BI78" i="10"/>
  <c r="BJ78" i="10"/>
  <c r="BD79" i="10"/>
  <c r="BE79" i="10"/>
  <c r="BG79" i="10"/>
  <c r="BH79" i="10"/>
  <c r="BI79" i="10"/>
  <c r="BJ79" i="10"/>
  <c r="BD80" i="10"/>
  <c r="BE80" i="10"/>
  <c r="BG80" i="10"/>
  <c r="BH80" i="10"/>
  <c r="BI80" i="10"/>
  <c r="BJ80" i="10"/>
  <c r="BD81" i="10"/>
  <c r="BE81" i="10"/>
  <c r="BG81" i="10"/>
  <c r="BH81" i="10"/>
  <c r="BI81" i="10"/>
  <c r="BJ81" i="10"/>
  <c r="BD82" i="10"/>
  <c r="BE82" i="10"/>
  <c r="BG82" i="10"/>
  <c r="BH82" i="10"/>
  <c r="BI82" i="10"/>
  <c r="BJ82" i="10"/>
  <c r="BD83" i="10"/>
  <c r="BE83" i="10"/>
  <c r="BG83" i="10"/>
  <c r="BH83" i="10"/>
  <c r="BI83" i="10"/>
  <c r="BJ83" i="10"/>
  <c r="BD84" i="10"/>
  <c r="BE84" i="10"/>
  <c r="BG84" i="10"/>
  <c r="BH84" i="10"/>
  <c r="BI84" i="10"/>
  <c r="BJ84" i="10"/>
  <c r="AL64" i="10"/>
  <c r="AL65" i="10"/>
  <c r="AL66" i="10"/>
  <c r="AL67" i="10"/>
  <c r="AL68" i="10"/>
  <c r="AL69" i="10"/>
  <c r="AL70" i="10"/>
  <c r="AL71" i="10"/>
  <c r="AL72" i="10"/>
  <c r="AL73" i="10"/>
  <c r="AL74" i="10"/>
  <c r="AL75" i="10"/>
  <c r="AL76" i="10"/>
  <c r="AL77" i="10"/>
  <c r="AL78" i="10"/>
  <c r="AL79" i="10"/>
  <c r="AL80" i="10"/>
  <c r="AL81" i="10"/>
  <c r="AL82" i="10"/>
  <c r="AL83" i="10"/>
  <c r="AL84" i="10"/>
  <c r="AK84" i="10"/>
  <c r="AJ84" i="10"/>
  <c r="AI84" i="10"/>
  <c r="AG84" i="10"/>
  <c r="AF84" i="10"/>
  <c r="AK83" i="10"/>
  <c r="AJ83" i="10"/>
  <c r="AI83" i="10"/>
  <c r="AG83" i="10"/>
  <c r="AF83" i="10"/>
  <c r="AK82" i="10"/>
  <c r="AJ82" i="10"/>
  <c r="AI82" i="10"/>
  <c r="AG82" i="10"/>
  <c r="AF82" i="10"/>
  <c r="AK81" i="10"/>
  <c r="AJ81" i="10"/>
  <c r="AI81" i="10"/>
  <c r="AG81" i="10"/>
  <c r="AF81" i="10"/>
  <c r="AK80" i="10"/>
  <c r="AJ80" i="10"/>
  <c r="AI80" i="10"/>
  <c r="AG80" i="10"/>
  <c r="AF80" i="10"/>
  <c r="AK79" i="10"/>
  <c r="AJ79" i="10"/>
  <c r="AI79" i="10"/>
  <c r="AG79" i="10"/>
  <c r="AF79" i="10"/>
  <c r="AK78" i="10"/>
  <c r="AJ78" i="10"/>
  <c r="AI78" i="10"/>
  <c r="AG78" i="10"/>
  <c r="AF78" i="10"/>
  <c r="AK77" i="10"/>
  <c r="AJ77" i="10"/>
  <c r="AI77" i="10"/>
  <c r="AG77" i="10"/>
  <c r="AF77" i="10"/>
  <c r="AK76" i="10"/>
  <c r="AJ76" i="10"/>
  <c r="AI76" i="10"/>
  <c r="AG76" i="10"/>
  <c r="AF76" i="10"/>
  <c r="AK75" i="10"/>
  <c r="AJ75" i="10"/>
  <c r="AI75" i="10"/>
  <c r="AG75" i="10"/>
  <c r="AF75" i="10"/>
  <c r="AK74" i="10"/>
  <c r="AJ74" i="10"/>
  <c r="AI74" i="10"/>
  <c r="AG74" i="10"/>
  <c r="AF74" i="10"/>
  <c r="AK73" i="10"/>
  <c r="AJ73" i="10"/>
  <c r="AI73" i="10"/>
  <c r="AG73" i="10"/>
  <c r="AF73" i="10"/>
  <c r="AK72" i="10"/>
  <c r="AJ72" i="10"/>
  <c r="AI72" i="10"/>
  <c r="AG72" i="10"/>
  <c r="AF72" i="10"/>
  <c r="AK71" i="10"/>
  <c r="AJ71" i="10"/>
  <c r="AI71" i="10"/>
  <c r="AG71" i="10"/>
  <c r="AF71" i="10"/>
  <c r="AK70" i="10"/>
  <c r="AJ70" i="10"/>
  <c r="AI70" i="10"/>
  <c r="AG70" i="10"/>
  <c r="AF70" i="10"/>
  <c r="AK69" i="10"/>
  <c r="AJ69" i="10"/>
  <c r="AI69" i="10"/>
  <c r="AG69" i="10"/>
  <c r="AF69" i="10"/>
  <c r="AK68" i="10"/>
  <c r="AJ68" i="10"/>
  <c r="AI68" i="10"/>
  <c r="AG68" i="10"/>
  <c r="AF68" i="10"/>
  <c r="AK67" i="10"/>
  <c r="AJ67" i="10"/>
  <c r="AI67" i="10"/>
  <c r="AG67" i="10"/>
  <c r="AF67" i="10"/>
  <c r="AK66" i="10"/>
  <c r="AJ66" i="10"/>
  <c r="AI66" i="10"/>
  <c r="AG66" i="10"/>
  <c r="AF66" i="10"/>
  <c r="AK65" i="10"/>
  <c r="AJ65" i="10"/>
  <c r="AI65" i="10"/>
  <c r="AG65" i="10"/>
  <c r="AF65" i="10"/>
  <c r="AK64" i="10"/>
  <c r="AJ64" i="10"/>
  <c r="AI64" i="10"/>
  <c r="AG64" i="10"/>
  <c r="AF64" i="10"/>
  <c r="O82" i="10"/>
  <c r="H64" i="10"/>
  <c r="I64" i="10"/>
  <c r="K64" i="10"/>
  <c r="L64" i="10"/>
  <c r="M64" i="10"/>
  <c r="N64" i="10"/>
  <c r="H65" i="10"/>
  <c r="I65" i="10"/>
  <c r="K65" i="10"/>
  <c r="L65" i="10"/>
  <c r="M65" i="10"/>
  <c r="N65" i="10"/>
  <c r="H66" i="10"/>
  <c r="I66" i="10"/>
  <c r="K66" i="10"/>
  <c r="L66" i="10"/>
  <c r="M66" i="10"/>
  <c r="N66" i="10"/>
  <c r="H67" i="10"/>
  <c r="I67" i="10"/>
  <c r="K67" i="10"/>
  <c r="L67" i="10"/>
  <c r="M67" i="10"/>
  <c r="N67" i="10"/>
  <c r="H68" i="10"/>
  <c r="I68" i="10"/>
  <c r="K68" i="10"/>
  <c r="L68" i="10"/>
  <c r="M68" i="10"/>
  <c r="N68" i="10"/>
  <c r="H69" i="10"/>
  <c r="I69" i="10"/>
  <c r="K69" i="10"/>
  <c r="L69" i="10"/>
  <c r="M69" i="10"/>
  <c r="N69" i="10"/>
  <c r="H70" i="10"/>
  <c r="I70" i="10"/>
  <c r="K70" i="10"/>
  <c r="L70" i="10"/>
  <c r="M70" i="10"/>
  <c r="N70" i="10"/>
  <c r="H71" i="10"/>
  <c r="I71" i="10"/>
  <c r="K71" i="10"/>
  <c r="L71" i="10"/>
  <c r="M71" i="10"/>
  <c r="N71" i="10"/>
  <c r="H72" i="10"/>
  <c r="I72" i="10"/>
  <c r="K72" i="10"/>
  <c r="L72" i="10"/>
  <c r="M72" i="10"/>
  <c r="N72" i="10"/>
  <c r="H73" i="10"/>
  <c r="I73" i="10"/>
  <c r="K73" i="10"/>
  <c r="L73" i="10"/>
  <c r="M73" i="10"/>
  <c r="N73" i="10"/>
  <c r="H74" i="10"/>
  <c r="I74" i="10"/>
  <c r="K74" i="10"/>
  <c r="L74" i="10"/>
  <c r="M74" i="10"/>
  <c r="N74" i="10"/>
  <c r="H75" i="10"/>
  <c r="I75" i="10"/>
  <c r="K75" i="10"/>
  <c r="L75" i="10"/>
  <c r="M75" i="10"/>
  <c r="N75" i="10"/>
  <c r="H76" i="10"/>
  <c r="I76" i="10"/>
  <c r="K76" i="10"/>
  <c r="L76" i="10"/>
  <c r="M76" i="10"/>
  <c r="N76" i="10"/>
  <c r="H77" i="10"/>
  <c r="I77" i="10"/>
  <c r="K77" i="10"/>
  <c r="L77" i="10"/>
  <c r="M77" i="10"/>
  <c r="N77" i="10"/>
  <c r="H78" i="10"/>
  <c r="I78" i="10"/>
  <c r="K78" i="10"/>
  <c r="L78" i="10"/>
  <c r="M78" i="10"/>
  <c r="N78" i="10"/>
  <c r="H79" i="10"/>
  <c r="I79" i="10"/>
  <c r="K79" i="10"/>
  <c r="L79" i="10"/>
  <c r="M79" i="10"/>
  <c r="N79" i="10"/>
  <c r="H80" i="10"/>
  <c r="I80" i="10"/>
  <c r="K80" i="10"/>
  <c r="L80" i="10"/>
  <c r="M80" i="10"/>
  <c r="N80" i="10"/>
  <c r="H81" i="10"/>
  <c r="I81" i="10"/>
  <c r="K81" i="10"/>
  <c r="L81" i="10"/>
  <c r="M81" i="10"/>
  <c r="N81" i="10"/>
  <c r="H82" i="10"/>
  <c r="I82" i="10"/>
  <c r="K82" i="10"/>
  <c r="L82" i="10"/>
  <c r="M82" i="10"/>
  <c r="N82" i="10"/>
  <c r="H83" i="10"/>
  <c r="I83" i="10"/>
  <c r="K83" i="10"/>
  <c r="L83" i="10"/>
  <c r="M83" i="10"/>
  <c r="N83" i="10"/>
  <c r="H84" i="10"/>
  <c r="I84" i="10"/>
  <c r="K84" i="10"/>
  <c r="L84" i="10"/>
  <c r="M84" i="10"/>
  <c r="N84" i="10"/>
  <c r="BK198" i="10"/>
  <c r="BK64" i="10" s="1"/>
  <c r="BK199" i="10"/>
  <c r="BK65" i="10" s="1"/>
  <c r="BK200" i="10"/>
  <c r="BK66" i="10" s="1"/>
  <c r="BK201" i="10"/>
  <c r="BK67" i="10" s="1"/>
  <c r="BK202" i="10"/>
  <c r="BK68" i="10" s="1"/>
  <c r="BK203" i="10"/>
  <c r="BK69" i="10" s="1"/>
  <c r="BK204" i="10"/>
  <c r="BK70" i="10" s="1"/>
  <c r="BK205" i="10"/>
  <c r="BK71" i="10" s="1"/>
  <c r="BK206" i="10"/>
  <c r="BK72" i="10" s="1"/>
  <c r="BK207" i="10"/>
  <c r="BK73" i="10" s="1"/>
  <c r="BK208" i="10"/>
  <c r="BK74" i="10" s="1"/>
  <c r="BK209" i="10"/>
  <c r="BK75" i="10" s="1"/>
  <c r="BK210" i="10"/>
  <c r="BK76" i="10" s="1"/>
  <c r="BK211" i="10"/>
  <c r="BK77" i="10" s="1"/>
  <c r="BK212" i="10"/>
  <c r="BK78" i="10" s="1"/>
  <c r="BK213" i="10"/>
  <c r="BK79" i="10" s="1"/>
  <c r="BK214" i="10"/>
  <c r="BK80" i="10" s="1"/>
  <c r="BK215" i="10"/>
  <c r="BK81" i="10" s="1"/>
  <c r="BK216" i="10"/>
  <c r="BK82" i="10" s="1"/>
  <c r="BK217" i="10"/>
  <c r="BK83" i="10" s="1"/>
  <c r="BK218" i="10"/>
  <c r="BK84" i="10" s="1"/>
  <c r="O198" i="10"/>
  <c r="O224" i="10" s="1"/>
  <c r="O64" i="10" s="1"/>
  <c r="O199" i="10"/>
  <c r="O65" i="10" s="1"/>
  <c r="O200" i="10"/>
  <c r="O66" i="10" s="1"/>
  <c r="O201" i="10"/>
  <c r="O67" i="10" s="1"/>
  <c r="O202" i="10"/>
  <c r="O68" i="10" s="1"/>
  <c r="O203" i="10"/>
  <c r="O69" i="10" s="1"/>
  <c r="O204" i="10"/>
  <c r="O70" i="10" s="1"/>
  <c r="O205" i="10"/>
  <c r="O71" i="10" s="1"/>
  <c r="O206" i="10"/>
  <c r="O72" i="10" s="1"/>
  <c r="O207" i="10"/>
  <c r="O73" i="10" s="1"/>
  <c r="O208" i="10"/>
  <c r="O74" i="10" s="1"/>
  <c r="O209" i="10"/>
  <c r="O75" i="10" s="1"/>
  <c r="O210" i="10"/>
  <c r="O76" i="10" s="1"/>
  <c r="O211" i="10"/>
  <c r="O77" i="10" s="1"/>
  <c r="O212" i="10"/>
  <c r="O78" i="10" s="1"/>
  <c r="O213" i="10"/>
  <c r="O79" i="10" s="1"/>
  <c r="O214" i="10"/>
  <c r="O80" i="10" s="1"/>
  <c r="O215" i="10"/>
  <c r="O81" i="10" s="1"/>
  <c r="O216" i="10"/>
  <c r="O217" i="10"/>
  <c r="O83" i="10" s="1"/>
  <c r="O218" i="10"/>
  <c r="O84" i="10" s="1"/>
  <c r="AM198" i="10"/>
  <c r="AM224" i="10" s="1"/>
  <c r="AM64" i="10" s="1"/>
  <c r="AM199" i="10"/>
  <c r="AM225" i="10" s="1"/>
  <c r="AM65" i="10" s="1"/>
  <c r="AM200" i="10"/>
  <c r="AM226" i="10" s="1"/>
  <c r="AM66" i="10" s="1"/>
  <c r="AM201" i="10"/>
  <c r="AM227" i="10" s="1"/>
  <c r="AM67" i="10" s="1"/>
  <c r="AM202" i="10"/>
  <c r="AM228" i="10" s="1"/>
  <c r="AM68" i="10" s="1"/>
  <c r="AM203" i="10"/>
  <c r="AM229" i="10" s="1"/>
  <c r="AM69" i="10" s="1"/>
  <c r="AM204" i="10"/>
  <c r="AM230" i="10" s="1"/>
  <c r="AM70" i="10" s="1"/>
  <c r="AM205" i="10"/>
  <c r="AM231" i="10" s="1"/>
  <c r="AM71" i="10" s="1"/>
  <c r="AM206" i="10"/>
  <c r="AM232" i="10" s="1"/>
  <c r="AM72" i="10" s="1"/>
  <c r="AM207" i="10"/>
  <c r="AM233" i="10" s="1"/>
  <c r="AM73" i="10" s="1"/>
  <c r="AM208" i="10"/>
  <c r="AM234" i="10" s="1"/>
  <c r="AM74" i="10" s="1"/>
  <c r="AM209" i="10"/>
  <c r="AM235" i="10" s="1"/>
  <c r="AM75" i="10" s="1"/>
  <c r="AM210" i="10"/>
  <c r="AM236" i="10" s="1"/>
  <c r="AM76" i="10" s="1"/>
  <c r="AM211" i="10"/>
  <c r="AM237" i="10" s="1"/>
  <c r="AM77" i="10" s="1"/>
  <c r="AM212" i="10"/>
  <c r="AM238" i="10" s="1"/>
  <c r="AM213" i="10"/>
  <c r="AM239" i="10" s="1"/>
  <c r="AM79" i="10" s="1"/>
  <c r="AM214" i="10"/>
  <c r="AM240" i="10" s="1"/>
  <c r="AM80" i="10" s="1"/>
  <c r="AM215" i="10"/>
  <c r="AM241" i="10" s="1"/>
  <c r="AM81" i="10" s="1"/>
  <c r="AM216" i="10"/>
  <c r="AM242" i="10" s="1"/>
  <c r="AM82" i="10" s="1"/>
  <c r="AM217" i="10"/>
  <c r="AM243" i="10" s="1"/>
  <c r="AM83" i="10" s="1"/>
  <c r="AM218" i="10"/>
  <c r="AM244" i="10" s="1"/>
  <c r="AM84" i="10" s="1"/>
  <c r="BV244" i="10"/>
  <c r="BU244" i="10"/>
  <c r="BT244" i="10"/>
  <c r="BS244" i="10"/>
  <c r="BQ244" i="10"/>
  <c r="BP244" i="10"/>
  <c r="AX244" i="10"/>
  <c r="AW244" i="10"/>
  <c r="AV244" i="10"/>
  <c r="AU244" i="10"/>
  <c r="AS244" i="10"/>
  <c r="AR244" i="10"/>
  <c r="Z244" i="10"/>
  <c r="Y244" i="10"/>
  <c r="X244" i="10"/>
  <c r="W244" i="10"/>
  <c r="U244" i="10"/>
  <c r="T244" i="10"/>
  <c r="BV243" i="10"/>
  <c r="BU243" i="10"/>
  <c r="BT243" i="10"/>
  <c r="BS243" i="10"/>
  <c r="BQ243" i="10"/>
  <c r="BP243" i="10"/>
  <c r="AX243" i="10"/>
  <c r="AW243" i="10"/>
  <c r="AV243" i="10"/>
  <c r="AU243" i="10"/>
  <c r="AS243" i="10"/>
  <c r="AR243" i="10"/>
  <c r="Z243" i="10"/>
  <c r="Y243" i="10"/>
  <c r="X243" i="10"/>
  <c r="W243" i="10"/>
  <c r="U243" i="10"/>
  <c r="T243" i="10"/>
  <c r="BV242" i="10"/>
  <c r="BU242" i="10"/>
  <c r="BT242" i="10"/>
  <c r="BS242" i="10"/>
  <c r="BQ242" i="10"/>
  <c r="BP242" i="10"/>
  <c r="AX242" i="10"/>
  <c r="AW242" i="10"/>
  <c r="AV242" i="10"/>
  <c r="AU242" i="10"/>
  <c r="AS242" i="10"/>
  <c r="AR242" i="10"/>
  <c r="Z242" i="10"/>
  <c r="Y242" i="10"/>
  <c r="X242" i="10"/>
  <c r="W242" i="10"/>
  <c r="U242" i="10"/>
  <c r="T242" i="10"/>
  <c r="BV241" i="10"/>
  <c r="BU241" i="10"/>
  <c r="BT241" i="10"/>
  <c r="BS241" i="10"/>
  <c r="BQ241" i="10"/>
  <c r="BP241" i="10"/>
  <c r="AX241" i="10"/>
  <c r="AW241" i="10"/>
  <c r="AV241" i="10"/>
  <c r="AU241" i="10"/>
  <c r="AS241" i="10"/>
  <c r="AR241" i="10"/>
  <c r="Z241" i="10"/>
  <c r="Y241" i="10"/>
  <c r="X241" i="10"/>
  <c r="W241" i="10"/>
  <c r="U241" i="10"/>
  <c r="T241" i="10"/>
  <c r="BV240" i="10"/>
  <c r="BU240" i="10"/>
  <c r="BT240" i="10"/>
  <c r="BS240" i="10"/>
  <c r="BQ240" i="10"/>
  <c r="BP240" i="10"/>
  <c r="AX240" i="10"/>
  <c r="AW240" i="10"/>
  <c r="AV240" i="10"/>
  <c r="AU240" i="10"/>
  <c r="AS240" i="10"/>
  <c r="AR240" i="10"/>
  <c r="Z240" i="10"/>
  <c r="Y240" i="10"/>
  <c r="X240" i="10"/>
  <c r="W240" i="10"/>
  <c r="U240" i="10"/>
  <c r="T240" i="10"/>
  <c r="BV239" i="10"/>
  <c r="BU239" i="10"/>
  <c r="BT239" i="10"/>
  <c r="BS239" i="10"/>
  <c r="BQ239" i="10"/>
  <c r="BP239" i="10"/>
  <c r="AX239" i="10"/>
  <c r="AW239" i="10"/>
  <c r="AV239" i="10"/>
  <c r="AU239" i="10"/>
  <c r="AS239" i="10"/>
  <c r="AR239" i="10"/>
  <c r="Z239" i="10"/>
  <c r="Y239" i="10"/>
  <c r="X239" i="10"/>
  <c r="W239" i="10"/>
  <c r="U239" i="10"/>
  <c r="T239" i="10"/>
  <c r="BV238" i="10"/>
  <c r="BU238" i="10"/>
  <c r="BT238" i="10"/>
  <c r="BS238" i="10"/>
  <c r="BQ238" i="10"/>
  <c r="BP238" i="10"/>
  <c r="AX238" i="10"/>
  <c r="AW238" i="10"/>
  <c r="AV238" i="10"/>
  <c r="AU238" i="10"/>
  <c r="AS238" i="10"/>
  <c r="AR238" i="10"/>
  <c r="Z238" i="10"/>
  <c r="Y238" i="10"/>
  <c r="X238" i="10"/>
  <c r="W238" i="10"/>
  <c r="U238" i="10"/>
  <c r="T238" i="10"/>
  <c r="BV237" i="10"/>
  <c r="BU237" i="10"/>
  <c r="BT237" i="10"/>
  <c r="BS237" i="10"/>
  <c r="BQ237" i="10"/>
  <c r="BP237" i="10"/>
  <c r="AX237" i="10"/>
  <c r="AW237" i="10"/>
  <c r="AV237" i="10"/>
  <c r="AU237" i="10"/>
  <c r="AS237" i="10"/>
  <c r="AR237" i="10"/>
  <c r="Z237" i="10"/>
  <c r="Y237" i="10"/>
  <c r="X237" i="10"/>
  <c r="W237" i="10"/>
  <c r="U237" i="10"/>
  <c r="T237" i="10"/>
  <c r="BV236" i="10"/>
  <c r="BU236" i="10"/>
  <c r="BT236" i="10"/>
  <c r="BS236" i="10"/>
  <c r="BQ236" i="10"/>
  <c r="BP236" i="10"/>
  <c r="AX236" i="10"/>
  <c r="AW236" i="10"/>
  <c r="AV236" i="10"/>
  <c r="AU236" i="10"/>
  <c r="AS236" i="10"/>
  <c r="AR236" i="10"/>
  <c r="Z236" i="10"/>
  <c r="Y236" i="10"/>
  <c r="X236" i="10"/>
  <c r="W236" i="10"/>
  <c r="U236" i="10"/>
  <c r="T236" i="10"/>
  <c r="BV235" i="10"/>
  <c r="BU235" i="10"/>
  <c r="BT235" i="10"/>
  <c r="BS235" i="10"/>
  <c r="BQ235" i="10"/>
  <c r="BP235" i="10"/>
  <c r="AX235" i="10"/>
  <c r="AW235" i="10"/>
  <c r="AV235" i="10"/>
  <c r="AU235" i="10"/>
  <c r="AS235" i="10"/>
  <c r="AR235" i="10"/>
  <c r="Z235" i="10"/>
  <c r="Y235" i="10"/>
  <c r="X235" i="10"/>
  <c r="W235" i="10"/>
  <c r="U235" i="10"/>
  <c r="T235" i="10"/>
  <c r="BV234" i="10"/>
  <c r="BU234" i="10"/>
  <c r="BT234" i="10"/>
  <c r="BS234" i="10"/>
  <c r="BQ234" i="10"/>
  <c r="BP234" i="10"/>
  <c r="AX234" i="10"/>
  <c r="AW234" i="10"/>
  <c r="AV234" i="10"/>
  <c r="AU234" i="10"/>
  <c r="AS234" i="10"/>
  <c r="AR234" i="10"/>
  <c r="Z234" i="10"/>
  <c r="Y234" i="10"/>
  <c r="X234" i="10"/>
  <c r="W234" i="10"/>
  <c r="U234" i="10"/>
  <c r="T234" i="10"/>
  <c r="BV233" i="10"/>
  <c r="BU233" i="10"/>
  <c r="BT233" i="10"/>
  <c r="BS233" i="10"/>
  <c r="BQ233" i="10"/>
  <c r="BP233" i="10"/>
  <c r="AX233" i="10"/>
  <c r="AW233" i="10"/>
  <c r="AV233" i="10"/>
  <c r="AU233" i="10"/>
  <c r="AS233" i="10"/>
  <c r="AR233" i="10"/>
  <c r="Z233" i="10"/>
  <c r="Y233" i="10"/>
  <c r="X233" i="10"/>
  <c r="W233" i="10"/>
  <c r="U233" i="10"/>
  <c r="T233" i="10"/>
  <c r="BV232" i="10"/>
  <c r="BU232" i="10"/>
  <c r="BT232" i="10"/>
  <c r="BS232" i="10"/>
  <c r="BQ232" i="10"/>
  <c r="BP232" i="10"/>
  <c r="AX232" i="10"/>
  <c r="AW232" i="10"/>
  <c r="AV232" i="10"/>
  <c r="AU232" i="10"/>
  <c r="AS232" i="10"/>
  <c r="AR232" i="10"/>
  <c r="Z232" i="10"/>
  <c r="Y232" i="10"/>
  <c r="X232" i="10"/>
  <c r="W232" i="10"/>
  <c r="U232" i="10"/>
  <c r="T232" i="10"/>
  <c r="BV231" i="10"/>
  <c r="BU231" i="10"/>
  <c r="BT231" i="10"/>
  <c r="BS231" i="10"/>
  <c r="BQ231" i="10"/>
  <c r="BP231" i="10"/>
  <c r="AX231" i="10"/>
  <c r="AW231" i="10"/>
  <c r="AV231" i="10"/>
  <c r="AU231" i="10"/>
  <c r="AS231" i="10"/>
  <c r="AR231" i="10"/>
  <c r="Z231" i="10"/>
  <c r="Y231" i="10"/>
  <c r="X231" i="10"/>
  <c r="W231" i="10"/>
  <c r="U231" i="10"/>
  <c r="T231" i="10"/>
  <c r="BV230" i="10"/>
  <c r="BU230" i="10"/>
  <c r="BT230" i="10"/>
  <c r="BS230" i="10"/>
  <c r="BQ230" i="10"/>
  <c r="BP230" i="10"/>
  <c r="AX230" i="10"/>
  <c r="AW230" i="10"/>
  <c r="AV230" i="10"/>
  <c r="AU230" i="10"/>
  <c r="AS230" i="10"/>
  <c r="AR230" i="10"/>
  <c r="Z230" i="10"/>
  <c r="Y230" i="10"/>
  <c r="X230" i="10"/>
  <c r="W230" i="10"/>
  <c r="U230" i="10"/>
  <c r="T230" i="10"/>
  <c r="BV229" i="10"/>
  <c r="BU229" i="10"/>
  <c r="BT229" i="10"/>
  <c r="BS229" i="10"/>
  <c r="BQ229" i="10"/>
  <c r="BP229" i="10"/>
  <c r="AX229" i="10"/>
  <c r="AW229" i="10"/>
  <c r="AV229" i="10"/>
  <c r="AU229" i="10"/>
  <c r="AS229" i="10"/>
  <c r="AR229" i="10"/>
  <c r="Z229" i="10"/>
  <c r="Y229" i="10"/>
  <c r="X229" i="10"/>
  <c r="W229" i="10"/>
  <c r="U229" i="10"/>
  <c r="T229" i="10"/>
  <c r="BV228" i="10"/>
  <c r="BU228" i="10"/>
  <c r="BT228" i="10"/>
  <c r="BS228" i="10"/>
  <c r="BQ228" i="10"/>
  <c r="BP228" i="10"/>
  <c r="AX228" i="10"/>
  <c r="AW228" i="10"/>
  <c r="AV228" i="10"/>
  <c r="AU228" i="10"/>
  <c r="AS228" i="10"/>
  <c r="AR228" i="10"/>
  <c r="Z228" i="10"/>
  <c r="Y228" i="10"/>
  <c r="X228" i="10"/>
  <c r="W228" i="10"/>
  <c r="U228" i="10"/>
  <c r="T228" i="10"/>
  <c r="BV227" i="10"/>
  <c r="BU227" i="10"/>
  <c r="BT227" i="10"/>
  <c r="BS227" i="10"/>
  <c r="BQ227" i="10"/>
  <c r="BP227" i="10"/>
  <c r="AX227" i="10"/>
  <c r="AW227" i="10"/>
  <c r="AV227" i="10"/>
  <c r="AU227" i="10"/>
  <c r="AS227" i="10"/>
  <c r="AR227" i="10"/>
  <c r="Z227" i="10"/>
  <c r="Y227" i="10"/>
  <c r="X227" i="10"/>
  <c r="W227" i="10"/>
  <c r="U227" i="10"/>
  <c r="T227" i="10"/>
  <c r="BV226" i="10"/>
  <c r="BU226" i="10"/>
  <c r="BT226" i="10"/>
  <c r="BS226" i="10"/>
  <c r="BQ226" i="10"/>
  <c r="BP226" i="10"/>
  <c r="AX226" i="10"/>
  <c r="AW226" i="10"/>
  <c r="AV226" i="10"/>
  <c r="AU226" i="10"/>
  <c r="AS226" i="10"/>
  <c r="AR226" i="10"/>
  <c r="Z226" i="10"/>
  <c r="Y226" i="10"/>
  <c r="X226" i="10"/>
  <c r="W226" i="10"/>
  <c r="U226" i="10"/>
  <c r="T226" i="10"/>
  <c r="BV225" i="10"/>
  <c r="BT225" i="10"/>
  <c r="BS225" i="10"/>
  <c r="BQ225" i="10"/>
  <c r="BP225" i="10"/>
  <c r="BI225" i="10"/>
  <c r="BU225" i="10" s="1"/>
  <c r="AX225" i="10"/>
  <c r="AW225" i="10"/>
  <c r="AV225" i="10"/>
  <c r="AU225" i="10"/>
  <c r="AS225" i="10"/>
  <c r="AR225" i="10"/>
  <c r="Z225" i="10"/>
  <c r="Y225" i="10"/>
  <c r="X225" i="10"/>
  <c r="W225" i="10"/>
  <c r="U225" i="10"/>
  <c r="T225" i="10"/>
  <c r="BV224" i="10"/>
  <c r="BU224" i="10"/>
  <c r="BT224" i="10"/>
  <c r="BS224" i="10"/>
  <c r="BQ224" i="10"/>
  <c r="BP224" i="10"/>
  <c r="AX224" i="10"/>
  <c r="AW224" i="10"/>
  <c r="AV224" i="10"/>
  <c r="AU224" i="10"/>
  <c r="AS224" i="10"/>
  <c r="AR224" i="10"/>
  <c r="Z224" i="10"/>
  <c r="Y224" i="10"/>
  <c r="X224" i="10"/>
  <c r="W224" i="10"/>
  <c r="U224" i="10"/>
  <c r="T224" i="10"/>
  <c r="AZ199" i="10"/>
  <c r="AZ225" i="10" s="1"/>
  <c r="AZ65" i="10" s="1"/>
  <c r="AZ200" i="10"/>
  <c r="AZ226" i="10" s="1"/>
  <c r="AZ66" i="10" s="1"/>
  <c r="AZ201" i="10"/>
  <c r="AZ227" i="10" s="1"/>
  <c r="AZ67" i="10" s="1"/>
  <c r="AZ202" i="10"/>
  <c r="AZ228" i="10" s="1"/>
  <c r="AZ68" i="10" s="1"/>
  <c r="AZ203" i="10"/>
  <c r="AZ229" i="10" s="1"/>
  <c r="AZ204" i="10"/>
  <c r="AZ230" i="10" s="1"/>
  <c r="AZ70" i="10" s="1"/>
  <c r="AZ205" i="10"/>
  <c r="AZ231" i="10" s="1"/>
  <c r="AZ71" i="10" s="1"/>
  <c r="AZ206" i="10"/>
  <c r="AZ232" i="10" s="1"/>
  <c r="AZ72" i="10" s="1"/>
  <c r="AZ207" i="10"/>
  <c r="AZ233" i="10" s="1"/>
  <c r="AZ73" i="10" s="1"/>
  <c r="AZ208" i="10"/>
  <c r="AZ234" i="10" s="1"/>
  <c r="AZ74" i="10" s="1"/>
  <c r="AZ209" i="10"/>
  <c r="AZ235" i="10" s="1"/>
  <c r="AZ75" i="10" s="1"/>
  <c r="AZ210" i="10"/>
  <c r="AZ236" i="10" s="1"/>
  <c r="AZ76" i="10" s="1"/>
  <c r="AZ211" i="10"/>
  <c r="AZ237" i="10" s="1"/>
  <c r="AZ77" i="10" s="1"/>
  <c r="AZ212" i="10"/>
  <c r="AZ238" i="10" s="1"/>
  <c r="AZ78" i="10" s="1"/>
  <c r="AZ213" i="10"/>
  <c r="AZ239" i="10" s="1"/>
  <c r="AZ79" i="10" s="1"/>
  <c r="AZ214" i="10"/>
  <c r="AZ240" i="10" s="1"/>
  <c r="AZ80" i="10" s="1"/>
  <c r="AZ215" i="10"/>
  <c r="AZ241" i="10" s="1"/>
  <c r="AZ81" i="10" s="1"/>
  <c r="AZ216" i="10"/>
  <c r="AZ242" i="10" s="1"/>
  <c r="AZ82" i="10" s="1"/>
  <c r="AZ217" i="10"/>
  <c r="AZ243" i="10" s="1"/>
  <c r="AZ83" i="10" s="1"/>
  <c r="AZ218" i="10"/>
  <c r="AZ244" i="10" s="1"/>
  <c r="AZ84" i="10" s="1"/>
  <c r="AZ198" i="10"/>
  <c r="AZ224" i="10" s="1"/>
  <c r="AZ64" i="10" s="1"/>
  <c r="AB199" i="10"/>
  <c r="AB225" i="10" s="1"/>
  <c r="AB65" i="10" s="1"/>
  <c r="AB200" i="10"/>
  <c r="AB226" i="10" s="1"/>
  <c r="AB66" i="10" s="1"/>
  <c r="AB201" i="10"/>
  <c r="AB227" i="10" s="1"/>
  <c r="AB67" i="10" s="1"/>
  <c r="AB202" i="10"/>
  <c r="AB228" i="10" s="1"/>
  <c r="AB203" i="10"/>
  <c r="AB229" i="10" s="1"/>
  <c r="AB69" i="10" s="1"/>
  <c r="AB204" i="10"/>
  <c r="AB230" i="10" s="1"/>
  <c r="AB70" i="10" s="1"/>
  <c r="AB205" i="10"/>
  <c r="AB231" i="10" s="1"/>
  <c r="AB71" i="10" s="1"/>
  <c r="AB206" i="10"/>
  <c r="AB232" i="10" s="1"/>
  <c r="AB72" i="10" s="1"/>
  <c r="AB207" i="10"/>
  <c r="AB233" i="10" s="1"/>
  <c r="AB73" i="10" s="1"/>
  <c r="AB208" i="10"/>
  <c r="AB234" i="10" s="1"/>
  <c r="AB74" i="10" s="1"/>
  <c r="AB209" i="10"/>
  <c r="AB235" i="10" s="1"/>
  <c r="AB75" i="10" s="1"/>
  <c r="AB210" i="10"/>
  <c r="AB236" i="10" s="1"/>
  <c r="AB211" i="10"/>
  <c r="AB237" i="10" s="1"/>
  <c r="AB77" i="10" s="1"/>
  <c r="AB212" i="10"/>
  <c r="AB238" i="10" s="1"/>
  <c r="AB78" i="10" s="1"/>
  <c r="AB213" i="10"/>
  <c r="AB239" i="10" s="1"/>
  <c r="AB79" i="10" s="1"/>
  <c r="AB214" i="10"/>
  <c r="AB240" i="10" s="1"/>
  <c r="AB80" i="10" s="1"/>
  <c r="AB215" i="10"/>
  <c r="AB241" i="10" s="1"/>
  <c r="AB81" i="10" s="1"/>
  <c r="AB216" i="10"/>
  <c r="AB242" i="10" s="1"/>
  <c r="AB82" i="10" s="1"/>
  <c r="AB217" i="10"/>
  <c r="AB243" i="10" s="1"/>
  <c r="AB83" i="10" s="1"/>
  <c r="AB218" i="10"/>
  <c r="AB244" i="10" s="1"/>
  <c r="AB84" i="10" s="1"/>
  <c r="AB198" i="10"/>
  <c r="AB224" i="10" s="1"/>
  <c r="AB64" i="10" s="1"/>
  <c r="D199" i="10"/>
  <c r="D225" i="10" s="1"/>
  <c r="D65" i="10" s="1"/>
  <c r="D200" i="10"/>
  <c r="D226" i="10" s="1"/>
  <c r="D66" i="10" s="1"/>
  <c r="T200" i="10"/>
  <c r="D201" i="10"/>
  <c r="D227" i="10" s="1"/>
  <c r="D67" i="10" s="1"/>
  <c r="D202" i="10"/>
  <c r="D228" i="10" s="1"/>
  <c r="D68" i="10" s="1"/>
  <c r="T202" i="10"/>
  <c r="D203" i="10"/>
  <c r="D229" i="10" s="1"/>
  <c r="D69" i="10" s="1"/>
  <c r="D204" i="10"/>
  <c r="D230" i="10" s="1"/>
  <c r="D70" i="10" s="1"/>
  <c r="T204" i="10"/>
  <c r="D205" i="10"/>
  <c r="D231" i="10" s="1"/>
  <c r="D71" i="10" s="1"/>
  <c r="D206" i="10"/>
  <c r="D232" i="10" s="1"/>
  <c r="D72" i="10" s="1"/>
  <c r="D207" i="10"/>
  <c r="D233" i="10" s="1"/>
  <c r="D73" i="10" s="1"/>
  <c r="D208" i="10"/>
  <c r="D234" i="10" s="1"/>
  <c r="D74" i="10" s="1"/>
  <c r="T208" i="10"/>
  <c r="D209" i="10"/>
  <c r="D235" i="10" s="1"/>
  <c r="D75" i="10" s="1"/>
  <c r="D210" i="10"/>
  <c r="D236" i="10" s="1"/>
  <c r="D76" i="10" s="1"/>
  <c r="D211" i="10"/>
  <c r="D237" i="10" s="1"/>
  <c r="D77" i="10" s="1"/>
  <c r="D212" i="10"/>
  <c r="D238" i="10" s="1"/>
  <c r="D78" i="10" s="1"/>
  <c r="T212" i="10"/>
  <c r="D213" i="10"/>
  <c r="D239" i="10" s="1"/>
  <c r="D79" i="10" s="1"/>
  <c r="D214" i="10"/>
  <c r="D240" i="10" s="1"/>
  <c r="D80" i="10" s="1"/>
  <c r="T214" i="10"/>
  <c r="D215" i="10"/>
  <c r="D241" i="10" s="1"/>
  <c r="D81" i="10" s="1"/>
  <c r="D216" i="10"/>
  <c r="D242" i="10" s="1"/>
  <c r="D82" i="10" s="1"/>
  <c r="T216" i="10"/>
  <c r="D217" i="10"/>
  <c r="D243" i="10" s="1"/>
  <c r="D83" i="10" s="1"/>
  <c r="D218" i="10"/>
  <c r="D244" i="10" s="1"/>
  <c r="T218" i="10"/>
  <c r="D198" i="10"/>
  <c r="D224" i="10" s="1"/>
  <c r="D64" i="10" s="1"/>
  <c r="BV218" i="10"/>
  <c r="BU218" i="10"/>
  <c r="BT218" i="10"/>
  <c r="BS218" i="10"/>
  <c r="BQ218" i="10"/>
  <c r="BP218" i="10"/>
  <c r="AX218" i="10"/>
  <c r="AW218" i="10"/>
  <c r="AV218" i="10"/>
  <c r="AU218" i="10"/>
  <c r="AS218" i="10"/>
  <c r="AR218" i="10"/>
  <c r="Z218" i="10"/>
  <c r="Y218" i="10"/>
  <c r="X218" i="10"/>
  <c r="W218" i="10"/>
  <c r="U218" i="10"/>
  <c r="BV217" i="10"/>
  <c r="BU217" i="10"/>
  <c r="BT217" i="10"/>
  <c r="BS217" i="10"/>
  <c r="BQ217" i="10"/>
  <c r="BP217" i="10"/>
  <c r="AX217" i="10"/>
  <c r="AW217" i="10"/>
  <c r="AV217" i="10"/>
  <c r="AU217" i="10"/>
  <c r="AS217" i="10"/>
  <c r="AR217" i="10"/>
  <c r="Z217" i="10"/>
  <c r="Y217" i="10"/>
  <c r="X217" i="10"/>
  <c r="W217" i="10"/>
  <c r="U217" i="10"/>
  <c r="T217" i="10"/>
  <c r="BV216" i="10"/>
  <c r="BU216" i="10"/>
  <c r="BT216" i="10"/>
  <c r="BS216" i="10"/>
  <c r="BQ216" i="10"/>
  <c r="BP216" i="10"/>
  <c r="AX216" i="10"/>
  <c r="AW216" i="10"/>
  <c r="AV216" i="10"/>
  <c r="AU216" i="10"/>
  <c r="AS216" i="10"/>
  <c r="AR216" i="10"/>
  <c r="Z216" i="10"/>
  <c r="Y216" i="10"/>
  <c r="X216" i="10"/>
  <c r="W216" i="10"/>
  <c r="U216" i="10"/>
  <c r="BV215" i="10"/>
  <c r="BU215" i="10"/>
  <c r="BT215" i="10"/>
  <c r="BS215" i="10"/>
  <c r="BQ215" i="10"/>
  <c r="BP215" i="10"/>
  <c r="AX215" i="10"/>
  <c r="AW215" i="10"/>
  <c r="AV215" i="10"/>
  <c r="AU215" i="10"/>
  <c r="AS215" i="10"/>
  <c r="AR215" i="10"/>
  <c r="Z215" i="10"/>
  <c r="Y215" i="10"/>
  <c r="X215" i="10"/>
  <c r="W215" i="10"/>
  <c r="U215" i="10"/>
  <c r="T215" i="10"/>
  <c r="BV214" i="10"/>
  <c r="BU214" i="10"/>
  <c r="BT214" i="10"/>
  <c r="BS214" i="10"/>
  <c r="BQ214" i="10"/>
  <c r="BP214" i="10"/>
  <c r="AX214" i="10"/>
  <c r="AW214" i="10"/>
  <c r="AV214" i="10"/>
  <c r="AU214" i="10"/>
  <c r="AS214" i="10"/>
  <c r="AR214" i="10"/>
  <c r="Z214" i="10"/>
  <c r="Y214" i="10"/>
  <c r="X214" i="10"/>
  <c r="W214" i="10"/>
  <c r="U214" i="10"/>
  <c r="BV213" i="10"/>
  <c r="BU213" i="10"/>
  <c r="BT213" i="10"/>
  <c r="BS213" i="10"/>
  <c r="BQ213" i="10"/>
  <c r="BP213" i="10"/>
  <c r="AX213" i="10"/>
  <c r="AW213" i="10"/>
  <c r="AV213" i="10"/>
  <c r="AU213" i="10"/>
  <c r="AS213" i="10"/>
  <c r="AR213" i="10"/>
  <c r="Z213" i="10"/>
  <c r="Y213" i="10"/>
  <c r="X213" i="10"/>
  <c r="W213" i="10"/>
  <c r="U213" i="10"/>
  <c r="T213" i="10"/>
  <c r="BV212" i="10"/>
  <c r="BU212" i="10"/>
  <c r="BT212" i="10"/>
  <c r="BS212" i="10"/>
  <c r="BQ212" i="10"/>
  <c r="BP212" i="10"/>
  <c r="AX212" i="10"/>
  <c r="AW212" i="10"/>
  <c r="AV212" i="10"/>
  <c r="AU212" i="10"/>
  <c r="AS212" i="10"/>
  <c r="AR212" i="10"/>
  <c r="Z212" i="10"/>
  <c r="Y212" i="10"/>
  <c r="X212" i="10"/>
  <c r="W212" i="10"/>
  <c r="U212" i="10"/>
  <c r="BV211" i="10"/>
  <c r="BU211" i="10"/>
  <c r="BT211" i="10"/>
  <c r="BS211" i="10"/>
  <c r="BQ211" i="10"/>
  <c r="BP211" i="10"/>
  <c r="AX211" i="10"/>
  <c r="AW211" i="10"/>
  <c r="AV211" i="10"/>
  <c r="AU211" i="10"/>
  <c r="AS211" i="10"/>
  <c r="AR211" i="10"/>
  <c r="Z211" i="10"/>
  <c r="Y211" i="10"/>
  <c r="X211" i="10"/>
  <c r="W211" i="10"/>
  <c r="U211" i="10"/>
  <c r="T211" i="10"/>
  <c r="BV210" i="10"/>
  <c r="BU210" i="10"/>
  <c r="BT210" i="10"/>
  <c r="BS210" i="10"/>
  <c r="BQ210" i="10"/>
  <c r="BP210" i="10"/>
  <c r="AX210" i="10"/>
  <c r="AW210" i="10"/>
  <c r="AV210" i="10"/>
  <c r="AU210" i="10"/>
  <c r="AS210" i="10"/>
  <c r="AR210" i="10"/>
  <c r="Z210" i="10"/>
  <c r="Y210" i="10"/>
  <c r="X210" i="10"/>
  <c r="W210" i="10"/>
  <c r="U210" i="10"/>
  <c r="T210" i="10"/>
  <c r="BV209" i="10"/>
  <c r="BU209" i="10"/>
  <c r="BT209" i="10"/>
  <c r="BS209" i="10"/>
  <c r="BQ209" i="10"/>
  <c r="BP209" i="10"/>
  <c r="AX209" i="10"/>
  <c r="AW209" i="10"/>
  <c r="AV209" i="10"/>
  <c r="AU209" i="10"/>
  <c r="AS209" i="10"/>
  <c r="AR209" i="10"/>
  <c r="Z209" i="10"/>
  <c r="Y209" i="10"/>
  <c r="X209" i="10"/>
  <c r="W209" i="10"/>
  <c r="U209" i="10"/>
  <c r="T209" i="10"/>
  <c r="BV208" i="10"/>
  <c r="BU208" i="10"/>
  <c r="BT208" i="10"/>
  <c r="BS208" i="10"/>
  <c r="BQ208" i="10"/>
  <c r="BP208" i="10"/>
  <c r="AX208" i="10"/>
  <c r="AW208" i="10"/>
  <c r="AV208" i="10"/>
  <c r="AU208" i="10"/>
  <c r="AS208" i="10"/>
  <c r="AR208" i="10"/>
  <c r="Z208" i="10"/>
  <c r="Y208" i="10"/>
  <c r="X208" i="10"/>
  <c r="W208" i="10"/>
  <c r="U208" i="10"/>
  <c r="BV207" i="10"/>
  <c r="BU207" i="10"/>
  <c r="BT207" i="10"/>
  <c r="BS207" i="10"/>
  <c r="BQ207" i="10"/>
  <c r="BP207" i="10"/>
  <c r="AX207" i="10"/>
  <c r="AW207" i="10"/>
  <c r="AV207" i="10"/>
  <c r="AU207" i="10"/>
  <c r="AS207" i="10"/>
  <c r="AR207" i="10"/>
  <c r="Z207" i="10"/>
  <c r="Y207" i="10"/>
  <c r="X207" i="10"/>
  <c r="W207" i="10"/>
  <c r="U207" i="10"/>
  <c r="T207" i="10"/>
  <c r="BV206" i="10"/>
  <c r="BU206" i="10"/>
  <c r="BT206" i="10"/>
  <c r="BS206" i="10"/>
  <c r="BQ206" i="10"/>
  <c r="BP206" i="10"/>
  <c r="AX206" i="10"/>
  <c r="AW206" i="10"/>
  <c r="AV206" i="10"/>
  <c r="AU206" i="10"/>
  <c r="AS206" i="10"/>
  <c r="AR206" i="10"/>
  <c r="Z206" i="10"/>
  <c r="Y206" i="10"/>
  <c r="X206" i="10"/>
  <c r="W206" i="10"/>
  <c r="U206" i="10"/>
  <c r="T206" i="10"/>
  <c r="BV205" i="10"/>
  <c r="BU205" i="10"/>
  <c r="BT205" i="10"/>
  <c r="BS205" i="10"/>
  <c r="BQ205" i="10"/>
  <c r="BP205" i="10"/>
  <c r="AX205" i="10"/>
  <c r="AW205" i="10"/>
  <c r="AV205" i="10"/>
  <c r="AU205" i="10"/>
  <c r="AS205" i="10"/>
  <c r="AR205" i="10"/>
  <c r="Z205" i="10"/>
  <c r="Y205" i="10"/>
  <c r="X205" i="10"/>
  <c r="W205" i="10"/>
  <c r="U205" i="10"/>
  <c r="T205" i="10"/>
  <c r="BV204" i="10"/>
  <c r="BU204" i="10"/>
  <c r="BT204" i="10"/>
  <c r="BS204" i="10"/>
  <c r="BQ204" i="10"/>
  <c r="BP204" i="10"/>
  <c r="AX204" i="10"/>
  <c r="AW204" i="10"/>
  <c r="AV204" i="10"/>
  <c r="AU204" i="10"/>
  <c r="AS204" i="10"/>
  <c r="AR204" i="10"/>
  <c r="Z204" i="10"/>
  <c r="Y204" i="10"/>
  <c r="X204" i="10"/>
  <c r="W204" i="10"/>
  <c r="U204" i="10"/>
  <c r="BV203" i="10"/>
  <c r="BU203" i="10"/>
  <c r="BT203" i="10"/>
  <c r="BS203" i="10"/>
  <c r="BQ203" i="10"/>
  <c r="BP203" i="10"/>
  <c r="AX203" i="10"/>
  <c r="AW203" i="10"/>
  <c r="AV203" i="10"/>
  <c r="AU203" i="10"/>
  <c r="AS203" i="10"/>
  <c r="AR203" i="10"/>
  <c r="Z203" i="10"/>
  <c r="Y203" i="10"/>
  <c r="X203" i="10"/>
  <c r="W203" i="10"/>
  <c r="U203" i="10"/>
  <c r="T203" i="10"/>
  <c r="BV202" i="10"/>
  <c r="BU202" i="10"/>
  <c r="BT202" i="10"/>
  <c r="BS202" i="10"/>
  <c r="BQ202" i="10"/>
  <c r="BP202" i="10"/>
  <c r="AX202" i="10"/>
  <c r="AW202" i="10"/>
  <c r="AV202" i="10"/>
  <c r="AU202" i="10"/>
  <c r="AS202" i="10"/>
  <c r="AR202" i="10"/>
  <c r="Z202" i="10"/>
  <c r="Y202" i="10"/>
  <c r="X202" i="10"/>
  <c r="W202" i="10"/>
  <c r="U202" i="10"/>
  <c r="BV201" i="10"/>
  <c r="BU201" i="10"/>
  <c r="BT201" i="10"/>
  <c r="BS201" i="10"/>
  <c r="BQ201" i="10"/>
  <c r="BP201" i="10"/>
  <c r="AX201" i="10"/>
  <c r="AW201" i="10"/>
  <c r="AV201" i="10"/>
  <c r="AU201" i="10"/>
  <c r="AS201" i="10"/>
  <c r="AR201" i="10"/>
  <c r="Z201" i="10"/>
  <c r="Y201" i="10"/>
  <c r="X201" i="10"/>
  <c r="W201" i="10"/>
  <c r="U201" i="10"/>
  <c r="T201" i="10"/>
  <c r="BV200" i="10"/>
  <c r="BU200" i="10"/>
  <c r="BT200" i="10"/>
  <c r="BS200" i="10"/>
  <c r="BQ200" i="10"/>
  <c r="BP200" i="10"/>
  <c r="AX200" i="10"/>
  <c r="AW200" i="10"/>
  <c r="AV200" i="10"/>
  <c r="AU200" i="10"/>
  <c r="AS200" i="10"/>
  <c r="AR200" i="10"/>
  <c r="Z200" i="10"/>
  <c r="Y200" i="10"/>
  <c r="X200" i="10"/>
  <c r="W200" i="10"/>
  <c r="U200" i="10"/>
  <c r="BV199" i="10"/>
  <c r="BT199" i="10"/>
  <c r="BS199" i="10"/>
  <c r="BQ199" i="10"/>
  <c r="BP199" i="10"/>
  <c r="BI199" i="10"/>
  <c r="BU199" i="10" s="1"/>
  <c r="AX199" i="10"/>
  <c r="AW199" i="10"/>
  <c r="AV199" i="10"/>
  <c r="AU199" i="10"/>
  <c r="AS199" i="10"/>
  <c r="AR199" i="10"/>
  <c r="Z199" i="10"/>
  <c r="Y199" i="10"/>
  <c r="X199" i="10"/>
  <c r="W199" i="10"/>
  <c r="U199" i="10"/>
  <c r="T199" i="10"/>
  <c r="BV198" i="10"/>
  <c r="BU198" i="10"/>
  <c r="BT198" i="10"/>
  <c r="BS198" i="10"/>
  <c r="BQ198" i="10"/>
  <c r="BP198" i="10"/>
  <c r="AX198" i="10"/>
  <c r="AW198" i="10"/>
  <c r="AV198" i="10"/>
  <c r="AU198" i="10"/>
  <c r="AS198" i="10"/>
  <c r="AR198" i="10"/>
  <c r="Z198" i="10"/>
  <c r="Y198" i="10"/>
  <c r="X198" i="10"/>
  <c r="W198" i="10"/>
  <c r="U198" i="10"/>
  <c r="T198" i="10"/>
  <c r="BI173" i="10"/>
  <c r="BI65" i="10" s="1"/>
  <c r="BV192" i="10"/>
  <c r="BV84" i="10" s="1"/>
  <c r="BU192" i="10"/>
  <c r="BT192" i="10"/>
  <c r="BS192" i="10"/>
  <c r="BQ192" i="10"/>
  <c r="BQ84" i="10" s="1"/>
  <c r="BP192" i="10"/>
  <c r="AX192" i="10"/>
  <c r="AX84" i="10" s="1"/>
  <c r="AW192" i="10"/>
  <c r="AW84" i="10" s="1"/>
  <c r="AV192" i="10"/>
  <c r="AU192" i="10"/>
  <c r="AS192" i="10"/>
  <c r="AS84" i="10" s="1"/>
  <c r="AR192" i="10"/>
  <c r="AR84" i="10" s="1"/>
  <c r="Z192" i="10"/>
  <c r="Z84" i="10" s="1"/>
  <c r="Y192" i="10"/>
  <c r="X192" i="10"/>
  <c r="W192" i="10"/>
  <c r="U192" i="10"/>
  <c r="T192" i="10"/>
  <c r="BV191" i="10"/>
  <c r="BV83" i="10" s="1"/>
  <c r="BU191" i="10"/>
  <c r="BU83" i="10" s="1"/>
  <c r="BT191" i="10"/>
  <c r="BS191" i="10"/>
  <c r="BQ191" i="10"/>
  <c r="BQ83" i="10" s="1"/>
  <c r="BP191" i="10"/>
  <c r="BP83" i="10" s="1"/>
  <c r="AX191" i="10"/>
  <c r="AX83" i="10" s="1"/>
  <c r="AW191" i="10"/>
  <c r="AW83" i="10" s="1"/>
  <c r="AV191" i="10"/>
  <c r="AU191" i="10"/>
  <c r="AS191" i="10"/>
  <c r="AS83" i="10" s="1"/>
  <c r="AR191" i="10"/>
  <c r="AR83" i="10" s="1"/>
  <c r="Z191" i="10"/>
  <c r="Z83" i="10" s="1"/>
  <c r="Y191" i="10"/>
  <c r="Y83" i="10" s="1"/>
  <c r="X191" i="10"/>
  <c r="W191" i="10"/>
  <c r="U191" i="10"/>
  <c r="T191" i="10"/>
  <c r="T83" i="10" s="1"/>
  <c r="BV190" i="10"/>
  <c r="BV82" i="10" s="1"/>
  <c r="BU190" i="10"/>
  <c r="BU82" i="10" s="1"/>
  <c r="BT190" i="10"/>
  <c r="BS190" i="10"/>
  <c r="BQ190" i="10"/>
  <c r="BQ82" i="10" s="1"/>
  <c r="BP190" i="10"/>
  <c r="BP82" i="10" s="1"/>
  <c r="AX190" i="10"/>
  <c r="AX82" i="10" s="1"/>
  <c r="AW190" i="10"/>
  <c r="AW82" i="10" s="1"/>
  <c r="AV190" i="10"/>
  <c r="AU190" i="10"/>
  <c r="AS190" i="10"/>
  <c r="AS82" i="10" s="1"/>
  <c r="AR190" i="10"/>
  <c r="AR82" i="10" s="1"/>
  <c r="Z190" i="10"/>
  <c r="Z82" i="10" s="1"/>
  <c r="Y190" i="10"/>
  <c r="Y82" i="10" s="1"/>
  <c r="X190" i="10"/>
  <c r="W190" i="10"/>
  <c r="U190" i="10"/>
  <c r="T190" i="10"/>
  <c r="BV189" i="10"/>
  <c r="BV81" i="10" s="1"/>
  <c r="BU189" i="10"/>
  <c r="BT189" i="10"/>
  <c r="BS189" i="10"/>
  <c r="BQ189" i="10"/>
  <c r="BQ81" i="10" s="1"/>
  <c r="BP189" i="10"/>
  <c r="AX189" i="10"/>
  <c r="AW189" i="10"/>
  <c r="AW81" i="10" s="1"/>
  <c r="AV189" i="10"/>
  <c r="AU189" i="10"/>
  <c r="AS189" i="10"/>
  <c r="AR189" i="10"/>
  <c r="AR81" i="10" s="1"/>
  <c r="Z189" i="10"/>
  <c r="Z81" i="10" s="1"/>
  <c r="Y189" i="10"/>
  <c r="X189" i="10"/>
  <c r="W189" i="10"/>
  <c r="U189" i="10"/>
  <c r="T189" i="10"/>
  <c r="BV188" i="10"/>
  <c r="BV80" i="10" s="1"/>
  <c r="BU188" i="10"/>
  <c r="BU80" i="10" s="1"/>
  <c r="BT188" i="10"/>
  <c r="BS188" i="10"/>
  <c r="BQ188" i="10"/>
  <c r="BQ80" i="10" s="1"/>
  <c r="BP188" i="10"/>
  <c r="BP80" i="10" s="1"/>
  <c r="AX188" i="10"/>
  <c r="AX80" i="10" s="1"/>
  <c r="AW188" i="10"/>
  <c r="AV188" i="10"/>
  <c r="AU188" i="10"/>
  <c r="AS188" i="10"/>
  <c r="AS80" i="10" s="1"/>
  <c r="AR188" i="10"/>
  <c r="Z188" i="10"/>
  <c r="Z80" i="10" s="1"/>
  <c r="Y188" i="10"/>
  <c r="Y80" i="10" s="1"/>
  <c r="X188" i="10"/>
  <c r="W188" i="10"/>
  <c r="U188" i="10"/>
  <c r="T188" i="10"/>
  <c r="T80" i="10" s="1"/>
  <c r="BV187" i="10"/>
  <c r="BV79" i="10" s="1"/>
  <c r="BU187" i="10"/>
  <c r="BU79" i="10" s="1"/>
  <c r="BT187" i="10"/>
  <c r="BS187" i="10"/>
  <c r="BQ187" i="10"/>
  <c r="BQ79" i="10" s="1"/>
  <c r="BP187" i="10"/>
  <c r="BP79" i="10" s="1"/>
  <c r="AX187" i="10"/>
  <c r="AW187" i="10"/>
  <c r="AV187" i="10"/>
  <c r="AU187" i="10"/>
  <c r="AS187" i="10"/>
  <c r="AR187" i="10"/>
  <c r="AR79" i="10" s="1"/>
  <c r="Z187" i="10"/>
  <c r="Z79" i="10" s="1"/>
  <c r="Y187" i="10"/>
  <c r="Y79" i="10" s="1"/>
  <c r="X187" i="10"/>
  <c r="W187" i="10"/>
  <c r="U187" i="10"/>
  <c r="T187" i="10"/>
  <c r="T79" i="10" s="1"/>
  <c r="BV186" i="10"/>
  <c r="BU186" i="10"/>
  <c r="BU78" i="10" s="1"/>
  <c r="BT186" i="10"/>
  <c r="BS186" i="10"/>
  <c r="BQ186" i="10"/>
  <c r="BP186" i="10"/>
  <c r="AX186" i="10"/>
  <c r="AX78" i="10" s="1"/>
  <c r="AW186" i="10"/>
  <c r="AW78" i="10" s="1"/>
  <c r="AV186" i="10"/>
  <c r="AU186" i="10"/>
  <c r="AS186" i="10"/>
  <c r="AS78" i="10" s="1"/>
  <c r="AR186" i="10"/>
  <c r="AR78" i="10" s="1"/>
  <c r="Z186" i="10"/>
  <c r="Y186" i="10"/>
  <c r="Y78" i="10" s="1"/>
  <c r="X186" i="10"/>
  <c r="W186" i="10"/>
  <c r="U186" i="10"/>
  <c r="T186" i="10"/>
  <c r="BV185" i="10"/>
  <c r="BV77" i="10" s="1"/>
  <c r="BU185" i="10"/>
  <c r="BU77" i="10" s="1"/>
  <c r="BT185" i="10"/>
  <c r="BS185" i="10"/>
  <c r="BQ185" i="10"/>
  <c r="BQ77" i="10" s="1"/>
  <c r="BP185" i="10"/>
  <c r="BP77" i="10" s="1"/>
  <c r="AX185" i="10"/>
  <c r="AX77" i="10" s="1"/>
  <c r="AW185" i="10"/>
  <c r="AV185" i="10"/>
  <c r="AU185" i="10"/>
  <c r="AS185" i="10"/>
  <c r="AS77" i="10" s="1"/>
  <c r="AR185" i="10"/>
  <c r="Z185" i="10"/>
  <c r="Z77" i="10" s="1"/>
  <c r="Y185" i="10"/>
  <c r="Y77" i="10" s="1"/>
  <c r="X185" i="10"/>
  <c r="W185" i="10"/>
  <c r="U185" i="10"/>
  <c r="T185" i="10"/>
  <c r="T77" i="10" s="1"/>
  <c r="BV184" i="10"/>
  <c r="BV76" i="10" s="1"/>
  <c r="BU184" i="10"/>
  <c r="BT184" i="10"/>
  <c r="BS184" i="10"/>
  <c r="BQ184" i="10"/>
  <c r="BQ76" i="10" s="1"/>
  <c r="BP184" i="10"/>
  <c r="AX184" i="10"/>
  <c r="AX76" i="10" s="1"/>
  <c r="AW184" i="10"/>
  <c r="AW76" i="10" s="1"/>
  <c r="AV184" i="10"/>
  <c r="AU184" i="10"/>
  <c r="AS184" i="10"/>
  <c r="AS76" i="10" s="1"/>
  <c r="AR184" i="10"/>
  <c r="AR76" i="10" s="1"/>
  <c r="Z184" i="10"/>
  <c r="Z76" i="10" s="1"/>
  <c r="Y184" i="10"/>
  <c r="X184" i="10"/>
  <c r="W184" i="10"/>
  <c r="U184" i="10"/>
  <c r="T184" i="10"/>
  <c r="BV183" i="10"/>
  <c r="BV75" i="10" s="1"/>
  <c r="BU183" i="10"/>
  <c r="BU75" i="10" s="1"/>
  <c r="BT183" i="10"/>
  <c r="BS183" i="10"/>
  <c r="BQ183" i="10"/>
  <c r="BQ75" i="10" s="1"/>
  <c r="BP183" i="10"/>
  <c r="BP75" i="10" s="1"/>
  <c r="AX183" i="10"/>
  <c r="AX75" i="10" s="1"/>
  <c r="AW183" i="10"/>
  <c r="AV183" i="10"/>
  <c r="AU183" i="10"/>
  <c r="AS183" i="10"/>
  <c r="AS75" i="10" s="1"/>
  <c r="AR183" i="10"/>
  <c r="Z183" i="10"/>
  <c r="Z75" i="10" s="1"/>
  <c r="Y183" i="10"/>
  <c r="Y75" i="10" s="1"/>
  <c r="X183" i="10"/>
  <c r="W183" i="10"/>
  <c r="U183" i="10"/>
  <c r="T183" i="10"/>
  <c r="T75" i="10" s="1"/>
  <c r="BV182" i="10"/>
  <c r="BV74" i="10" s="1"/>
  <c r="E33" i="7" s="1"/>
  <c r="BU182" i="10"/>
  <c r="BT182" i="10"/>
  <c r="BS182" i="10"/>
  <c r="BQ182" i="10"/>
  <c r="BQ74" i="10" s="1"/>
  <c r="F33" i="7" s="1"/>
  <c r="BP182" i="10"/>
  <c r="AX182" i="10"/>
  <c r="AX74" i="10" s="1"/>
  <c r="E34" i="7" s="1"/>
  <c r="AW182" i="10"/>
  <c r="AW74" i="10" s="1"/>
  <c r="D34" i="7" s="1"/>
  <c r="AV182" i="10"/>
  <c r="AU182" i="10"/>
  <c r="AS182" i="10"/>
  <c r="AS74" i="10" s="1"/>
  <c r="F34" i="7" s="1"/>
  <c r="AR182" i="10"/>
  <c r="AR74" i="10" s="1"/>
  <c r="Z182" i="10"/>
  <c r="Z74" i="10" s="1"/>
  <c r="E35" i="7" s="1"/>
  <c r="Y182" i="10"/>
  <c r="X182" i="10"/>
  <c r="W182" i="10"/>
  <c r="U182" i="10"/>
  <c r="T182" i="10"/>
  <c r="BV181" i="10"/>
  <c r="BV73" i="10" s="1"/>
  <c r="BU181" i="10"/>
  <c r="BU73" i="10" s="1"/>
  <c r="BT181" i="10"/>
  <c r="BS181" i="10"/>
  <c r="BQ181" i="10"/>
  <c r="BQ73" i="10" s="1"/>
  <c r="BP181" i="10"/>
  <c r="BP73" i="10" s="1"/>
  <c r="AX181" i="10"/>
  <c r="AX73" i="10" s="1"/>
  <c r="AW181" i="10"/>
  <c r="AW73" i="10" s="1"/>
  <c r="AV181" i="10"/>
  <c r="AU181" i="10"/>
  <c r="AS181" i="10"/>
  <c r="AS73" i="10" s="1"/>
  <c r="AR181" i="10"/>
  <c r="AR73" i="10" s="1"/>
  <c r="Z181" i="10"/>
  <c r="Z73" i="10" s="1"/>
  <c r="Y181" i="10"/>
  <c r="Y73" i="10" s="1"/>
  <c r="X181" i="10"/>
  <c r="W181" i="10"/>
  <c r="U181" i="10"/>
  <c r="T181" i="10"/>
  <c r="T73" i="10" s="1"/>
  <c r="BV180" i="10"/>
  <c r="BV72" i="10" s="1"/>
  <c r="BU180" i="10"/>
  <c r="BU72" i="10" s="1"/>
  <c r="BT180" i="10"/>
  <c r="BS180" i="10"/>
  <c r="BQ180" i="10"/>
  <c r="BQ72" i="10" s="1"/>
  <c r="BP180" i="10"/>
  <c r="BP72" i="10" s="1"/>
  <c r="AX180" i="10"/>
  <c r="AX72" i="10" s="1"/>
  <c r="AW180" i="10"/>
  <c r="AW72" i="10" s="1"/>
  <c r="AV180" i="10"/>
  <c r="AU180" i="10"/>
  <c r="AS180" i="10"/>
  <c r="AS72" i="10" s="1"/>
  <c r="AR180" i="10"/>
  <c r="Z180" i="10"/>
  <c r="Z72" i="10" s="1"/>
  <c r="Y180" i="10"/>
  <c r="Y72" i="10" s="1"/>
  <c r="X180" i="10"/>
  <c r="W180" i="10"/>
  <c r="U180" i="10"/>
  <c r="T180" i="10"/>
  <c r="T72" i="10" s="1"/>
  <c r="BV179" i="10"/>
  <c r="BV71" i="10" s="1"/>
  <c r="BU179" i="10"/>
  <c r="BU71" i="10" s="1"/>
  <c r="BT179" i="10"/>
  <c r="BS179" i="10"/>
  <c r="BQ179" i="10"/>
  <c r="BQ71" i="10" s="1"/>
  <c r="BP179" i="10"/>
  <c r="BP71" i="10" s="1"/>
  <c r="AX179" i="10"/>
  <c r="AW179" i="10"/>
  <c r="AW71" i="10" s="1"/>
  <c r="AV179" i="10"/>
  <c r="AU179" i="10"/>
  <c r="AS179" i="10"/>
  <c r="AS71" i="10" s="1"/>
  <c r="AR179" i="10"/>
  <c r="AR71" i="10" s="1"/>
  <c r="Z179" i="10"/>
  <c r="Z71" i="10" s="1"/>
  <c r="Y179" i="10"/>
  <c r="Y71" i="10" s="1"/>
  <c r="X179" i="10"/>
  <c r="W179" i="10"/>
  <c r="U179" i="10"/>
  <c r="T179" i="10"/>
  <c r="T71" i="10" s="1"/>
  <c r="BV178" i="10"/>
  <c r="BV70" i="10" s="1"/>
  <c r="BU178" i="10"/>
  <c r="BU70" i="10" s="1"/>
  <c r="BT178" i="10"/>
  <c r="BS178" i="10"/>
  <c r="BQ178" i="10"/>
  <c r="BQ70" i="10" s="1"/>
  <c r="BP178" i="10"/>
  <c r="AX178" i="10"/>
  <c r="AX70" i="10" s="1"/>
  <c r="AW178" i="10"/>
  <c r="AW70" i="10" s="1"/>
  <c r="AV178" i="10"/>
  <c r="AU178" i="10"/>
  <c r="AS178" i="10"/>
  <c r="AS70" i="10" s="1"/>
  <c r="AR178" i="10"/>
  <c r="AR70" i="10" s="1"/>
  <c r="Z178" i="10"/>
  <c r="Z70" i="10" s="1"/>
  <c r="Y178" i="10"/>
  <c r="Y70" i="10" s="1"/>
  <c r="X178" i="10"/>
  <c r="W178" i="10"/>
  <c r="U178" i="10"/>
  <c r="T178" i="10"/>
  <c r="BV177" i="10"/>
  <c r="BV69" i="10" s="1"/>
  <c r="BU177" i="10"/>
  <c r="BT177" i="10"/>
  <c r="BS177" i="10"/>
  <c r="BQ177" i="10"/>
  <c r="BQ69" i="10" s="1"/>
  <c r="BP177" i="10"/>
  <c r="AX177" i="10"/>
  <c r="AX69" i="10" s="1"/>
  <c r="AW177" i="10"/>
  <c r="AW69" i="10" s="1"/>
  <c r="AV177" i="10"/>
  <c r="AU177" i="10"/>
  <c r="AS177" i="10"/>
  <c r="AS69" i="10" s="1"/>
  <c r="AR177" i="10"/>
  <c r="AR69" i="10" s="1"/>
  <c r="Z177" i="10"/>
  <c r="Z69" i="10" s="1"/>
  <c r="Y177" i="10"/>
  <c r="X177" i="10"/>
  <c r="W177" i="10"/>
  <c r="U177" i="10"/>
  <c r="T177" i="10"/>
  <c r="BV176" i="10"/>
  <c r="BV68" i="10" s="1"/>
  <c r="BU176" i="10"/>
  <c r="BU68" i="10" s="1"/>
  <c r="BT176" i="10"/>
  <c r="BS176" i="10"/>
  <c r="BQ176" i="10"/>
  <c r="BQ68" i="10" s="1"/>
  <c r="BP176" i="10"/>
  <c r="BP68" i="10" s="1"/>
  <c r="AX176" i="10"/>
  <c r="AX68" i="10" s="1"/>
  <c r="AW176" i="10"/>
  <c r="AV176" i="10"/>
  <c r="AU176" i="10"/>
  <c r="AS176" i="10"/>
  <c r="AS68" i="10" s="1"/>
  <c r="AR176" i="10"/>
  <c r="Z176" i="10"/>
  <c r="Z68" i="10" s="1"/>
  <c r="Y176" i="10"/>
  <c r="Y68" i="10" s="1"/>
  <c r="X176" i="10"/>
  <c r="W176" i="10"/>
  <c r="U176" i="10"/>
  <c r="T176" i="10"/>
  <c r="T68" i="10" s="1"/>
  <c r="BV175" i="10"/>
  <c r="BV67" i="10" s="1"/>
  <c r="BU175" i="10"/>
  <c r="BU67" i="10" s="1"/>
  <c r="BT175" i="10"/>
  <c r="BS175" i="10"/>
  <c r="BQ175" i="10"/>
  <c r="BQ67" i="10" s="1"/>
  <c r="BP175" i="10"/>
  <c r="BP67" i="10" s="1"/>
  <c r="AX175" i="10"/>
  <c r="AW175" i="10"/>
  <c r="AW67" i="10" s="1"/>
  <c r="AV175" i="10"/>
  <c r="AU175" i="10"/>
  <c r="AS175" i="10"/>
  <c r="AR175" i="10"/>
  <c r="AR67" i="10" s="1"/>
  <c r="Z175" i="10"/>
  <c r="Z67" i="10" s="1"/>
  <c r="Y175" i="10"/>
  <c r="Y67" i="10" s="1"/>
  <c r="X175" i="10"/>
  <c r="W175" i="10"/>
  <c r="U175" i="10"/>
  <c r="T175" i="10"/>
  <c r="T67" i="10" s="1"/>
  <c r="BV174" i="10"/>
  <c r="BU174" i="10"/>
  <c r="BU66" i="10" s="1"/>
  <c r="BT174" i="10"/>
  <c r="BS174" i="10"/>
  <c r="BQ174" i="10"/>
  <c r="BP174" i="10"/>
  <c r="BP66" i="10" s="1"/>
  <c r="AX174" i="10"/>
  <c r="AX66" i="10" s="1"/>
  <c r="AW174" i="10"/>
  <c r="AW66" i="10" s="1"/>
  <c r="AV174" i="10"/>
  <c r="AU174" i="10"/>
  <c r="AS174" i="10"/>
  <c r="AS66" i="10" s="1"/>
  <c r="AR174" i="10"/>
  <c r="AR66" i="10" s="1"/>
  <c r="Z174" i="10"/>
  <c r="Y174" i="10"/>
  <c r="Y66" i="10" s="1"/>
  <c r="X174" i="10"/>
  <c r="W174" i="10"/>
  <c r="U174" i="10"/>
  <c r="T174" i="10"/>
  <c r="BV173" i="10"/>
  <c r="BV65" i="10" s="1"/>
  <c r="BT173" i="10"/>
  <c r="BS173" i="10"/>
  <c r="BQ173" i="10"/>
  <c r="BP173" i="10"/>
  <c r="BP65" i="10" s="1"/>
  <c r="AX173" i="10"/>
  <c r="AW173" i="10"/>
  <c r="AV173" i="10"/>
  <c r="AU173" i="10"/>
  <c r="AS173" i="10"/>
  <c r="AR173" i="10"/>
  <c r="Z173" i="10"/>
  <c r="Y173" i="10"/>
  <c r="X173" i="10"/>
  <c r="W173" i="10"/>
  <c r="U173" i="10"/>
  <c r="T173" i="10"/>
  <c r="BV172" i="10"/>
  <c r="BU172" i="10"/>
  <c r="BT172" i="10"/>
  <c r="BS172" i="10"/>
  <c r="BQ172" i="10"/>
  <c r="BP172" i="10"/>
  <c r="AX172" i="10"/>
  <c r="AW172" i="10"/>
  <c r="AV172" i="10"/>
  <c r="AU172" i="10"/>
  <c r="AS172" i="10"/>
  <c r="AR172" i="10"/>
  <c r="Z172" i="10"/>
  <c r="Y172" i="10"/>
  <c r="X172" i="10"/>
  <c r="W172" i="10"/>
  <c r="U172" i="10"/>
  <c r="T172" i="10"/>
  <c r="B171" i="10"/>
  <c r="U36" i="10"/>
  <c r="V36" i="10"/>
  <c r="U37" i="10"/>
  <c r="V37" i="10"/>
  <c r="U38" i="10"/>
  <c r="V38" i="10"/>
  <c r="U39" i="10"/>
  <c r="V39" i="10"/>
  <c r="U40" i="10"/>
  <c r="V40" i="10"/>
  <c r="U41" i="10"/>
  <c r="V41" i="10"/>
  <c r="U42" i="10"/>
  <c r="V42" i="10"/>
  <c r="U43" i="10"/>
  <c r="V43" i="10"/>
  <c r="U44" i="10"/>
  <c r="V44" i="10"/>
  <c r="U45" i="10"/>
  <c r="V45" i="10"/>
  <c r="U46" i="10"/>
  <c r="V46" i="10"/>
  <c r="U47" i="10"/>
  <c r="V47" i="10"/>
  <c r="U48" i="10"/>
  <c r="V48" i="10"/>
  <c r="U49" i="10"/>
  <c r="V49" i="10"/>
  <c r="U50" i="10"/>
  <c r="V50" i="10"/>
  <c r="U51" i="10"/>
  <c r="V51" i="10"/>
  <c r="U52" i="10"/>
  <c r="V52" i="10"/>
  <c r="U53" i="10"/>
  <c r="V53" i="10"/>
  <c r="U54" i="10"/>
  <c r="V54" i="10"/>
  <c r="U55" i="10"/>
  <c r="V55" i="10"/>
  <c r="U56" i="10"/>
  <c r="V56" i="10"/>
  <c r="T56" i="10"/>
  <c r="T55" i="10"/>
  <c r="T54" i="10"/>
  <c r="T53" i="10"/>
  <c r="T52" i="10"/>
  <c r="T51" i="10"/>
  <c r="T50" i="10"/>
  <c r="T49" i="10"/>
  <c r="T48" i="10"/>
  <c r="T47" i="10"/>
  <c r="T46" i="10"/>
  <c r="T45" i="10"/>
  <c r="T44" i="10"/>
  <c r="T43" i="10"/>
  <c r="T42" i="10"/>
  <c r="T41" i="10"/>
  <c r="T40" i="10"/>
  <c r="T39" i="10"/>
  <c r="T38" i="10"/>
  <c r="T37" i="10"/>
  <c r="T36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M36" i="10"/>
  <c r="N36" i="10"/>
  <c r="M37" i="10"/>
  <c r="N37" i="10"/>
  <c r="M38" i="10"/>
  <c r="N38" i="10"/>
  <c r="M39" i="10"/>
  <c r="N39" i="10"/>
  <c r="M40" i="10"/>
  <c r="N40" i="10"/>
  <c r="M41" i="10"/>
  <c r="N41" i="10"/>
  <c r="M42" i="10"/>
  <c r="N42" i="10"/>
  <c r="M43" i="10"/>
  <c r="N43" i="10"/>
  <c r="M44" i="10"/>
  <c r="N44" i="10"/>
  <c r="M45" i="10"/>
  <c r="N45" i="10"/>
  <c r="M46" i="10"/>
  <c r="N46" i="10"/>
  <c r="M47" i="10"/>
  <c r="N47" i="10"/>
  <c r="M48" i="10"/>
  <c r="N48" i="10"/>
  <c r="M49" i="10"/>
  <c r="N49" i="10"/>
  <c r="M50" i="10"/>
  <c r="N50" i="10"/>
  <c r="M51" i="10"/>
  <c r="N51" i="10"/>
  <c r="M52" i="10"/>
  <c r="N52" i="10"/>
  <c r="M53" i="10"/>
  <c r="N53" i="10"/>
  <c r="M54" i="10"/>
  <c r="N54" i="10"/>
  <c r="M55" i="10"/>
  <c r="N55" i="10"/>
  <c r="M56" i="10"/>
  <c r="N56" i="10"/>
  <c r="F36" i="10"/>
  <c r="K36" i="10"/>
  <c r="L36" i="10"/>
  <c r="F37" i="10"/>
  <c r="K37" i="10"/>
  <c r="L37" i="10"/>
  <c r="F38" i="10"/>
  <c r="K38" i="10"/>
  <c r="L38" i="10"/>
  <c r="F39" i="10"/>
  <c r="K39" i="10"/>
  <c r="L39" i="10"/>
  <c r="F40" i="10"/>
  <c r="K40" i="10"/>
  <c r="L40" i="10"/>
  <c r="F41" i="10"/>
  <c r="K41" i="10"/>
  <c r="L41" i="10"/>
  <c r="F42" i="10"/>
  <c r="K42" i="10"/>
  <c r="L42" i="10"/>
  <c r="F43" i="10"/>
  <c r="K43" i="10"/>
  <c r="L43" i="10"/>
  <c r="F44" i="10"/>
  <c r="K44" i="10"/>
  <c r="L44" i="10"/>
  <c r="F45" i="10"/>
  <c r="K45" i="10"/>
  <c r="L45" i="10"/>
  <c r="F46" i="10"/>
  <c r="K46" i="10"/>
  <c r="L46" i="10"/>
  <c r="F47" i="10"/>
  <c r="K47" i="10"/>
  <c r="L47" i="10"/>
  <c r="F48" i="10"/>
  <c r="K48" i="10"/>
  <c r="L48" i="10"/>
  <c r="F49" i="10"/>
  <c r="K49" i="10"/>
  <c r="L49" i="10"/>
  <c r="F50" i="10"/>
  <c r="K50" i="10"/>
  <c r="L50" i="10"/>
  <c r="F51" i="10"/>
  <c r="K51" i="10"/>
  <c r="L51" i="10"/>
  <c r="F52" i="10"/>
  <c r="K52" i="10"/>
  <c r="L52" i="10"/>
  <c r="F53" i="10"/>
  <c r="K53" i="10"/>
  <c r="L53" i="10"/>
  <c r="F54" i="10"/>
  <c r="K54" i="10"/>
  <c r="L54" i="10"/>
  <c r="F55" i="10"/>
  <c r="K55" i="10"/>
  <c r="L55" i="10"/>
  <c r="F56" i="10"/>
  <c r="K56" i="10"/>
  <c r="L56" i="10"/>
  <c r="D36" i="10"/>
  <c r="E36" i="10"/>
  <c r="D37" i="10"/>
  <c r="E37" i="10"/>
  <c r="D38" i="10"/>
  <c r="E38" i="10"/>
  <c r="D39" i="10"/>
  <c r="E39" i="10"/>
  <c r="D40" i="10"/>
  <c r="E40" i="10"/>
  <c r="D41" i="10"/>
  <c r="E41" i="10"/>
  <c r="D42" i="10"/>
  <c r="E42" i="10"/>
  <c r="D43" i="10"/>
  <c r="E43" i="10"/>
  <c r="D44" i="10"/>
  <c r="E44" i="10"/>
  <c r="D45" i="10"/>
  <c r="E45" i="10"/>
  <c r="D46" i="10"/>
  <c r="E46" i="10"/>
  <c r="D47" i="10"/>
  <c r="E47" i="10"/>
  <c r="D48" i="10"/>
  <c r="E48" i="10"/>
  <c r="D49" i="10"/>
  <c r="E49" i="10"/>
  <c r="D50" i="10"/>
  <c r="E50" i="10"/>
  <c r="D51" i="10"/>
  <c r="E51" i="10"/>
  <c r="D52" i="10"/>
  <c r="E52" i="10"/>
  <c r="D53" i="10"/>
  <c r="E53" i="10"/>
  <c r="D54" i="10"/>
  <c r="E54" i="10"/>
  <c r="D55" i="10"/>
  <c r="E55" i="10"/>
  <c r="D56" i="10"/>
  <c r="E5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36" i="10"/>
  <c r="Z166" i="10"/>
  <c r="Y166" i="10"/>
  <c r="X166" i="10"/>
  <c r="W166" i="10"/>
  <c r="R166" i="10"/>
  <c r="Q166" i="10"/>
  <c r="P166" i="10"/>
  <c r="O166" i="10"/>
  <c r="J166" i="10"/>
  <c r="I166" i="10"/>
  <c r="H166" i="10"/>
  <c r="G166" i="10"/>
  <c r="Z165" i="10"/>
  <c r="Y165" i="10"/>
  <c r="X165" i="10"/>
  <c r="W165" i="10"/>
  <c r="R165" i="10"/>
  <c r="Q165" i="10"/>
  <c r="P165" i="10"/>
  <c r="O165" i="10"/>
  <c r="J165" i="10"/>
  <c r="I165" i="10"/>
  <c r="H165" i="10"/>
  <c r="G165" i="10"/>
  <c r="Z164" i="10"/>
  <c r="Y164" i="10"/>
  <c r="X164" i="10"/>
  <c r="W164" i="10"/>
  <c r="R164" i="10"/>
  <c r="Q164" i="10"/>
  <c r="P164" i="10"/>
  <c r="O164" i="10"/>
  <c r="J164" i="10"/>
  <c r="I164" i="10"/>
  <c r="H164" i="10"/>
  <c r="G164" i="10"/>
  <c r="Z163" i="10"/>
  <c r="Y163" i="10"/>
  <c r="X163" i="10"/>
  <c r="W163" i="10"/>
  <c r="R163" i="10"/>
  <c r="Q163" i="10"/>
  <c r="P163" i="10"/>
  <c r="O163" i="10"/>
  <c r="J163" i="10"/>
  <c r="I163" i="10"/>
  <c r="H163" i="10"/>
  <c r="G163" i="10"/>
  <c r="Z162" i="10"/>
  <c r="Y162" i="10"/>
  <c r="X162" i="10"/>
  <c r="W162" i="10"/>
  <c r="R162" i="10"/>
  <c r="Q162" i="10"/>
  <c r="P162" i="10"/>
  <c r="O162" i="10"/>
  <c r="J162" i="10"/>
  <c r="I162" i="10"/>
  <c r="H162" i="10"/>
  <c r="G162" i="10"/>
  <c r="Z161" i="10"/>
  <c r="Y161" i="10"/>
  <c r="X161" i="10"/>
  <c r="W161" i="10"/>
  <c r="R161" i="10"/>
  <c r="Q161" i="10"/>
  <c r="P161" i="10"/>
  <c r="O161" i="10"/>
  <c r="J161" i="10"/>
  <c r="I161" i="10"/>
  <c r="H161" i="10"/>
  <c r="G161" i="10"/>
  <c r="Z160" i="10"/>
  <c r="Y160" i="10"/>
  <c r="X160" i="10"/>
  <c r="W160" i="10"/>
  <c r="R160" i="10"/>
  <c r="Q160" i="10"/>
  <c r="P160" i="10"/>
  <c r="O160" i="10"/>
  <c r="J160" i="10"/>
  <c r="I160" i="10"/>
  <c r="H160" i="10"/>
  <c r="G160" i="10"/>
  <c r="Z159" i="10"/>
  <c r="Y159" i="10"/>
  <c r="X159" i="10"/>
  <c r="W159" i="10"/>
  <c r="R159" i="10"/>
  <c r="Q159" i="10"/>
  <c r="P159" i="10"/>
  <c r="O159" i="10"/>
  <c r="J159" i="10"/>
  <c r="I159" i="10"/>
  <c r="H159" i="10"/>
  <c r="G159" i="10"/>
  <c r="Z158" i="10"/>
  <c r="Y158" i="10"/>
  <c r="X158" i="10"/>
  <c r="W158" i="10"/>
  <c r="R158" i="10"/>
  <c r="Q158" i="10"/>
  <c r="P158" i="10"/>
  <c r="O158" i="10"/>
  <c r="J158" i="10"/>
  <c r="I158" i="10"/>
  <c r="H158" i="10"/>
  <c r="G158" i="10"/>
  <c r="Z157" i="10"/>
  <c r="Y157" i="10"/>
  <c r="X157" i="10"/>
  <c r="W157" i="10"/>
  <c r="R157" i="10"/>
  <c r="Q157" i="10"/>
  <c r="P157" i="10"/>
  <c r="O157" i="10"/>
  <c r="J157" i="10"/>
  <c r="I157" i="10"/>
  <c r="H157" i="10"/>
  <c r="G157" i="10"/>
  <c r="Z156" i="10"/>
  <c r="Y156" i="10"/>
  <c r="X156" i="10"/>
  <c r="W156" i="10"/>
  <c r="R156" i="10"/>
  <c r="Q156" i="10"/>
  <c r="P156" i="10"/>
  <c r="O156" i="10"/>
  <c r="J156" i="10"/>
  <c r="I156" i="10"/>
  <c r="H156" i="10"/>
  <c r="G156" i="10"/>
  <c r="Z155" i="10"/>
  <c r="Y155" i="10"/>
  <c r="X155" i="10"/>
  <c r="W155" i="10"/>
  <c r="R155" i="10"/>
  <c r="Q155" i="10"/>
  <c r="P155" i="10"/>
  <c r="O155" i="10"/>
  <c r="J155" i="10"/>
  <c r="I155" i="10"/>
  <c r="H155" i="10"/>
  <c r="G155" i="10"/>
  <c r="Z154" i="10"/>
  <c r="Y154" i="10"/>
  <c r="X154" i="10"/>
  <c r="W154" i="10"/>
  <c r="R154" i="10"/>
  <c r="Q154" i="10"/>
  <c r="P154" i="10"/>
  <c r="O154" i="10"/>
  <c r="J154" i="10"/>
  <c r="I154" i="10"/>
  <c r="H154" i="10"/>
  <c r="G154" i="10"/>
  <c r="Z153" i="10"/>
  <c r="Y153" i="10"/>
  <c r="X153" i="10"/>
  <c r="W153" i="10"/>
  <c r="R153" i="10"/>
  <c r="Q153" i="10"/>
  <c r="P153" i="10"/>
  <c r="O153" i="10"/>
  <c r="J153" i="10"/>
  <c r="I153" i="10"/>
  <c r="H153" i="10"/>
  <c r="G153" i="10"/>
  <c r="Z152" i="10"/>
  <c r="Y152" i="10"/>
  <c r="X152" i="10"/>
  <c r="W152" i="10"/>
  <c r="R152" i="10"/>
  <c r="Q152" i="10"/>
  <c r="P152" i="10"/>
  <c r="O152" i="10"/>
  <c r="J152" i="10"/>
  <c r="I152" i="10"/>
  <c r="H152" i="10"/>
  <c r="G152" i="10"/>
  <c r="Z151" i="10"/>
  <c r="Y151" i="10"/>
  <c r="X151" i="10"/>
  <c r="W151" i="10"/>
  <c r="R151" i="10"/>
  <c r="Q151" i="10"/>
  <c r="P151" i="10"/>
  <c r="O151" i="10"/>
  <c r="J151" i="10"/>
  <c r="I151" i="10"/>
  <c r="H151" i="10"/>
  <c r="G151" i="10"/>
  <c r="Z150" i="10"/>
  <c r="Y150" i="10"/>
  <c r="X150" i="10"/>
  <c r="W150" i="10"/>
  <c r="R150" i="10"/>
  <c r="Q150" i="10"/>
  <c r="P150" i="10"/>
  <c r="O150" i="10"/>
  <c r="J150" i="10"/>
  <c r="I150" i="10"/>
  <c r="H150" i="10"/>
  <c r="G150" i="10"/>
  <c r="Z149" i="10"/>
  <c r="Y149" i="10"/>
  <c r="X149" i="10"/>
  <c r="W149" i="10"/>
  <c r="R149" i="10"/>
  <c r="Q149" i="10"/>
  <c r="P149" i="10"/>
  <c r="O149" i="10"/>
  <c r="J149" i="10"/>
  <c r="I149" i="10"/>
  <c r="H149" i="10"/>
  <c r="G149" i="10"/>
  <c r="Z148" i="10"/>
  <c r="Y148" i="10"/>
  <c r="X148" i="10"/>
  <c r="W148" i="10"/>
  <c r="R148" i="10"/>
  <c r="Q148" i="10"/>
  <c r="P148" i="10"/>
  <c r="O148" i="10"/>
  <c r="J148" i="10"/>
  <c r="I148" i="10"/>
  <c r="H148" i="10"/>
  <c r="G148" i="10"/>
  <c r="Z147" i="10"/>
  <c r="Y147" i="10"/>
  <c r="X147" i="10"/>
  <c r="W147" i="10"/>
  <c r="R147" i="10"/>
  <c r="Q147" i="10"/>
  <c r="P147" i="10"/>
  <c r="O147" i="10"/>
  <c r="J147" i="10"/>
  <c r="I147" i="10"/>
  <c r="H147" i="10"/>
  <c r="G147" i="10"/>
  <c r="Z146" i="10"/>
  <c r="Y146" i="10"/>
  <c r="X146" i="10"/>
  <c r="W146" i="10"/>
  <c r="R146" i="10"/>
  <c r="Q146" i="10"/>
  <c r="P146" i="10"/>
  <c r="O146" i="10"/>
  <c r="J146" i="10"/>
  <c r="I146" i="10"/>
  <c r="H146" i="10"/>
  <c r="G146" i="10"/>
  <c r="Z145" i="10"/>
  <c r="Y145" i="10"/>
  <c r="X145" i="10"/>
  <c r="W145" i="10"/>
  <c r="J145" i="10"/>
  <c r="N145" i="10" s="1"/>
  <c r="R145" i="10" s="1"/>
  <c r="I145" i="10"/>
  <c r="M145" i="10" s="1"/>
  <c r="Q145" i="10" s="1"/>
  <c r="H145" i="10"/>
  <c r="L145" i="10" s="1"/>
  <c r="P145" i="10" s="1"/>
  <c r="G145" i="10"/>
  <c r="K145" i="10" s="1"/>
  <c r="O145" i="10" s="1"/>
  <c r="Z140" i="10"/>
  <c r="Y140" i="10"/>
  <c r="X140" i="10"/>
  <c r="W140" i="10"/>
  <c r="R140" i="10"/>
  <c r="Q140" i="10"/>
  <c r="P140" i="10"/>
  <c r="O140" i="10"/>
  <c r="J140" i="10"/>
  <c r="I140" i="10"/>
  <c r="H140" i="10"/>
  <c r="G140" i="10"/>
  <c r="Z139" i="10"/>
  <c r="Y139" i="10"/>
  <c r="X139" i="10"/>
  <c r="W139" i="10"/>
  <c r="R139" i="10"/>
  <c r="Q139" i="10"/>
  <c r="P139" i="10"/>
  <c r="O139" i="10"/>
  <c r="J139" i="10"/>
  <c r="I139" i="10"/>
  <c r="H139" i="10"/>
  <c r="G139" i="10"/>
  <c r="Z138" i="10"/>
  <c r="Y138" i="10"/>
  <c r="X138" i="10"/>
  <c r="W138" i="10"/>
  <c r="R138" i="10"/>
  <c r="Q138" i="10"/>
  <c r="P138" i="10"/>
  <c r="O138" i="10"/>
  <c r="J138" i="10"/>
  <c r="I138" i="10"/>
  <c r="H138" i="10"/>
  <c r="G138" i="10"/>
  <c r="Z137" i="10"/>
  <c r="Y137" i="10"/>
  <c r="X137" i="10"/>
  <c r="W137" i="10"/>
  <c r="R137" i="10"/>
  <c r="Q137" i="10"/>
  <c r="P137" i="10"/>
  <c r="O137" i="10"/>
  <c r="J137" i="10"/>
  <c r="I137" i="10"/>
  <c r="H137" i="10"/>
  <c r="G137" i="10"/>
  <c r="Z136" i="10"/>
  <c r="Y136" i="10"/>
  <c r="X136" i="10"/>
  <c r="W136" i="10"/>
  <c r="R136" i="10"/>
  <c r="Q136" i="10"/>
  <c r="P136" i="10"/>
  <c r="O136" i="10"/>
  <c r="J136" i="10"/>
  <c r="I136" i="10"/>
  <c r="H136" i="10"/>
  <c r="G136" i="10"/>
  <c r="Z135" i="10"/>
  <c r="Y135" i="10"/>
  <c r="X135" i="10"/>
  <c r="W135" i="10"/>
  <c r="R135" i="10"/>
  <c r="Q135" i="10"/>
  <c r="P135" i="10"/>
  <c r="O135" i="10"/>
  <c r="J135" i="10"/>
  <c r="I135" i="10"/>
  <c r="H135" i="10"/>
  <c r="G135" i="10"/>
  <c r="Z134" i="10"/>
  <c r="Y134" i="10"/>
  <c r="X134" i="10"/>
  <c r="W134" i="10"/>
  <c r="R134" i="10"/>
  <c r="Q134" i="10"/>
  <c r="P134" i="10"/>
  <c r="O134" i="10"/>
  <c r="J134" i="10"/>
  <c r="I134" i="10"/>
  <c r="H134" i="10"/>
  <c r="G134" i="10"/>
  <c r="Z133" i="10"/>
  <c r="Y133" i="10"/>
  <c r="X133" i="10"/>
  <c r="W133" i="10"/>
  <c r="R133" i="10"/>
  <c r="Q133" i="10"/>
  <c r="P133" i="10"/>
  <c r="O133" i="10"/>
  <c r="J133" i="10"/>
  <c r="I133" i="10"/>
  <c r="H133" i="10"/>
  <c r="G133" i="10"/>
  <c r="Z132" i="10"/>
  <c r="Y132" i="10"/>
  <c r="X132" i="10"/>
  <c r="W132" i="10"/>
  <c r="R132" i="10"/>
  <c r="Q132" i="10"/>
  <c r="P132" i="10"/>
  <c r="O132" i="10"/>
  <c r="J132" i="10"/>
  <c r="I132" i="10"/>
  <c r="H132" i="10"/>
  <c r="G132" i="10"/>
  <c r="Z131" i="10"/>
  <c r="Y131" i="10"/>
  <c r="X131" i="10"/>
  <c r="W131" i="10"/>
  <c r="R131" i="10"/>
  <c r="Q131" i="10"/>
  <c r="P131" i="10"/>
  <c r="O131" i="10"/>
  <c r="J131" i="10"/>
  <c r="I131" i="10"/>
  <c r="H131" i="10"/>
  <c r="G131" i="10"/>
  <c r="Z130" i="10"/>
  <c r="Y130" i="10"/>
  <c r="X130" i="10"/>
  <c r="W130" i="10"/>
  <c r="R130" i="10"/>
  <c r="Q130" i="10"/>
  <c r="P130" i="10"/>
  <c r="O130" i="10"/>
  <c r="J130" i="10"/>
  <c r="I130" i="10"/>
  <c r="H130" i="10"/>
  <c r="G130" i="10"/>
  <c r="Z129" i="10"/>
  <c r="Y129" i="10"/>
  <c r="X129" i="10"/>
  <c r="W129" i="10"/>
  <c r="R129" i="10"/>
  <c r="Q129" i="10"/>
  <c r="P129" i="10"/>
  <c r="O129" i="10"/>
  <c r="J129" i="10"/>
  <c r="I129" i="10"/>
  <c r="H129" i="10"/>
  <c r="G129" i="10"/>
  <c r="Z128" i="10"/>
  <c r="Y128" i="10"/>
  <c r="X128" i="10"/>
  <c r="W128" i="10"/>
  <c r="R128" i="10"/>
  <c r="Q128" i="10"/>
  <c r="P128" i="10"/>
  <c r="O128" i="10"/>
  <c r="J128" i="10"/>
  <c r="I128" i="10"/>
  <c r="H128" i="10"/>
  <c r="G128" i="10"/>
  <c r="Z127" i="10"/>
  <c r="Y127" i="10"/>
  <c r="X127" i="10"/>
  <c r="W127" i="10"/>
  <c r="R127" i="10"/>
  <c r="Q127" i="10"/>
  <c r="P127" i="10"/>
  <c r="O127" i="10"/>
  <c r="J127" i="10"/>
  <c r="I127" i="10"/>
  <c r="H127" i="10"/>
  <c r="G127" i="10"/>
  <c r="Z126" i="10"/>
  <c r="Y126" i="10"/>
  <c r="X126" i="10"/>
  <c r="W126" i="10"/>
  <c r="R126" i="10"/>
  <c r="Q126" i="10"/>
  <c r="P126" i="10"/>
  <c r="O126" i="10"/>
  <c r="J126" i="10"/>
  <c r="I126" i="10"/>
  <c r="H126" i="10"/>
  <c r="G126" i="10"/>
  <c r="Z125" i="10"/>
  <c r="Y125" i="10"/>
  <c r="X125" i="10"/>
  <c r="W125" i="10"/>
  <c r="R125" i="10"/>
  <c r="Q125" i="10"/>
  <c r="P125" i="10"/>
  <c r="O125" i="10"/>
  <c r="J125" i="10"/>
  <c r="I125" i="10"/>
  <c r="H125" i="10"/>
  <c r="G125" i="10"/>
  <c r="Z124" i="10"/>
  <c r="Y124" i="10"/>
  <c r="X124" i="10"/>
  <c r="W124" i="10"/>
  <c r="R124" i="10"/>
  <c r="Q124" i="10"/>
  <c r="P124" i="10"/>
  <c r="O124" i="10"/>
  <c r="J124" i="10"/>
  <c r="I124" i="10"/>
  <c r="H124" i="10"/>
  <c r="G124" i="10"/>
  <c r="Z123" i="10"/>
  <c r="Y123" i="10"/>
  <c r="X123" i="10"/>
  <c r="W123" i="10"/>
  <c r="R123" i="10"/>
  <c r="Q123" i="10"/>
  <c r="P123" i="10"/>
  <c r="O123" i="10"/>
  <c r="J123" i="10"/>
  <c r="I123" i="10"/>
  <c r="H123" i="10"/>
  <c r="G123" i="10"/>
  <c r="Z122" i="10"/>
  <c r="Y122" i="10"/>
  <c r="X122" i="10"/>
  <c r="W122" i="10"/>
  <c r="R122" i="10"/>
  <c r="Q122" i="10"/>
  <c r="P122" i="10"/>
  <c r="O122" i="10"/>
  <c r="J122" i="10"/>
  <c r="I122" i="10"/>
  <c r="H122" i="10"/>
  <c r="G122" i="10"/>
  <c r="Z121" i="10"/>
  <c r="Y121" i="10"/>
  <c r="X121" i="10"/>
  <c r="W121" i="10"/>
  <c r="R121" i="10"/>
  <c r="Q121" i="10"/>
  <c r="P121" i="10"/>
  <c r="O121" i="10"/>
  <c r="J121" i="10"/>
  <c r="I121" i="10"/>
  <c r="H121" i="10"/>
  <c r="G121" i="10"/>
  <c r="Z120" i="10"/>
  <c r="Y120" i="10"/>
  <c r="X120" i="10"/>
  <c r="W120" i="10"/>
  <c r="R120" i="10"/>
  <c r="Q120" i="10"/>
  <c r="P120" i="10"/>
  <c r="O120" i="10"/>
  <c r="J120" i="10"/>
  <c r="I120" i="10"/>
  <c r="H120" i="10"/>
  <c r="G120" i="10"/>
  <c r="Z119" i="10"/>
  <c r="Y119" i="10"/>
  <c r="X119" i="10"/>
  <c r="W119" i="10"/>
  <c r="J119" i="10"/>
  <c r="N119" i="10" s="1"/>
  <c r="R119" i="10" s="1"/>
  <c r="I119" i="10"/>
  <c r="M119" i="10" s="1"/>
  <c r="Q119" i="10" s="1"/>
  <c r="H119" i="10"/>
  <c r="L119" i="10" s="1"/>
  <c r="P119" i="10" s="1"/>
  <c r="G119" i="10"/>
  <c r="K119" i="10" s="1"/>
  <c r="O119" i="10" s="1"/>
  <c r="Z114" i="10"/>
  <c r="Y114" i="10"/>
  <c r="X114" i="10"/>
  <c r="W114" i="10"/>
  <c r="R114" i="10"/>
  <c r="Q114" i="10"/>
  <c r="P114" i="10"/>
  <c r="O114" i="10"/>
  <c r="J114" i="10"/>
  <c r="I114" i="10"/>
  <c r="H114" i="10"/>
  <c r="G114" i="10"/>
  <c r="Z113" i="10"/>
  <c r="Y113" i="10"/>
  <c r="X113" i="10"/>
  <c r="W113" i="10"/>
  <c r="R113" i="10"/>
  <c r="Q113" i="10"/>
  <c r="P113" i="10"/>
  <c r="O113" i="10"/>
  <c r="J113" i="10"/>
  <c r="I113" i="10"/>
  <c r="H113" i="10"/>
  <c r="G113" i="10"/>
  <c r="Z112" i="10"/>
  <c r="Y112" i="10"/>
  <c r="X112" i="10"/>
  <c r="W112" i="10"/>
  <c r="R112" i="10"/>
  <c r="Q112" i="10"/>
  <c r="P112" i="10"/>
  <c r="O112" i="10"/>
  <c r="J112" i="10"/>
  <c r="I112" i="10"/>
  <c r="H112" i="10"/>
  <c r="G112" i="10"/>
  <c r="Z111" i="10"/>
  <c r="Y111" i="10"/>
  <c r="X111" i="10"/>
  <c r="W111" i="10"/>
  <c r="R111" i="10"/>
  <c r="Q111" i="10"/>
  <c r="P111" i="10"/>
  <c r="O111" i="10"/>
  <c r="J111" i="10"/>
  <c r="I111" i="10"/>
  <c r="H111" i="10"/>
  <c r="G111" i="10"/>
  <c r="Z110" i="10"/>
  <c r="Y110" i="10"/>
  <c r="X110" i="10"/>
  <c r="W110" i="10"/>
  <c r="R110" i="10"/>
  <c r="Q110" i="10"/>
  <c r="P110" i="10"/>
  <c r="O110" i="10"/>
  <c r="J110" i="10"/>
  <c r="I110" i="10"/>
  <c r="H110" i="10"/>
  <c r="G110" i="10"/>
  <c r="Z109" i="10"/>
  <c r="Y109" i="10"/>
  <c r="X109" i="10"/>
  <c r="W109" i="10"/>
  <c r="R109" i="10"/>
  <c r="Q109" i="10"/>
  <c r="P109" i="10"/>
  <c r="O109" i="10"/>
  <c r="J109" i="10"/>
  <c r="I109" i="10"/>
  <c r="H109" i="10"/>
  <c r="G109" i="10"/>
  <c r="Z108" i="10"/>
  <c r="Y108" i="10"/>
  <c r="X108" i="10"/>
  <c r="W108" i="10"/>
  <c r="R108" i="10"/>
  <c r="Q108" i="10"/>
  <c r="P108" i="10"/>
  <c r="O108" i="10"/>
  <c r="J108" i="10"/>
  <c r="I108" i="10"/>
  <c r="H108" i="10"/>
  <c r="G108" i="10"/>
  <c r="Z107" i="10"/>
  <c r="Y107" i="10"/>
  <c r="X107" i="10"/>
  <c r="W107" i="10"/>
  <c r="R107" i="10"/>
  <c r="Q107" i="10"/>
  <c r="P107" i="10"/>
  <c r="O107" i="10"/>
  <c r="J107" i="10"/>
  <c r="I107" i="10"/>
  <c r="H107" i="10"/>
  <c r="G107" i="10"/>
  <c r="Z106" i="10"/>
  <c r="Y106" i="10"/>
  <c r="X106" i="10"/>
  <c r="W106" i="10"/>
  <c r="R106" i="10"/>
  <c r="Q106" i="10"/>
  <c r="P106" i="10"/>
  <c r="O106" i="10"/>
  <c r="J106" i="10"/>
  <c r="I106" i="10"/>
  <c r="H106" i="10"/>
  <c r="G106" i="10"/>
  <c r="Z105" i="10"/>
  <c r="Y105" i="10"/>
  <c r="X105" i="10"/>
  <c r="W105" i="10"/>
  <c r="R105" i="10"/>
  <c r="Q105" i="10"/>
  <c r="P105" i="10"/>
  <c r="O105" i="10"/>
  <c r="J105" i="10"/>
  <c r="I105" i="10"/>
  <c r="H105" i="10"/>
  <c r="G105" i="10"/>
  <c r="Z104" i="10"/>
  <c r="Y104" i="10"/>
  <c r="X104" i="10"/>
  <c r="W104" i="10"/>
  <c r="R104" i="10"/>
  <c r="Q104" i="10"/>
  <c r="P104" i="10"/>
  <c r="O104" i="10"/>
  <c r="J104" i="10"/>
  <c r="I104" i="10"/>
  <c r="H104" i="10"/>
  <c r="G104" i="10"/>
  <c r="Z103" i="10"/>
  <c r="Y103" i="10"/>
  <c r="X103" i="10"/>
  <c r="W103" i="10"/>
  <c r="R103" i="10"/>
  <c r="Q103" i="10"/>
  <c r="P103" i="10"/>
  <c r="O103" i="10"/>
  <c r="J103" i="10"/>
  <c r="I103" i="10"/>
  <c r="H103" i="10"/>
  <c r="G103" i="10"/>
  <c r="Z102" i="10"/>
  <c r="Y102" i="10"/>
  <c r="X102" i="10"/>
  <c r="W102" i="10"/>
  <c r="R102" i="10"/>
  <c r="Q102" i="10"/>
  <c r="P102" i="10"/>
  <c r="O102" i="10"/>
  <c r="J102" i="10"/>
  <c r="I102" i="10"/>
  <c r="H102" i="10"/>
  <c r="G102" i="10"/>
  <c r="Z101" i="10"/>
  <c r="Y101" i="10"/>
  <c r="X101" i="10"/>
  <c r="W101" i="10"/>
  <c r="R101" i="10"/>
  <c r="Q101" i="10"/>
  <c r="P101" i="10"/>
  <c r="O101" i="10"/>
  <c r="J101" i="10"/>
  <c r="I101" i="10"/>
  <c r="H101" i="10"/>
  <c r="G101" i="10"/>
  <c r="Z100" i="10"/>
  <c r="Y100" i="10"/>
  <c r="X100" i="10"/>
  <c r="W100" i="10"/>
  <c r="R100" i="10"/>
  <c r="Q100" i="10"/>
  <c r="P100" i="10"/>
  <c r="O100" i="10"/>
  <c r="J100" i="10"/>
  <c r="I100" i="10"/>
  <c r="H100" i="10"/>
  <c r="G100" i="10"/>
  <c r="Z99" i="10"/>
  <c r="Y99" i="10"/>
  <c r="X99" i="10"/>
  <c r="W99" i="10"/>
  <c r="R99" i="10"/>
  <c r="Q99" i="10"/>
  <c r="P99" i="10"/>
  <c r="O99" i="10"/>
  <c r="J99" i="10"/>
  <c r="I99" i="10"/>
  <c r="H99" i="10"/>
  <c r="G99" i="10"/>
  <c r="Z98" i="10"/>
  <c r="Y98" i="10"/>
  <c r="X98" i="10"/>
  <c r="W98" i="10"/>
  <c r="R98" i="10"/>
  <c r="Q98" i="10"/>
  <c r="P98" i="10"/>
  <c r="O98" i="10"/>
  <c r="J98" i="10"/>
  <c r="I98" i="10"/>
  <c r="H98" i="10"/>
  <c r="G98" i="10"/>
  <c r="Z97" i="10"/>
  <c r="Y97" i="10"/>
  <c r="X97" i="10"/>
  <c r="W97" i="10"/>
  <c r="R97" i="10"/>
  <c r="Q97" i="10"/>
  <c r="P97" i="10"/>
  <c r="O97" i="10"/>
  <c r="J97" i="10"/>
  <c r="I97" i="10"/>
  <c r="H97" i="10"/>
  <c r="G97" i="10"/>
  <c r="Z96" i="10"/>
  <c r="Y96" i="10"/>
  <c r="X96" i="10"/>
  <c r="W96" i="10"/>
  <c r="R96" i="10"/>
  <c r="Q96" i="10"/>
  <c r="P96" i="10"/>
  <c r="O96" i="10"/>
  <c r="J96" i="10"/>
  <c r="I96" i="10"/>
  <c r="H96" i="10"/>
  <c r="G96" i="10"/>
  <c r="Z95" i="10"/>
  <c r="Y95" i="10"/>
  <c r="X95" i="10"/>
  <c r="W95" i="10"/>
  <c r="R95" i="10"/>
  <c r="Q95" i="10"/>
  <c r="P95" i="10"/>
  <c r="O95" i="10"/>
  <c r="J95" i="10"/>
  <c r="I95" i="10"/>
  <c r="H95" i="10"/>
  <c r="G95" i="10"/>
  <c r="Z94" i="10"/>
  <c r="Y94" i="10"/>
  <c r="X94" i="10"/>
  <c r="W94" i="10"/>
  <c r="R94" i="10"/>
  <c r="Q94" i="10"/>
  <c r="P94" i="10"/>
  <c r="O94" i="10"/>
  <c r="J94" i="10"/>
  <c r="I94" i="10"/>
  <c r="H94" i="10"/>
  <c r="G94" i="10"/>
  <c r="Z93" i="10"/>
  <c r="Y93" i="10"/>
  <c r="X93" i="10"/>
  <c r="W93" i="10"/>
  <c r="J93" i="10"/>
  <c r="N93" i="10" s="1"/>
  <c r="R93" i="10" s="1"/>
  <c r="I93" i="10"/>
  <c r="M93" i="10" s="1"/>
  <c r="Q93" i="10" s="1"/>
  <c r="H93" i="10"/>
  <c r="L93" i="10" s="1"/>
  <c r="P93" i="10" s="1"/>
  <c r="G93" i="10"/>
  <c r="K93" i="10" s="1"/>
  <c r="O93" i="10" s="1"/>
  <c r="AE26" i="8" l="1"/>
  <c r="K17" i="8"/>
  <c r="AR18" i="8"/>
  <c r="L24" i="8"/>
  <c r="AX25" i="8"/>
  <c r="AQ27" i="8"/>
  <c r="AA15" i="8"/>
  <c r="AU15" i="8"/>
  <c r="O21" i="8"/>
  <c r="AE10" i="8"/>
  <c r="O13" i="8"/>
  <c r="AB14" i="8"/>
  <c r="R16" i="8"/>
  <c r="AE12" i="8"/>
  <c r="AU17" i="8"/>
  <c r="AU9" i="8"/>
  <c r="AU23" i="8"/>
  <c r="AE18" i="8"/>
  <c r="AA18" i="8"/>
  <c r="AQ23" i="8"/>
  <c r="AB25" i="8"/>
  <c r="R27" i="8"/>
  <c r="O20" i="8"/>
  <c r="O25" i="8"/>
  <c r="O17" i="8"/>
  <c r="O9" i="8"/>
  <c r="AE22" i="8"/>
  <c r="AE14" i="8"/>
  <c r="AU27" i="8"/>
  <c r="AM19" i="8"/>
  <c r="AU11" i="8"/>
  <c r="K23" i="8"/>
  <c r="AR24" i="8"/>
  <c r="AX17" i="8"/>
  <c r="AQ19" i="8"/>
  <c r="AB21" i="8"/>
  <c r="R23" i="8"/>
  <c r="K25" i="8"/>
  <c r="AR26" i="8"/>
  <c r="AH28" i="8"/>
  <c r="K8" i="8"/>
  <c r="AV15" i="8"/>
  <c r="P27" i="8"/>
  <c r="P19" i="8"/>
  <c r="P11" i="8"/>
  <c r="AF16" i="8"/>
  <c r="AV21" i="8"/>
  <c r="O11" i="8"/>
  <c r="AH8" i="8"/>
  <c r="AA10" i="8"/>
  <c r="AX13" i="8"/>
  <c r="AA17" i="8"/>
  <c r="AH22" i="8"/>
  <c r="AX27" i="8"/>
  <c r="AX20" i="8"/>
  <c r="AB24" i="8"/>
  <c r="R26" i="8"/>
  <c r="K28" i="8"/>
  <c r="AH24" i="8"/>
  <c r="AA26" i="8"/>
  <c r="P25" i="8"/>
  <c r="X22" i="8"/>
  <c r="X14" i="8"/>
  <c r="AV27" i="8"/>
  <c r="K9" i="8"/>
  <c r="AR10" i="8"/>
  <c r="AH12" i="8"/>
  <c r="AA14" i="8"/>
  <c r="AR17" i="8"/>
  <c r="AH19" i="8"/>
  <c r="L23" i="8"/>
  <c r="AX24" i="8"/>
  <c r="AQ26" i="8"/>
  <c r="AU62" i="8"/>
  <c r="AV79" i="8"/>
  <c r="AV75" i="8"/>
  <c r="AV71" i="8"/>
  <c r="AV67" i="8"/>
  <c r="AV63" i="8"/>
  <c r="AR8" i="8"/>
  <c r="R9" i="8"/>
  <c r="AQ9" i="8"/>
  <c r="L10" i="8"/>
  <c r="AH10" i="8"/>
  <c r="AB11" i="8"/>
  <c r="AX11" i="8"/>
  <c r="AA12" i="8"/>
  <c r="AR12" i="8"/>
  <c r="R13" i="8"/>
  <c r="AQ13" i="8"/>
  <c r="AH14" i="8"/>
  <c r="K15" i="8"/>
  <c r="AB15" i="8"/>
  <c r="L17" i="8"/>
  <c r="AH17" i="8"/>
  <c r="AV82" i="8"/>
  <c r="AV78" i="8"/>
  <c r="AV74" i="8"/>
  <c r="AV72" i="8"/>
  <c r="AV70" i="8"/>
  <c r="AV66" i="8"/>
  <c r="AV64" i="8"/>
  <c r="AR13" i="8"/>
  <c r="R14" i="8"/>
  <c r="AQ14" i="8"/>
  <c r="G28" i="8"/>
  <c r="O26" i="8"/>
  <c r="G24" i="8"/>
  <c r="O22" i="8"/>
  <c r="G20" i="8"/>
  <c r="O18" i="8"/>
  <c r="G16" i="8"/>
  <c r="O14" i="8"/>
  <c r="G12" i="8"/>
  <c r="O10" i="8"/>
  <c r="AE27" i="8"/>
  <c r="W25" i="8"/>
  <c r="AE23" i="8"/>
  <c r="W21" i="8"/>
  <c r="AE19" i="8"/>
  <c r="W17" i="8"/>
  <c r="W13" i="8"/>
  <c r="W9" i="8"/>
  <c r="AU28" i="8"/>
  <c r="AU26" i="8"/>
  <c r="AU24" i="8"/>
  <c r="AU22" i="8"/>
  <c r="AU20" i="8"/>
  <c r="AU18" i="8"/>
  <c r="AU12" i="8"/>
  <c r="AB16" i="8"/>
  <c r="AQ17" i="8"/>
  <c r="AH18" i="8"/>
  <c r="AB19" i="8"/>
  <c r="AX19" i="8"/>
  <c r="AB8" i="8"/>
  <c r="AA9" i="8"/>
  <c r="R10" i="8"/>
  <c r="AQ10" i="8"/>
  <c r="L11" i="8"/>
  <c r="AX12" i="8"/>
  <c r="AA13" i="8"/>
  <c r="AX15" i="8"/>
  <c r="AR16" i="8"/>
  <c r="AB18" i="8"/>
  <c r="AA19" i="8"/>
  <c r="AR19" i="8"/>
  <c r="AU82" i="8"/>
  <c r="AU80" i="8"/>
  <c r="AU78" i="8"/>
  <c r="AU74" i="8"/>
  <c r="AU72" i="8"/>
  <c r="AU70" i="8"/>
  <c r="AU66" i="8"/>
  <c r="R20" i="8"/>
  <c r="AQ20" i="8"/>
  <c r="AH21" i="8"/>
  <c r="K22" i="8"/>
  <c r="AB22" i="8"/>
  <c r="AV13" i="8"/>
  <c r="AQ8" i="8"/>
  <c r="K10" i="8"/>
  <c r="AB10" i="8"/>
  <c r="AX10" i="8"/>
  <c r="AA11" i="8"/>
  <c r="AR11" i="8"/>
  <c r="R12" i="8"/>
  <c r="AQ12" i="8"/>
  <c r="L13" i="8"/>
  <c r="AH13" i="8"/>
  <c r="AQ15" i="8"/>
  <c r="L16" i="8"/>
  <c r="AH16" i="8"/>
  <c r="AA20" i="8"/>
  <c r="AR20" i="8"/>
  <c r="R21" i="8"/>
  <c r="AQ21" i="8"/>
  <c r="AR23" i="8"/>
  <c r="R24" i="8"/>
  <c r="AQ24" i="8"/>
  <c r="L25" i="8"/>
  <c r="AH25" i="8"/>
  <c r="AB26" i="8"/>
  <c r="AA27" i="8"/>
  <c r="AR27" i="8"/>
  <c r="R28" i="8"/>
  <c r="AQ28" i="8"/>
  <c r="P26" i="8"/>
  <c r="P22" i="8"/>
  <c r="P18" i="8"/>
  <c r="P16" i="8"/>
  <c r="P10" i="8"/>
  <c r="AF27" i="8"/>
  <c r="AF23" i="8"/>
  <c r="AF11" i="8"/>
  <c r="AF9" i="8"/>
  <c r="AV28" i="8"/>
  <c r="AV24" i="8"/>
  <c r="AV20" i="8"/>
  <c r="AN16" i="8"/>
  <c r="AV12" i="8"/>
  <c r="AV62" i="8"/>
  <c r="AU79" i="8"/>
  <c r="AU73" i="8"/>
  <c r="AU69" i="8"/>
  <c r="AU65" i="8"/>
  <c r="AU81" i="8"/>
  <c r="AU77" i="8"/>
  <c r="AU75" i="8"/>
  <c r="AU71" i="8"/>
  <c r="AU67" i="8"/>
  <c r="AU63" i="8"/>
  <c r="BA17" i="2"/>
  <c r="H175" i="21"/>
  <c r="O92" i="8"/>
  <c r="O12" i="8" s="1"/>
  <c r="AE101" i="8"/>
  <c r="AE21" i="8" s="1"/>
  <c r="Z64" i="10"/>
  <c r="BQ64" i="10"/>
  <c r="BV64" i="10"/>
  <c r="AS65" i="10"/>
  <c r="AX65" i="10"/>
  <c r="AW64" i="10"/>
  <c r="Y65" i="10"/>
  <c r="T65" i="10"/>
  <c r="O104" i="8"/>
  <c r="O24" i="8" s="1"/>
  <c r="AF98" i="8"/>
  <c r="AF18" i="8" s="1"/>
  <c r="AE89" i="8"/>
  <c r="AE9" i="8" s="1"/>
  <c r="AE105" i="8"/>
  <c r="AE25" i="8" s="1"/>
  <c r="AE97" i="8"/>
  <c r="AE17" i="8" s="1"/>
  <c r="O88" i="8"/>
  <c r="O8" i="8" s="1"/>
  <c r="O96" i="8"/>
  <c r="AU99" i="8"/>
  <c r="AU19" i="8" s="1"/>
  <c r="O108" i="8"/>
  <c r="O28" i="8" s="1"/>
  <c r="AE93" i="8"/>
  <c r="AF90" i="8"/>
  <c r="H21" i="8"/>
  <c r="H18" i="8"/>
  <c r="H12" i="8"/>
  <c r="H9" i="8"/>
  <c r="X24" i="8"/>
  <c r="X15" i="8"/>
  <c r="X12" i="8"/>
  <c r="H26" i="8"/>
  <c r="H17" i="8"/>
  <c r="H14" i="8"/>
  <c r="W8" i="8"/>
  <c r="X20" i="8"/>
  <c r="AM8" i="8"/>
  <c r="AN23" i="8"/>
  <c r="AN17" i="8"/>
  <c r="AN14" i="8"/>
  <c r="AN11" i="8"/>
  <c r="H27" i="8"/>
  <c r="H15" i="8"/>
  <c r="AF106" i="8"/>
  <c r="AF26" i="8" s="1"/>
  <c r="P36" i="8"/>
  <c r="P9" i="8" s="1"/>
  <c r="P39" i="8"/>
  <c r="P12" i="8" s="1"/>
  <c r="AV41" i="8"/>
  <c r="AF42" i="8"/>
  <c r="AF15" i="8" s="1"/>
  <c r="AF51" i="8"/>
  <c r="AF24" i="8" s="1"/>
  <c r="H8" i="8"/>
  <c r="G26" i="8"/>
  <c r="G23" i="8"/>
  <c r="G17" i="8"/>
  <c r="G11" i="8"/>
  <c r="X8" i="8"/>
  <c r="W26" i="8"/>
  <c r="W23" i="8"/>
  <c r="W11" i="8"/>
  <c r="AN8" i="8"/>
  <c r="AM26" i="8"/>
  <c r="AM20" i="8"/>
  <c r="AM17" i="8"/>
  <c r="AM14" i="8"/>
  <c r="AV96" i="8"/>
  <c r="AV16" i="8" s="1"/>
  <c r="AV38" i="8"/>
  <c r="AV11" i="8" s="1"/>
  <c r="AV44" i="8"/>
  <c r="AV17" i="8" s="1"/>
  <c r="P48" i="8"/>
  <c r="H25" i="8"/>
  <c r="H22" i="8"/>
  <c r="H16" i="8"/>
  <c r="H13" i="8"/>
  <c r="H10" i="8"/>
  <c r="X28" i="8"/>
  <c r="X16" i="8"/>
  <c r="AN25" i="8"/>
  <c r="AN19" i="8"/>
  <c r="AN13" i="8"/>
  <c r="AN10" i="8"/>
  <c r="H19" i="8"/>
  <c r="AF94" i="8"/>
  <c r="AF14" i="8" s="1"/>
  <c r="AE35" i="8"/>
  <c r="AE8" i="8" s="1"/>
  <c r="G25" i="8"/>
  <c r="G13" i="8"/>
  <c r="W19" i="8"/>
  <c r="W16" i="8"/>
  <c r="AM28" i="8"/>
  <c r="AM22" i="8"/>
  <c r="AM16" i="8"/>
  <c r="AM13" i="8"/>
  <c r="AM10" i="8"/>
  <c r="AM27" i="8"/>
  <c r="AM23" i="8"/>
  <c r="AM15" i="8"/>
  <c r="AM11" i="8"/>
  <c r="X9" i="8"/>
  <c r="AN27" i="8"/>
  <c r="AN21" i="8"/>
  <c r="AN15" i="8"/>
  <c r="AN9" i="8"/>
  <c r="H23" i="8"/>
  <c r="H11" i="8"/>
  <c r="AN28" i="8"/>
  <c r="AN24" i="8"/>
  <c r="AN20" i="8"/>
  <c r="AN12" i="8"/>
  <c r="AF102" i="8"/>
  <c r="AF22" i="8" s="1"/>
  <c r="AU35" i="8"/>
  <c r="AU8" i="8" s="1"/>
  <c r="P41" i="8"/>
  <c r="P14" i="8" s="1"/>
  <c r="AF47" i="8"/>
  <c r="AF20" i="8" s="1"/>
  <c r="AV50" i="8"/>
  <c r="AV23" i="8" s="1"/>
  <c r="G27" i="8"/>
  <c r="G21" i="8"/>
  <c r="G9" i="8"/>
  <c r="W27" i="8"/>
  <c r="W15" i="8"/>
  <c r="W12" i="8"/>
  <c r="AM24" i="8"/>
  <c r="AM18" i="8"/>
  <c r="AM12" i="8"/>
  <c r="AM9" i="8"/>
  <c r="AS64" i="10"/>
  <c r="AX64" i="10"/>
  <c r="U65" i="10"/>
  <c r="Z65" i="10"/>
  <c r="AH26" i="8"/>
  <c r="L12" i="8"/>
  <c r="L20" i="8"/>
  <c r="AE15" i="8"/>
  <c r="P8" i="8"/>
  <c r="U67" i="10"/>
  <c r="U68" i="10"/>
  <c r="U70" i="10"/>
  <c r="U71" i="10"/>
  <c r="U72" i="10"/>
  <c r="U73" i="10"/>
  <c r="U74" i="10"/>
  <c r="F35" i="7" s="1"/>
  <c r="U75" i="10"/>
  <c r="U76" i="10"/>
  <c r="U77" i="10"/>
  <c r="U79" i="10"/>
  <c r="U80" i="10"/>
  <c r="U81" i="10"/>
  <c r="U82" i="10"/>
  <c r="U83" i="10"/>
  <c r="U84" i="10"/>
  <c r="U69" i="10"/>
  <c r="W64" i="10"/>
  <c r="BS64" i="10"/>
  <c r="AU65" i="10"/>
  <c r="AU66" i="10"/>
  <c r="BS66" i="10"/>
  <c r="AU67" i="10"/>
  <c r="BS67" i="10"/>
  <c r="AU68" i="10"/>
  <c r="BS69" i="10"/>
  <c r="AU70" i="10"/>
  <c r="BS70" i="10"/>
  <c r="W71" i="10"/>
  <c r="AU71" i="10"/>
  <c r="BS71" i="10"/>
  <c r="AU72" i="10"/>
  <c r="BS72" i="10"/>
  <c r="AU73" i="10"/>
  <c r="BS73" i="10"/>
  <c r="BS74" i="10"/>
  <c r="AU75" i="10"/>
  <c r="AU77" i="10"/>
  <c r="AU78" i="10"/>
  <c r="BS78" i="10"/>
  <c r="W79" i="10"/>
  <c r="AU79" i="10"/>
  <c r="AU80" i="10"/>
  <c r="W81" i="10"/>
  <c r="BS81" i="10"/>
  <c r="W82" i="10"/>
  <c r="AU82" i="10"/>
  <c r="BS82" i="10"/>
  <c r="W83" i="10"/>
  <c r="AU83" i="10"/>
  <c r="BS83" i="10"/>
  <c r="W84" i="10"/>
  <c r="AM78" i="10"/>
  <c r="X64" i="10"/>
  <c r="AV64" i="10"/>
  <c r="BT64" i="10"/>
  <c r="X65" i="10"/>
  <c r="AV65" i="10"/>
  <c r="X66" i="10"/>
  <c r="BT66" i="10"/>
  <c r="AV67" i="10"/>
  <c r="X68" i="10"/>
  <c r="AV68" i="10"/>
  <c r="BT68" i="10"/>
  <c r="X69" i="10"/>
  <c r="AV69" i="10"/>
  <c r="BT69" i="10"/>
  <c r="X70" i="10"/>
  <c r="AV70" i="10"/>
  <c r="BT70" i="10"/>
  <c r="X71" i="10"/>
  <c r="AV71" i="10"/>
  <c r="BT71" i="10"/>
  <c r="X72" i="10"/>
  <c r="AV72" i="10"/>
  <c r="BT72" i="10"/>
  <c r="X73" i="10"/>
  <c r="AV73" i="10"/>
  <c r="X74" i="10"/>
  <c r="AV74" i="10"/>
  <c r="BT74" i="10"/>
  <c r="X75" i="10"/>
  <c r="AV75" i="10"/>
  <c r="BT75" i="10"/>
  <c r="X76" i="10"/>
  <c r="AV76" i="10"/>
  <c r="BT76" i="10"/>
  <c r="X77" i="10"/>
  <c r="AV77" i="10"/>
  <c r="BT77" i="10"/>
  <c r="X78" i="10"/>
  <c r="BT78" i="10"/>
  <c r="AV79" i="10"/>
  <c r="X80" i="10"/>
  <c r="AV80" i="10"/>
  <c r="BT80" i="10"/>
  <c r="AV81" i="10"/>
  <c r="X82" i="10"/>
  <c r="AV82" i="10"/>
  <c r="BT82" i="10"/>
  <c r="X83" i="10"/>
  <c r="AV83" i="10"/>
  <c r="BT83" i="10"/>
  <c r="X84" i="10"/>
  <c r="AV84" i="10"/>
  <c r="BT84" i="10"/>
  <c r="BQ65" i="10"/>
  <c r="BU173" i="10"/>
  <c r="BU65" i="10" s="1"/>
  <c r="AB27" i="8"/>
  <c r="AA28" i="8"/>
  <c r="AB20" i="8"/>
  <c r="AA23" i="8"/>
  <c r="K19" i="8"/>
  <c r="L21" i="8"/>
  <c r="K18" i="8"/>
  <c r="K27" i="8"/>
  <c r="K26" i="8"/>
  <c r="K16" i="8"/>
  <c r="K21" i="8"/>
  <c r="AB9" i="8"/>
  <c r="AR9" i="8"/>
  <c r="AE13" i="8"/>
  <c r="AA24" i="8"/>
  <c r="AQ25" i="8"/>
  <c r="AV8" i="8"/>
  <c r="K12" i="8"/>
  <c r="AB12" i="8"/>
  <c r="L19" i="8"/>
  <c r="AX28" i="8"/>
  <c r="O16" i="8"/>
  <c r="R17" i="8"/>
  <c r="L18" i="8"/>
  <c r="K20" i="8"/>
  <c r="P21" i="8"/>
  <c r="AA21" i="8"/>
  <c r="L27" i="8"/>
  <c r="AH27" i="8"/>
  <c r="R11" i="8"/>
  <c r="AA16" i="8"/>
  <c r="AU16" i="8"/>
  <c r="AQ18" i="8"/>
  <c r="AH20" i="8"/>
  <c r="R25" i="8"/>
  <c r="L26" i="8"/>
  <c r="AF10" i="8"/>
  <c r="AH15" i="8"/>
  <c r="AX21" i="8"/>
  <c r="AA22" i="8"/>
  <c r="AX22" i="8"/>
  <c r="AB23" i="8"/>
  <c r="AF19" i="8"/>
  <c r="AV19" i="8"/>
  <c r="M46" i="5"/>
  <c r="P45" i="5"/>
  <c r="N45" i="5"/>
  <c r="Q45" i="5"/>
  <c r="R45" i="5"/>
  <c r="O45" i="5"/>
  <c r="S45" i="5"/>
  <c r="B197" i="10"/>
  <c r="BX171" i="10"/>
  <c r="E25" i="5"/>
  <c r="T64" i="10"/>
  <c r="Y64" i="10"/>
  <c r="AU64" i="10"/>
  <c r="BP64" i="10"/>
  <c r="BU64" i="10"/>
  <c r="AR65" i="10"/>
  <c r="AW65" i="10"/>
  <c r="Y74" i="10"/>
  <c r="D35" i="7" s="1"/>
  <c r="AU74" i="10"/>
  <c r="BP74" i="10"/>
  <c r="BU74" i="10"/>
  <c r="D33" i="7" s="1"/>
  <c r="AR75" i="10"/>
  <c r="AW75" i="10"/>
  <c r="BS75" i="10"/>
  <c r="T76" i="10"/>
  <c r="Y76" i="10"/>
  <c r="AU76" i="10"/>
  <c r="BP76" i="10"/>
  <c r="BU76" i="10"/>
  <c r="AR77" i="10"/>
  <c r="AW77" i="10"/>
  <c r="BS77" i="10"/>
  <c r="T78" i="10"/>
  <c r="AW79" i="10"/>
  <c r="BS79" i="10"/>
  <c r="T84" i="10"/>
  <c r="Y84" i="10"/>
  <c r="AU84" i="10"/>
  <c r="BP84" i="10"/>
  <c r="BU84" i="10"/>
  <c r="D84" i="10"/>
  <c r="AZ69" i="10"/>
  <c r="U66" i="10"/>
  <c r="Z66" i="10"/>
  <c r="AV66" i="10"/>
  <c r="BQ66" i="10"/>
  <c r="BV66" i="10"/>
  <c r="X67" i="10"/>
  <c r="AS67" i="10"/>
  <c r="AX67" i="10"/>
  <c r="BT67" i="10"/>
  <c r="U78" i="10"/>
  <c r="Z78" i="10"/>
  <c r="AV78" i="10"/>
  <c r="BQ78" i="10"/>
  <c r="BV78" i="10"/>
  <c r="X79" i="10"/>
  <c r="AS79" i="10"/>
  <c r="BT79" i="10"/>
  <c r="X81" i="10"/>
  <c r="AS81" i="10"/>
  <c r="AX81" i="10"/>
  <c r="AB68" i="10"/>
  <c r="AR68" i="10"/>
  <c r="AW68" i="10"/>
  <c r="T69" i="10"/>
  <c r="Y69" i="10"/>
  <c r="AU69" i="10"/>
  <c r="BP69" i="10"/>
  <c r="BU69" i="10"/>
  <c r="AW80" i="10"/>
  <c r="BS80" i="10"/>
  <c r="T81" i="10"/>
  <c r="AU81" i="10"/>
  <c r="BP81" i="10"/>
  <c r="BU81" i="10"/>
  <c r="AB76" i="10"/>
  <c r="AR64" i="10"/>
  <c r="BT65" i="10"/>
  <c r="W66" i="10"/>
  <c r="W68" i="10"/>
  <c r="BS68" i="10"/>
  <c r="W70" i="10"/>
  <c r="W72" i="10"/>
  <c r="AR72" i="10"/>
  <c r="W74" i="10"/>
  <c r="W76" i="10"/>
  <c r="BS76" i="10"/>
  <c r="W78" i="10"/>
  <c r="W80" i="10"/>
  <c r="AR80" i="10"/>
  <c r="Y81" i="10"/>
  <c r="BS84" i="10"/>
  <c r="H28" i="8"/>
  <c r="P55" i="8"/>
  <c r="P28" i="8" s="1"/>
  <c r="W65" i="10"/>
  <c r="T66" i="10"/>
  <c r="W67" i="10"/>
  <c r="W69" i="10"/>
  <c r="T70" i="10"/>
  <c r="BP70" i="10"/>
  <c r="W73" i="10"/>
  <c r="T74" i="10"/>
  <c r="W75" i="10"/>
  <c r="W77" i="10"/>
  <c r="BP78" i="10"/>
  <c r="T82" i="10"/>
  <c r="U64" i="10"/>
  <c r="AX71" i="10"/>
  <c r="BT73" i="10"/>
  <c r="AX79" i="10"/>
  <c r="BT81" i="10"/>
  <c r="X21" i="8"/>
  <c r="AF48" i="8"/>
  <c r="AV53" i="8"/>
  <c r="AV26" i="8" s="1"/>
  <c r="AN26" i="8"/>
  <c r="AU48" i="8"/>
  <c r="AU21" i="8" s="1"/>
  <c r="AM21" i="8"/>
  <c r="K11" i="8"/>
  <c r="AE11" i="8"/>
  <c r="AH11" i="8"/>
  <c r="L15" i="8"/>
  <c r="AQ16" i="8"/>
  <c r="P17" i="8"/>
  <c r="AX18" i="8"/>
  <c r="AV37" i="8"/>
  <c r="AV10" i="8" s="1"/>
  <c r="H24" i="8"/>
  <c r="P51" i="8"/>
  <c r="P24" i="8" s="1"/>
  <c r="G19" i="8"/>
  <c r="O46" i="8"/>
  <c r="O19" i="8" s="1"/>
  <c r="W28" i="8"/>
  <c r="AE55" i="8"/>
  <c r="AE28" i="8" s="1"/>
  <c r="X17" i="8"/>
  <c r="AF44" i="8"/>
  <c r="AF17" i="8" s="1"/>
  <c r="AV49" i="8"/>
  <c r="AV22" i="8" s="1"/>
  <c r="AN22" i="8"/>
  <c r="R8" i="8"/>
  <c r="AA8" i="8"/>
  <c r="AX8" i="8"/>
  <c r="L9" i="8"/>
  <c r="AH9" i="8"/>
  <c r="AU13" i="8"/>
  <c r="L14" i="8"/>
  <c r="AV14" i="8"/>
  <c r="AB17" i="8"/>
  <c r="AF21" i="8"/>
  <c r="AQ22" i="8"/>
  <c r="L28" i="8"/>
  <c r="AE43" i="8"/>
  <c r="AE16" i="8" s="1"/>
  <c r="O50" i="8"/>
  <c r="O23" i="8" s="1"/>
  <c r="H20" i="8"/>
  <c r="P47" i="8"/>
  <c r="P20" i="8" s="1"/>
  <c r="G15" i="8"/>
  <c r="O42" i="8"/>
  <c r="O15" i="8" s="1"/>
  <c r="W24" i="8"/>
  <c r="AE51" i="8"/>
  <c r="AE24" i="8" s="1"/>
  <c r="X13" i="8"/>
  <c r="AF40" i="8"/>
  <c r="AF13" i="8" s="1"/>
  <c r="AV45" i="8"/>
  <c r="AV18" i="8" s="1"/>
  <c r="AN18" i="8"/>
  <c r="AX23" i="8"/>
  <c r="AA25" i="8"/>
  <c r="AX26" i="8"/>
  <c r="AB28" i="8"/>
  <c r="AU14" i="8"/>
  <c r="AU10" i="8"/>
  <c r="X25" i="8"/>
  <c r="AF52" i="8"/>
  <c r="AF25" i="8" s="1"/>
  <c r="W20" i="8"/>
  <c r="AE47" i="8"/>
  <c r="AE20" i="8" s="1"/>
  <c r="AM25" i="8"/>
  <c r="AU52" i="8"/>
  <c r="AU25" i="8" s="1"/>
  <c r="X27" i="8"/>
  <c r="X23" i="8"/>
  <c r="W22" i="8"/>
  <c r="X19" i="8"/>
  <c r="W18" i="8"/>
  <c r="W14" i="8"/>
  <c r="X11" i="8"/>
  <c r="W10" i="8"/>
  <c r="G22" i="8"/>
  <c r="G18" i="8"/>
  <c r="G14" i="8"/>
  <c r="G10" i="8"/>
  <c r="BS65" i="10"/>
  <c r="AU64" i="8"/>
  <c r="AV69" i="8"/>
  <c r="AV81" i="8"/>
  <c r="AV77" i="8"/>
  <c r="AU76" i="8"/>
  <c r="AV73" i="8"/>
  <c r="AU68" i="8"/>
  <c r="AV65" i="8"/>
  <c r="R36" i="10"/>
  <c r="J37" i="10"/>
  <c r="Z37" i="10"/>
  <c r="R38" i="10"/>
  <c r="J39" i="10"/>
  <c r="R39" i="10"/>
  <c r="J40" i="10"/>
  <c r="Z40" i="10"/>
  <c r="J36" i="10"/>
  <c r="Z36" i="10"/>
  <c r="R37" i="10"/>
  <c r="J38" i="10"/>
  <c r="Z38" i="10"/>
  <c r="Z39" i="10"/>
  <c r="R40" i="10"/>
  <c r="J41" i="10"/>
  <c r="R41" i="10"/>
  <c r="J42" i="10"/>
  <c r="Z42" i="10"/>
  <c r="R43" i="10"/>
  <c r="J44" i="10"/>
  <c r="Z44" i="10"/>
  <c r="R45" i="10"/>
  <c r="J46" i="10"/>
  <c r="Z46" i="10"/>
  <c r="R47" i="10"/>
  <c r="J48" i="10"/>
  <c r="Z48" i="10"/>
  <c r="R49" i="10"/>
  <c r="J50" i="10"/>
  <c r="Z50" i="10"/>
  <c r="J51" i="10"/>
  <c r="Z51" i="10"/>
  <c r="R52" i="10"/>
  <c r="J53" i="10"/>
  <c r="J54" i="10"/>
  <c r="Z54" i="10"/>
  <c r="R55" i="10"/>
  <c r="H36" i="10"/>
  <c r="P36" i="10"/>
  <c r="X36" i="10"/>
  <c r="H37" i="10"/>
  <c r="P37" i="10"/>
  <c r="X37" i="10"/>
  <c r="H38" i="10"/>
  <c r="P38" i="10"/>
  <c r="X38" i="10"/>
  <c r="H39" i="10"/>
  <c r="P39" i="10"/>
  <c r="X39" i="10"/>
  <c r="H40" i="10"/>
  <c r="P40" i="10"/>
  <c r="X40" i="10"/>
  <c r="H41" i="10"/>
  <c r="P41" i="10"/>
  <c r="X41" i="10"/>
  <c r="H42" i="10"/>
  <c r="P42" i="10"/>
  <c r="X42" i="10"/>
  <c r="H43" i="10"/>
  <c r="P43" i="10"/>
  <c r="X43" i="10"/>
  <c r="H44" i="10"/>
  <c r="P44" i="10"/>
  <c r="X44" i="10"/>
  <c r="H45" i="10"/>
  <c r="P45" i="10"/>
  <c r="X45" i="10"/>
  <c r="H46" i="10"/>
  <c r="P46" i="10"/>
  <c r="X46" i="10"/>
  <c r="H47" i="10"/>
  <c r="P47" i="10"/>
  <c r="X47" i="10"/>
  <c r="H48" i="10"/>
  <c r="P48" i="10"/>
  <c r="X48" i="10"/>
  <c r="H49" i="10"/>
  <c r="P49" i="10"/>
  <c r="X49" i="10"/>
  <c r="H50" i="10"/>
  <c r="P50" i="10"/>
  <c r="X50" i="10"/>
  <c r="H51" i="10"/>
  <c r="P51" i="10"/>
  <c r="X51" i="10"/>
  <c r="H52" i="10"/>
  <c r="P52" i="10"/>
  <c r="X52" i="10"/>
  <c r="H53" i="10"/>
  <c r="P53" i="10"/>
  <c r="X53" i="10"/>
  <c r="H54" i="10"/>
  <c r="P54" i="10"/>
  <c r="X54" i="10"/>
  <c r="H55" i="10"/>
  <c r="P55" i="10"/>
  <c r="X55" i="10"/>
  <c r="H56" i="10"/>
  <c r="P56" i="10"/>
  <c r="X56" i="10"/>
  <c r="Z41" i="10"/>
  <c r="R42" i="10"/>
  <c r="J43" i="10"/>
  <c r="Z43" i="10"/>
  <c r="R44" i="10"/>
  <c r="J45" i="10"/>
  <c r="Z45" i="10"/>
  <c r="R46" i="10"/>
  <c r="J47" i="10"/>
  <c r="Z47" i="10"/>
  <c r="R48" i="10"/>
  <c r="J49" i="10"/>
  <c r="Z49" i="10"/>
  <c r="R50" i="10"/>
  <c r="R51" i="10"/>
  <c r="J52" i="10"/>
  <c r="Z52" i="10"/>
  <c r="R53" i="10"/>
  <c r="Z53" i="10"/>
  <c r="R54" i="10"/>
  <c r="J55" i="10"/>
  <c r="I36" i="10"/>
  <c r="Q36" i="10"/>
  <c r="Y36" i="10"/>
  <c r="I37" i="10"/>
  <c r="Q37" i="10"/>
  <c r="Y37" i="10"/>
  <c r="I38" i="10"/>
  <c r="Q38" i="10"/>
  <c r="Y38" i="10"/>
  <c r="I39" i="10"/>
  <c r="Q39" i="10"/>
  <c r="Y39" i="10"/>
  <c r="I40" i="10"/>
  <c r="Q40" i="10"/>
  <c r="Y40" i="10"/>
  <c r="I41" i="10"/>
  <c r="Q41" i="10"/>
  <c r="Y41" i="10"/>
  <c r="I42" i="10"/>
  <c r="Q42" i="10"/>
  <c r="Y42" i="10"/>
  <c r="I43" i="10"/>
  <c r="Q43" i="10"/>
  <c r="Y43" i="10"/>
  <c r="I44" i="10"/>
  <c r="Q44" i="10"/>
  <c r="Y44" i="10"/>
  <c r="I45" i="10"/>
  <c r="Q45" i="10"/>
  <c r="Y45" i="10"/>
  <c r="I46" i="10"/>
  <c r="Q46" i="10"/>
  <c r="Y46" i="10"/>
  <c r="I47" i="10"/>
  <c r="Q47" i="10"/>
  <c r="Y47" i="10"/>
  <c r="I48" i="10"/>
  <c r="Q48" i="10"/>
  <c r="Y48" i="10"/>
  <c r="I49" i="10"/>
  <c r="Q49" i="10"/>
  <c r="Y49" i="10"/>
  <c r="I50" i="10"/>
  <c r="Q50" i="10"/>
  <c r="Y50" i="10"/>
  <c r="I51" i="10"/>
  <c r="Q51" i="10"/>
  <c r="Y51" i="10"/>
  <c r="I52" i="10"/>
  <c r="Q52" i="10"/>
  <c r="Y52" i="10"/>
  <c r="I53" i="10"/>
  <c r="Q53" i="10"/>
  <c r="Y53" i="10"/>
  <c r="I54" i="10"/>
  <c r="Q54" i="10"/>
  <c r="Y54" i="10"/>
  <c r="I55" i="10"/>
  <c r="Q55" i="10"/>
  <c r="Y55" i="10"/>
  <c r="I56" i="10"/>
  <c r="Q56" i="10"/>
  <c r="Y56" i="10"/>
  <c r="Z55" i="10"/>
  <c r="J56" i="10"/>
  <c r="R56" i="10"/>
  <c r="Z56" i="10"/>
  <c r="G36" i="10"/>
  <c r="O36" i="10"/>
  <c r="W36" i="10"/>
  <c r="G37" i="10"/>
  <c r="O37" i="10"/>
  <c r="W37" i="10"/>
  <c r="G38" i="10"/>
  <c r="O38" i="10"/>
  <c r="W38" i="10"/>
  <c r="G39" i="10"/>
  <c r="O39" i="10"/>
  <c r="W39" i="10"/>
  <c r="G40" i="10"/>
  <c r="O40" i="10"/>
  <c r="W40" i="10"/>
  <c r="G41" i="10"/>
  <c r="O41" i="10"/>
  <c r="W41" i="10"/>
  <c r="G42" i="10"/>
  <c r="O42" i="10"/>
  <c r="W42" i="10"/>
  <c r="G43" i="10"/>
  <c r="O43" i="10"/>
  <c r="W43" i="10"/>
  <c r="G44" i="10"/>
  <c r="O44" i="10"/>
  <c r="W44" i="10"/>
  <c r="G45" i="10"/>
  <c r="O45" i="10"/>
  <c r="W45" i="10"/>
  <c r="G46" i="10"/>
  <c r="O46" i="10"/>
  <c r="W46" i="10"/>
  <c r="G47" i="10"/>
  <c r="O47" i="10"/>
  <c r="W47" i="10"/>
  <c r="G48" i="10"/>
  <c r="O48" i="10"/>
  <c r="W48" i="10"/>
  <c r="G49" i="10"/>
  <c r="O49" i="10"/>
  <c r="W49" i="10"/>
  <c r="G50" i="10"/>
  <c r="O50" i="10"/>
  <c r="W50" i="10"/>
  <c r="G51" i="10"/>
  <c r="O51" i="10"/>
  <c r="W51" i="10"/>
  <c r="G52" i="10"/>
  <c r="O52" i="10"/>
  <c r="W52" i="10"/>
  <c r="G53" i="10"/>
  <c r="O53" i="10"/>
  <c r="W53" i="10"/>
  <c r="G54" i="10"/>
  <c r="O54" i="10"/>
  <c r="W54" i="10"/>
  <c r="G55" i="10"/>
  <c r="O55" i="10"/>
  <c r="W55" i="10"/>
  <c r="G56" i="10"/>
  <c r="O56" i="10"/>
  <c r="W56" i="10"/>
  <c r="BA18" i="2" l="1"/>
  <c r="H176" i="21"/>
  <c r="M47" i="5"/>
  <c r="O46" i="5"/>
  <c r="S46" i="5"/>
  <c r="P46" i="5"/>
  <c r="N46" i="5"/>
  <c r="Q46" i="5"/>
  <c r="R46" i="5"/>
  <c r="B223" i="10"/>
  <c r="BX223" i="10" s="1"/>
  <c r="BX197" i="10"/>
  <c r="E26" i="5"/>
  <c r="C10" i="5"/>
  <c r="B10" i="5"/>
  <c r="B4" i="5"/>
  <c r="B2" i="5"/>
  <c r="C2" i="5" s="1"/>
  <c r="BA19" i="2" l="1"/>
  <c r="H177" i="21"/>
  <c r="M48" i="5"/>
  <c r="R47" i="5"/>
  <c r="O47" i="5"/>
  <c r="S47" i="5"/>
  <c r="P47" i="5"/>
  <c r="N47" i="5"/>
  <c r="Q47" i="5"/>
  <c r="E27" i="5"/>
  <c r="E2" i="5"/>
  <c r="F2" i="5" s="1"/>
  <c r="G2" i="5" s="1"/>
  <c r="H2" i="5" s="1"/>
  <c r="I2" i="5" s="1"/>
  <c r="J2" i="5" s="1"/>
  <c r="K2" i="5" s="1"/>
  <c r="L20" i="3"/>
  <c r="L21" i="3"/>
  <c r="L22" i="3"/>
  <c r="L23" i="3"/>
  <c r="L24" i="3"/>
  <c r="L25" i="3"/>
  <c r="L26" i="3"/>
  <c r="L27" i="3"/>
  <c r="L28" i="3"/>
  <c r="L29" i="3"/>
  <c r="E21" i="7" s="1"/>
  <c r="L30" i="3"/>
  <c r="L31" i="3"/>
  <c r="L32" i="3"/>
  <c r="L33" i="3"/>
  <c r="L34" i="3"/>
  <c r="L35" i="3"/>
  <c r="L36" i="3"/>
  <c r="L37" i="3"/>
  <c r="L38" i="3"/>
  <c r="L39" i="3"/>
  <c r="L19" i="3"/>
  <c r="BA20" i="2" l="1"/>
  <c r="H178" i="21"/>
  <c r="M49" i="5"/>
  <c r="Q48" i="5"/>
  <c r="R48" i="5"/>
  <c r="O48" i="5"/>
  <c r="S48" i="5"/>
  <c r="P48" i="5"/>
  <c r="N48" i="5"/>
  <c r="L2" i="5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AL2" i="5" s="1"/>
  <c r="AM2" i="5" s="1"/>
  <c r="AN2" i="5" s="1"/>
  <c r="AO2" i="5" s="1"/>
  <c r="AP2" i="5" s="1"/>
  <c r="AQ2" i="5" s="1"/>
  <c r="AR2" i="5" s="1"/>
  <c r="AS2" i="5" s="1"/>
  <c r="AT2" i="5" s="1"/>
  <c r="AU2" i="5" s="1"/>
  <c r="AV2" i="5" s="1"/>
  <c r="AW2" i="5" s="1"/>
  <c r="AX2" i="5" s="1"/>
  <c r="AY2" i="5" s="1"/>
  <c r="AZ2" i="5" s="1"/>
  <c r="BA2" i="5" s="1"/>
  <c r="BB2" i="5" s="1"/>
  <c r="BC2" i="5" s="1"/>
  <c r="BD2" i="5" s="1"/>
  <c r="BE2" i="5" s="1"/>
  <c r="BF2" i="5" s="1"/>
  <c r="BG2" i="5" s="1"/>
  <c r="BH2" i="5" s="1"/>
  <c r="BI2" i="5" s="1"/>
  <c r="BJ2" i="5" s="1"/>
  <c r="BK2" i="5" s="1"/>
  <c r="BL2" i="5" s="1"/>
  <c r="BM2" i="5" s="1"/>
  <c r="BN2" i="5" s="1"/>
  <c r="BO2" i="5" s="1"/>
  <c r="BP2" i="5" s="1"/>
  <c r="BQ2" i="5" s="1"/>
  <c r="BR2" i="5" s="1"/>
  <c r="BS2" i="5" s="1"/>
  <c r="BT2" i="5" s="1"/>
  <c r="BU2" i="5" s="1"/>
  <c r="BV2" i="5" s="1"/>
  <c r="BW2" i="5" s="1"/>
  <c r="BX2" i="5" s="1"/>
  <c r="BY2" i="5" s="1"/>
  <c r="BZ2" i="5" s="1"/>
  <c r="CA2" i="5" s="1"/>
  <c r="CB2" i="5" s="1"/>
  <c r="CC2" i="5" s="1"/>
  <c r="CD2" i="5" s="1"/>
  <c r="CE2" i="5" s="1"/>
  <c r="CF2" i="5" s="1"/>
  <c r="E28" i="5"/>
  <c r="J6" i="10"/>
  <c r="P6" i="10" s="1"/>
  <c r="V6" i="10" s="1"/>
  <c r="AB6" i="10" s="1"/>
  <c r="AH6" i="10" s="1"/>
  <c r="K6" i="10"/>
  <c r="Q6" i="10" s="1"/>
  <c r="W6" i="10" s="1"/>
  <c r="AC6" i="10" s="1"/>
  <c r="AI6" i="10" s="1"/>
  <c r="L6" i="10"/>
  <c r="R6" i="10" s="1"/>
  <c r="X6" i="10" s="1"/>
  <c r="AD6" i="10" s="1"/>
  <c r="AJ6" i="10" s="1"/>
  <c r="M6" i="10"/>
  <c r="S6" i="10" s="1"/>
  <c r="Y6" i="10" s="1"/>
  <c r="AE6" i="10" s="1"/>
  <c r="AK6" i="10" s="1"/>
  <c r="N6" i="10"/>
  <c r="T6" i="10" s="1"/>
  <c r="Z6" i="10" s="1"/>
  <c r="AF6" i="10" s="1"/>
  <c r="AL6" i="10" s="1"/>
  <c r="I6" i="10"/>
  <c r="O6" i="10" s="1"/>
  <c r="U6" i="10" s="1"/>
  <c r="AA6" i="10" s="1"/>
  <c r="AG6" i="10" s="1"/>
  <c r="BA21" i="2" l="1"/>
  <c r="H179" i="21"/>
  <c r="M50" i="5"/>
  <c r="P49" i="5"/>
  <c r="N49" i="5"/>
  <c r="Q49" i="5"/>
  <c r="R49" i="5"/>
  <c r="O49" i="5"/>
  <c r="S49" i="5"/>
  <c r="E29" i="5"/>
  <c r="L57" i="10"/>
  <c r="M57" i="10"/>
  <c r="N57" i="10"/>
  <c r="AG9" i="10"/>
  <c r="AL9" i="10"/>
  <c r="AG10" i="10"/>
  <c r="AL10" i="10"/>
  <c r="AG11" i="10"/>
  <c r="AL11" i="10"/>
  <c r="AG12" i="10"/>
  <c r="AL12" i="10"/>
  <c r="AG13" i="10"/>
  <c r="AL13" i="10"/>
  <c r="AG14" i="10"/>
  <c r="AL14" i="10"/>
  <c r="AG15" i="10"/>
  <c r="AL15" i="10"/>
  <c r="AG16" i="10"/>
  <c r="AL16" i="10"/>
  <c r="AG17" i="10"/>
  <c r="AL17" i="10"/>
  <c r="AG18" i="10"/>
  <c r="AL18" i="10"/>
  <c r="AG19" i="10"/>
  <c r="AL19" i="10"/>
  <c r="AG20" i="10"/>
  <c r="AL20" i="10"/>
  <c r="AG21" i="10"/>
  <c r="AL21" i="10"/>
  <c r="AG22" i="10"/>
  <c r="AL22" i="10"/>
  <c r="AG23" i="10"/>
  <c r="AL23" i="10"/>
  <c r="AG24" i="10"/>
  <c r="AL24" i="10"/>
  <c r="AG25" i="10"/>
  <c r="AL25" i="10"/>
  <c r="AG26" i="10"/>
  <c r="AL26" i="10"/>
  <c r="AG27" i="10"/>
  <c r="AL27" i="10"/>
  <c r="AG28" i="10"/>
  <c r="AL28" i="10"/>
  <c r="AL8" i="10"/>
  <c r="AG8" i="10"/>
  <c r="AB9" i="10"/>
  <c r="AC9" i="10"/>
  <c r="AE9" i="10"/>
  <c r="AF9" i="10"/>
  <c r="AB10" i="10"/>
  <c r="AC10" i="10"/>
  <c r="AE10" i="10"/>
  <c r="AF10" i="10"/>
  <c r="AB11" i="10"/>
  <c r="AC11" i="10"/>
  <c r="AE11" i="10"/>
  <c r="AF11" i="10"/>
  <c r="AB12" i="10"/>
  <c r="AC12" i="10"/>
  <c r="AE12" i="10"/>
  <c r="AF12" i="10"/>
  <c r="AB13" i="10"/>
  <c r="AC13" i="10"/>
  <c r="AE13" i="10"/>
  <c r="AF13" i="10"/>
  <c r="AB14" i="10"/>
  <c r="AC14" i="10"/>
  <c r="AE14" i="10"/>
  <c r="AF14" i="10"/>
  <c r="AB15" i="10"/>
  <c r="AC15" i="10"/>
  <c r="AE15" i="10"/>
  <c r="AF15" i="10"/>
  <c r="AB16" i="10"/>
  <c r="AC16" i="10"/>
  <c r="AE16" i="10"/>
  <c r="AF16" i="10"/>
  <c r="AB17" i="10"/>
  <c r="AC17" i="10"/>
  <c r="AE17" i="10"/>
  <c r="AF17" i="10"/>
  <c r="AB18" i="10"/>
  <c r="AC18" i="10"/>
  <c r="AE18" i="10"/>
  <c r="AF18" i="10"/>
  <c r="AB19" i="10"/>
  <c r="AC19" i="10"/>
  <c r="AE19" i="10"/>
  <c r="AF19" i="10"/>
  <c r="AB20" i="10"/>
  <c r="AC20" i="10"/>
  <c r="AE20" i="10"/>
  <c r="AF20" i="10"/>
  <c r="AB21" i="10"/>
  <c r="AC21" i="10"/>
  <c r="AE21" i="10"/>
  <c r="AF21" i="10"/>
  <c r="AB22" i="10"/>
  <c r="AC22" i="10"/>
  <c r="AE22" i="10"/>
  <c r="AF22" i="10"/>
  <c r="AB23" i="10"/>
  <c r="AC23" i="10"/>
  <c r="AE23" i="10"/>
  <c r="AF23" i="10"/>
  <c r="AB24" i="10"/>
  <c r="AC24" i="10"/>
  <c r="AE24" i="10"/>
  <c r="AF24" i="10"/>
  <c r="AB25" i="10"/>
  <c r="AC25" i="10"/>
  <c r="AE25" i="10"/>
  <c r="AF25" i="10"/>
  <c r="AB26" i="10"/>
  <c r="AC26" i="10"/>
  <c r="AE26" i="10"/>
  <c r="AF26" i="10"/>
  <c r="AB27" i="10"/>
  <c r="AC27" i="10"/>
  <c r="AE27" i="10"/>
  <c r="AF27" i="10"/>
  <c r="AB28" i="10"/>
  <c r="AC28" i="10"/>
  <c r="AE28" i="10"/>
  <c r="AF28" i="10"/>
  <c r="AF8" i="10"/>
  <c r="AE8" i="10"/>
  <c r="AC8" i="10"/>
  <c r="AB8" i="10"/>
  <c r="U9" i="10"/>
  <c r="Z9" i="10"/>
  <c r="U10" i="10"/>
  <c r="Z10" i="10"/>
  <c r="U11" i="10"/>
  <c r="Z11" i="10"/>
  <c r="U12" i="10"/>
  <c r="Z12" i="10"/>
  <c r="U13" i="10"/>
  <c r="Z13" i="10"/>
  <c r="U14" i="10"/>
  <c r="Z14" i="10"/>
  <c r="U15" i="10"/>
  <c r="Z15" i="10"/>
  <c r="U16" i="10"/>
  <c r="Z16" i="10"/>
  <c r="U17" i="10"/>
  <c r="Z17" i="10"/>
  <c r="U18" i="10"/>
  <c r="Z18" i="10"/>
  <c r="U19" i="10"/>
  <c r="Z19" i="10"/>
  <c r="U20" i="10"/>
  <c r="Z20" i="10"/>
  <c r="U21" i="10"/>
  <c r="Z21" i="10"/>
  <c r="U22" i="10"/>
  <c r="Z22" i="10"/>
  <c r="U23" i="10"/>
  <c r="Z23" i="10"/>
  <c r="U24" i="10"/>
  <c r="Z24" i="10"/>
  <c r="U25" i="10"/>
  <c r="Z25" i="10"/>
  <c r="U26" i="10"/>
  <c r="Z26" i="10"/>
  <c r="U27" i="10"/>
  <c r="Z27" i="10"/>
  <c r="U28" i="10"/>
  <c r="Z28" i="10"/>
  <c r="Z8" i="10"/>
  <c r="U8" i="10"/>
  <c r="P9" i="10"/>
  <c r="Q9" i="10"/>
  <c r="T9" i="10"/>
  <c r="P10" i="10"/>
  <c r="Q10" i="10"/>
  <c r="T10" i="10"/>
  <c r="P11" i="10"/>
  <c r="Q11" i="10"/>
  <c r="T11" i="10"/>
  <c r="P12" i="10"/>
  <c r="Q12" i="10"/>
  <c r="S12" i="10"/>
  <c r="T12" i="10"/>
  <c r="P13" i="10"/>
  <c r="Q13" i="10"/>
  <c r="S13" i="10"/>
  <c r="T13" i="10"/>
  <c r="P14" i="10"/>
  <c r="Q14" i="10"/>
  <c r="S14" i="10"/>
  <c r="T14" i="10"/>
  <c r="P15" i="10"/>
  <c r="Q15" i="10"/>
  <c r="S15" i="10"/>
  <c r="T15" i="10"/>
  <c r="P16" i="10"/>
  <c r="Q16" i="10"/>
  <c r="S16" i="10"/>
  <c r="T16" i="10"/>
  <c r="P17" i="10"/>
  <c r="Q17" i="10"/>
  <c r="S17" i="10"/>
  <c r="T17" i="10"/>
  <c r="P18" i="10"/>
  <c r="Q18" i="10"/>
  <c r="S18" i="10"/>
  <c r="T18" i="10"/>
  <c r="P19" i="10"/>
  <c r="Q19" i="10"/>
  <c r="S19" i="10"/>
  <c r="T19" i="10"/>
  <c r="P20" i="10"/>
  <c r="Q20" i="10"/>
  <c r="S20" i="10"/>
  <c r="T20" i="10"/>
  <c r="P21" i="10"/>
  <c r="Q21" i="10"/>
  <c r="S21" i="10"/>
  <c r="T21" i="10"/>
  <c r="P22" i="10"/>
  <c r="Q22" i="10"/>
  <c r="S22" i="10"/>
  <c r="T22" i="10"/>
  <c r="P23" i="10"/>
  <c r="Q23" i="10"/>
  <c r="S23" i="10"/>
  <c r="T23" i="10"/>
  <c r="P24" i="10"/>
  <c r="Q24" i="10"/>
  <c r="S24" i="10"/>
  <c r="T24" i="10"/>
  <c r="P25" i="10"/>
  <c r="Q25" i="10"/>
  <c r="S25" i="10"/>
  <c r="T25" i="10"/>
  <c r="P26" i="10"/>
  <c r="Q26" i="10"/>
  <c r="S26" i="10"/>
  <c r="T26" i="10"/>
  <c r="P27" i="10"/>
  <c r="Q27" i="10"/>
  <c r="S27" i="10"/>
  <c r="T27" i="10"/>
  <c r="P28" i="10"/>
  <c r="Q28" i="10"/>
  <c r="S28" i="10"/>
  <c r="T28" i="10"/>
  <c r="T8" i="10"/>
  <c r="P8" i="10"/>
  <c r="Q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8" i="10"/>
  <c r="W9" i="10"/>
  <c r="W10" i="10"/>
  <c r="W11" i="10"/>
  <c r="W12" i="10"/>
  <c r="Y12" i="10"/>
  <c r="W13" i="10"/>
  <c r="Y13" i="10"/>
  <c r="W14" i="10"/>
  <c r="Y14" i="10"/>
  <c r="W15" i="10"/>
  <c r="Y15" i="10"/>
  <c r="W16" i="10"/>
  <c r="Y16" i="10"/>
  <c r="W17" i="10"/>
  <c r="Y17" i="10"/>
  <c r="W18" i="10"/>
  <c r="Y18" i="10"/>
  <c r="W19" i="10"/>
  <c r="Y19" i="10"/>
  <c r="W20" i="10"/>
  <c r="Y20" i="10"/>
  <c r="W21" i="10"/>
  <c r="Y21" i="10"/>
  <c r="W22" i="10"/>
  <c r="Y22" i="10"/>
  <c r="W23" i="10"/>
  <c r="Y23" i="10"/>
  <c r="W24" i="10"/>
  <c r="Y24" i="10"/>
  <c r="W25" i="10"/>
  <c r="Y25" i="10"/>
  <c r="W26" i="10"/>
  <c r="Y26" i="10"/>
  <c r="W27" i="10"/>
  <c r="Y27" i="10"/>
  <c r="W28" i="10"/>
  <c r="Y28" i="10"/>
  <c r="W8" i="10"/>
  <c r="S11" i="10"/>
  <c r="S9" i="10"/>
  <c r="Y8" i="10"/>
  <c r="BA22" i="2" l="1"/>
  <c r="H180" i="21"/>
  <c r="M51" i="5"/>
  <c r="O50" i="5"/>
  <c r="S50" i="5"/>
  <c r="P50" i="5"/>
  <c r="N50" i="5"/>
  <c r="Q50" i="5"/>
  <c r="R50" i="5"/>
  <c r="E30" i="5"/>
  <c r="Y11" i="10"/>
  <c r="S8" i="10"/>
  <c r="Y10" i="10"/>
  <c r="Y9" i="10"/>
  <c r="S10" i="10"/>
  <c r="BA23" i="2" l="1"/>
  <c r="H181" i="21"/>
  <c r="M52" i="5"/>
  <c r="R51" i="5"/>
  <c r="O51" i="5"/>
  <c r="S51" i="5"/>
  <c r="P51" i="5"/>
  <c r="N51" i="5"/>
  <c r="Q51" i="5"/>
  <c r="E31" i="5"/>
  <c r="AB85" i="10"/>
  <c r="AF85" i="10"/>
  <c r="AG85" i="10"/>
  <c r="AI85" i="10"/>
  <c r="AJ85" i="10"/>
  <c r="AK85" i="10"/>
  <c r="AM85" i="10"/>
  <c r="AR85" i="10"/>
  <c r="AS85" i="10"/>
  <c r="AU85" i="10"/>
  <c r="AV85" i="10"/>
  <c r="AW85" i="10"/>
  <c r="K57" i="10"/>
  <c r="O57" i="10"/>
  <c r="S29" i="10"/>
  <c r="P29" i="10"/>
  <c r="AF29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11" i="10"/>
  <c r="G9" i="10"/>
  <c r="G8" i="10"/>
  <c r="N29" i="10"/>
  <c r="Q29" i="10"/>
  <c r="U29" i="10"/>
  <c r="S29" i="8"/>
  <c r="T29" i="8"/>
  <c r="V29" i="8"/>
  <c r="Z29" i="8"/>
  <c r="AC29" i="8"/>
  <c r="AH29" i="8"/>
  <c r="C30" i="12"/>
  <c r="C55" i="12" s="1"/>
  <c r="E58" i="9"/>
  <c r="E59" i="9"/>
  <c r="E60" i="9"/>
  <c r="C61" i="9"/>
  <c r="E61" i="9"/>
  <c r="E62" i="9"/>
  <c r="E63" i="9"/>
  <c r="E64" i="9"/>
  <c r="E65" i="9"/>
  <c r="C66" i="9"/>
  <c r="C67" i="9" s="1"/>
  <c r="C68" i="9" s="1"/>
  <c r="C69" i="9" s="1"/>
  <c r="C70" i="9" s="1"/>
  <c r="C71" i="9" s="1"/>
  <c r="C72" i="9" s="1"/>
  <c r="C73" i="9" s="1"/>
  <c r="C74" i="9" s="1"/>
  <c r="C75" i="9" s="1"/>
  <c r="C76" i="9" s="1"/>
  <c r="D66" i="9"/>
  <c r="D67" i="9" s="1"/>
  <c r="D68" i="9" s="1"/>
  <c r="D69" i="9" s="1"/>
  <c r="D70" i="9" s="1"/>
  <c r="D71" i="9" s="1"/>
  <c r="D72" i="9" s="1"/>
  <c r="D73" i="9" s="1"/>
  <c r="D74" i="9" s="1"/>
  <c r="D75" i="9" s="1"/>
  <c r="D76" i="9" s="1"/>
  <c r="E66" i="9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57" i="9"/>
  <c r="D56" i="9"/>
  <c r="E56" i="9"/>
  <c r="D55" i="9"/>
  <c r="D79" i="9" s="1"/>
  <c r="E55" i="9"/>
  <c r="E79" i="9" s="1"/>
  <c r="C55" i="9"/>
  <c r="C79" i="9" s="1"/>
  <c r="D43" i="9"/>
  <c r="D61" i="9"/>
  <c r="BA24" i="2" l="1"/>
  <c r="H182" i="21"/>
  <c r="M53" i="5"/>
  <c r="Q52" i="5"/>
  <c r="R52" i="5"/>
  <c r="O52" i="5"/>
  <c r="S52" i="5"/>
  <c r="P52" i="5"/>
  <c r="N52" i="5"/>
  <c r="E32" i="5"/>
  <c r="D38" i="9"/>
  <c r="D44" i="9"/>
  <c r="D33" i="9"/>
  <c r="X29" i="8"/>
  <c r="Y29" i="10"/>
  <c r="AX85" i="10"/>
  <c r="AL85" i="10"/>
  <c r="AA29" i="8"/>
  <c r="AB29" i="8"/>
  <c r="T29" i="10"/>
  <c r="Z29" i="10"/>
  <c r="AE29" i="10"/>
  <c r="G10" i="10"/>
  <c r="AE29" i="8"/>
  <c r="AF29" i="8"/>
  <c r="W29" i="8"/>
  <c r="B62" i="10"/>
  <c r="B170" i="10" s="1"/>
  <c r="B196" i="10" s="1"/>
  <c r="B222" i="10" s="1"/>
  <c r="N62" i="10"/>
  <c r="BA25" i="2" l="1"/>
  <c r="H183" i="21"/>
  <c r="M54" i="5"/>
  <c r="P53" i="5"/>
  <c r="N53" i="5"/>
  <c r="Q53" i="5"/>
  <c r="R53" i="5"/>
  <c r="O53" i="5"/>
  <c r="S53" i="5"/>
  <c r="E33" i="5"/>
  <c r="D57" i="9"/>
  <c r="D34" i="9"/>
  <c r="D45" i="9"/>
  <c r="D39" i="9"/>
  <c r="D62" i="9"/>
  <c r="N170" i="10"/>
  <c r="N196" i="10" s="1"/>
  <c r="N222" i="10" s="1"/>
  <c r="E12" i="7"/>
  <c r="E18" i="7" s="1"/>
  <c r="E24" i="7" s="1"/>
  <c r="D4" i="3"/>
  <c r="D5" i="3"/>
  <c r="F19" i="3"/>
  <c r="R20" i="3"/>
  <c r="X20" i="3" s="1"/>
  <c r="AD20" i="3" s="1"/>
  <c r="AJ20" i="3" s="1"/>
  <c r="R21" i="3"/>
  <c r="X21" i="3" s="1"/>
  <c r="AD21" i="3" s="1"/>
  <c r="AJ21" i="3" s="1"/>
  <c r="R22" i="3"/>
  <c r="X22" i="3" s="1"/>
  <c r="AD22" i="3" s="1"/>
  <c r="AJ22" i="3" s="1"/>
  <c r="R23" i="3"/>
  <c r="X23" i="3" s="1"/>
  <c r="AD23" i="3" s="1"/>
  <c r="AJ23" i="3" s="1"/>
  <c r="R24" i="3"/>
  <c r="X24" i="3" s="1"/>
  <c r="AD24" i="3" s="1"/>
  <c r="AJ24" i="3" s="1"/>
  <c r="R25" i="3"/>
  <c r="X25" i="3" s="1"/>
  <c r="AD25" i="3" s="1"/>
  <c r="AJ25" i="3" s="1"/>
  <c r="R26" i="3"/>
  <c r="X26" i="3" s="1"/>
  <c r="AD26" i="3" s="1"/>
  <c r="AJ26" i="3" s="1"/>
  <c r="R27" i="3"/>
  <c r="X27" i="3" s="1"/>
  <c r="AD27" i="3" s="1"/>
  <c r="AJ27" i="3" s="1"/>
  <c r="R28" i="3"/>
  <c r="X28" i="3" s="1"/>
  <c r="AD28" i="3" s="1"/>
  <c r="AJ28" i="3" s="1"/>
  <c r="R29" i="3"/>
  <c r="X29" i="3" s="1"/>
  <c r="R30" i="3"/>
  <c r="X30" i="3" s="1"/>
  <c r="AD30" i="3" s="1"/>
  <c r="AJ30" i="3" s="1"/>
  <c r="R31" i="3"/>
  <c r="X31" i="3" s="1"/>
  <c r="AD31" i="3" s="1"/>
  <c r="AJ31" i="3" s="1"/>
  <c r="R32" i="3"/>
  <c r="X32" i="3" s="1"/>
  <c r="AD32" i="3" s="1"/>
  <c r="AJ32" i="3" s="1"/>
  <c r="R33" i="3"/>
  <c r="X33" i="3" s="1"/>
  <c r="AD33" i="3" s="1"/>
  <c r="AJ33" i="3" s="1"/>
  <c r="R34" i="3"/>
  <c r="X34" i="3" s="1"/>
  <c r="AD34" i="3" s="1"/>
  <c r="AJ34" i="3" s="1"/>
  <c r="R35" i="3"/>
  <c r="X35" i="3" s="1"/>
  <c r="AD35" i="3" s="1"/>
  <c r="AJ35" i="3" s="1"/>
  <c r="R36" i="3"/>
  <c r="X36" i="3" s="1"/>
  <c r="AD36" i="3" s="1"/>
  <c r="AJ36" i="3" s="1"/>
  <c r="R37" i="3"/>
  <c r="X37" i="3" s="1"/>
  <c r="AD37" i="3" s="1"/>
  <c r="AJ37" i="3" s="1"/>
  <c r="R38" i="3"/>
  <c r="X38" i="3" s="1"/>
  <c r="AD38" i="3" s="1"/>
  <c r="AJ38" i="3" s="1"/>
  <c r="R39" i="3"/>
  <c r="X39" i="3" s="1"/>
  <c r="AD39" i="3" s="1"/>
  <c r="AJ39" i="3" s="1"/>
  <c r="R19" i="3"/>
  <c r="X19" i="3" s="1"/>
  <c r="AD19" i="3" s="1"/>
  <c r="AJ19" i="3" s="1"/>
  <c r="BA26" i="2" l="1"/>
  <c r="H184" i="21"/>
  <c r="M55" i="5"/>
  <c r="O54" i="5"/>
  <c r="S54" i="5"/>
  <c r="P54" i="5"/>
  <c r="N54" i="5"/>
  <c r="Q54" i="5"/>
  <c r="R54" i="5"/>
  <c r="E34" i="5"/>
  <c r="D46" i="9"/>
  <c r="D35" i="9"/>
  <c r="D58" i="9"/>
  <c r="D40" i="9"/>
  <c r="D63" i="9"/>
  <c r="AD29" i="3"/>
  <c r="AJ29" i="3" s="1"/>
  <c r="E19" i="7" s="1"/>
  <c r="E20" i="7"/>
  <c r="S19" i="3"/>
  <c r="Y19" i="3" s="1"/>
  <c r="AE19" i="3"/>
  <c r="AK19" i="3" s="1"/>
  <c r="U19" i="3"/>
  <c r="AA19" i="3" s="1"/>
  <c r="V19" i="3"/>
  <c r="AB19" i="3" s="1"/>
  <c r="AG19" i="3"/>
  <c r="AH19" i="3"/>
  <c r="AP36" i="3"/>
  <c r="AP23" i="3"/>
  <c r="AP19" i="3"/>
  <c r="AP32" i="3"/>
  <c r="AP28" i="3"/>
  <c r="AP24" i="3"/>
  <c r="AP20" i="3"/>
  <c r="AP39" i="3"/>
  <c r="AP35" i="3"/>
  <c r="AP31" i="3"/>
  <c r="AP27" i="3"/>
  <c r="AP38" i="3"/>
  <c r="AP34" i="3"/>
  <c r="AP30" i="3"/>
  <c r="AP26" i="3"/>
  <c r="AP22" i="3"/>
  <c r="AP37" i="3"/>
  <c r="AP33" i="3"/>
  <c r="AP21" i="3"/>
  <c r="G19" i="3"/>
  <c r="M19" i="3" s="1"/>
  <c r="I56" i="2"/>
  <c r="I53" i="2"/>
  <c r="I52" i="2"/>
  <c r="I51" i="2"/>
  <c r="BA27" i="2" l="1"/>
  <c r="H185" i="21"/>
  <c r="M56" i="5"/>
  <c r="R55" i="5"/>
  <c r="O55" i="5"/>
  <c r="S55" i="5"/>
  <c r="P55" i="5"/>
  <c r="N55" i="5"/>
  <c r="Q55" i="5"/>
  <c r="E35" i="5"/>
  <c r="AP29" i="3"/>
  <c r="D36" i="9"/>
  <c r="D60" i="9" s="1"/>
  <c r="D59" i="9"/>
  <c r="D41" i="9"/>
  <c r="D65" i="9" s="1"/>
  <c r="D64" i="9"/>
  <c r="D47" i="9"/>
  <c r="AP25" i="3"/>
  <c r="M117" i="2"/>
  <c r="M62" i="10" s="1"/>
  <c r="C117" i="2"/>
  <c r="C62" i="10" s="1"/>
  <c r="C170" i="10" s="1"/>
  <c r="C196" i="10" s="1"/>
  <c r="C222" i="10" s="1"/>
  <c r="BA28" i="2" l="1"/>
  <c r="H186" i="21"/>
  <c r="M57" i="5"/>
  <c r="Q56" i="5"/>
  <c r="R56" i="5"/>
  <c r="O56" i="5"/>
  <c r="S56" i="5"/>
  <c r="P56" i="5"/>
  <c r="N56" i="5"/>
  <c r="E36" i="5"/>
  <c r="M170" i="10"/>
  <c r="M196" i="10" s="1"/>
  <c r="M222" i="10" s="1"/>
  <c r="D12" i="7"/>
  <c r="D18" i="7" s="1"/>
  <c r="D24" i="7" s="1"/>
  <c r="D48" i="9"/>
  <c r="J118" i="2"/>
  <c r="BA29" i="2" l="1"/>
  <c r="H187" i="21"/>
  <c r="M58" i="5"/>
  <c r="P57" i="5"/>
  <c r="N57" i="5"/>
  <c r="Q57" i="5"/>
  <c r="R57" i="5"/>
  <c r="O57" i="5"/>
  <c r="S57" i="5"/>
  <c r="E37" i="5"/>
  <c r="D49" i="9"/>
  <c r="B8" i="10"/>
  <c r="BA30" i="2" l="1"/>
  <c r="H188" i="21"/>
  <c r="M59" i="5"/>
  <c r="O58" i="5"/>
  <c r="S58" i="5"/>
  <c r="P58" i="5"/>
  <c r="N58" i="5"/>
  <c r="Q58" i="5"/>
  <c r="R58" i="5"/>
  <c r="E38" i="5"/>
  <c r="D50" i="9"/>
  <c r="AI9" i="10"/>
  <c r="AI10" i="10"/>
  <c r="AI11" i="10"/>
  <c r="AI12" i="10"/>
  <c r="AI13" i="10"/>
  <c r="AI14" i="10"/>
  <c r="AI15" i="10"/>
  <c r="AI16" i="10"/>
  <c r="AI17" i="10"/>
  <c r="AI18" i="10"/>
  <c r="AI19" i="10"/>
  <c r="AI20" i="10"/>
  <c r="AI21" i="10"/>
  <c r="AI22" i="10"/>
  <c r="AI23" i="10"/>
  <c r="AI24" i="10"/>
  <c r="AI25" i="10"/>
  <c r="AI26" i="10"/>
  <c r="AI27" i="10"/>
  <c r="AI28" i="10"/>
  <c r="AI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8" i="10"/>
  <c r="AC29" i="10"/>
  <c r="Z62" i="10"/>
  <c r="Z170" i="10" s="1"/>
  <c r="Z196" i="10" s="1"/>
  <c r="Z222" i="10" s="1"/>
  <c r="Z35" i="10"/>
  <c r="Y35" i="10"/>
  <c r="X35" i="10"/>
  <c r="W35" i="10"/>
  <c r="U57" i="10"/>
  <c r="V57" i="10"/>
  <c r="E57" i="10"/>
  <c r="F57" i="10"/>
  <c r="H35" i="10"/>
  <c r="L35" i="10" s="1"/>
  <c r="P35" i="10" s="1"/>
  <c r="I35" i="10"/>
  <c r="M35" i="10" s="1"/>
  <c r="Q35" i="10" s="1"/>
  <c r="J35" i="10"/>
  <c r="N35" i="10" s="1"/>
  <c r="R35" i="10" s="1"/>
  <c r="G35" i="10"/>
  <c r="K35" i="10" s="1"/>
  <c r="O35" i="10" s="1"/>
  <c r="H32" i="2"/>
  <c r="H36" i="2" s="1"/>
  <c r="H33" i="2"/>
  <c r="H37" i="2" s="1"/>
  <c r="H34" i="2"/>
  <c r="H38" i="2" s="1"/>
  <c r="BA31" i="2" l="1"/>
  <c r="H189" i="21"/>
  <c r="M60" i="5"/>
  <c r="R59" i="5"/>
  <c r="O59" i="5"/>
  <c r="S59" i="5"/>
  <c r="P59" i="5"/>
  <c r="N59" i="5"/>
  <c r="Q59" i="5"/>
  <c r="E39" i="5"/>
  <c r="D51" i="9"/>
  <c r="BJ62" i="10"/>
  <c r="AL62" i="10"/>
  <c r="R57" i="10"/>
  <c r="Q57" i="10"/>
  <c r="J57" i="10"/>
  <c r="I57" i="10"/>
  <c r="R23" i="18"/>
  <c r="R23" i="20"/>
  <c r="R23" i="19"/>
  <c r="R23" i="13"/>
  <c r="L43" i="3"/>
  <c r="L18" i="3" s="1"/>
  <c r="W57" i="10"/>
  <c r="BS85" i="10"/>
  <c r="Y57" i="10"/>
  <c r="Z57" i="10"/>
  <c r="O114" i="9"/>
  <c r="C80" i="9" s="1"/>
  <c r="BA32" i="2" l="1"/>
  <c r="H191" i="21" s="1"/>
  <c r="H190" i="21"/>
  <c r="BZ198" i="10"/>
  <c r="BZ224" i="10"/>
  <c r="BZ172" i="10"/>
  <c r="M61" i="5"/>
  <c r="Q60" i="5"/>
  <c r="R60" i="5"/>
  <c r="O60" i="5"/>
  <c r="S60" i="5"/>
  <c r="P60" i="5"/>
  <c r="N60" i="5"/>
  <c r="AO35" i="8"/>
  <c r="I35" i="8"/>
  <c r="I88" i="8"/>
  <c r="Q88" i="8" s="1"/>
  <c r="Y35" i="8"/>
  <c r="Y88" i="8"/>
  <c r="AG88" i="8" s="1"/>
  <c r="AO62" i="8"/>
  <c r="Y62" i="8"/>
  <c r="AG62" i="8" s="1"/>
  <c r="AO88" i="8"/>
  <c r="AW88" i="8" s="1"/>
  <c r="I62" i="8"/>
  <c r="Q62" i="8" s="1"/>
  <c r="D52" i="9"/>
  <c r="AX62" i="10"/>
  <c r="AX170" i="10" s="1"/>
  <c r="AX196" i="10" s="1"/>
  <c r="AX222" i="10" s="1"/>
  <c r="AL170" i="10"/>
  <c r="AL196" i="10" s="1"/>
  <c r="AL222" i="10" s="1"/>
  <c r="BV62" i="10"/>
  <c r="BV170" i="10" s="1"/>
  <c r="BV196" i="10" s="1"/>
  <c r="BV222" i="10" s="1"/>
  <c r="BJ170" i="10"/>
  <c r="BJ196" i="10" s="1"/>
  <c r="BJ222" i="10" s="1"/>
  <c r="O115" i="9"/>
  <c r="D80" i="9"/>
  <c r="E80" i="9"/>
  <c r="R50" i="13"/>
  <c r="AD23" i="13"/>
  <c r="AP23" i="13" s="1"/>
  <c r="R18" i="13"/>
  <c r="R50" i="19"/>
  <c r="AD23" i="19"/>
  <c r="AP23" i="19" s="1"/>
  <c r="R50" i="20"/>
  <c r="AD23" i="20"/>
  <c r="AP23" i="20" s="1"/>
  <c r="R18" i="20"/>
  <c r="R18" i="18"/>
  <c r="AD23" i="18"/>
  <c r="AP23" i="18" s="1"/>
  <c r="R50" i="18"/>
  <c r="V36" i="2"/>
  <c r="V37" i="2" s="1"/>
  <c r="V38" i="2" s="1"/>
  <c r="V39" i="2" s="1"/>
  <c r="V40" i="2" s="1"/>
  <c r="V41" i="2" s="1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W37" i="2"/>
  <c r="W38" i="2" s="1"/>
  <c r="W39" i="2" s="1"/>
  <c r="W40" i="2" s="1"/>
  <c r="W41" i="2" s="1"/>
  <c r="W42" i="2" s="1"/>
  <c r="W43" i="2" s="1"/>
  <c r="W44" i="2" s="1"/>
  <c r="W45" i="2" s="1"/>
  <c r="W46" i="2" s="1"/>
  <c r="W47" i="2" s="1"/>
  <c r="W48" i="2" s="1"/>
  <c r="W49" i="2" s="1"/>
  <c r="W50" i="2" s="1"/>
  <c r="W51" i="2" s="1"/>
  <c r="W52" i="2" s="1"/>
  <c r="W53" i="2" s="1"/>
  <c r="W54" i="2" s="1"/>
  <c r="W55" i="2" s="1"/>
  <c r="W56" i="2" s="1"/>
  <c r="AA37" i="2"/>
  <c r="AA38" i="2" s="1"/>
  <c r="AA39" i="2" s="1"/>
  <c r="AA40" i="2" s="1"/>
  <c r="AA41" i="2" s="1"/>
  <c r="AA42" i="2" s="1"/>
  <c r="AA43" i="2" s="1"/>
  <c r="AA44" i="2" s="1"/>
  <c r="AA45" i="2" s="1"/>
  <c r="AA46" i="2" s="1"/>
  <c r="AA47" i="2" s="1"/>
  <c r="AA48" i="2" s="1"/>
  <c r="AA49" i="2" s="1"/>
  <c r="AA50" i="2" s="1"/>
  <c r="AA51" i="2" s="1"/>
  <c r="AA52" i="2" s="1"/>
  <c r="AA53" i="2" s="1"/>
  <c r="AA54" i="2" s="1"/>
  <c r="AA55" i="2" s="1"/>
  <c r="AA56" i="2" s="1"/>
  <c r="BZ225" i="10" l="1"/>
  <c r="BZ173" i="10"/>
  <c r="BZ199" i="10"/>
  <c r="AW62" i="8"/>
  <c r="M62" i="5"/>
  <c r="P61" i="5"/>
  <c r="N61" i="5"/>
  <c r="Q61" i="5"/>
  <c r="R61" i="5"/>
  <c r="O61" i="5"/>
  <c r="S61" i="5"/>
  <c r="Y36" i="8"/>
  <c r="AO36" i="8"/>
  <c r="I36" i="8"/>
  <c r="I89" i="8"/>
  <c r="Q89" i="8" s="1"/>
  <c r="Y89" i="8"/>
  <c r="AG89" i="8" s="1"/>
  <c r="AO63" i="8"/>
  <c r="AO89" i="8"/>
  <c r="AW89" i="8" s="1"/>
  <c r="Y63" i="8"/>
  <c r="AG63" i="8" s="1"/>
  <c r="I63" i="8"/>
  <c r="Q63" i="8" s="1"/>
  <c r="Y8" i="8"/>
  <c r="AG35" i="8"/>
  <c r="AG8" i="8" s="1"/>
  <c r="I8" i="8"/>
  <c r="Q35" i="8"/>
  <c r="Q8" i="8" s="1"/>
  <c r="AO8" i="8"/>
  <c r="AW35" i="8"/>
  <c r="AW8" i="8" s="1"/>
  <c r="BB23" i="18"/>
  <c r="BB50" i="18" s="1"/>
  <c r="AP50" i="18"/>
  <c r="BB23" i="19"/>
  <c r="BB50" i="19" s="1"/>
  <c r="AP50" i="19"/>
  <c r="BB23" i="13"/>
  <c r="BB50" i="13" s="1"/>
  <c r="AP50" i="13"/>
  <c r="AP50" i="20"/>
  <c r="BB23" i="20"/>
  <c r="BB50" i="20" s="1"/>
  <c r="O116" i="9"/>
  <c r="D81" i="9"/>
  <c r="E81" i="9"/>
  <c r="AD50" i="13"/>
  <c r="BN23" i="13"/>
  <c r="AD50" i="19"/>
  <c r="BN23" i="19"/>
  <c r="AD50" i="18"/>
  <c r="BN23" i="18"/>
  <c r="AD50" i="20"/>
  <c r="BN23" i="20"/>
  <c r="D31" i="2"/>
  <c r="D30" i="2"/>
  <c r="D29" i="2"/>
  <c r="G70" i="2"/>
  <c r="H70" i="2" s="1"/>
  <c r="I70" i="2" s="1"/>
  <c r="G71" i="2"/>
  <c r="H71" i="2" s="1"/>
  <c r="I71" i="2" s="1"/>
  <c r="G72" i="2"/>
  <c r="H72" i="2" s="1"/>
  <c r="I72" i="2" s="1"/>
  <c r="G73" i="2"/>
  <c r="H73" i="2" s="1"/>
  <c r="I73" i="2" s="1"/>
  <c r="G74" i="2"/>
  <c r="H74" i="2" s="1"/>
  <c r="I74" i="2" s="1"/>
  <c r="G75" i="2"/>
  <c r="H75" i="2" s="1"/>
  <c r="I75" i="2" s="1"/>
  <c r="G76" i="2"/>
  <c r="H76" i="2" s="1"/>
  <c r="I76" i="2" s="1"/>
  <c r="G77" i="2"/>
  <c r="H77" i="2" s="1"/>
  <c r="I77" i="2" s="1"/>
  <c r="G78" i="2"/>
  <c r="H78" i="2" s="1"/>
  <c r="I78" i="2" s="1"/>
  <c r="G79" i="2"/>
  <c r="H79" i="2" s="1"/>
  <c r="I79" i="2" s="1"/>
  <c r="G80" i="2"/>
  <c r="H80" i="2" s="1"/>
  <c r="I80" i="2" s="1"/>
  <c r="G81" i="2"/>
  <c r="H81" i="2" s="1"/>
  <c r="I81" i="2" s="1"/>
  <c r="G82" i="2"/>
  <c r="H82" i="2" s="1"/>
  <c r="I82" i="2" s="1"/>
  <c r="G83" i="2"/>
  <c r="H83" i="2" s="1"/>
  <c r="I83" i="2" s="1"/>
  <c r="G84" i="2"/>
  <c r="H84" i="2" s="1"/>
  <c r="I84" i="2" s="1"/>
  <c r="G85" i="2"/>
  <c r="H85" i="2" s="1"/>
  <c r="I85" i="2" s="1"/>
  <c r="G86" i="2"/>
  <c r="H86" i="2" s="1"/>
  <c r="I86" i="2" s="1"/>
  <c r="G87" i="2"/>
  <c r="H87" i="2" s="1"/>
  <c r="I87" i="2" s="1"/>
  <c r="G88" i="2"/>
  <c r="H88" i="2" s="1"/>
  <c r="I88" i="2" s="1"/>
  <c r="G89" i="2"/>
  <c r="H89" i="2" s="1"/>
  <c r="I89" i="2" s="1"/>
  <c r="H69" i="2"/>
  <c r="I69" i="2" s="1"/>
  <c r="BZ226" i="10" l="1"/>
  <c r="BZ174" i="10"/>
  <c r="BZ200" i="10"/>
  <c r="AW63" i="8"/>
  <c r="M63" i="5"/>
  <c r="O62" i="5"/>
  <c r="S62" i="5"/>
  <c r="P62" i="5"/>
  <c r="N62" i="5"/>
  <c r="Q62" i="5"/>
  <c r="R62" i="5"/>
  <c r="I9" i="8"/>
  <c r="Q36" i="8"/>
  <c r="Q9" i="8" s="1"/>
  <c r="AO37" i="8"/>
  <c r="I37" i="8"/>
  <c r="I90" i="8"/>
  <c r="Q90" i="8" s="1"/>
  <c r="Y90" i="8"/>
  <c r="AG90" i="8" s="1"/>
  <c r="AO64" i="8"/>
  <c r="Y64" i="8"/>
  <c r="AG64" i="8" s="1"/>
  <c r="I64" i="8"/>
  <c r="Q64" i="8" s="1"/>
  <c r="AO90" i="8"/>
  <c r="AW90" i="8" s="1"/>
  <c r="Y37" i="8"/>
  <c r="AO9" i="8"/>
  <c r="AW36" i="8"/>
  <c r="AW9" i="8" s="1"/>
  <c r="Y9" i="8"/>
  <c r="AG36" i="8"/>
  <c r="AG9" i="8" s="1"/>
  <c r="O117" i="9"/>
  <c r="E82" i="9"/>
  <c r="D82" i="9"/>
  <c r="BN50" i="18"/>
  <c r="BZ23" i="18"/>
  <c r="BZ50" i="18" s="1"/>
  <c r="BN50" i="19"/>
  <c r="BZ23" i="19"/>
  <c r="BZ50" i="19" s="1"/>
  <c r="BN50" i="20"/>
  <c r="BZ23" i="20"/>
  <c r="BZ50" i="20" s="1"/>
  <c r="BN50" i="13"/>
  <c r="BZ23" i="13"/>
  <c r="BZ50" i="13" s="1"/>
  <c r="AB37" i="2"/>
  <c r="AC37" i="2"/>
  <c r="AD37" i="2"/>
  <c r="AB38" i="2"/>
  <c r="AC38" i="2"/>
  <c r="AD38" i="2"/>
  <c r="AB39" i="2"/>
  <c r="AC39" i="2"/>
  <c r="AD39" i="2"/>
  <c r="AB40" i="2"/>
  <c r="AC40" i="2"/>
  <c r="AD40" i="2"/>
  <c r="AB41" i="2"/>
  <c r="AC41" i="2"/>
  <c r="AD41" i="2"/>
  <c r="AB42" i="2"/>
  <c r="AC42" i="2"/>
  <c r="AD42" i="2"/>
  <c r="AB43" i="2"/>
  <c r="AC43" i="2"/>
  <c r="AD43" i="2"/>
  <c r="AB44" i="2"/>
  <c r="AC44" i="2"/>
  <c r="AD44" i="2"/>
  <c r="AB45" i="2"/>
  <c r="AC45" i="2"/>
  <c r="AD45" i="2"/>
  <c r="AB46" i="2"/>
  <c r="AC46" i="2"/>
  <c r="AD46" i="2"/>
  <c r="AB47" i="2"/>
  <c r="AC47" i="2"/>
  <c r="AD47" i="2"/>
  <c r="AB48" i="2"/>
  <c r="AC48" i="2"/>
  <c r="AD48" i="2"/>
  <c r="AB49" i="2"/>
  <c r="AC49" i="2"/>
  <c r="AD49" i="2"/>
  <c r="AB50" i="2"/>
  <c r="AC50" i="2"/>
  <c r="AD50" i="2"/>
  <c r="AB51" i="2"/>
  <c r="AC51" i="2"/>
  <c r="AD51" i="2"/>
  <c r="AB52" i="2"/>
  <c r="AC52" i="2"/>
  <c r="AD52" i="2"/>
  <c r="AB53" i="2"/>
  <c r="AC53" i="2"/>
  <c r="AD53" i="2"/>
  <c r="AB54" i="2"/>
  <c r="AC54" i="2"/>
  <c r="AD54" i="2"/>
  <c r="AB55" i="2"/>
  <c r="AC55" i="2"/>
  <c r="AD55" i="2"/>
  <c r="AB56" i="2"/>
  <c r="AC56" i="2"/>
  <c r="AD56" i="2"/>
  <c r="AD36" i="2"/>
  <c r="AC36" i="2"/>
  <c r="BZ227" i="10" l="1"/>
  <c r="BZ175" i="10"/>
  <c r="BZ201" i="10"/>
  <c r="AW64" i="8"/>
  <c r="M64" i="5"/>
  <c r="R63" i="5"/>
  <c r="O63" i="5"/>
  <c r="S63" i="5"/>
  <c r="P63" i="5"/>
  <c r="N63" i="5"/>
  <c r="Q63" i="5"/>
  <c r="I38" i="8"/>
  <c r="Y38" i="8"/>
  <c r="Y91" i="8"/>
  <c r="AG91" i="8" s="1"/>
  <c r="AO65" i="8"/>
  <c r="Y65" i="8"/>
  <c r="AG65" i="8" s="1"/>
  <c r="I65" i="8"/>
  <c r="Q65" i="8" s="1"/>
  <c r="AO91" i="8"/>
  <c r="AW91" i="8" s="1"/>
  <c r="AO38" i="8"/>
  <c r="I91" i="8"/>
  <c r="Q91" i="8" s="1"/>
  <c r="I10" i="8"/>
  <c r="Q37" i="8"/>
  <c r="Q10" i="8" s="1"/>
  <c r="Y10" i="8"/>
  <c r="AG37" i="8"/>
  <c r="AG10" i="8" s="1"/>
  <c r="AO10" i="8"/>
  <c r="AW37" i="8"/>
  <c r="AW10" i="8" s="1"/>
  <c r="O118" i="9"/>
  <c r="D83" i="9"/>
  <c r="E83" i="9"/>
  <c r="D10" i="2"/>
  <c r="I49" i="2"/>
  <c r="I50" i="2"/>
  <c r="BZ228" i="10" l="1"/>
  <c r="BZ176" i="10"/>
  <c r="BZ202" i="10"/>
  <c r="AW65" i="8"/>
  <c r="M65" i="5"/>
  <c r="Q64" i="5"/>
  <c r="R64" i="5"/>
  <c r="O64" i="5"/>
  <c r="S64" i="5"/>
  <c r="P64" i="5"/>
  <c r="N64" i="5"/>
  <c r="I39" i="8"/>
  <c r="Y39" i="8"/>
  <c r="AO39" i="8"/>
  <c r="AO92" i="8"/>
  <c r="AW92" i="8" s="1"/>
  <c r="I92" i="8"/>
  <c r="Q92" i="8" s="1"/>
  <c r="Y66" i="8"/>
  <c r="AG66" i="8" s="1"/>
  <c r="AO66" i="8"/>
  <c r="AW66" i="8" s="1"/>
  <c r="I66" i="8"/>
  <c r="Q66" i="8" s="1"/>
  <c r="Y92" i="8"/>
  <c r="AG92" i="8" s="1"/>
  <c r="Y11" i="8"/>
  <c r="AG38" i="8"/>
  <c r="AG11" i="8" s="1"/>
  <c r="I11" i="8"/>
  <c r="Q38" i="8"/>
  <c r="Q11" i="8" s="1"/>
  <c r="AO11" i="8"/>
  <c r="AW38" i="8"/>
  <c r="AW11" i="8" s="1"/>
  <c r="O119" i="9"/>
  <c r="D84" i="9"/>
  <c r="E84" i="9"/>
  <c r="C4" i="1"/>
  <c r="BZ203" i="10" l="1"/>
  <c r="BZ229" i="10"/>
  <c r="BZ177" i="10"/>
  <c r="M66" i="5"/>
  <c r="P65" i="5"/>
  <c r="N65" i="5"/>
  <c r="Q65" i="5"/>
  <c r="R65" i="5"/>
  <c r="O65" i="5"/>
  <c r="S65" i="5"/>
  <c r="Y12" i="8"/>
  <c r="AG39" i="8"/>
  <c r="AG12" i="8" s="1"/>
  <c r="AO12" i="8"/>
  <c r="AW39" i="8"/>
  <c r="AW12" i="8" s="1"/>
  <c r="Y40" i="8"/>
  <c r="AO40" i="8"/>
  <c r="I93" i="8"/>
  <c r="Q93" i="8" s="1"/>
  <c r="I40" i="8"/>
  <c r="Y93" i="8"/>
  <c r="AG93" i="8" s="1"/>
  <c r="AO67" i="8"/>
  <c r="I67" i="8"/>
  <c r="Q67" i="8" s="1"/>
  <c r="AO93" i="8"/>
  <c r="AW93" i="8" s="1"/>
  <c r="Y67" i="8"/>
  <c r="AG67" i="8" s="1"/>
  <c r="Q39" i="8"/>
  <c r="Q12" i="8" s="1"/>
  <c r="I12" i="8"/>
  <c r="O120" i="9"/>
  <c r="D85" i="9"/>
  <c r="E85" i="9"/>
  <c r="BZ178" i="10" l="1"/>
  <c r="BZ204" i="10"/>
  <c r="BZ230" i="10"/>
  <c r="AW67" i="8"/>
  <c r="M67" i="5"/>
  <c r="O66" i="5"/>
  <c r="S66" i="5"/>
  <c r="P66" i="5"/>
  <c r="N66" i="5"/>
  <c r="Q66" i="5"/>
  <c r="R66" i="5"/>
  <c r="AO13" i="8"/>
  <c r="AW40" i="8"/>
  <c r="AW13" i="8" s="1"/>
  <c r="Y13" i="8"/>
  <c r="AG40" i="8"/>
  <c r="AG13" i="8" s="1"/>
  <c r="AO41" i="8"/>
  <c r="I41" i="8"/>
  <c r="Y41" i="8"/>
  <c r="I94" i="8"/>
  <c r="Q94" i="8" s="1"/>
  <c r="Y94" i="8"/>
  <c r="AG94" i="8" s="1"/>
  <c r="AO68" i="8"/>
  <c r="Y68" i="8"/>
  <c r="AG68" i="8" s="1"/>
  <c r="I68" i="8"/>
  <c r="Q68" i="8" s="1"/>
  <c r="AO94" i="8"/>
  <c r="AW94" i="8" s="1"/>
  <c r="I13" i="8"/>
  <c r="Q40" i="8"/>
  <c r="Q13" i="8" s="1"/>
  <c r="O121" i="9"/>
  <c r="D86" i="9"/>
  <c r="E86" i="9"/>
  <c r="M101" i="9"/>
  <c r="Q101" i="9" s="1"/>
  <c r="M100" i="9"/>
  <c r="Q100" i="9" s="1"/>
  <c r="M98" i="9"/>
  <c r="Q98" i="9" s="1"/>
  <c r="M97" i="9"/>
  <c r="Q97" i="9" s="1"/>
  <c r="M99" i="9"/>
  <c r="Q99" i="9" s="1"/>
  <c r="M102" i="9"/>
  <c r="Q102" i="9" s="1"/>
  <c r="P101" i="9"/>
  <c r="P100" i="9"/>
  <c r="P99" i="9"/>
  <c r="P98" i="9"/>
  <c r="P97" i="9"/>
  <c r="P102" i="9"/>
  <c r="L98" i="9"/>
  <c r="L99" i="9"/>
  <c r="L100" i="9"/>
  <c r="L101" i="9"/>
  <c r="L102" i="9"/>
  <c r="L97" i="9"/>
  <c r="I98" i="9"/>
  <c r="I99" i="9"/>
  <c r="I100" i="9"/>
  <c r="I101" i="9"/>
  <c r="I102" i="9"/>
  <c r="I97" i="9"/>
  <c r="BZ205" i="10" l="1"/>
  <c r="BZ179" i="10"/>
  <c r="BZ231" i="10"/>
  <c r="M68" i="5"/>
  <c r="R67" i="5"/>
  <c r="O67" i="5"/>
  <c r="S67" i="5"/>
  <c r="P67" i="5"/>
  <c r="N67" i="5"/>
  <c r="Q67" i="5"/>
  <c r="Q41" i="8"/>
  <c r="I14" i="8"/>
  <c r="AO14" i="8"/>
  <c r="AW41" i="8"/>
  <c r="AW14" i="8" s="1"/>
  <c r="I42" i="8"/>
  <c r="Y42" i="8"/>
  <c r="Y95" i="8"/>
  <c r="AG95" i="8" s="1"/>
  <c r="AO69" i="8"/>
  <c r="Y69" i="8"/>
  <c r="AG69" i="8" s="1"/>
  <c r="AO95" i="8"/>
  <c r="AW95" i="8" s="1"/>
  <c r="AO42" i="8"/>
  <c r="I95" i="8"/>
  <c r="Q95" i="8" s="1"/>
  <c r="I69" i="8"/>
  <c r="Q69" i="8" s="1"/>
  <c r="AW68" i="8"/>
  <c r="Q14" i="8"/>
  <c r="Y14" i="8"/>
  <c r="AG41" i="8"/>
  <c r="AG14" i="8" s="1"/>
  <c r="O122" i="9"/>
  <c r="E87" i="9"/>
  <c r="D87" i="9"/>
  <c r="P87" i="9"/>
  <c r="P86" i="9"/>
  <c r="P85" i="9"/>
  <c r="Q87" i="9"/>
  <c r="Q86" i="9"/>
  <c r="Q85" i="9"/>
  <c r="P91" i="9"/>
  <c r="Q91" i="9"/>
  <c r="Q68" i="9"/>
  <c r="P68" i="9"/>
  <c r="P90" i="9"/>
  <c r="Q90" i="9"/>
  <c r="P89" i="9"/>
  <c r="Q89" i="9"/>
  <c r="BZ232" i="10" l="1"/>
  <c r="BZ180" i="10"/>
  <c r="BZ206" i="10"/>
  <c r="AW69" i="8"/>
  <c r="M69" i="5"/>
  <c r="Q68" i="5"/>
  <c r="R68" i="5"/>
  <c r="O68" i="5"/>
  <c r="S68" i="5"/>
  <c r="P68" i="5"/>
  <c r="N68" i="5"/>
  <c r="I43" i="8"/>
  <c r="Y43" i="8"/>
  <c r="AO43" i="8"/>
  <c r="AO96" i="8"/>
  <c r="AW96" i="8" s="1"/>
  <c r="I96" i="8"/>
  <c r="Q96" i="8" s="1"/>
  <c r="I70" i="8"/>
  <c r="Q70" i="8" s="1"/>
  <c r="AO70" i="8"/>
  <c r="AW70" i="8" s="1"/>
  <c r="Y70" i="8"/>
  <c r="AG70" i="8" s="1"/>
  <c r="Y96" i="8"/>
  <c r="AG96" i="8" s="1"/>
  <c r="I15" i="8"/>
  <c r="Q42" i="8"/>
  <c r="Q15" i="8" s="1"/>
  <c r="AG42" i="8"/>
  <c r="AG15" i="8" s="1"/>
  <c r="Y15" i="8"/>
  <c r="AO15" i="8"/>
  <c r="AW42" i="8"/>
  <c r="AW15" i="8" s="1"/>
  <c r="O123" i="9"/>
  <c r="E88" i="9"/>
  <c r="D88" i="9"/>
  <c r="M67" i="9"/>
  <c r="Q67" i="9" s="1"/>
  <c r="M66" i="9"/>
  <c r="Q66" i="9" s="1"/>
  <c r="Q75" i="9"/>
  <c r="Q76" i="9"/>
  <c r="Q77" i="9"/>
  <c r="Q78" i="9"/>
  <c r="Q79" i="9"/>
  <c r="Q80" i="9"/>
  <c r="Q81" i="9"/>
  <c r="Q82" i="9"/>
  <c r="Q83" i="9"/>
  <c r="Q84" i="9"/>
  <c r="Q88" i="9"/>
  <c r="Q92" i="9"/>
  <c r="Q93" i="9"/>
  <c r="Q94" i="9"/>
  <c r="Q95" i="9"/>
  <c r="Q96" i="9"/>
  <c r="Q103" i="9"/>
  <c r="Q104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9" i="9"/>
  <c r="Q70" i="9"/>
  <c r="Q71" i="9"/>
  <c r="Q72" i="9"/>
  <c r="Q73" i="9"/>
  <c r="Q74" i="9"/>
  <c r="Q6" i="9"/>
  <c r="Q5" i="9"/>
  <c r="BZ207" i="10" l="1"/>
  <c r="BZ233" i="10"/>
  <c r="BZ181" i="10"/>
  <c r="M70" i="5"/>
  <c r="P69" i="5"/>
  <c r="N69" i="5"/>
  <c r="Q69" i="5"/>
  <c r="R69" i="5"/>
  <c r="O69" i="5"/>
  <c r="S69" i="5"/>
  <c r="AO16" i="8"/>
  <c r="AW43" i="8"/>
  <c r="AW16" i="8" s="1"/>
  <c r="Y44" i="8"/>
  <c r="AO44" i="8"/>
  <c r="I97" i="8"/>
  <c r="Q97" i="8" s="1"/>
  <c r="Y97" i="8"/>
  <c r="AG97" i="8" s="1"/>
  <c r="AO71" i="8"/>
  <c r="I44" i="8"/>
  <c r="Y71" i="8"/>
  <c r="AG71" i="8" s="1"/>
  <c r="AO97" i="8"/>
  <c r="AW97" i="8" s="1"/>
  <c r="I71" i="8"/>
  <c r="Q71" i="8" s="1"/>
  <c r="AG43" i="8"/>
  <c r="Y16" i="8"/>
  <c r="AG16" i="8"/>
  <c r="Q43" i="8"/>
  <c r="Q16" i="8" s="1"/>
  <c r="I16" i="8"/>
  <c r="O124" i="9"/>
  <c r="D89" i="9"/>
  <c r="E89" i="9"/>
  <c r="AW71" i="8" l="1"/>
  <c r="BZ208" i="10"/>
  <c r="BZ234" i="10"/>
  <c r="BZ182" i="10"/>
  <c r="M71" i="5"/>
  <c r="O70" i="5"/>
  <c r="S70" i="5"/>
  <c r="P70" i="5"/>
  <c r="N70" i="5"/>
  <c r="Q70" i="5"/>
  <c r="R70" i="5"/>
  <c r="Y17" i="8"/>
  <c r="AG44" i="8"/>
  <c r="AG17" i="8" s="1"/>
  <c r="AO45" i="8"/>
  <c r="I45" i="8"/>
  <c r="I98" i="8"/>
  <c r="Q98" i="8" s="1"/>
  <c r="Y45" i="8"/>
  <c r="Y98" i="8"/>
  <c r="AG98" i="8" s="1"/>
  <c r="AO72" i="8"/>
  <c r="Y72" i="8"/>
  <c r="AG72" i="8" s="1"/>
  <c r="AO98" i="8"/>
  <c r="AW98" i="8" s="1"/>
  <c r="I72" i="8"/>
  <c r="Q72" i="8" s="1"/>
  <c r="I17" i="8"/>
  <c r="Q44" i="8"/>
  <c r="Q17" i="8" s="1"/>
  <c r="AW44" i="8"/>
  <c r="AW17" i="8" s="1"/>
  <c r="AO17" i="8"/>
  <c r="O125" i="9"/>
  <c r="E90" i="9"/>
  <c r="D90" i="9"/>
  <c r="AW72" i="8" l="1"/>
  <c r="M72" i="5"/>
  <c r="R71" i="5"/>
  <c r="O71" i="5"/>
  <c r="S71" i="5"/>
  <c r="P71" i="5"/>
  <c r="N71" i="5"/>
  <c r="Q71" i="5"/>
  <c r="Q45" i="8"/>
  <c r="Q18" i="8" s="1"/>
  <c r="I18" i="8"/>
  <c r="AG18" i="8"/>
  <c r="AO18" i="8"/>
  <c r="AW45" i="8"/>
  <c r="AW18" i="8" s="1"/>
  <c r="I46" i="8"/>
  <c r="Y46" i="8"/>
  <c r="AO46" i="8"/>
  <c r="Y99" i="8"/>
  <c r="AG99" i="8" s="1"/>
  <c r="AO73" i="8"/>
  <c r="Y73" i="8"/>
  <c r="AG73" i="8" s="1"/>
  <c r="AO99" i="8"/>
  <c r="AW99" i="8" s="1"/>
  <c r="I99" i="8"/>
  <c r="Q99" i="8" s="1"/>
  <c r="I73" i="8"/>
  <c r="Q73" i="8" s="1"/>
  <c r="Y18" i="8"/>
  <c r="AG45" i="8"/>
  <c r="O126" i="9"/>
  <c r="I114" i="9"/>
  <c r="B3" i="1"/>
  <c r="C3" i="1"/>
  <c r="B4" i="1"/>
  <c r="B5" i="1"/>
  <c r="C2" i="1"/>
  <c r="B2" i="1"/>
  <c r="AZ85" i="10"/>
  <c r="BD85" i="10"/>
  <c r="BK85" i="10"/>
  <c r="BP85" i="10"/>
  <c r="T85" i="10"/>
  <c r="O85" i="10"/>
  <c r="H85" i="10"/>
  <c r="D85" i="10"/>
  <c r="S57" i="10"/>
  <c r="G57" i="10"/>
  <c r="C57" i="10"/>
  <c r="I115" i="9" l="1"/>
  <c r="AW73" i="8"/>
  <c r="M73" i="5"/>
  <c r="Q72" i="5"/>
  <c r="R72" i="5"/>
  <c r="O72" i="5"/>
  <c r="S72" i="5"/>
  <c r="P72" i="5"/>
  <c r="N72" i="5"/>
  <c r="I19" i="8"/>
  <c r="Q46" i="8"/>
  <c r="Q19" i="8" s="1"/>
  <c r="I47" i="8"/>
  <c r="Y47" i="8"/>
  <c r="AO47" i="8"/>
  <c r="AO100" i="8"/>
  <c r="AW100" i="8" s="1"/>
  <c r="I100" i="8"/>
  <c r="Q100" i="8" s="1"/>
  <c r="Y100" i="8"/>
  <c r="AG100" i="8" s="1"/>
  <c r="Y74" i="8"/>
  <c r="AG74" i="8" s="1"/>
  <c r="I74" i="8"/>
  <c r="Q74" i="8" s="1"/>
  <c r="AO74" i="8"/>
  <c r="AW74" i="8" s="1"/>
  <c r="AG46" i="8"/>
  <c r="AG19" i="8" s="1"/>
  <c r="Y19" i="8"/>
  <c r="AO19" i="8"/>
  <c r="AW46" i="8"/>
  <c r="AW19" i="8" s="1"/>
  <c r="O127" i="9"/>
  <c r="C14" i="20"/>
  <c r="D14" i="20" s="1"/>
  <c r="C13" i="20"/>
  <c r="B13" i="20"/>
  <c r="C12" i="20"/>
  <c r="B12" i="20"/>
  <c r="D11" i="20"/>
  <c r="C11" i="20"/>
  <c r="D10" i="20"/>
  <c r="C10" i="20"/>
  <c r="D9" i="20"/>
  <c r="C9" i="20"/>
  <c r="D8" i="20"/>
  <c r="C8" i="20"/>
  <c r="D7" i="20"/>
  <c r="C7" i="20"/>
  <c r="D6" i="20"/>
  <c r="C6" i="20"/>
  <c r="B6" i="20"/>
  <c r="D5" i="20"/>
  <c r="C5" i="20"/>
  <c r="D4" i="20"/>
  <c r="C4" i="20"/>
  <c r="B2" i="20"/>
  <c r="C2" i="20" s="1"/>
  <c r="D2" i="20" s="1"/>
  <c r="E2" i="20" s="1"/>
  <c r="F2" i="20" s="1"/>
  <c r="G2" i="20" s="1"/>
  <c r="C14" i="19"/>
  <c r="D14" i="19" s="1"/>
  <c r="C13" i="19"/>
  <c r="B13" i="19"/>
  <c r="C12" i="19"/>
  <c r="B12" i="19"/>
  <c r="D11" i="19"/>
  <c r="C11" i="19"/>
  <c r="D10" i="19"/>
  <c r="C10" i="19"/>
  <c r="D9" i="19"/>
  <c r="C9" i="19"/>
  <c r="D8" i="19"/>
  <c r="C8" i="19"/>
  <c r="D7" i="19"/>
  <c r="C7" i="19"/>
  <c r="D6" i="19"/>
  <c r="C6" i="19"/>
  <c r="B6" i="19"/>
  <c r="D5" i="19"/>
  <c r="C5" i="19"/>
  <c r="D4" i="19"/>
  <c r="C4" i="19"/>
  <c r="B2" i="19"/>
  <c r="C2" i="19" s="1"/>
  <c r="D2" i="19" s="1"/>
  <c r="E2" i="19" s="1"/>
  <c r="F2" i="19" s="1"/>
  <c r="G2" i="19" s="1"/>
  <c r="C14" i="18"/>
  <c r="D14" i="18" s="1"/>
  <c r="C13" i="18"/>
  <c r="B13" i="18"/>
  <c r="C12" i="18"/>
  <c r="B12" i="18"/>
  <c r="D11" i="18"/>
  <c r="C11" i="18"/>
  <c r="D10" i="18"/>
  <c r="C10" i="18"/>
  <c r="D9" i="18"/>
  <c r="C9" i="18"/>
  <c r="D8" i="18"/>
  <c r="C8" i="18"/>
  <c r="D7" i="18"/>
  <c r="C7" i="18"/>
  <c r="D6" i="18"/>
  <c r="C6" i="18"/>
  <c r="B6" i="18"/>
  <c r="D5" i="18"/>
  <c r="C5" i="18"/>
  <c r="D4" i="18"/>
  <c r="C4" i="18"/>
  <c r="B2" i="18"/>
  <c r="C2" i="18" s="1"/>
  <c r="D2" i="18" s="1"/>
  <c r="E2" i="18" s="1"/>
  <c r="F2" i="18" s="1"/>
  <c r="G2" i="18" s="1"/>
  <c r="H2" i="18" s="1"/>
  <c r="I2" i="18" s="1"/>
  <c r="J2" i="18" s="1"/>
  <c r="K2" i="18" s="1"/>
  <c r="L2" i="18" s="1"/>
  <c r="M2" i="18" s="1"/>
  <c r="N2" i="18" s="1"/>
  <c r="O2" i="18" s="1"/>
  <c r="P2" i="18" s="1"/>
  <c r="Q2" i="18" s="1"/>
  <c r="R2" i="18" s="1"/>
  <c r="S2" i="18" s="1"/>
  <c r="T2" i="18" s="1"/>
  <c r="U2" i="18" s="1"/>
  <c r="V2" i="18" s="1"/>
  <c r="W2" i="18" s="1"/>
  <c r="X2" i="18" s="1"/>
  <c r="Y2" i="18" s="1"/>
  <c r="Z2" i="18" s="1"/>
  <c r="AA2" i="18" s="1"/>
  <c r="AB2" i="18" s="1"/>
  <c r="D5" i="4"/>
  <c r="M74" i="5" l="1"/>
  <c r="P73" i="5"/>
  <c r="N73" i="5"/>
  <c r="Q73" i="5"/>
  <c r="R73" i="5"/>
  <c r="O73" i="5"/>
  <c r="S73" i="5"/>
  <c r="Q47" i="8"/>
  <c r="Q20" i="8" s="1"/>
  <c r="I20" i="8"/>
  <c r="Y20" i="8"/>
  <c r="AG47" i="8"/>
  <c r="AG20" i="8" s="1"/>
  <c r="Y48" i="8"/>
  <c r="AO48" i="8"/>
  <c r="I48" i="8"/>
  <c r="I101" i="8"/>
  <c r="Q101" i="8" s="1"/>
  <c r="Y101" i="8"/>
  <c r="AG101" i="8" s="1"/>
  <c r="AO101" i="8"/>
  <c r="AW101" i="8" s="1"/>
  <c r="AO75" i="8"/>
  <c r="Y75" i="8"/>
  <c r="AG75" i="8" s="1"/>
  <c r="I75" i="8"/>
  <c r="Q75" i="8" s="1"/>
  <c r="AC2" i="18"/>
  <c r="AD2" i="18" s="1"/>
  <c r="AE2" i="18" s="1"/>
  <c r="AF2" i="18" s="1"/>
  <c r="AG2" i="18" s="1"/>
  <c r="AH2" i="18" s="1"/>
  <c r="AI2" i="18" s="1"/>
  <c r="AJ2" i="18" s="1"/>
  <c r="AK2" i="18" s="1"/>
  <c r="AL2" i="18" s="1"/>
  <c r="AM2" i="18" s="1"/>
  <c r="AN2" i="18" s="1"/>
  <c r="AO2" i="18" s="1"/>
  <c r="AP2" i="18" s="1"/>
  <c r="AQ2" i="18" s="1"/>
  <c r="AR2" i="18" s="1"/>
  <c r="AS2" i="18" s="1"/>
  <c r="AT2" i="18" s="1"/>
  <c r="AU2" i="18" s="1"/>
  <c r="AV2" i="18" s="1"/>
  <c r="AW2" i="18" s="1"/>
  <c r="AX2" i="18" s="1"/>
  <c r="AY2" i="18" s="1"/>
  <c r="AZ2" i="18" s="1"/>
  <c r="BA2" i="18" s="1"/>
  <c r="BB2" i="18" s="1"/>
  <c r="BC2" i="18" s="1"/>
  <c r="BD2" i="18" s="1"/>
  <c r="BE2" i="18" s="1"/>
  <c r="BF2" i="18" s="1"/>
  <c r="BG2" i="18" s="1"/>
  <c r="BH2" i="18" s="1"/>
  <c r="BI2" i="18" s="1"/>
  <c r="BJ2" i="18" s="1"/>
  <c r="BK2" i="18" s="1"/>
  <c r="BL2" i="18" s="1"/>
  <c r="BM2" i="18" s="1"/>
  <c r="BN2" i="18" s="1"/>
  <c r="BO2" i="18" s="1"/>
  <c r="BP2" i="18" s="1"/>
  <c r="BQ2" i="18" s="1"/>
  <c r="BR2" i="18" s="1"/>
  <c r="BS2" i="18" s="1"/>
  <c r="BT2" i="18" s="1"/>
  <c r="BU2" i="18" s="1"/>
  <c r="BV2" i="18" s="1"/>
  <c r="BW2" i="18" s="1"/>
  <c r="BX2" i="18" s="1"/>
  <c r="BY2" i="18" s="1"/>
  <c r="BZ2" i="18" s="1"/>
  <c r="CA2" i="18" s="1"/>
  <c r="CB2" i="18" s="1"/>
  <c r="CC2" i="18" s="1"/>
  <c r="CD2" i="18" s="1"/>
  <c r="CE2" i="18" s="1"/>
  <c r="CF2" i="18" s="1"/>
  <c r="CG2" i="18" s="1"/>
  <c r="CH2" i="18" s="1"/>
  <c r="CI2" i="18" s="1"/>
  <c r="CJ2" i="18" s="1"/>
  <c r="CK2" i="18" s="1"/>
  <c r="AO20" i="8"/>
  <c r="AW47" i="8"/>
  <c r="AW20" i="8" s="1"/>
  <c r="O128" i="9"/>
  <c r="F51" i="18"/>
  <c r="F24" i="18"/>
  <c r="F25" i="18" s="1"/>
  <c r="F26" i="18" s="1"/>
  <c r="F51" i="19"/>
  <c r="F52" i="19" s="1"/>
  <c r="F24" i="19"/>
  <c r="F25" i="19" s="1"/>
  <c r="F26" i="19" s="1"/>
  <c r="F51" i="20"/>
  <c r="F24" i="20"/>
  <c r="F25" i="20" s="1"/>
  <c r="H2" i="20"/>
  <c r="I2" i="20" s="1"/>
  <c r="H2" i="19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AH2" i="19" s="1"/>
  <c r="AI2" i="19" s="1"/>
  <c r="AJ2" i="19" s="1"/>
  <c r="AK2" i="19" s="1"/>
  <c r="AL2" i="19" s="1"/>
  <c r="AM2" i="19" s="1"/>
  <c r="AN2" i="19" s="1"/>
  <c r="AO2" i="19" s="1"/>
  <c r="AP2" i="19" s="1"/>
  <c r="AQ2" i="19" s="1"/>
  <c r="AR2" i="19" s="1"/>
  <c r="AS2" i="19" s="1"/>
  <c r="AT2" i="19" s="1"/>
  <c r="AU2" i="19" s="1"/>
  <c r="AV2" i="19" s="1"/>
  <c r="AW2" i="19" s="1"/>
  <c r="AX2" i="19" s="1"/>
  <c r="AY2" i="19" s="1"/>
  <c r="AZ2" i="19" s="1"/>
  <c r="BA2" i="19" s="1"/>
  <c r="AW75" i="8" l="1"/>
  <c r="M75" i="5"/>
  <c r="O74" i="5"/>
  <c r="S74" i="5"/>
  <c r="P74" i="5"/>
  <c r="N74" i="5"/>
  <c r="Q74" i="5"/>
  <c r="R74" i="5"/>
  <c r="Y21" i="8"/>
  <c r="AG48" i="8"/>
  <c r="AG21" i="8" s="1"/>
  <c r="I21" i="8"/>
  <c r="Q48" i="8"/>
  <c r="Q21" i="8" s="1"/>
  <c r="AO49" i="8"/>
  <c r="I49" i="8"/>
  <c r="I102" i="8"/>
  <c r="Q102" i="8" s="1"/>
  <c r="Y102" i="8"/>
  <c r="AG102" i="8" s="1"/>
  <c r="AO76" i="8"/>
  <c r="Y76" i="8"/>
  <c r="AG76" i="8" s="1"/>
  <c r="Y49" i="8"/>
  <c r="AO102" i="8"/>
  <c r="AW102" i="8" s="1"/>
  <c r="I76" i="8"/>
  <c r="Q76" i="8" s="1"/>
  <c r="AW48" i="8"/>
  <c r="AW21" i="8" s="1"/>
  <c r="AO21" i="8"/>
  <c r="BB2" i="19"/>
  <c r="O129" i="9"/>
  <c r="F52" i="18"/>
  <c r="F53" i="18" s="1"/>
  <c r="F52" i="20"/>
  <c r="F53" i="20" s="1"/>
  <c r="F26" i="20"/>
  <c r="J2" i="20"/>
  <c r="K2" i="20" s="1"/>
  <c r="L2" i="20" s="1"/>
  <c r="M2" i="20" s="1"/>
  <c r="N2" i="20" s="1"/>
  <c r="O2" i="20" s="1"/>
  <c r="P2" i="20" s="1"/>
  <c r="Q2" i="20" s="1"/>
  <c r="R2" i="20" s="1"/>
  <c r="S2" i="20" s="1"/>
  <c r="T2" i="20" s="1"/>
  <c r="U2" i="20" s="1"/>
  <c r="V2" i="20" s="1"/>
  <c r="W2" i="20" s="1"/>
  <c r="X2" i="20" s="1"/>
  <c r="Y2" i="20" s="1"/>
  <c r="Z2" i="20" s="1"/>
  <c r="AA2" i="20" s="1"/>
  <c r="AB2" i="20" s="1"/>
  <c r="F27" i="19"/>
  <c r="F53" i="19"/>
  <c r="F27" i="18"/>
  <c r="C80" i="12"/>
  <c r="C105" i="12" s="1"/>
  <c r="B6" i="12"/>
  <c r="AW76" i="8" l="1"/>
  <c r="M76" i="5"/>
  <c r="R75" i="5"/>
  <c r="O75" i="5"/>
  <c r="S75" i="5"/>
  <c r="P75" i="5"/>
  <c r="N75" i="5"/>
  <c r="Q75" i="5"/>
  <c r="I22" i="8"/>
  <c r="Q49" i="8"/>
  <c r="Q22" i="8" s="1"/>
  <c r="AW49" i="8"/>
  <c r="AW22" i="8" s="1"/>
  <c r="AO22" i="8"/>
  <c r="I50" i="8"/>
  <c r="Y50" i="8"/>
  <c r="Y103" i="8"/>
  <c r="AG103" i="8" s="1"/>
  <c r="AO77" i="8"/>
  <c r="Y77" i="8"/>
  <c r="AG77" i="8" s="1"/>
  <c r="AO50" i="8"/>
  <c r="AO103" i="8"/>
  <c r="AW103" i="8" s="1"/>
  <c r="I77" i="8"/>
  <c r="Q77" i="8" s="1"/>
  <c r="I103" i="8"/>
  <c r="Q103" i="8" s="1"/>
  <c r="AC2" i="20"/>
  <c r="AD2" i="20" s="1"/>
  <c r="AE2" i="20" s="1"/>
  <c r="AF2" i="20" s="1"/>
  <c r="AG2" i="20" s="1"/>
  <c r="AH2" i="20" s="1"/>
  <c r="AI2" i="20" s="1"/>
  <c r="AJ2" i="20" s="1"/>
  <c r="AK2" i="20" s="1"/>
  <c r="AL2" i="20" s="1"/>
  <c r="AM2" i="20" s="1"/>
  <c r="AN2" i="20" s="1"/>
  <c r="AO2" i="20" s="1"/>
  <c r="AP2" i="20" s="1"/>
  <c r="AQ2" i="20" s="1"/>
  <c r="AR2" i="20" s="1"/>
  <c r="AS2" i="20" s="1"/>
  <c r="AT2" i="20" s="1"/>
  <c r="AU2" i="20" s="1"/>
  <c r="AV2" i="20" s="1"/>
  <c r="AW2" i="20" s="1"/>
  <c r="AX2" i="20" s="1"/>
  <c r="AY2" i="20" s="1"/>
  <c r="AZ2" i="20" s="1"/>
  <c r="BA2" i="20" s="1"/>
  <c r="BB2" i="20" s="1"/>
  <c r="BC2" i="20" s="1"/>
  <c r="BD2" i="20" s="1"/>
  <c r="BE2" i="20" s="1"/>
  <c r="BF2" i="20" s="1"/>
  <c r="BG2" i="20" s="1"/>
  <c r="BH2" i="20" s="1"/>
  <c r="BI2" i="20" s="1"/>
  <c r="BJ2" i="20" s="1"/>
  <c r="BK2" i="20" s="1"/>
  <c r="BL2" i="20" s="1"/>
  <c r="BM2" i="20" s="1"/>
  <c r="BN2" i="20" s="1"/>
  <c r="BO2" i="20" s="1"/>
  <c r="BP2" i="20" s="1"/>
  <c r="BQ2" i="20" s="1"/>
  <c r="BR2" i="20" s="1"/>
  <c r="BS2" i="20" s="1"/>
  <c r="BT2" i="20" s="1"/>
  <c r="BU2" i="20" s="1"/>
  <c r="BV2" i="20" s="1"/>
  <c r="BW2" i="20" s="1"/>
  <c r="BX2" i="20" s="1"/>
  <c r="BY2" i="20" s="1"/>
  <c r="BZ2" i="20" s="1"/>
  <c r="CA2" i="20" s="1"/>
  <c r="CB2" i="20" s="1"/>
  <c r="CC2" i="20" s="1"/>
  <c r="CD2" i="20" s="1"/>
  <c r="CE2" i="20" s="1"/>
  <c r="CF2" i="20" s="1"/>
  <c r="CG2" i="20" s="1"/>
  <c r="CH2" i="20" s="1"/>
  <c r="CI2" i="20" s="1"/>
  <c r="CJ2" i="20" s="1"/>
  <c r="CK2" i="20" s="1"/>
  <c r="Y22" i="8"/>
  <c r="AG49" i="8"/>
  <c r="AG22" i="8" s="1"/>
  <c r="D105" i="12"/>
  <c r="E105" i="12" s="1"/>
  <c r="F105" i="12" s="1"/>
  <c r="G105" i="12" s="1"/>
  <c r="H105" i="12" s="1"/>
  <c r="I105" i="12" s="1"/>
  <c r="J105" i="12" s="1"/>
  <c r="K105" i="12" s="1"/>
  <c r="L105" i="12" s="1"/>
  <c r="M105" i="12" s="1"/>
  <c r="N105" i="12" s="1"/>
  <c r="O105" i="12" s="1"/>
  <c r="P105" i="12" s="1"/>
  <c r="Q105" i="12" s="1"/>
  <c r="R105" i="12" s="1"/>
  <c r="S105" i="12" s="1"/>
  <c r="T105" i="12" s="1"/>
  <c r="U105" i="12" s="1"/>
  <c r="V105" i="12" s="1"/>
  <c r="W105" i="12" s="1"/>
  <c r="C130" i="12"/>
  <c r="BC2" i="19"/>
  <c r="BD2" i="19" s="1"/>
  <c r="BE2" i="19" s="1"/>
  <c r="BF2" i="19" s="1"/>
  <c r="BG2" i="19" s="1"/>
  <c r="BH2" i="19" s="1"/>
  <c r="BI2" i="19" s="1"/>
  <c r="BJ2" i="19" s="1"/>
  <c r="BK2" i="19" s="1"/>
  <c r="BL2" i="19" s="1"/>
  <c r="BM2" i="19" s="1"/>
  <c r="BN2" i="19" s="1"/>
  <c r="BO2" i="19" s="1"/>
  <c r="BP2" i="19" s="1"/>
  <c r="BQ2" i="19" s="1"/>
  <c r="BR2" i="19" s="1"/>
  <c r="BS2" i="19" s="1"/>
  <c r="BT2" i="19" s="1"/>
  <c r="BU2" i="19" s="1"/>
  <c r="BV2" i="19" s="1"/>
  <c r="BW2" i="19" s="1"/>
  <c r="BX2" i="19" s="1"/>
  <c r="BY2" i="19" s="1"/>
  <c r="BZ2" i="19" s="1"/>
  <c r="CA2" i="19" s="1"/>
  <c r="CB2" i="19" s="1"/>
  <c r="CC2" i="19" s="1"/>
  <c r="CD2" i="19" s="1"/>
  <c r="CE2" i="19" s="1"/>
  <c r="CF2" i="19" s="1"/>
  <c r="CG2" i="19" s="1"/>
  <c r="CH2" i="19" s="1"/>
  <c r="CI2" i="19" s="1"/>
  <c r="CJ2" i="19" s="1"/>
  <c r="CK2" i="19" s="1"/>
  <c r="B31" i="12"/>
  <c r="O130" i="9"/>
  <c r="F54" i="20"/>
  <c r="F27" i="20"/>
  <c r="F54" i="19"/>
  <c r="F28" i="19"/>
  <c r="F28" i="18"/>
  <c r="F54" i="18"/>
  <c r="I116" i="9"/>
  <c r="AW77" i="8" l="1"/>
  <c r="M77" i="5"/>
  <c r="Q76" i="5"/>
  <c r="R76" i="5"/>
  <c r="O76" i="5"/>
  <c r="S76" i="5"/>
  <c r="P76" i="5"/>
  <c r="N76" i="5"/>
  <c r="I51" i="8"/>
  <c r="Y51" i="8"/>
  <c r="AO51" i="8"/>
  <c r="AO104" i="8"/>
  <c r="AW104" i="8" s="1"/>
  <c r="I104" i="8"/>
  <c r="Q104" i="8" s="1"/>
  <c r="I78" i="8"/>
  <c r="Q78" i="8" s="1"/>
  <c r="Y104" i="8"/>
  <c r="AG104" i="8" s="1"/>
  <c r="AO78" i="8"/>
  <c r="AW78" i="8" s="1"/>
  <c r="Y78" i="8"/>
  <c r="AG78" i="8" s="1"/>
  <c r="AW50" i="8"/>
  <c r="AW23" i="8" s="1"/>
  <c r="AO23" i="8"/>
  <c r="AG50" i="8"/>
  <c r="AG23" i="8" s="1"/>
  <c r="Y23" i="8"/>
  <c r="I23" i="8"/>
  <c r="Q50" i="8"/>
  <c r="Q23" i="8" s="1"/>
  <c r="B56" i="12"/>
  <c r="B32" i="12"/>
  <c r="C32" i="12" s="1"/>
  <c r="O131" i="9"/>
  <c r="F28" i="20"/>
  <c r="F55" i="20"/>
  <c r="F55" i="19"/>
  <c r="F29" i="19"/>
  <c r="F55" i="18"/>
  <c r="F29" i="18"/>
  <c r="I117" i="9"/>
  <c r="M78" i="5" l="1"/>
  <c r="P77" i="5"/>
  <c r="N77" i="5"/>
  <c r="Q77" i="5"/>
  <c r="R77" i="5"/>
  <c r="O77" i="5"/>
  <c r="S77" i="5"/>
  <c r="AO24" i="8"/>
  <c r="AW51" i="8"/>
  <c r="AW24" i="8" s="1"/>
  <c r="Y52" i="8"/>
  <c r="AO52" i="8"/>
  <c r="I52" i="8"/>
  <c r="I105" i="8"/>
  <c r="Q105" i="8" s="1"/>
  <c r="Y105" i="8"/>
  <c r="AG105" i="8" s="1"/>
  <c r="AO79" i="8"/>
  <c r="AO105" i="8"/>
  <c r="AW105" i="8" s="1"/>
  <c r="Y79" i="8"/>
  <c r="AG79" i="8" s="1"/>
  <c r="I79" i="8"/>
  <c r="Q79" i="8" s="1"/>
  <c r="AG51" i="8"/>
  <c r="AG24" i="8" s="1"/>
  <c r="Y24" i="8"/>
  <c r="Q51" i="8"/>
  <c r="Q24" i="8" s="1"/>
  <c r="I24" i="8"/>
  <c r="B33" i="12"/>
  <c r="O132" i="9"/>
  <c r="F29" i="20"/>
  <c r="F56" i="20"/>
  <c r="F56" i="19"/>
  <c r="F30" i="19"/>
  <c r="F30" i="18"/>
  <c r="F56" i="18"/>
  <c r="I118" i="9"/>
  <c r="D4" i="13"/>
  <c r="D5" i="13"/>
  <c r="C5" i="13"/>
  <c r="C5" i="3"/>
  <c r="D33" i="12" l="1"/>
  <c r="C33" i="12"/>
  <c r="AW79" i="8"/>
  <c r="M79" i="5"/>
  <c r="O78" i="5"/>
  <c r="S78" i="5"/>
  <c r="P78" i="5"/>
  <c r="N78" i="5"/>
  <c r="Q78" i="5"/>
  <c r="R78" i="5"/>
  <c r="AO53" i="8"/>
  <c r="I53" i="8"/>
  <c r="I106" i="8"/>
  <c r="Q106" i="8" s="1"/>
  <c r="Y106" i="8"/>
  <c r="AG106" i="8" s="1"/>
  <c r="AO80" i="8"/>
  <c r="Y80" i="8"/>
  <c r="AG80" i="8" s="1"/>
  <c r="AO106" i="8"/>
  <c r="AW106" i="8" s="1"/>
  <c r="Y53" i="8"/>
  <c r="I80" i="8"/>
  <c r="Q80" i="8" s="1"/>
  <c r="I25" i="8"/>
  <c r="Q52" i="8"/>
  <c r="Q25" i="8" s="1"/>
  <c r="AG52" i="8"/>
  <c r="AG25" i="8" s="1"/>
  <c r="Y25" i="8"/>
  <c r="AW52" i="8"/>
  <c r="AW25" i="8" s="1"/>
  <c r="AO25" i="8"/>
  <c r="B34" i="12"/>
  <c r="O133" i="9"/>
  <c r="F51" i="13"/>
  <c r="F24" i="13"/>
  <c r="F57" i="20"/>
  <c r="F30" i="20"/>
  <c r="F57" i="19"/>
  <c r="F31" i="19"/>
  <c r="F31" i="18"/>
  <c r="F57" i="18"/>
  <c r="I119" i="9"/>
  <c r="B13" i="13"/>
  <c r="B12" i="13"/>
  <c r="L33" i="2"/>
  <c r="L34" i="2"/>
  <c r="L35" i="2"/>
  <c r="L32" i="2"/>
  <c r="C13" i="13"/>
  <c r="E34" i="12" l="1"/>
  <c r="C34" i="12"/>
  <c r="D34" i="12"/>
  <c r="AW80" i="8"/>
  <c r="M80" i="5"/>
  <c r="R79" i="5"/>
  <c r="O79" i="5"/>
  <c r="S79" i="5"/>
  <c r="P79" i="5"/>
  <c r="N79" i="5"/>
  <c r="Q79" i="5"/>
  <c r="AW53" i="8"/>
  <c r="AO26" i="8"/>
  <c r="Q53" i="8"/>
  <c r="Q26" i="8" s="1"/>
  <c r="I26" i="8"/>
  <c r="Y26" i="8"/>
  <c r="AG53" i="8"/>
  <c r="AG26" i="8"/>
  <c r="I54" i="8"/>
  <c r="Y54" i="8"/>
  <c r="Y107" i="8"/>
  <c r="AG107" i="8" s="1"/>
  <c r="AO81" i="8"/>
  <c r="Y81" i="8"/>
  <c r="AG81" i="8" s="1"/>
  <c r="AO107" i="8"/>
  <c r="AW107" i="8" s="1"/>
  <c r="AO54" i="8"/>
  <c r="I81" i="8"/>
  <c r="Q81" i="8" s="1"/>
  <c r="I107" i="8"/>
  <c r="Q107" i="8" s="1"/>
  <c r="AW26" i="8"/>
  <c r="B35" i="12"/>
  <c r="O134" i="9"/>
  <c r="D13" i="13"/>
  <c r="D13" i="18"/>
  <c r="D12" i="19"/>
  <c r="D13" i="20"/>
  <c r="D13" i="19"/>
  <c r="D12" i="18"/>
  <c r="D12" i="20"/>
  <c r="F58" i="20"/>
  <c r="F31" i="20"/>
  <c r="F58" i="19"/>
  <c r="F32" i="19"/>
  <c r="F58" i="18"/>
  <c r="F32" i="18"/>
  <c r="I120" i="9"/>
  <c r="C14" i="13"/>
  <c r="D14" i="13" s="1"/>
  <c r="C12" i="13"/>
  <c r="D12" i="13" s="1"/>
  <c r="F52" i="13"/>
  <c r="D11" i="13"/>
  <c r="C11" i="13"/>
  <c r="D10" i="13"/>
  <c r="C10" i="13"/>
  <c r="D9" i="13"/>
  <c r="C9" i="13"/>
  <c r="D8" i="13"/>
  <c r="C8" i="13"/>
  <c r="D7" i="13"/>
  <c r="C7" i="13"/>
  <c r="D6" i="13"/>
  <c r="C6" i="13"/>
  <c r="B6" i="13"/>
  <c r="C4" i="13"/>
  <c r="B2" i="13"/>
  <c r="C2" i="13" s="1"/>
  <c r="D2" i="13" s="1"/>
  <c r="E2" i="13" s="1"/>
  <c r="F2" i="13" s="1"/>
  <c r="G2" i="13" s="1"/>
  <c r="H2" i="13" s="1"/>
  <c r="I2" i="13" s="1"/>
  <c r="J2" i="13" s="1"/>
  <c r="K2" i="13" s="1"/>
  <c r="D35" i="12" l="1"/>
  <c r="C35" i="12"/>
  <c r="E35" i="12"/>
  <c r="F35" i="12"/>
  <c r="AW81" i="8"/>
  <c r="M81" i="5"/>
  <c r="Q80" i="5"/>
  <c r="R80" i="5"/>
  <c r="O80" i="5"/>
  <c r="S80" i="5"/>
  <c r="P80" i="5"/>
  <c r="N80" i="5"/>
  <c r="I55" i="8"/>
  <c r="Y55" i="8"/>
  <c r="AO55" i="8"/>
  <c r="AO108" i="8"/>
  <c r="AW108" i="8" s="1"/>
  <c r="I108" i="8"/>
  <c r="Q108" i="8" s="1"/>
  <c r="Y82" i="8"/>
  <c r="AG82" i="8" s="1"/>
  <c r="I82" i="8"/>
  <c r="Q82" i="8" s="1"/>
  <c r="Y108" i="8"/>
  <c r="AG108" i="8" s="1"/>
  <c r="AO82" i="8"/>
  <c r="AW82" i="8" s="1"/>
  <c r="I27" i="8"/>
  <c r="Q54" i="8"/>
  <c r="Q27" i="8" s="1"/>
  <c r="AW54" i="8"/>
  <c r="AW27" i="8" s="1"/>
  <c r="AO27" i="8"/>
  <c r="AG54" i="8"/>
  <c r="AG27" i="8" s="1"/>
  <c r="Y27" i="8"/>
  <c r="B36" i="12"/>
  <c r="L2" i="13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AI2" i="13" s="1"/>
  <c r="AJ2" i="13" s="1"/>
  <c r="AK2" i="13" s="1"/>
  <c r="AL2" i="13" s="1"/>
  <c r="AM2" i="13" s="1"/>
  <c r="AN2" i="13" s="1"/>
  <c r="AO2" i="13" s="1"/>
  <c r="AP2" i="13" s="1"/>
  <c r="AQ2" i="13" s="1"/>
  <c r="AR2" i="13" s="1"/>
  <c r="AS2" i="13" s="1"/>
  <c r="AT2" i="13" s="1"/>
  <c r="AU2" i="13" s="1"/>
  <c r="AV2" i="13" s="1"/>
  <c r="AW2" i="13" s="1"/>
  <c r="AX2" i="13" s="1"/>
  <c r="AY2" i="13" s="1"/>
  <c r="AZ2" i="13" s="1"/>
  <c r="BA2" i="13" s="1"/>
  <c r="BB2" i="13" s="1"/>
  <c r="BC2" i="13" s="1"/>
  <c r="BD2" i="13" s="1"/>
  <c r="BE2" i="13" s="1"/>
  <c r="BF2" i="13" s="1"/>
  <c r="BG2" i="13" s="1"/>
  <c r="BH2" i="13" s="1"/>
  <c r="BI2" i="13" s="1"/>
  <c r="BJ2" i="13" s="1"/>
  <c r="BK2" i="13" s="1"/>
  <c r="BL2" i="13" s="1"/>
  <c r="BM2" i="13" s="1"/>
  <c r="BN2" i="13" s="1"/>
  <c r="BO2" i="13" s="1"/>
  <c r="BP2" i="13" s="1"/>
  <c r="BQ2" i="13" s="1"/>
  <c r="BR2" i="13" s="1"/>
  <c r="BS2" i="13" s="1"/>
  <c r="BT2" i="13" s="1"/>
  <c r="BU2" i="13" s="1"/>
  <c r="BV2" i="13" s="1"/>
  <c r="BW2" i="13" s="1"/>
  <c r="BX2" i="13" s="1"/>
  <c r="BY2" i="13" s="1"/>
  <c r="BZ2" i="13" s="1"/>
  <c r="CA2" i="13" s="1"/>
  <c r="CB2" i="13" s="1"/>
  <c r="CC2" i="13" s="1"/>
  <c r="CD2" i="13" s="1"/>
  <c r="CE2" i="13" s="1"/>
  <c r="CF2" i="13" s="1"/>
  <c r="CG2" i="13" s="1"/>
  <c r="CH2" i="13" s="1"/>
  <c r="CI2" i="13" s="1"/>
  <c r="CJ2" i="13" s="1"/>
  <c r="CK2" i="13" s="1"/>
  <c r="F32" i="20"/>
  <c r="F59" i="20"/>
  <c r="F33" i="19"/>
  <c r="F59" i="19"/>
  <c r="F33" i="18"/>
  <c r="F59" i="18"/>
  <c r="I121" i="9"/>
  <c r="F53" i="13"/>
  <c r="F25" i="13"/>
  <c r="F26" i="13" s="1"/>
  <c r="F27" i="13" s="1"/>
  <c r="F28" i="13" s="1"/>
  <c r="F29" i="13" s="1"/>
  <c r="F30" i="13" s="1"/>
  <c r="D36" i="12" l="1"/>
  <c r="F36" i="12"/>
  <c r="E36" i="12"/>
  <c r="G36" i="12"/>
  <c r="C36" i="12"/>
  <c r="M82" i="5"/>
  <c r="P81" i="5"/>
  <c r="N81" i="5"/>
  <c r="Q81" i="5"/>
  <c r="R81" i="5"/>
  <c r="O81" i="5"/>
  <c r="S81" i="5"/>
  <c r="AO28" i="8"/>
  <c r="AW55" i="8"/>
  <c r="AW28" i="8" s="1"/>
  <c r="AG55" i="8"/>
  <c r="AG28" i="8" s="1"/>
  <c r="AG29" i="8" s="1"/>
  <c r="Y28" i="8"/>
  <c r="Y29" i="8" s="1"/>
  <c r="Q55" i="8"/>
  <c r="Q28" i="8" s="1"/>
  <c r="I28" i="8"/>
  <c r="B37" i="12"/>
  <c r="F31" i="13"/>
  <c r="F33" i="20"/>
  <c r="F60" i="20"/>
  <c r="F60" i="19"/>
  <c r="F34" i="19"/>
  <c r="F60" i="18"/>
  <c r="F34" i="18"/>
  <c r="I122" i="9"/>
  <c r="F54" i="13"/>
  <c r="B36" i="10"/>
  <c r="B94" i="10" s="1"/>
  <c r="B120" i="10" s="1"/>
  <c r="B146" i="10" s="1"/>
  <c r="C85" i="9"/>
  <c r="C90" i="9"/>
  <c r="B2" i="12"/>
  <c r="C2" i="12" s="1"/>
  <c r="C38" i="9"/>
  <c r="C18" i="9"/>
  <c r="D37" i="12" l="1"/>
  <c r="H37" i="12"/>
  <c r="G37" i="12"/>
  <c r="E37" i="12"/>
  <c r="C37" i="12"/>
  <c r="F37" i="12"/>
  <c r="M83" i="5"/>
  <c r="O82" i="5"/>
  <c r="S82" i="5"/>
  <c r="P82" i="5"/>
  <c r="N82" i="5"/>
  <c r="Q82" i="5"/>
  <c r="R82" i="5"/>
  <c r="C91" i="9"/>
  <c r="D91" i="9"/>
  <c r="C34" i="9"/>
  <c r="C58" i="9" s="1"/>
  <c r="C82" i="9" s="1"/>
  <c r="C57" i="9"/>
  <c r="C81" i="9" s="1"/>
  <c r="C39" i="9"/>
  <c r="C62" i="9"/>
  <c r="C86" i="9" s="1"/>
  <c r="W29" i="10"/>
  <c r="B38" i="12"/>
  <c r="C19" i="9"/>
  <c r="B64" i="10"/>
  <c r="B172" i="10" s="1"/>
  <c r="BX172" i="10" s="1"/>
  <c r="F32" i="13"/>
  <c r="F34" i="20"/>
  <c r="F61" i="20"/>
  <c r="F35" i="19"/>
  <c r="F61" i="19"/>
  <c r="F35" i="18"/>
  <c r="F61" i="18"/>
  <c r="I123" i="9"/>
  <c r="F55" i="13"/>
  <c r="B7" i="9"/>
  <c r="B8" i="9" s="1"/>
  <c r="G38" i="12" l="1"/>
  <c r="H38" i="12"/>
  <c r="C38" i="12"/>
  <c r="D38" i="12"/>
  <c r="E38" i="12"/>
  <c r="I38" i="12"/>
  <c r="F38" i="12"/>
  <c r="E91" i="9"/>
  <c r="BZ209" i="10"/>
  <c r="BZ235" i="10"/>
  <c r="BZ183" i="10"/>
  <c r="M84" i="5"/>
  <c r="R83" i="5"/>
  <c r="O83" i="5"/>
  <c r="S83" i="5"/>
  <c r="P83" i="5"/>
  <c r="N83" i="5"/>
  <c r="Q83" i="5"/>
  <c r="C92" i="9"/>
  <c r="D92" i="9"/>
  <c r="C35" i="9"/>
  <c r="C59" i="9" s="1"/>
  <c r="C83" i="9" s="1"/>
  <c r="C40" i="9"/>
  <c r="C63" i="9"/>
  <c r="C87" i="9" s="1"/>
  <c r="C20" i="9"/>
  <c r="B198" i="10"/>
  <c r="B39" i="12"/>
  <c r="F33" i="13"/>
  <c r="F35" i="20"/>
  <c r="F62" i="20"/>
  <c r="F62" i="19"/>
  <c r="F36" i="19"/>
  <c r="F36" i="18"/>
  <c r="F62" i="18"/>
  <c r="I124" i="9"/>
  <c r="F56" i="13"/>
  <c r="B32" i="9"/>
  <c r="B56" i="9" s="1"/>
  <c r="B80" i="9" s="1"/>
  <c r="B33" i="9"/>
  <c r="B57" i="9" s="1"/>
  <c r="B81" i="9" s="1"/>
  <c r="B9" i="9"/>
  <c r="D130" i="12"/>
  <c r="E130" i="12" s="1"/>
  <c r="F130" i="12" s="1"/>
  <c r="G130" i="12" s="1"/>
  <c r="H130" i="12" s="1"/>
  <c r="I130" i="12" s="1"/>
  <c r="J130" i="12" s="1"/>
  <c r="K130" i="12" s="1"/>
  <c r="L130" i="12" s="1"/>
  <c r="M130" i="12" s="1"/>
  <c r="N130" i="12" s="1"/>
  <c r="O130" i="12" s="1"/>
  <c r="P130" i="12" s="1"/>
  <c r="Q130" i="12" s="1"/>
  <c r="R130" i="12" s="1"/>
  <c r="S130" i="12" s="1"/>
  <c r="T130" i="12" s="1"/>
  <c r="U130" i="12" s="1"/>
  <c r="V130" i="12" s="1"/>
  <c r="W130" i="12" s="1"/>
  <c r="D2" i="12"/>
  <c r="E2" i="12" s="1"/>
  <c r="F2" i="12" s="1"/>
  <c r="G2" i="12" s="1"/>
  <c r="H2" i="12" s="1"/>
  <c r="I2" i="12" s="1"/>
  <c r="J2" i="12" s="1"/>
  <c r="K2" i="12" s="1"/>
  <c r="L2" i="12" s="1"/>
  <c r="M2" i="12" s="1"/>
  <c r="N2" i="12" s="1"/>
  <c r="O2" i="12" s="1"/>
  <c r="P2" i="12" s="1"/>
  <c r="Q2" i="12" s="1"/>
  <c r="R2" i="12" s="1"/>
  <c r="S2" i="12" s="1"/>
  <c r="T2" i="12" s="1"/>
  <c r="U2" i="12" s="1"/>
  <c r="V2" i="12" s="1"/>
  <c r="W2" i="12" s="1"/>
  <c r="X2" i="12" s="1"/>
  <c r="C21" i="9" l="1"/>
  <c r="E39" i="12"/>
  <c r="I39" i="12"/>
  <c r="G39" i="12"/>
  <c r="D39" i="12"/>
  <c r="C39" i="12"/>
  <c r="F39" i="12"/>
  <c r="H39" i="12"/>
  <c r="J39" i="12"/>
  <c r="E92" i="9"/>
  <c r="BZ236" i="10"/>
  <c r="BZ210" i="10"/>
  <c r="BZ184" i="10"/>
  <c r="M85" i="5"/>
  <c r="Q84" i="5"/>
  <c r="R84" i="5"/>
  <c r="O84" i="5"/>
  <c r="S84" i="5"/>
  <c r="P84" i="5"/>
  <c r="N84" i="5"/>
  <c r="B224" i="10"/>
  <c r="BX224" i="10" s="1"/>
  <c r="BX198" i="10"/>
  <c r="C94" i="9"/>
  <c r="D94" i="9"/>
  <c r="C93" i="9"/>
  <c r="D93" i="9"/>
  <c r="C36" i="9"/>
  <c r="C41" i="9"/>
  <c r="C64" i="9"/>
  <c r="C88" i="9" s="1"/>
  <c r="B40" i="12"/>
  <c r="F34" i="13"/>
  <c r="F63" i="20"/>
  <c r="F36" i="20"/>
  <c r="F37" i="19"/>
  <c r="F63" i="19"/>
  <c r="F63" i="18"/>
  <c r="F37" i="18"/>
  <c r="I125" i="9"/>
  <c r="B81" i="12"/>
  <c r="B106" i="12" s="1"/>
  <c r="B7" i="12"/>
  <c r="C7" i="12" s="1"/>
  <c r="F57" i="13"/>
  <c r="B10" i="9"/>
  <c r="B34" i="9"/>
  <c r="B58" i="9" s="1"/>
  <c r="B82" i="9" s="1"/>
  <c r="B57" i="12"/>
  <c r="C57" i="12" s="1"/>
  <c r="Y2" i="12"/>
  <c r="Z2" i="12" s="1"/>
  <c r="AA2" i="12" s="1"/>
  <c r="AB2" i="12" s="1"/>
  <c r="AC2" i="12" s="1"/>
  <c r="AD2" i="12" s="1"/>
  <c r="AE2" i="12" s="1"/>
  <c r="AF2" i="12" s="1"/>
  <c r="AG2" i="12" s="1"/>
  <c r="AH2" i="12" s="1"/>
  <c r="AI2" i="12" s="1"/>
  <c r="AJ2" i="12" s="1"/>
  <c r="AK2" i="12" s="1"/>
  <c r="AL2" i="12" s="1"/>
  <c r="AM2" i="12" s="1"/>
  <c r="AN2" i="12" s="1"/>
  <c r="AO2" i="12" s="1"/>
  <c r="AP2" i="12" s="1"/>
  <c r="AQ2" i="12" s="1"/>
  <c r="AR2" i="12" s="1"/>
  <c r="AS2" i="12" s="1"/>
  <c r="D80" i="12"/>
  <c r="C22" i="9" l="1"/>
  <c r="F40" i="12"/>
  <c r="J40" i="12"/>
  <c r="E40" i="12"/>
  <c r="K40" i="12"/>
  <c r="D40" i="12"/>
  <c r="G40" i="12"/>
  <c r="C40" i="12"/>
  <c r="H40" i="12"/>
  <c r="I40" i="12"/>
  <c r="E93" i="9"/>
  <c r="BZ211" i="10"/>
  <c r="BZ237" i="10"/>
  <c r="BZ185" i="10"/>
  <c r="E94" i="9"/>
  <c r="BZ238" i="10"/>
  <c r="BZ186" i="10"/>
  <c r="BZ212" i="10"/>
  <c r="M86" i="5"/>
  <c r="P85" i="5"/>
  <c r="N85" i="5"/>
  <c r="Q85" i="5"/>
  <c r="R85" i="5"/>
  <c r="O85" i="5"/>
  <c r="S85" i="5"/>
  <c r="D95" i="9"/>
  <c r="C65" i="9"/>
  <c r="C89" i="9" s="1"/>
  <c r="C60" i="9"/>
  <c r="C84" i="9" s="1"/>
  <c r="B41" i="12"/>
  <c r="F35" i="13"/>
  <c r="F64" i="20"/>
  <c r="F37" i="20"/>
  <c r="F64" i="19"/>
  <c r="F38" i="19"/>
  <c r="F64" i="18"/>
  <c r="F38" i="18"/>
  <c r="C95" i="9"/>
  <c r="I126" i="9"/>
  <c r="B131" i="12"/>
  <c r="B132" i="12" s="1"/>
  <c r="B133" i="12" s="1"/>
  <c r="B134" i="12" s="1"/>
  <c r="B82" i="12"/>
  <c r="B83" i="12" s="1"/>
  <c r="B8" i="12"/>
  <c r="F58" i="13"/>
  <c r="B11" i="9"/>
  <c r="B35" i="9"/>
  <c r="B59" i="9" s="1"/>
  <c r="B83" i="9" s="1"/>
  <c r="B58" i="12"/>
  <c r="E80" i="12"/>
  <c r="C23" i="9" l="1"/>
  <c r="D8" i="12"/>
  <c r="C8" i="12"/>
  <c r="F41" i="12"/>
  <c r="J41" i="12"/>
  <c r="H41" i="12"/>
  <c r="D41" i="12"/>
  <c r="K41" i="12"/>
  <c r="E41" i="12"/>
  <c r="L41" i="12"/>
  <c r="G41" i="12"/>
  <c r="C41" i="12"/>
  <c r="I41" i="12"/>
  <c r="D58" i="12"/>
  <c r="C58" i="12"/>
  <c r="E95" i="9"/>
  <c r="BZ239" i="10"/>
  <c r="BZ187" i="10"/>
  <c r="BZ213" i="10"/>
  <c r="M87" i="5"/>
  <c r="O86" i="5"/>
  <c r="S86" i="5"/>
  <c r="P86" i="5"/>
  <c r="Q86" i="5"/>
  <c r="R86" i="5"/>
  <c r="N86" i="5"/>
  <c r="C96" i="9"/>
  <c r="D96" i="9"/>
  <c r="B84" i="12"/>
  <c r="B85" i="12" s="1"/>
  <c r="B107" i="12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42" i="12"/>
  <c r="F36" i="13"/>
  <c r="F65" i="20"/>
  <c r="F38" i="20"/>
  <c r="F39" i="19"/>
  <c r="F65" i="19"/>
  <c r="F65" i="18"/>
  <c r="F39" i="18"/>
  <c r="I127" i="9"/>
  <c r="B9" i="12"/>
  <c r="F59" i="13"/>
  <c r="B12" i="9"/>
  <c r="B36" i="9"/>
  <c r="B60" i="9" s="1"/>
  <c r="B84" i="9" s="1"/>
  <c r="B59" i="12"/>
  <c r="B135" i="12"/>
  <c r="F80" i="12"/>
  <c r="G80" i="12" s="1"/>
  <c r="C24" i="9" l="1"/>
  <c r="C9" i="12"/>
  <c r="D9" i="12"/>
  <c r="E9" i="12"/>
  <c r="C59" i="12"/>
  <c r="E59" i="12"/>
  <c r="D59" i="12"/>
  <c r="R42" i="12"/>
  <c r="V42" i="12"/>
  <c r="O42" i="12"/>
  <c r="S42" i="12"/>
  <c r="W42" i="12"/>
  <c r="U42" i="12"/>
  <c r="E42" i="12"/>
  <c r="I42" i="12"/>
  <c r="M42" i="12"/>
  <c r="T42" i="12"/>
  <c r="D42" i="12"/>
  <c r="J42" i="12"/>
  <c r="C42" i="12"/>
  <c r="P42" i="12"/>
  <c r="H42" i="12"/>
  <c r="Q42" i="12"/>
  <c r="K42" i="12"/>
  <c r="L42" i="12"/>
  <c r="G42" i="12"/>
  <c r="N42" i="12"/>
  <c r="F42" i="12"/>
  <c r="E96" i="9"/>
  <c r="BZ240" i="10"/>
  <c r="BZ188" i="10"/>
  <c r="BZ214" i="10"/>
  <c r="M88" i="5"/>
  <c r="R87" i="5"/>
  <c r="O87" i="5"/>
  <c r="S87" i="5"/>
  <c r="P87" i="5"/>
  <c r="N87" i="5"/>
  <c r="Q87" i="5"/>
  <c r="D97" i="9"/>
  <c r="B43" i="12"/>
  <c r="C97" i="9"/>
  <c r="F37" i="13"/>
  <c r="F39" i="20"/>
  <c r="F66" i="20"/>
  <c r="F40" i="19"/>
  <c r="F66" i="19"/>
  <c r="F40" i="18"/>
  <c r="F66" i="18"/>
  <c r="I128" i="9"/>
  <c r="B10" i="12"/>
  <c r="F60" i="13"/>
  <c r="B13" i="9"/>
  <c r="B37" i="9"/>
  <c r="B61" i="9" s="1"/>
  <c r="B85" i="9" s="1"/>
  <c r="B60" i="12"/>
  <c r="B136" i="12"/>
  <c r="B86" i="12"/>
  <c r="H80" i="12"/>
  <c r="C25" i="9" l="1"/>
  <c r="Q43" i="12"/>
  <c r="U43" i="12"/>
  <c r="R43" i="12"/>
  <c r="V43" i="12"/>
  <c r="T43" i="12"/>
  <c r="F43" i="12"/>
  <c r="J43" i="12"/>
  <c r="N43" i="12"/>
  <c r="W43" i="12"/>
  <c r="D43" i="12"/>
  <c r="I43" i="12"/>
  <c r="O43" i="12"/>
  <c r="E43" i="12"/>
  <c r="L43" i="12"/>
  <c r="G43" i="12"/>
  <c r="M43" i="12"/>
  <c r="P43" i="12"/>
  <c r="H43" i="12"/>
  <c r="S43" i="12"/>
  <c r="C43" i="12"/>
  <c r="K43" i="12"/>
  <c r="E60" i="12"/>
  <c r="C60" i="12"/>
  <c r="D60" i="12"/>
  <c r="F60" i="12"/>
  <c r="F10" i="12"/>
  <c r="C10" i="12"/>
  <c r="E10" i="12"/>
  <c r="D10" i="12"/>
  <c r="E97" i="9"/>
  <c r="BZ215" i="10"/>
  <c r="BZ241" i="10"/>
  <c r="BZ189" i="10"/>
  <c r="M89" i="5"/>
  <c r="Q88" i="5"/>
  <c r="R88" i="5"/>
  <c r="O88" i="5"/>
  <c r="S88" i="5"/>
  <c r="P88" i="5"/>
  <c r="N88" i="5"/>
  <c r="D98" i="9"/>
  <c r="B44" i="12"/>
  <c r="F38" i="13"/>
  <c r="F67" i="20"/>
  <c r="F40" i="20"/>
  <c r="F67" i="19"/>
  <c r="F41" i="19"/>
  <c r="F67" i="18"/>
  <c r="F41" i="18"/>
  <c r="C98" i="9"/>
  <c r="I129" i="9"/>
  <c r="B11" i="12"/>
  <c r="F61" i="13"/>
  <c r="B14" i="9"/>
  <c r="B38" i="9"/>
  <c r="B62" i="9" s="1"/>
  <c r="B86" i="9" s="1"/>
  <c r="B61" i="12"/>
  <c r="B137" i="12"/>
  <c r="B87" i="12"/>
  <c r="I80" i="12"/>
  <c r="C26" i="9" l="1"/>
  <c r="D28" i="9" s="1"/>
  <c r="F11" i="12"/>
  <c r="G11" i="12"/>
  <c r="E11" i="12"/>
  <c r="C11" i="12"/>
  <c r="D11" i="12"/>
  <c r="P44" i="12"/>
  <c r="T44" i="12"/>
  <c r="Q44" i="12"/>
  <c r="U44" i="12"/>
  <c r="S44" i="12"/>
  <c r="G44" i="12"/>
  <c r="K44" i="12"/>
  <c r="W44" i="12"/>
  <c r="D44" i="12"/>
  <c r="I44" i="12"/>
  <c r="N44" i="12"/>
  <c r="O44" i="12"/>
  <c r="R44" i="12"/>
  <c r="H44" i="12"/>
  <c r="C44" i="12"/>
  <c r="V44" i="12"/>
  <c r="J44" i="12"/>
  <c r="E44" i="12"/>
  <c r="M44" i="12"/>
  <c r="F44" i="12"/>
  <c r="L44" i="12"/>
  <c r="F61" i="12"/>
  <c r="E61" i="12"/>
  <c r="C61" i="12"/>
  <c r="D61" i="12"/>
  <c r="G61" i="12"/>
  <c r="E98" i="9"/>
  <c r="BZ242" i="10"/>
  <c r="BZ190" i="10"/>
  <c r="BZ216" i="10"/>
  <c r="M90" i="5"/>
  <c r="P89" i="5"/>
  <c r="N89" i="5"/>
  <c r="Q89" i="5"/>
  <c r="R89" i="5"/>
  <c r="O89" i="5"/>
  <c r="S89" i="5"/>
  <c r="D99" i="9"/>
  <c r="B45" i="12"/>
  <c r="B12" i="12"/>
  <c r="F39" i="13"/>
  <c r="F41" i="20"/>
  <c r="F68" i="20"/>
  <c r="F42" i="19"/>
  <c r="F68" i="19"/>
  <c r="F68" i="18"/>
  <c r="F42" i="18"/>
  <c r="C99" i="9"/>
  <c r="I130" i="9"/>
  <c r="F62" i="13"/>
  <c r="B15" i="9"/>
  <c r="B39" i="9"/>
  <c r="B63" i="9" s="1"/>
  <c r="B87" i="9" s="1"/>
  <c r="B62" i="12"/>
  <c r="B138" i="12"/>
  <c r="B88" i="12"/>
  <c r="J80" i="12"/>
  <c r="C27" i="9" l="1"/>
  <c r="O45" i="12"/>
  <c r="S45" i="12"/>
  <c r="W45" i="12"/>
  <c r="P45" i="12"/>
  <c r="T45" i="12"/>
  <c r="R45" i="12"/>
  <c r="D45" i="12"/>
  <c r="H45" i="12"/>
  <c r="L45" i="12"/>
  <c r="I45" i="12"/>
  <c r="N45" i="12"/>
  <c r="Q45" i="12"/>
  <c r="E45" i="12"/>
  <c r="K45" i="12"/>
  <c r="F45" i="12"/>
  <c r="M45" i="12"/>
  <c r="C45" i="12"/>
  <c r="G45" i="12"/>
  <c r="U45" i="12"/>
  <c r="J45" i="12"/>
  <c r="V45" i="12"/>
  <c r="F62" i="12"/>
  <c r="E62" i="12"/>
  <c r="G62" i="12"/>
  <c r="C62" i="12"/>
  <c r="H62" i="12"/>
  <c r="D62" i="12"/>
  <c r="E12" i="12"/>
  <c r="D12" i="12"/>
  <c r="H12" i="12"/>
  <c r="F12" i="12"/>
  <c r="C12" i="12"/>
  <c r="G12" i="12"/>
  <c r="E99" i="9"/>
  <c r="BZ217" i="10"/>
  <c r="BZ243" i="10"/>
  <c r="BZ191" i="10"/>
  <c r="M91" i="5"/>
  <c r="O90" i="5"/>
  <c r="S90" i="5"/>
  <c r="P90" i="5"/>
  <c r="Q90" i="5"/>
  <c r="R90" i="5"/>
  <c r="N90" i="5"/>
  <c r="C100" i="9"/>
  <c r="D100" i="9"/>
  <c r="B46" i="12"/>
  <c r="B13" i="12"/>
  <c r="F40" i="13"/>
  <c r="F69" i="20"/>
  <c r="F42" i="20"/>
  <c r="F43" i="19"/>
  <c r="F69" i="19"/>
  <c r="F43" i="18"/>
  <c r="F69" i="18"/>
  <c r="I131" i="9"/>
  <c r="F63" i="13"/>
  <c r="B16" i="9"/>
  <c r="B40" i="9"/>
  <c r="B64" i="9" s="1"/>
  <c r="B88" i="9" s="1"/>
  <c r="B63" i="12"/>
  <c r="B139" i="12"/>
  <c r="B89" i="12"/>
  <c r="K80" i="12"/>
  <c r="R46" i="12" l="1"/>
  <c r="V46" i="12"/>
  <c r="O46" i="12"/>
  <c r="S46" i="12"/>
  <c r="W46" i="12"/>
  <c r="Q46" i="12"/>
  <c r="E46" i="12"/>
  <c r="I46" i="12"/>
  <c r="M46" i="12"/>
  <c r="P46" i="12"/>
  <c r="H46" i="12"/>
  <c r="N46" i="12"/>
  <c r="C46" i="12"/>
  <c r="T46" i="12"/>
  <c r="U46" i="12"/>
  <c r="G46" i="12"/>
  <c r="J46" i="12"/>
  <c r="K46" i="12"/>
  <c r="D46" i="12"/>
  <c r="L46" i="12"/>
  <c r="F46" i="12"/>
  <c r="I63" i="12"/>
  <c r="E63" i="12"/>
  <c r="H63" i="12"/>
  <c r="D63" i="12"/>
  <c r="F63" i="12"/>
  <c r="C63" i="12"/>
  <c r="G63" i="12"/>
  <c r="B14" i="12"/>
  <c r="E13" i="12"/>
  <c r="I13" i="12"/>
  <c r="C13" i="12"/>
  <c r="F13" i="12"/>
  <c r="D13" i="12"/>
  <c r="G13" i="12"/>
  <c r="H13" i="12"/>
  <c r="E100" i="9"/>
  <c r="BZ244" i="10"/>
  <c r="D41" i="2" s="1"/>
  <c r="BZ192" i="10"/>
  <c r="D39" i="2" s="1"/>
  <c r="BZ218" i="10"/>
  <c r="D40" i="2" s="1"/>
  <c r="M92" i="5"/>
  <c r="R91" i="5"/>
  <c r="O91" i="5"/>
  <c r="S91" i="5"/>
  <c r="P91" i="5"/>
  <c r="N91" i="5"/>
  <c r="Q91" i="5"/>
  <c r="B47" i="12"/>
  <c r="F41" i="13"/>
  <c r="F43" i="20"/>
  <c r="F70" i="20"/>
  <c r="F44" i="19"/>
  <c r="F70" i="19"/>
  <c r="F70" i="18"/>
  <c r="F44" i="18"/>
  <c r="I132" i="9"/>
  <c r="F64" i="13"/>
  <c r="B17" i="9"/>
  <c r="B41" i="9"/>
  <c r="B65" i="9" s="1"/>
  <c r="B89" i="9" s="1"/>
  <c r="B64" i="12"/>
  <c r="B15" i="12"/>
  <c r="B140" i="12"/>
  <c r="B90" i="12"/>
  <c r="L80" i="12"/>
  <c r="G64" i="12" l="1"/>
  <c r="C64" i="12"/>
  <c r="J64" i="12"/>
  <c r="F64" i="12"/>
  <c r="D64" i="12"/>
  <c r="I64" i="12"/>
  <c r="H64" i="12"/>
  <c r="E64" i="12"/>
  <c r="Q47" i="12"/>
  <c r="U47" i="12"/>
  <c r="R47" i="12"/>
  <c r="V47" i="12"/>
  <c r="P47" i="12"/>
  <c r="F47" i="12"/>
  <c r="J47" i="12"/>
  <c r="N47" i="12"/>
  <c r="S47" i="12"/>
  <c r="H47" i="12"/>
  <c r="M47" i="12"/>
  <c r="T47" i="12"/>
  <c r="D47" i="12"/>
  <c r="K47" i="12"/>
  <c r="O47" i="12"/>
  <c r="E47" i="12"/>
  <c r="L47" i="12"/>
  <c r="W47" i="12"/>
  <c r="I47" i="12"/>
  <c r="G47" i="12"/>
  <c r="C47" i="12"/>
  <c r="F15" i="12"/>
  <c r="J15" i="12"/>
  <c r="I15" i="12"/>
  <c r="E15" i="12"/>
  <c r="K15" i="12"/>
  <c r="D15" i="12"/>
  <c r="G15" i="12"/>
  <c r="C15" i="12"/>
  <c r="H15" i="12"/>
  <c r="H14" i="12"/>
  <c r="E14" i="12"/>
  <c r="J14" i="12"/>
  <c r="D14" i="12"/>
  <c r="F14" i="12"/>
  <c r="G14" i="12"/>
  <c r="I14" i="12"/>
  <c r="C14" i="12"/>
  <c r="M93" i="5"/>
  <c r="Q92" i="5"/>
  <c r="R92" i="5"/>
  <c r="O92" i="5"/>
  <c r="S92" i="5"/>
  <c r="P92" i="5"/>
  <c r="N92" i="5"/>
  <c r="B48" i="12"/>
  <c r="F42" i="13"/>
  <c r="F71" i="20"/>
  <c r="F44" i="20"/>
  <c r="F71" i="19"/>
  <c r="F71" i="18"/>
  <c r="I133" i="9"/>
  <c r="F65" i="13"/>
  <c r="B18" i="9"/>
  <c r="B42" i="9"/>
  <c r="B66" i="9" s="1"/>
  <c r="B90" i="9" s="1"/>
  <c r="B65" i="12"/>
  <c r="B16" i="12"/>
  <c r="B141" i="12"/>
  <c r="B91" i="12"/>
  <c r="M80" i="12"/>
  <c r="P48" i="12" l="1"/>
  <c r="T48" i="12"/>
  <c r="Q48" i="12"/>
  <c r="U48" i="12"/>
  <c r="O48" i="12"/>
  <c r="W48" i="12"/>
  <c r="G48" i="12"/>
  <c r="K48" i="12"/>
  <c r="S48" i="12"/>
  <c r="H48" i="12"/>
  <c r="M48" i="12"/>
  <c r="V48" i="12"/>
  <c r="F48" i="12"/>
  <c r="N48" i="12"/>
  <c r="I48" i="12"/>
  <c r="D48" i="12"/>
  <c r="J48" i="12"/>
  <c r="R48" i="12"/>
  <c r="E48" i="12"/>
  <c r="L48" i="12"/>
  <c r="C48" i="12"/>
  <c r="H65" i="12"/>
  <c r="D65" i="12"/>
  <c r="K65" i="12"/>
  <c r="G65" i="12"/>
  <c r="C65" i="12"/>
  <c r="E65" i="12"/>
  <c r="J65" i="12"/>
  <c r="I65" i="12"/>
  <c r="F65" i="12"/>
  <c r="G16" i="12"/>
  <c r="K16" i="12"/>
  <c r="D16" i="12"/>
  <c r="H16" i="12"/>
  <c r="I16" i="12"/>
  <c r="E16" i="12"/>
  <c r="L16" i="12"/>
  <c r="F16" i="12"/>
  <c r="J16" i="12"/>
  <c r="C16" i="12"/>
  <c r="M94" i="5"/>
  <c r="P93" i="5"/>
  <c r="Q93" i="5"/>
  <c r="R93" i="5"/>
  <c r="O93" i="5"/>
  <c r="S93" i="5"/>
  <c r="N93" i="5"/>
  <c r="B49" i="12"/>
  <c r="F43" i="13"/>
  <c r="I134" i="9"/>
  <c r="F66" i="13"/>
  <c r="B19" i="9"/>
  <c r="B43" i="9"/>
  <c r="B67" i="9" s="1"/>
  <c r="B91" i="9" s="1"/>
  <c r="B66" i="12"/>
  <c r="B17" i="12"/>
  <c r="B142" i="12"/>
  <c r="B92" i="12"/>
  <c r="N80" i="12"/>
  <c r="V17" i="12" l="1"/>
  <c r="R17" i="12"/>
  <c r="N17" i="12"/>
  <c r="G17" i="12"/>
  <c r="K17" i="12"/>
  <c r="C17" i="12"/>
  <c r="U17" i="12"/>
  <c r="P17" i="12"/>
  <c r="E17" i="12"/>
  <c r="J17" i="12"/>
  <c r="T17" i="12"/>
  <c r="O17" i="12"/>
  <c r="F17" i="12"/>
  <c r="L17" i="12"/>
  <c r="S17" i="12"/>
  <c r="H17" i="12"/>
  <c r="M17" i="12"/>
  <c r="D17" i="12"/>
  <c r="W17" i="12"/>
  <c r="Q17" i="12"/>
  <c r="I17" i="12"/>
  <c r="O49" i="12"/>
  <c r="S49" i="12"/>
  <c r="W49" i="12"/>
  <c r="P49" i="12"/>
  <c r="T49" i="12"/>
  <c r="V49" i="12"/>
  <c r="D49" i="12"/>
  <c r="H49" i="12"/>
  <c r="L49" i="12"/>
  <c r="U49" i="12"/>
  <c r="G49" i="12"/>
  <c r="M49" i="12"/>
  <c r="Q49" i="12"/>
  <c r="J49" i="12"/>
  <c r="C49" i="12"/>
  <c r="R49" i="12"/>
  <c r="E49" i="12"/>
  <c r="K49" i="12"/>
  <c r="F49" i="12"/>
  <c r="I49" i="12"/>
  <c r="N49" i="12"/>
  <c r="L66" i="12"/>
  <c r="H66" i="12"/>
  <c r="D66" i="12"/>
  <c r="K66" i="12"/>
  <c r="G66" i="12"/>
  <c r="E66" i="12"/>
  <c r="F66" i="12"/>
  <c r="J66" i="12"/>
  <c r="I66" i="12"/>
  <c r="C66" i="12"/>
  <c r="M95" i="5"/>
  <c r="O94" i="5"/>
  <c r="S94" i="5"/>
  <c r="P94" i="5"/>
  <c r="Q94" i="5"/>
  <c r="R94" i="5"/>
  <c r="N94" i="5"/>
  <c r="B50" i="12"/>
  <c r="F44" i="13"/>
  <c r="F67" i="13"/>
  <c r="B20" i="9"/>
  <c r="B44" i="9"/>
  <c r="B68" i="9" s="1"/>
  <c r="B92" i="9" s="1"/>
  <c r="B67" i="12"/>
  <c r="B18" i="12"/>
  <c r="B143" i="12"/>
  <c r="B93" i="12"/>
  <c r="O80" i="12"/>
  <c r="O50" i="12" l="1"/>
  <c r="S50" i="12"/>
  <c r="W50" i="12"/>
  <c r="E50" i="12"/>
  <c r="I50" i="12"/>
  <c r="M50" i="12"/>
  <c r="T50" i="12"/>
  <c r="G50" i="12"/>
  <c r="L50" i="12"/>
  <c r="C50" i="12"/>
  <c r="P50" i="12"/>
  <c r="U50" i="12"/>
  <c r="V50" i="12"/>
  <c r="F50" i="12"/>
  <c r="N50" i="12"/>
  <c r="H50" i="12"/>
  <c r="J50" i="12"/>
  <c r="R50" i="12"/>
  <c r="D50" i="12"/>
  <c r="K50" i="12"/>
  <c r="Q50" i="12"/>
  <c r="U18" i="12"/>
  <c r="Q18" i="12"/>
  <c r="F18" i="12"/>
  <c r="J18" i="12"/>
  <c r="W18" i="12"/>
  <c r="R18" i="12"/>
  <c r="G18" i="12"/>
  <c r="L18" i="12"/>
  <c r="V18" i="12"/>
  <c r="P18" i="12"/>
  <c r="H18" i="12"/>
  <c r="M18" i="12"/>
  <c r="T18" i="12"/>
  <c r="I18" i="12"/>
  <c r="C18" i="12"/>
  <c r="N18" i="12"/>
  <c r="E18" i="12"/>
  <c r="D18" i="12"/>
  <c r="S18" i="12"/>
  <c r="K18" i="12"/>
  <c r="O18" i="12"/>
  <c r="W67" i="12"/>
  <c r="S67" i="12"/>
  <c r="O67" i="12"/>
  <c r="K67" i="12"/>
  <c r="G67" i="12"/>
  <c r="V67" i="12"/>
  <c r="R67" i="12"/>
  <c r="N67" i="12"/>
  <c r="J67" i="12"/>
  <c r="F67" i="12"/>
  <c r="T67" i="12"/>
  <c r="L67" i="12"/>
  <c r="D67" i="12"/>
  <c r="C67" i="12"/>
  <c r="Q67" i="12"/>
  <c r="H67" i="12"/>
  <c r="P67" i="12"/>
  <c r="E67" i="12"/>
  <c r="U67" i="12"/>
  <c r="M67" i="12"/>
  <c r="I67" i="12"/>
  <c r="M96" i="5"/>
  <c r="R95" i="5"/>
  <c r="O95" i="5"/>
  <c r="S95" i="5"/>
  <c r="P95" i="5"/>
  <c r="Q95" i="5"/>
  <c r="N95" i="5"/>
  <c r="B51" i="12"/>
  <c r="F68" i="13"/>
  <c r="B21" i="9"/>
  <c r="B45" i="9"/>
  <c r="B69" i="9" s="1"/>
  <c r="B93" i="9" s="1"/>
  <c r="B68" i="12"/>
  <c r="B19" i="12"/>
  <c r="B144" i="12"/>
  <c r="B94" i="12"/>
  <c r="P80" i="12"/>
  <c r="W68" i="12" l="1"/>
  <c r="S68" i="12"/>
  <c r="O68" i="12"/>
  <c r="K68" i="12"/>
  <c r="G68" i="12"/>
  <c r="C68" i="12"/>
  <c r="V68" i="12"/>
  <c r="R68" i="12"/>
  <c r="N68" i="12"/>
  <c r="J68" i="12"/>
  <c r="F68" i="12"/>
  <c r="P68" i="12"/>
  <c r="H68" i="12"/>
  <c r="T68" i="12"/>
  <c r="I68" i="12"/>
  <c r="Q68" i="12"/>
  <c r="E68" i="12"/>
  <c r="D68" i="12"/>
  <c r="U68" i="12"/>
  <c r="M68" i="12"/>
  <c r="L68" i="12"/>
  <c r="T19" i="12"/>
  <c r="P19" i="12"/>
  <c r="E19" i="12"/>
  <c r="I19" i="12"/>
  <c r="M19" i="12"/>
  <c r="S19" i="12"/>
  <c r="H19" i="12"/>
  <c r="D19" i="12"/>
  <c r="W19" i="12"/>
  <c r="R19" i="12"/>
  <c r="J19" i="12"/>
  <c r="V19" i="12"/>
  <c r="K19" i="12"/>
  <c r="C19" i="12"/>
  <c r="Q19" i="12"/>
  <c r="O19" i="12"/>
  <c r="U19" i="12"/>
  <c r="L19" i="12"/>
  <c r="F19" i="12"/>
  <c r="N19" i="12"/>
  <c r="G19" i="12"/>
  <c r="R51" i="12"/>
  <c r="V51" i="12"/>
  <c r="F51" i="12"/>
  <c r="J51" i="12"/>
  <c r="N51" i="12"/>
  <c r="P51" i="12"/>
  <c r="U51" i="12"/>
  <c r="G51" i="12"/>
  <c r="L51" i="12"/>
  <c r="Q51" i="12"/>
  <c r="W51" i="12"/>
  <c r="I51" i="12"/>
  <c r="O51" i="12"/>
  <c r="D51" i="12"/>
  <c r="K51" i="12"/>
  <c r="C51" i="12"/>
  <c r="S51" i="12"/>
  <c r="M51" i="12"/>
  <c r="T51" i="12"/>
  <c r="E51" i="12"/>
  <c r="H51" i="12"/>
  <c r="Q96" i="5"/>
  <c r="R96" i="5"/>
  <c r="O96" i="5"/>
  <c r="S96" i="5"/>
  <c r="P96" i="5"/>
  <c r="N96" i="5"/>
  <c r="F69" i="13"/>
  <c r="B22" i="9"/>
  <c r="B46" i="9"/>
  <c r="B70" i="9" s="1"/>
  <c r="B94" i="9" s="1"/>
  <c r="B69" i="12"/>
  <c r="B20" i="12"/>
  <c r="B145" i="12"/>
  <c r="B95" i="12"/>
  <c r="Q80" i="12"/>
  <c r="W20" i="12" l="1"/>
  <c r="S20" i="12"/>
  <c r="O20" i="12"/>
  <c r="H20" i="12"/>
  <c r="L20" i="12"/>
  <c r="D20" i="12"/>
  <c r="U20" i="12"/>
  <c r="P20" i="12"/>
  <c r="N20" i="12"/>
  <c r="E20" i="12"/>
  <c r="J20" i="12"/>
  <c r="T20" i="12"/>
  <c r="F20" i="12"/>
  <c r="K20" i="12"/>
  <c r="M20" i="12"/>
  <c r="G20" i="12"/>
  <c r="C20" i="12"/>
  <c r="I20" i="12"/>
  <c r="V20" i="12"/>
  <c r="R20" i="12"/>
  <c r="Q20" i="12"/>
  <c r="W69" i="12"/>
  <c r="S69" i="12"/>
  <c r="O69" i="12"/>
  <c r="K69" i="12"/>
  <c r="G69" i="12"/>
  <c r="V69" i="12"/>
  <c r="R69" i="12"/>
  <c r="N69" i="12"/>
  <c r="J69" i="12"/>
  <c r="F69" i="12"/>
  <c r="C69" i="12"/>
  <c r="T69" i="12"/>
  <c r="L69" i="12"/>
  <c r="D69" i="12"/>
  <c r="U69" i="12"/>
  <c r="I69" i="12"/>
  <c r="Q69" i="12"/>
  <c r="H69" i="12"/>
  <c r="E69" i="12"/>
  <c r="P69" i="12"/>
  <c r="M69" i="12"/>
  <c r="F70" i="13"/>
  <c r="B23" i="9"/>
  <c r="B47" i="9"/>
  <c r="B71" i="9" s="1"/>
  <c r="B95" i="9" s="1"/>
  <c r="B70" i="12"/>
  <c r="B21" i="12"/>
  <c r="B146" i="12"/>
  <c r="B96" i="12"/>
  <c r="R80" i="12"/>
  <c r="AB29" i="10"/>
  <c r="K29" i="10"/>
  <c r="I29" i="10"/>
  <c r="V21" i="12" l="1"/>
  <c r="R21" i="12"/>
  <c r="N21" i="12"/>
  <c r="G21" i="12"/>
  <c r="K21" i="12"/>
  <c r="C21" i="12"/>
  <c r="W21" i="12"/>
  <c r="Q21" i="12"/>
  <c r="F21" i="12"/>
  <c r="L21" i="12"/>
  <c r="U21" i="12"/>
  <c r="P21" i="12"/>
  <c r="H21" i="12"/>
  <c r="M21" i="12"/>
  <c r="O21" i="12"/>
  <c r="D21" i="12"/>
  <c r="E21" i="12"/>
  <c r="T21" i="12"/>
  <c r="I21" i="12"/>
  <c r="S21" i="12"/>
  <c r="J21" i="12"/>
  <c r="W70" i="12"/>
  <c r="S70" i="12"/>
  <c r="O70" i="12"/>
  <c r="K70" i="12"/>
  <c r="G70" i="12"/>
  <c r="V70" i="12"/>
  <c r="R70" i="12"/>
  <c r="N70" i="12"/>
  <c r="J70" i="12"/>
  <c r="F70" i="12"/>
  <c r="P70" i="12"/>
  <c r="H70" i="12"/>
  <c r="U70" i="12"/>
  <c r="L70" i="12"/>
  <c r="T70" i="12"/>
  <c r="I70" i="12"/>
  <c r="E70" i="12"/>
  <c r="D70" i="12"/>
  <c r="C70" i="12"/>
  <c r="Q70" i="12"/>
  <c r="M70" i="12"/>
  <c r="F71" i="13"/>
  <c r="B24" i="9"/>
  <c r="B48" i="9"/>
  <c r="B72" i="9" s="1"/>
  <c r="B96" i="9" s="1"/>
  <c r="B71" i="12"/>
  <c r="B22" i="12"/>
  <c r="B147" i="12"/>
  <c r="B97" i="12"/>
  <c r="S80" i="12"/>
  <c r="U22" i="12" l="1"/>
  <c r="Q22" i="12"/>
  <c r="F22" i="12"/>
  <c r="J22" i="12"/>
  <c r="S22" i="12"/>
  <c r="H22" i="12"/>
  <c r="M22" i="12"/>
  <c r="W22" i="12"/>
  <c r="R22" i="12"/>
  <c r="N22" i="12"/>
  <c r="I22" i="12"/>
  <c r="P22" i="12"/>
  <c r="E22" i="12"/>
  <c r="L22" i="12"/>
  <c r="C22" i="12"/>
  <c r="O22" i="12"/>
  <c r="G22" i="12"/>
  <c r="D22" i="12"/>
  <c r="V22" i="12"/>
  <c r="K22" i="12"/>
  <c r="T22" i="12"/>
  <c r="W71" i="12"/>
  <c r="S71" i="12"/>
  <c r="O71" i="12"/>
  <c r="K71" i="12"/>
  <c r="G71" i="12"/>
  <c r="V71" i="12"/>
  <c r="R71" i="12"/>
  <c r="N71" i="12"/>
  <c r="J71" i="12"/>
  <c r="F71" i="12"/>
  <c r="T71" i="12"/>
  <c r="L71" i="12"/>
  <c r="D71" i="12"/>
  <c r="M71" i="12"/>
  <c r="C71" i="12"/>
  <c r="U71" i="12"/>
  <c r="I71" i="12"/>
  <c r="H71" i="12"/>
  <c r="E71" i="12"/>
  <c r="Q71" i="12"/>
  <c r="P71" i="12"/>
  <c r="B25" i="9"/>
  <c r="B49" i="9"/>
  <c r="B73" i="9" s="1"/>
  <c r="B97" i="9" s="1"/>
  <c r="B72" i="12"/>
  <c r="B23" i="12"/>
  <c r="B148" i="12"/>
  <c r="B98" i="12"/>
  <c r="T80" i="12"/>
  <c r="T23" i="12" l="1"/>
  <c r="P23" i="12"/>
  <c r="E23" i="12"/>
  <c r="I23" i="12"/>
  <c r="M23" i="12"/>
  <c r="U23" i="12"/>
  <c r="O23" i="12"/>
  <c r="J23" i="12"/>
  <c r="S23" i="12"/>
  <c r="F23" i="12"/>
  <c r="K23" i="12"/>
  <c r="R23" i="12"/>
  <c r="N23" i="12"/>
  <c r="G23" i="12"/>
  <c r="C23" i="12"/>
  <c r="H23" i="12"/>
  <c r="W23" i="12"/>
  <c r="L23" i="12"/>
  <c r="V23" i="12"/>
  <c r="Q23" i="12"/>
  <c r="D23" i="12"/>
  <c r="W72" i="12"/>
  <c r="S72" i="12"/>
  <c r="O72" i="12"/>
  <c r="K72" i="12"/>
  <c r="G72" i="12"/>
  <c r="C72" i="12"/>
  <c r="V72" i="12"/>
  <c r="R72" i="12"/>
  <c r="N72" i="12"/>
  <c r="J72" i="12"/>
  <c r="F72" i="12"/>
  <c r="P72" i="12"/>
  <c r="H72" i="12"/>
  <c r="M72" i="12"/>
  <c r="D72" i="12"/>
  <c r="U72" i="12"/>
  <c r="L72" i="12"/>
  <c r="I72" i="12"/>
  <c r="E72" i="12"/>
  <c r="T72" i="12"/>
  <c r="Q72" i="12"/>
  <c r="B26" i="9"/>
  <c r="B50" i="9"/>
  <c r="B74" i="9" s="1"/>
  <c r="B98" i="9" s="1"/>
  <c r="B73" i="12"/>
  <c r="B24" i="12"/>
  <c r="B149" i="12"/>
  <c r="B99" i="12"/>
  <c r="U80" i="12"/>
  <c r="W24" i="12" l="1"/>
  <c r="S24" i="12"/>
  <c r="O24" i="12"/>
  <c r="H24" i="12"/>
  <c r="L24" i="12"/>
  <c r="D24" i="12"/>
  <c r="V24" i="12"/>
  <c r="Q24" i="12"/>
  <c r="F24" i="12"/>
  <c r="K24" i="12"/>
  <c r="U24" i="12"/>
  <c r="P24" i="12"/>
  <c r="G24" i="12"/>
  <c r="M24" i="12"/>
  <c r="T24" i="12"/>
  <c r="I24" i="12"/>
  <c r="R24" i="12"/>
  <c r="N24" i="12"/>
  <c r="J24" i="12"/>
  <c r="C24" i="12"/>
  <c r="E24" i="12"/>
  <c r="W73" i="12"/>
  <c r="S73" i="12"/>
  <c r="O73" i="12"/>
  <c r="K73" i="12"/>
  <c r="G73" i="12"/>
  <c r="V73" i="12"/>
  <c r="R73" i="12"/>
  <c r="N73" i="12"/>
  <c r="J73" i="12"/>
  <c r="F73" i="12"/>
  <c r="C73" i="12"/>
  <c r="T73" i="12"/>
  <c r="L73" i="12"/>
  <c r="D73" i="12"/>
  <c r="P73" i="12"/>
  <c r="E73" i="12"/>
  <c r="M73" i="12"/>
  <c r="I73" i="12"/>
  <c r="H73" i="12"/>
  <c r="U73" i="12"/>
  <c r="Q73" i="12"/>
  <c r="B27" i="9"/>
  <c r="B52" i="9" s="1"/>
  <c r="B76" i="9" s="1"/>
  <c r="B100" i="9" s="1"/>
  <c r="B51" i="9"/>
  <c r="B75" i="9" s="1"/>
  <c r="B99" i="9" s="1"/>
  <c r="B74" i="12"/>
  <c r="B25" i="12"/>
  <c r="B150" i="12"/>
  <c r="B100" i="12"/>
  <c r="V80" i="12"/>
  <c r="V25" i="12" l="1"/>
  <c r="R25" i="12"/>
  <c r="N25" i="12"/>
  <c r="G25" i="12"/>
  <c r="K25" i="12"/>
  <c r="C25" i="12"/>
  <c r="S25" i="12"/>
  <c r="H25" i="12"/>
  <c r="M25" i="12"/>
  <c r="W25" i="12"/>
  <c r="Q25" i="12"/>
  <c r="I25" i="12"/>
  <c r="U25" i="12"/>
  <c r="J25" i="12"/>
  <c r="L25" i="12"/>
  <c r="T25" i="12"/>
  <c r="P25" i="12"/>
  <c r="E25" i="12"/>
  <c r="O25" i="12"/>
  <c r="F25" i="12"/>
  <c r="D25" i="12"/>
  <c r="W74" i="12"/>
  <c r="S74" i="12"/>
  <c r="O74" i="12"/>
  <c r="K74" i="12"/>
  <c r="G74" i="12"/>
  <c r="V74" i="12"/>
  <c r="R74" i="12"/>
  <c r="N74" i="12"/>
  <c r="J74" i="12"/>
  <c r="F74" i="12"/>
  <c r="P74" i="12"/>
  <c r="H74" i="12"/>
  <c r="Q74" i="12"/>
  <c r="E74" i="12"/>
  <c r="M74" i="12"/>
  <c r="D74" i="12"/>
  <c r="C74" i="12"/>
  <c r="L74" i="12"/>
  <c r="I74" i="12"/>
  <c r="U74" i="12"/>
  <c r="T74" i="12"/>
  <c r="B75" i="12"/>
  <c r="B26" i="12"/>
  <c r="B151" i="12"/>
  <c r="B101" i="12"/>
  <c r="W80" i="12"/>
  <c r="W75" i="12" l="1"/>
  <c r="S75" i="12"/>
  <c r="O75" i="12"/>
  <c r="K75" i="12"/>
  <c r="G75" i="12"/>
  <c r="V75" i="12"/>
  <c r="R75" i="12"/>
  <c r="N75" i="12"/>
  <c r="J75" i="12"/>
  <c r="F75" i="12"/>
  <c r="T75" i="12"/>
  <c r="L75" i="12"/>
  <c r="D75" i="12"/>
  <c r="C75" i="12"/>
  <c r="Q75" i="12"/>
  <c r="H75" i="12"/>
  <c r="P75" i="12"/>
  <c r="E75" i="12"/>
  <c r="M75" i="12"/>
  <c r="I75" i="12"/>
  <c r="U75" i="12"/>
  <c r="U26" i="12"/>
  <c r="Q26" i="12"/>
  <c r="F26" i="12"/>
  <c r="J26" i="12"/>
  <c r="T26" i="12"/>
  <c r="O26" i="12"/>
  <c r="N26" i="12"/>
  <c r="I26" i="12"/>
  <c r="S26" i="12"/>
  <c r="E26" i="12"/>
  <c r="K26" i="12"/>
  <c r="W26" i="12"/>
  <c r="L26" i="12"/>
  <c r="D26" i="12"/>
  <c r="R26" i="12"/>
  <c r="G26" i="12"/>
  <c r="P26" i="12"/>
  <c r="H26" i="12"/>
  <c r="V26" i="12"/>
  <c r="M26" i="12"/>
  <c r="C26" i="12"/>
  <c r="B76" i="12"/>
  <c r="W76" i="12" l="1"/>
  <c r="S76" i="12"/>
  <c r="O76" i="12"/>
  <c r="K76" i="12"/>
  <c r="G76" i="12"/>
  <c r="C76" i="12"/>
  <c r="V76" i="12"/>
  <c r="R76" i="12"/>
  <c r="N76" i="12"/>
  <c r="J76" i="12"/>
  <c r="F76" i="12"/>
  <c r="U76" i="12"/>
  <c r="P76" i="12"/>
  <c r="H76" i="12"/>
  <c r="T76" i="12"/>
  <c r="I76" i="12"/>
  <c r="Q76" i="12"/>
  <c r="E76" i="12"/>
  <c r="M76" i="12"/>
  <c r="L76" i="12"/>
  <c r="D76" i="12"/>
  <c r="C4" i="3"/>
  <c r="C5" i="11"/>
  <c r="D5" i="11"/>
  <c r="D4" i="11"/>
  <c r="F25" i="11" s="1"/>
  <c r="F50" i="11" s="1"/>
  <c r="AR50" i="11" s="1"/>
  <c r="C4" i="11"/>
  <c r="D4" i="4"/>
  <c r="F16" i="4" s="1"/>
  <c r="C5" i="4"/>
  <c r="C4" i="4"/>
  <c r="F44" i="3" l="1"/>
  <c r="N25" i="11"/>
  <c r="F20" i="3"/>
  <c r="S20" i="3" l="1"/>
  <c r="Y20" i="3" s="1"/>
  <c r="AG20" i="3"/>
  <c r="U20" i="3"/>
  <c r="AA20" i="3" s="1"/>
  <c r="AH20" i="3"/>
  <c r="V20" i="3"/>
  <c r="AB20" i="3" s="1"/>
  <c r="AE20" i="3"/>
  <c r="G20" i="3"/>
  <c r="M20" i="3" s="1"/>
  <c r="F21" i="3"/>
  <c r="F45" i="3"/>
  <c r="C11" i="11"/>
  <c r="C12" i="11"/>
  <c r="C13" i="11"/>
  <c r="C14" i="11"/>
  <c r="C10" i="11"/>
  <c r="C9" i="11"/>
  <c r="C10" i="4"/>
  <c r="C9" i="4"/>
  <c r="B9" i="11"/>
  <c r="B9" i="4"/>
  <c r="H51" i="2"/>
  <c r="H52" i="2"/>
  <c r="G24" i="11"/>
  <c r="F26" i="11"/>
  <c r="C20" i="11"/>
  <c r="D20" i="11" s="1"/>
  <c r="C19" i="11"/>
  <c r="D19" i="11" s="1"/>
  <c r="C18" i="11"/>
  <c r="D18" i="11" s="1"/>
  <c r="C17" i="11"/>
  <c r="D17" i="11" s="1"/>
  <c r="C16" i="11"/>
  <c r="D16" i="11" s="1"/>
  <c r="C15" i="11"/>
  <c r="D15" i="11" s="1"/>
  <c r="C8" i="11"/>
  <c r="D8" i="11" s="1"/>
  <c r="C7" i="11"/>
  <c r="D7" i="11" s="1"/>
  <c r="C6" i="11"/>
  <c r="D6" i="11" s="1"/>
  <c r="B2" i="11"/>
  <c r="U21" i="3" l="1"/>
  <c r="AA21" i="3" s="1"/>
  <c r="V21" i="3"/>
  <c r="AB21" i="3" s="1"/>
  <c r="AG21" i="3"/>
  <c r="AH21" i="3"/>
  <c r="H24" i="11"/>
  <c r="F27" i="11"/>
  <c r="AK20" i="3"/>
  <c r="F22" i="3"/>
  <c r="F46" i="3"/>
  <c r="C2" i="11"/>
  <c r="D2" i="11" s="1"/>
  <c r="E2" i="11" s="1"/>
  <c r="N26" i="11"/>
  <c r="V22" i="3" l="1"/>
  <c r="AB22" i="3" s="1"/>
  <c r="AG22" i="3"/>
  <c r="AH22" i="3"/>
  <c r="U22" i="3"/>
  <c r="AA22" i="3" s="1"/>
  <c r="I24" i="11"/>
  <c r="K24" i="11"/>
  <c r="J24" i="11"/>
  <c r="F28" i="11"/>
  <c r="F29" i="11" s="1"/>
  <c r="F23" i="3"/>
  <c r="F47" i="3"/>
  <c r="H49" i="11"/>
  <c r="P24" i="11"/>
  <c r="N27" i="11"/>
  <c r="FB50" i="11"/>
  <c r="FB51" i="11" s="1"/>
  <c r="FB52" i="11" s="1"/>
  <c r="FB53" i="11" s="1"/>
  <c r="FB54" i="11" s="1"/>
  <c r="FB55" i="11" s="1"/>
  <c r="FB56" i="11" s="1"/>
  <c r="FB57" i="11" s="1"/>
  <c r="FB58" i="11" s="1"/>
  <c r="FB59" i="11" s="1"/>
  <c r="FB60" i="11" s="1"/>
  <c r="FB61" i="11" s="1"/>
  <c r="FB62" i="11" s="1"/>
  <c r="FB63" i="11" s="1"/>
  <c r="FB64" i="11" s="1"/>
  <c r="FB65" i="11" s="1"/>
  <c r="FB66" i="11" s="1"/>
  <c r="FB67" i="11" s="1"/>
  <c r="FB68" i="11" s="1"/>
  <c r="FB69" i="11" s="1"/>
  <c r="FB70" i="11" s="1"/>
  <c r="CD50" i="11"/>
  <c r="CD51" i="11" s="1"/>
  <c r="CD52" i="11" s="1"/>
  <c r="CD53" i="11" s="1"/>
  <c r="CD54" i="11" s="1"/>
  <c r="CD55" i="11" s="1"/>
  <c r="CD56" i="11" s="1"/>
  <c r="CD57" i="11" s="1"/>
  <c r="CD58" i="11" s="1"/>
  <c r="CD59" i="11" s="1"/>
  <c r="CD60" i="11" s="1"/>
  <c r="CD61" i="11" s="1"/>
  <c r="CD62" i="11" s="1"/>
  <c r="CD63" i="11" s="1"/>
  <c r="CD64" i="11" s="1"/>
  <c r="CD65" i="11" s="1"/>
  <c r="CD66" i="11" s="1"/>
  <c r="CD67" i="11" s="1"/>
  <c r="CD68" i="11" s="1"/>
  <c r="CD69" i="11" s="1"/>
  <c r="CD70" i="11" s="1"/>
  <c r="CD71" i="11" s="1"/>
  <c r="F51" i="11"/>
  <c r="DP50" i="11"/>
  <c r="AR51" i="11"/>
  <c r="AR52" i="11" s="1"/>
  <c r="AR53" i="11" s="1"/>
  <c r="AR54" i="11" s="1"/>
  <c r="AR55" i="11" s="1"/>
  <c r="AR56" i="11" s="1"/>
  <c r="AR57" i="11" s="1"/>
  <c r="AR58" i="11" s="1"/>
  <c r="AR59" i="11" s="1"/>
  <c r="AR60" i="11" s="1"/>
  <c r="AR61" i="11" s="1"/>
  <c r="AR62" i="11" s="1"/>
  <c r="AR63" i="11" s="1"/>
  <c r="AR64" i="11" s="1"/>
  <c r="AR65" i="11" s="1"/>
  <c r="AR66" i="11" s="1"/>
  <c r="AR67" i="11" s="1"/>
  <c r="AR68" i="11" s="1"/>
  <c r="AR69" i="11" s="1"/>
  <c r="AR70" i="11" s="1"/>
  <c r="F2" i="11"/>
  <c r="G2" i="11" s="1"/>
  <c r="H2" i="11" s="1"/>
  <c r="I2" i="11" s="1"/>
  <c r="J2" i="11" s="1"/>
  <c r="K2" i="11" s="1"/>
  <c r="L2" i="11" s="1"/>
  <c r="M2" i="11" s="1"/>
  <c r="N2" i="11" s="1"/>
  <c r="O2" i="11" s="1"/>
  <c r="P2" i="11" s="1"/>
  <c r="Q2" i="11" s="1"/>
  <c r="R2" i="11" s="1"/>
  <c r="S2" i="11" s="1"/>
  <c r="T2" i="11" s="1"/>
  <c r="U2" i="11" s="1"/>
  <c r="V2" i="11" s="1"/>
  <c r="W2" i="11" s="1"/>
  <c r="X2" i="11" s="1"/>
  <c r="Y2" i="11" s="1"/>
  <c r="Z2" i="11" s="1"/>
  <c r="AA2" i="11" s="1"/>
  <c r="AB2" i="11" s="1"/>
  <c r="AC2" i="11" s="1"/>
  <c r="AD2" i="11" s="1"/>
  <c r="AE2" i="11" s="1"/>
  <c r="AF2" i="11" s="1"/>
  <c r="AG2" i="11" s="1"/>
  <c r="AH2" i="11" s="1"/>
  <c r="AI2" i="11" s="1"/>
  <c r="AJ2" i="11" s="1"/>
  <c r="AK2" i="11" s="1"/>
  <c r="AL2" i="11" s="1"/>
  <c r="AM2" i="11" s="1"/>
  <c r="AN2" i="11" s="1"/>
  <c r="AO2" i="11" s="1"/>
  <c r="AP2" i="11" s="1"/>
  <c r="AQ2" i="11" s="1"/>
  <c r="AR2" i="11" s="1"/>
  <c r="AS2" i="11" s="1"/>
  <c r="AT2" i="11" s="1"/>
  <c r="AU2" i="11" s="1"/>
  <c r="AV2" i="11" s="1"/>
  <c r="AW2" i="11" s="1"/>
  <c r="AX2" i="11" s="1"/>
  <c r="AY2" i="11" s="1"/>
  <c r="AZ2" i="11" s="1"/>
  <c r="BA2" i="11" s="1"/>
  <c r="BB2" i="11" s="1"/>
  <c r="BC2" i="11" s="1"/>
  <c r="BD2" i="11" s="1"/>
  <c r="BE2" i="11" s="1"/>
  <c r="BF2" i="11" s="1"/>
  <c r="BG2" i="11" s="1"/>
  <c r="BH2" i="11" s="1"/>
  <c r="BI2" i="11" s="1"/>
  <c r="BJ2" i="11" s="1"/>
  <c r="BK2" i="11" s="1"/>
  <c r="BL2" i="11" s="1"/>
  <c r="BM2" i="11" s="1"/>
  <c r="BN2" i="11" s="1"/>
  <c r="BO2" i="11" s="1"/>
  <c r="BP2" i="11" s="1"/>
  <c r="BQ2" i="11" s="1"/>
  <c r="BR2" i="11" s="1"/>
  <c r="BS2" i="11" s="1"/>
  <c r="BT2" i="11" s="1"/>
  <c r="BU2" i="11" s="1"/>
  <c r="BV2" i="11" s="1"/>
  <c r="BW2" i="11" s="1"/>
  <c r="BX2" i="11" s="1"/>
  <c r="BY2" i="11" s="1"/>
  <c r="BZ2" i="11" s="1"/>
  <c r="CA2" i="11" s="1"/>
  <c r="CB2" i="11" s="1"/>
  <c r="CC2" i="11" s="1"/>
  <c r="CD2" i="11" s="1"/>
  <c r="CE2" i="11" s="1"/>
  <c r="CF2" i="11" s="1"/>
  <c r="CG2" i="11" s="1"/>
  <c r="CH2" i="11" s="1"/>
  <c r="CI2" i="11" s="1"/>
  <c r="CJ2" i="11" s="1"/>
  <c r="CK2" i="11" s="1"/>
  <c r="CL2" i="11" s="1"/>
  <c r="CM2" i="11" s="1"/>
  <c r="CN2" i="11" s="1"/>
  <c r="CO2" i="11" s="1"/>
  <c r="CP2" i="11" s="1"/>
  <c r="CQ2" i="11" s="1"/>
  <c r="CR2" i="11" s="1"/>
  <c r="CS2" i="11" s="1"/>
  <c r="CT2" i="11" s="1"/>
  <c r="CU2" i="11" s="1"/>
  <c r="CV2" i="11" s="1"/>
  <c r="CW2" i="11" s="1"/>
  <c r="CX2" i="11" s="1"/>
  <c r="CY2" i="11" s="1"/>
  <c r="CZ2" i="11" s="1"/>
  <c r="DA2" i="11" s="1"/>
  <c r="DB2" i="11" s="1"/>
  <c r="DC2" i="11" s="1"/>
  <c r="DD2" i="11" s="1"/>
  <c r="DE2" i="11" s="1"/>
  <c r="DF2" i="11" s="1"/>
  <c r="DG2" i="11" s="1"/>
  <c r="DH2" i="11" s="1"/>
  <c r="DI2" i="11" s="1"/>
  <c r="DJ2" i="11" s="1"/>
  <c r="DK2" i="11" s="1"/>
  <c r="DL2" i="11" s="1"/>
  <c r="DM2" i="11" s="1"/>
  <c r="DN2" i="11" s="1"/>
  <c r="DO2" i="11" s="1"/>
  <c r="DP2" i="11" s="1"/>
  <c r="DQ2" i="11" s="1"/>
  <c r="DR2" i="11" s="1"/>
  <c r="DS2" i="11" s="1"/>
  <c r="DT2" i="11" s="1"/>
  <c r="DU2" i="11" s="1"/>
  <c r="DV2" i="11" s="1"/>
  <c r="DW2" i="11" s="1"/>
  <c r="DX2" i="11" s="1"/>
  <c r="DY2" i="11" s="1"/>
  <c r="DZ2" i="11" s="1"/>
  <c r="EA2" i="11" s="1"/>
  <c r="EB2" i="11" s="1"/>
  <c r="EC2" i="11" s="1"/>
  <c r="ED2" i="11" s="1"/>
  <c r="EE2" i="11" s="1"/>
  <c r="EF2" i="11" s="1"/>
  <c r="EG2" i="11" s="1"/>
  <c r="EH2" i="11" s="1"/>
  <c r="EI2" i="11" s="1"/>
  <c r="EJ2" i="11" s="1"/>
  <c r="EK2" i="11" s="1"/>
  <c r="EL2" i="11" s="1"/>
  <c r="EM2" i="11" s="1"/>
  <c r="EN2" i="11" s="1"/>
  <c r="EO2" i="11" s="1"/>
  <c r="EP2" i="11" s="1"/>
  <c r="EQ2" i="11" s="1"/>
  <c r="ER2" i="11" s="1"/>
  <c r="ES2" i="11" s="1"/>
  <c r="ET2" i="11" s="1"/>
  <c r="EU2" i="11" s="1"/>
  <c r="EV2" i="11" s="1"/>
  <c r="EW2" i="11" s="1"/>
  <c r="EX2" i="11" s="1"/>
  <c r="EY2" i="11" s="1"/>
  <c r="EZ2" i="11" s="1"/>
  <c r="FA2" i="11" s="1"/>
  <c r="FB2" i="11" s="1"/>
  <c r="FC2" i="11" s="1"/>
  <c r="FD2" i="11" s="1"/>
  <c r="FE2" i="11" s="1"/>
  <c r="FF2" i="11" s="1"/>
  <c r="FG2" i="11" s="1"/>
  <c r="FH2" i="11" s="1"/>
  <c r="FI2" i="11" s="1"/>
  <c r="FJ2" i="11" s="1"/>
  <c r="FK2" i="11" s="1"/>
  <c r="FL2" i="11" s="1"/>
  <c r="FM2" i="11" s="1"/>
  <c r="FN2" i="11" s="1"/>
  <c r="FO2" i="11" s="1"/>
  <c r="FP2" i="11" s="1"/>
  <c r="FQ2" i="11" s="1"/>
  <c r="FR2" i="11" s="1"/>
  <c r="FS2" i="11" s="1"/>
  <c r="FT2" i="11" s="1"/>
  <c r="FU2" i="11" s="1"/>
  <c r="FV2" i="11" s="1"/>
  <c r="FW2" i="11" s="1"/>
  <c r="FX2" i="11" s="1"/>
  <c r="FY2" i="11" s="1"/>
  <c r="FZ2" i="11" s="1"/>
  <c r="GA2" i="11" s="1"/>
  <c r="GB2" i="11" s="1"/>
  <c r="GC2" i="11" s="1"/>
  <c r="GD2" i="11" s="1"/>
  <c r="GE2" i="11" s="1"/>
  <c r="GF2" i="11" s="1"/>
  <c r="GG2" i="11" s="1"/>
  <c r="GH2" i="11" s="1"/>
  <c r="GI2" i="11" s="1"/>
  <c r="GJ2" i="11" s="1"/>
  <c r="GK2" i="11" s="1"/>
  <c r="GL2" i="11" s="1"/>
  <c r="GM2" i="11" s="1"/>
  <c r="GN2" i="11" s="1"/>
  <c r="GO2" i="11" s="1"/>
  <c r="GP2" i="11" s="1"/>
  <c r="GQ2" i="11" s="1"/>
  <c r="GR2" i="11" s="1"/>
  <c r="GS2" i="11" s="1"/>
  <c r="T52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8" i="9"/>
  <c r="P92" i="9"/>
  <c r="P93" i="9"/>
  <c r="P94" i="9"/>
  <c r="P95" i="9"/>
  <c r="P96" i="9"/>
  <c r="P103" i="9"/>
  <c r="P104" i="9"/>
  <c r="P5" i="9"/>
  <c r="U29" i="9"/>
  <c r="U53" i="9" s="1"/>
  <c r="AF5" i="9"/>
  <c r="AF29" i="9" s="1"/>
  <c r="Y29" i="9"/>
  <c r="Y53" i="9" s="1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AK9" i="10"/>
  <c r="AK10" i="10"/>
  <c r="AK11" i="10"/>
  <c r="AK12" i="10"/>
  <c r="AK13" i="10"/>
  <c r="AK14" i="10"/>
  <c r="AK15" i="10"/>
  <c r="AK16" i="10"/>
  <c r="AK17" i="10"/>
  <c r="AK18" i="10"/>
  <c r="AK19" i="10"/>
  <c r="AK20" i="10"/>
  <c r="AK21" i="10"/>
  <c r="AK22" i="10"/>
  <c r="AK23" i="10"/>
  <c r="AK24" i="10"/>
  <c r="AK25" i="10"/>
  <c r="AK26" i="10"/>
  <c r="AK27" i="10"/>
  <c r="AK28" i="10"/>
  <c r="AK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8" i="10"/>
  <c r="C34" i="2"/>
  <c r="C33" i="2"/>
  <c r="R29" i="8"/>
  <c r="M29" i="10" l="1"/>
  <c r="AG23" i="3"/>
  <c r="AH23" i="3"/>
  <c r="U23" i="3"/>
  <c r="AA23" i="3" s="1"/>
  <c r="V23" i="3"/>
  <c r="AB23" i="3" s="1"/>
  <c r="CD72" i="11"/>
  <c r="CR71" i="11"/>
  <c r="CV71" i="11"/>
  <c r="CZ71" i="11"/>
  <c r="CS71" i="11"/>
  <c r="CW71" i="11"/>
  <c r="DA71" i="11"/>
  <c r="CX71" i="11"/>
  <c r="CQ71" i="11"/>
  <c r="CY71" i="11"/>
  <c r="CT71" i="11"/>
  <c r="DB71" i="11"/>
  <c r="CU71" i="11"/>
  <c r="L24" i="11"/>
  <c r="M85" i="10"/>
  <c r="BI85" i="10"/>
  <c r="BU85" i="10"/>
  <c r="Z85" i="10"/>
  <c r="BV85" i="10"/>
  <c r="N85" i="10"/>
  <c r="BJ85" i="10"/>
  <c r="Y85" i="10"/>
  <c r="F24" i="3"/>
  <c r="F48" i="3"/>
  <c r="G49" i="11"/>
  <c r="O24" i="11"/>
  <c r="N28" i="11"/>
  <c r="I49" i="11"/>
  <c r="Q24" i="11"/>
  <c r="DP51" i="11"/>
  <c r="AT49" i="11"/>
  <c r="DR49" i="11"/>
  <c r="N49" i="11"/>
  <c r="T49" i="11" s="1"/>
  <c r="CF49" i="11"/>
  <c r="F52" i="11"/>
  <c r="F30" i="11"/>
  <c r="O29" i="8"/>
  <c r="AB5" i="9"/>
  <c r="AB29" i="9" s="1"/>
  <c r="Q29" i="8"/>
  <c r="P29" i="8"/>
  <c r="AH24" i="3" l="1"/>
  <c r="U24" i="3"/>
  <c r="AA24" i="3" s="1"/>
  <c r="V24" i="3"/>
  <c r="AB24" i="3" s="1"/>
  <c r="AG24" i="3"/>
  <c r="CD73" i="11"/>
  <c r="CR72" i="11"/>
  <c r="CV72" i="11"/>
  <c r="CZ72" i="11"/>
  <c r="CS72" i="11"/>
  <c r="CW72" i="11"/>
  <c r="DA72" i="11"/>
  <c r="CT72" i="11"/>
  <c r="DB72" i="11"/>
  <c r="CU72" i="11"/>
  <c r="CX72" i="11"/>
  <c r="CQ72" i="11"/>
  <c r="CY72" i="11"/>
  <c r="CR49" i="11"/>
  <c r="ED49" i="11"/>
  <c r="Z49" i="11"/>
  <c r="EJ49" i="11" s="1"/>
  <c r="BF49" i="11"/>
  <c r="F25" i="3"/>
  <c r="F49" i="3"/>
  <c r="FD49" i="11"/>
  <c r="CE49" i="11"/>
  <c r="M49" i="11"/>
  <c r="S49" i="11" s="1"/>
  <c r="AS49" i="11"/>
  <c r="DQ49" i="11"/>
  <c r="DP52" i="11"/>
  <c r="AZ49" i="11"/>
  <c r="DX49" i="11"/>
  <c r="AF49" i="11"/>
  <c r="CL49" i="11"/>
  <c r="F53" i="11"/>
  <c r="J49" i="11"/>
  <c r="R24" i="11"/>
  <c r="N29" i="11"/>
  <c r="DS49" i="11"/>
  <c r="O49" i="11"/>
  <c r="U49" i="11" s="1"/>
  <c r="CG49" i="11"/>
  <c r="AU49" i="11"/>
  <c r="F31" i="11"/>
  <c r="B65" i="10"/>
  <c r="B173" i="10" s="1"/>
  <c r="BX173" i="10" s="1"/>
  <c r="C25" i="2"/>
  <c r="H49" i="2" s="1"/>
  <c r="C68" i="2"/>
  <c r="AX23" i="2"/>
  <c r="AC23" i="2" s="1"/>
  <c r="AX24" i="2"/>
  <c r="AC24" i="2" s="1"/>
  <c r="AX25" i="2"/>
  <c r="AC25" i="2" s="1"/>
  <c r="AX26" i="2"/>
  <c r="AC26" i="2" s="1"/>
  <c r="AX27" i="2"/>
  <c r="AC27" i="2" s="1"/>
  <c r="AX28" i="2"/>
  <c r="AC28" i="2" s="1"/>
  <c r="AX29" i="2"/>
  <c r="AC29" i="2" s="1"/>
  <c r="AX30" i="2"/>
  <c r="AC30" i="2" s="1"/>
  <c r="AX31" i="2"/>
  <c r="AC31" i="2" s="1"/>
  <c r="AX32" i="2"/>
  <c r="AC32" i="2" s="1"/>
  <c r="AX22" i="2"/>
  <c r="AC22" i="2" s="1"/>
  <c r="J85" i="2" l="1"/>
  <c r="E187" i="21"/>
  <c r="J79" i="2"/>
  <c r="E181" i="21"/>
  <c r="J86" i="2"/>
  <c r="E188" i="21"/>
  <c r="J82" i="2"/>
  <c r="E184" i="21"/>
  <c r="J84" i="2"/>
  <c r="E186" i="21"/>
  <c r="J80" i="2"/>
  <c r="E182" i="21"/>
  <c r="J89" i="2"/>
  <c r="E191" i="21"/>
  <c r="J81" i="2"/>
  <c r="E183" i="21"/>
  <c r="J88" i="2"/>
  <c r="E190" i="21"/>
  <c r="J87" i="2"/>
  <c r="E189" i="21"/>
  <c r="J83" i="2"/>
  <c r="E185" i="21"/>
  <c r="B199" i="10"/>
  <c r="V25" i="3"/>
  <c r="AB25" i="3" s="1"/>
  <c r="AG25" i="3"/>
  <c r="AH25" i="3"/>
  <c r="U25" i="3"/>
  <c r="AA25" i="3" s="1"/>
  <c r="CD74" i="11"/>
  <c r="CR73" i="11"/>
  <c r="CV73" i="11"/>
  <c r="CZ73" i="11"/>
  <c r="CS73" i="11"/>
  <c r="CW73" i="11"/>
  <c r="DA73" i="11"/>
  <c r="CX73" i="11"/>
  <c r="CQ73" i="11"/>
  <c r="CY73" i="11"/>
  <c r="CT73" i="11"/>
  <c r="DB73" i="11"/>
  <c r="CU73" i="11"/>
  <c r="CQ49" i="11"/>
  <c r="EC49" i="11"/>
  <c r="FV49" i="11"/>
  <c r="CS49" i="11"/>
  <c r="EE49" i="11"/>
  <c r="FP49" i="11"/>
  <c r="BL49" i="11"/>
  <c r="CX49" i="11"/>
  <c r="AA49" i="11"/>
  <c r="EK49" i="11" s="1"/>
  <c r="BG49" i="11"/>
  <c r="Y49" i="11"/>
  <c r="EI49" i="11" s="1"/>
  <c r="BE49" i="11"/>
  <c r="Y62" i="10"/>
  <c r="Y170" i="10" s="1"/>
  <c r="Y196" i="10" s="1"/>
  <c r="Y222" i="10" s="1"/>
  <c r="Q23" i="19"/>
  <c r="Q23" i="18"/>
  <c r="K43" i="3"/>
  <c r="K18" i="3" s="1"/>
  <c r="Q23" i="20"/>
  <c r="Q23" i="13"/>
  <c r="D9" i="4"/>
  <c r="B66" i="10"/>
  <c r="B174" i="10" s="1"/>
  <c r="BX174" i="10" s="1"/>
  <c r="F26" i="3"/>
  <c r="F50" i="3"/>
  <c r="FC49" i="11"/>
  <c r="AY49" i="11"/>
  <c r="DW49" i="11"/>
  <c r="AE49" i="11"/>
  <c r="CK49" i="11"/>
  <c r="FE49" i="11"/>
  <c r="FJ49" i="11"/>
  <c r="C93" i="2"/>
  <c r="S24" i="11"/>
  <c r="K49" i="11"/>
  <c r="DT49" i="11"/>
  <c r="P49" i="11"/>
  <c r="V49" i="11" s="1"/>
  <c r="CH49" i="11"/>
  <c r="AV49" i="11"/>
  <c r="BA49" i="11"/>
  <c r="DY49" i="11"/>
  <c r="AG49" i="11"/>
  <c r="CM49" i="11"/>
  <c r="F32" i="11"/>
  <c r="N30" i="11"/>
  <c r="F54" i="11"/>
  <c r="DD49" i="11"/>
  <c r="BR49" i="11"/>
  <c r="EP49" i="11"/>
  <c r="AL49" i="11"/>
  <c r="DP53" i="11"/>
  <c r="B225" i="10" l="1"/>
  <c r="BX225" i="10" s="1"/>
  <c r="BX199" i="10"/>
  <c r="B200" i="10"/>
  <c r="BI62" i="10"/>
  <c r="AK62" i="10"/>
  <c r="AH26" i="3"/>
  <c r="U26" i="3"/>
  <c r="AA26" i="3" s="1"/>
  <c r="V26" i="3"/>
  <c r="AB26" i="3" s="1"/>
  <c r="AG26" i="3"/>
  <c r="CD75" i="11"/>
  <c r="CR74" i="11"/>
  <c r="CV74" i="11"/>
  <c r="CZ74" i="11"/>
  <c r="CS74" i="11"/>
  <c r="CW74" i="11"/>
  <c r="DA74" i="11"/>
  <c r="CT74" i="11"/>
  <c r="DB74" i="11"/>
  <c r="CU74" i="11"/>
  <c r="CX74" i="11"/>
  <c r="CY74" i="11"/>
  <c r="CQ74" i="11"/>
  <c r="FU49" i="11"/>
  <c r="FQ49" i="11"/>
  <c r="FO49" i="11"/>
  <c r="CT49" i="11"/>
  <c r="EF49" i="11"/>
  <c r="FW49" i="11"/>
  <c r="BK49" i="11"/>
  <c r="CW49" i="11"/>
  <c r="BM49" i="11"/>
  <c r="CY49" i="11"/>
  <c r="AB49" i="11"/>
  <c r="EL49" i="11" s="1"/>
  <c r="BH49" i="11"/>
  <c r="Q18" i="18"/>
  <c r="AC23" i="18"/>
  <c r="AO23" i="18" s="1"/>
  <c r="Q50" i="18"/>
  <c r="Q18" i="13"/>
  <c r="Q50" i="13"/>
  <c r="AC23" i="13"/>
  <c r="AO23" i="13" s="1"/>
  <c r="Q50" i="19"/>
  <c r="AC23" i="19"/>
  <c r="AO23" i="19" s="1"/>
  <c r="Q50" i="20"/>
  <c r="AC23" i="20"/>
  <c r="AO23" i="20" s="1"/>
  <c r="Q18" i="20"/>
  <c r="Q43" i="3"/>
  <c r="W43" i="3" s="1"/>
  <c r="R18" i="19"/>
  <c r="G23" i="19"/>
  <c r="G23" i="20"/>
  <c r="G23" i="18"/>
  <c r="B67" i="10"/>
  <c r="B175" i="10" s="1"/>
  <c r="BX175" i="10" s="1"/>
  <c r="G23" i="13"/>
  <c r="F27" i="3"/>
  <c r="F51" i="3"/>
  <c r="FI49" i="11"/>
  <c r="R43" i="3"/>
  <c r="X43" i="3" s="1"/>
  <c r="EO49" i="11"/>
  <c r="BQ49" i="11"/>
  <c r="AK49" i="11"/>
  <c r="DC49" i="11"/>
  <c r="N31" i="11"/>
  <c r="FF49" i="11"/>
  <c r="F33" i="11"/>
  <c r="DP54" i="11"/>
  <c r="DJ49" i="11"/>
  <c r="BX49" i="11"/>
  <c r="EV49" i="11"/>
  <c r="F55" i="11"/>
  <c r="GB49" i="11"/>
  <c r="BS49" i="11"/>
  <c r="EQ49" i="11"/>
  <c r="AM49" i="11"/>
  <c r="DE49" i="11"/>
  <c r="FK49" i="11"/>
  <c r="DZ49" i="11"/>
  <c r="AH49" i="11"/>
  <c r="CN49" i="11"/>
  <c r="BB49" i="11"/>
  <c r="Q49" i="11"/>
  <c r="W49" i="11" s="1"/>
  <c r="CI49" i="11"/>
  <c r="AW49" i="11"/>
  <c r="DU49" i="11"/>
  <c r="O62" i="10"/>
  <c r="O170" i="10" s="1"/>
  <c r="O196" i="10" s="1"/>
  <c r="O222" i="10" s="1"/>
  <c r="B226" i="10" l="1"/>
  <c r="BX226" i="10" s="1"/>
  <c r="BX200" i="10"/>
  <c r="AW62" i="10"/>
  <c r="AW170" i="10" s="1"/>
  <c r="AW196" i="10" s="1"/>
  <c r="AW222" i="10" s="1"/>
  <c r="AK170" i="10"/>
  <c r="AK196" i="10" s="1"/>
  <c r="AK222" i="10" s="1"/>
  <c r="BU62" i="10"/>
  <c r="BU170" i="10" s="1"/>
  <c r="BU196" i="10" s="1"/>
  <c r="BU222" i="10" s="1"/>
  <c r="BI170" i="10"/>
  <c r="BI196" i="10" s="1"/>
  <c r="BI222" i="10" s="1"/>
  <c r="B201" i="10"/>
  <c r="W18" i="3"/>
  <c r="AC43" i="3"/>
  <c r="AC18" i="3" s="1"/>
  <c r="AO50" i="19"/>
  <c r="BA23" i="19"/>
  <c r="BA50" i="19" s="1"/>
  <c r="V27" i="3"/>
  <c r="AB27" i="3" s="1"/>
  <c r="AG27" i="3"/>
  <c r="AH27" i="3"/>
  <c r="U27" i="3"/>
  <c r="AA27" i="3" s="1"/>
  <c r="BA23" i="20"/>
  <c r="BA50" i="20" s="1"/>
  <c r="AO50" i="20"/>
  <c r="BA23" i="13"/>
  <c r="BA50" i="13" s="1"/>
  <c r="AO50" i="13"/>
  <c r="AO50" i="18"/>
  <c r="BA23" i="18"/>
  <c r="BA50" i="18" s="1"/>
  <c r="X18" i="3"/>
  <c r="AD43" i="3"/>
  <c r="AD18" i="3" s="1"/>
  <c r="CD76" i="11"/>
  <c r="CR75" i="11"/>
  <c r="CV75" i="11"/>
  <c r="CZ75" i="11"/>
  <c r="CS75" i="11"/>
  <c r="CW75" i="11"/>
  <c r="DA75" i="11"/>
  <c r="CX75" i="11"/>
  <c r="CQ75" i="11"/>
  <c r="CY75" i="11"/>
  <c r="CT75" i="11"/>
  <c r="DB75" i="11"/>
  <c r="CU75" i="11"/>
  <c r="CU49" i="11"/>
  <c r="EG49" i="11"/>
  <c r="FX49" i="11"/>
  <c r="FR49" i="11"/>
  <c r="BN49" i="11"/>
  <c r="CZ49" i="11"/>
  <c r="AC49" i="11"/>
  <c r="EM49" i="11" s="1"/>
  <c r="BI49" i="11"/>
  <c r="AY62" i="10"/>
  <c r="AA62" i="10"/>
  <c r="AI43" i="3"/>
  <c r="Q18" i="3"/>
  <c r="AJ43" i="3"/>
  <c r="R18" i="3"/>
  <c r="AC50" i="20"/>
  <c r="BM23" i="20"/>
  <c r="AC50" i="13"/>
  <c r="BM23" i="13"/>
  <c r="AC50" i="18"/>
  <c r="BM23" i="18"/>
  <c r="AC50" i="19"/>
  <c r="BM23" i="19"/>
  <c r="Q18" i="19"/>
  <c r="G50" i="19"/>
  <c r="S23" i="19"/>
  <c r="AE23" i="19" s="1"/>
  <c r="AE50" i="19" s="1"/>
  <c r="G18" i="19"/>
  <c r="G50" i="20"/>
  <c r="S23" i="20"/>
  <c r="AE23" i="20" s="1"/>
  <c r="AE50" i="20" s="1"/>
  <c r="G18" i="20"/>
  <c r="G50" i="18"/>
  <c r="S23" i="18"/>
  <c r="AE23" i="18" s="1"/>
  <c r="AE50" i="18" s="1"/>
  <c r="G18" i="18"/>
  <c r="G50" i="13"/>
  <c r="G18" i="13"/>
  <c r="B68" i="10"/>
  <c r="B176" i="10" s="1"/>
  <c r="BX176" i="10" s="1"/>
  <c r="S23" i="13"/>
  <c r="AE23" i="13" s="1"/>
  <c r="AE50" i="13" s="1"/>
  <c r="F28" i="3"/>
  <c r="F52" i="3"/>
  <c r="GA49" i="11"/>
  <c r="EU49" i="11"/>
  <c r="DI49" i="11"/>
  <c r="BW49" i="11"/>
  <c r="BT49" i="11"/>
  <c r="ER49" i="11"/>
  <c r="AN49" i="11"/>
  <c r="DF49" i="11"/>
  <c r="DK49" i="11"/>
  <c r="BY49" i="11"/>
  <c r="EW49" i="11"/>
  <c r="FG49" i="11"/>
  <c r="FL49" i="11"/>
  <c r="GC49" i="11"/>
  <c r="L49" i="11"/>
  <c r="T24" i="11"/>
  <c r="N32" i="11"/>
  <c r="F56" i="11"/>
  <c r="GH49" i="11"/>
  <c r="DP55" i="11"/>
  <c r="EA49" i="11"/>
  <c r="AI49" i="11"/>
  <c r="CO49" i="11"/>
  <c r="BC49" i="11"/>
  <c r="F34" i="11"/>
  <c r="B227" i="10" l="1"/>
  <c r="BX227" i="10" s="1"/>
  <c r="BX201" i="10"/>
  <c r="B202" i="10"/>
  <c r="AM62" i="10"/>
  <c r="AM170" i="10" s="1"/>
  <c r="AM196" i="10" s="1"/>
  <c r="AM222" i="10" s="1"/>
  <c r="AA170" i="10"/>
  <c r="AA196" i="10" s="1"/>
  <c r="AA222" i="10" s="1"/>
  <c r="BK62" i="10"/>
  <c r="BK170" i="10" s="1"/>
  <c r="BK196" i="10" s="1"/>
  <c r="BK222" i="10" s="1"/>
  <c r="AY170" i="10"/>
  <c r="AY196" i="10" s="1"/>
  <c r="AY222" i="10" s="1"/>
  <c r="AH28" i="3"/>
  <c r="U28" i="3"/>
  <c r="AA28" i="3" s="1"/>
  <c r="V28" i="3"/>
  <c r="AB28" i="3" s="1"/>
  <c r="AG28" i="3"/>
  <c r="CD77" i="11"/>
  <c r="CR76" i="11"/>
  <c r="CV76" i="11"/>
  <c r="CZ76" i="11"/>
  <c r="CS76" i="11"/>
  <c r="CW76" i="11"/>
  <c r="DA76" i="11"/>
  <c r="CT76" i="11"/>
  <c r="DB76" i="11"/>
  <c r="CU76" i="11"/>
  <c r="CX76" i="11"/>
  <c r="CY76" i="11"/>
  <c r="CQ76" i="11"/>
  <c r="AQ23" i="13"/>
  <c r="AQ50" i="13" s="1"/>
  <c r="AQ23" i="18"/>
  <c r="AQ50" i="18" s="1"/>
  <c r="AQ23" i="19"/>
  <c r="AQ50" i="19" s="1"/>
  <c r="AQ23" i="20"/>
  <c r="AQ50" i="20" s="1"/>
  <c r="FS49" i="11"/>
  <c r="FY49" i="11"/>
  <c r="BO49" i="11"/>
  <c r="DA49" i="11"/>
  <c r="AP43" i="3"/>
  <c r="AP18" i="3" s="1"/>
  <c r="AJ18" i="3"/>
  <c r="AO43" i="3"/>
  <c r="AO18" i="3" s="1"/>
  <c r="AI18" i="3"/>
  <c r="BY23" i="19"/>
  <c r="BY50" i="19" s="1"/>
  <c r="BM50" i="19"/>
  <c r="BM50" i="18"/>
  <c r="BY23" i="18"/>
  <c r="BY50" i="18" s="1"/>
  <c r="BM50" i="20"/>
  <c r="BY23" i="20"/>
  <c r="BY50" i="20" s="1"/>
  <c r="BM50" i="13"/>
  <c r="BY23" i="13"/>
  <c r="BY50" i="13" s="1"/>
  <c r="BC23" i="19"/>
  <c r="S50" i="19"/>
  <c r="BC23" i="20"/>
  <c r="S50" i="20"/>
  <c r="S50" i="18"/>
  <c r="BC23" i="18"/>
  <c r="S50" i="13"/>
  <c r="BC23" i="13"/>
  <c r="B69" i="10"/>
  <c r="B177" i="10" s="1"/>
  <c r="BX177" i="10" s="1"/>
  <c r="F29" i="3"/>
  <c r="F53" i="3"/>
  <c r="GG49" i="11"/>
  <c r="F35" i="11"/>
  <c r="GI49" i="11"/>
  <c r="ES49" i="11"/>
  <c r="AO49" i="11"/>
  <c r="DG49" i="11"/>
  <c r="BU49" i="11"/>
  <c r="FM49" i="11"/>
  <c r="BZ49" i="11"/>
  <c r="EX49" i="11"/>
  <c r="DL49" i="11"/>
  <c r="GD49" i="11"/>
  <c r="DP56" i="11"/>
  <c r="F57" i="11"/>
  <c r="N33" i="11"/>
  <c r="AX49" i="11"/>
  <c r="DV49" i="11"/>
  <c r="R49" i="11"/>
  <c r="X49" i="11" s="1"/>
  <c r="CJ49" i="11"/>
  <c r="B228" i="10" l="1"/>
  <c r="BX228" i="10" s="1"/>
  <c r="BX202" i="10"/>
  <c r="B203" i="10"/>
  <c r="V29" i="3"/>
  <c r="AB29" i="3" s="1"/>
  <c r="AG29" i="3"/>
  <c r="AH29" i="3"/>
  <c r="U29" i="3"/>
  <c r="AA29" i="3" s="1"/>
  <c r="CD78" i="11"/>
  <c r="CR77" i="11"/>
  <c r="CV77" i="11"/>
  <c r="CZ77" i="11"/>
  <c r="CS77" i="11"/>
  <c r="CW77" i="11"/>
  <c r="DA77" i="11"/>
  <c r="CX77" i="11"/>
  <c r="CQ77" i="11"/>
  <c r="CY77" i="11"/>
  <c r="CT77" i="11"/>
  <c r="DB77" i="11"/>
  <c r="CU77" i="11"/>
  <c r="CV49" i="11"/>
  <c r="EH49" i="11"/>
  <c r="AD49" i="11"/>
  <c r="EN49" i="11" s="1"/>
  <c r="BJ49" i="11"/>
  <c r="BO23" i="19"/>
  <c r="BC50" i="19"/>
  <c r="BC50" i="20"/>
  <c r="BO23" i="20"/>
  <c r="BC50" i="18"/>
  <c r="BO23" i="18"/>
  <c r="BC50" i="13"/>
  <c r="BO23" i="13"/>
  <c r="B70" i="10"/>
  <c r="B178" i="10" s="1"/>
  <c r="BX178" i="10" s="1"/>
  <c r="F30" i="3"/>
  <c r="F54" i="3"/>
  <c r="BD49" i="11"/>
  <c r="EB49" i="11"/>
  <c r="AJ49" i="11"/>
  <c r="CP49" i="11"/>
  <c r="FH49" i="11"/>
  <c r="DP57" i="11"/>
  <c r="N34" i="11"/>
  <c r="F58" i="11"/>
  <c r="CA49" i="11"/>
  <c r="EY49" i="11"/>
  <c r="DM49" i="11"/>
  <c r="GJ49" i="11"/>
  <c r="GE49" i="11"/>
  <c r="F36" i="11"/>
  <c r="B229" i="10" l="1"/>
  <c r="BX229" i="10" s="1"/>
  <c r="BX203" i="10"/>
  <c r="B204" i="10"/>
  <c r="AH30" i="3"/>
  <c r="U30" i="3"/>
  <c r="AA30" i="3" s="1"/>
  <c r="V30" i="3"/>
  <c r="AB30" i="3" s="1"/>
  <c r="AG30" i="3"/>
  <c r="CD79" i="11"/>
  <c r="CR78" i="11"/>
  <c r="CV78" i="11"/>
  <c r="CZ78" i="11"/>
  <c r="CS78" i="11"/>
  <c r="CW78" i="11"/>
  <c r="DA78" i="11"/>
  <c r="CT78" i="11"/>
  <c r="DB78" i="11"/>
  <c r="CU78" i="11"/>
  <c r="CX78" i="11"/>
  <c r="CQ78" i="11"/>
  <c r="CY78" i="11"/>
  <c r="FZ49" i="11"/>
  <c r="FT49" i="11"/>
  <c r="BP49" i="11"/>
  <c r="DB49" i="11"/>
  <c r="BO50" i="19"/>
  <c r="BO50" i="20"/>
  <c r="BO50" i="18"/>
  <c r="BO50" i="13"/>
  <c r="B71" i="10"/>
  <c r="B179" i="10" s="1"/>
  <c r="BX179" i="10" s="1"/>
  <c r="F31" i="3"/>
  <c r="F55" i="3"/>
  <c r="F59" i="11"/>
  <c r="GK49" i="11"/>
  <c r="DH49" i="11"/>
  <c r="BV49" i="11"/>
  <c r="ET49" i="11"/>
  <c r="AP49" i="11"/>
  <c r="F37" i="11"/>
  <c r="N35" i="11"/>
  <c r="FN49" i="11"/>
  <c r="DP58" i="11"/>
  <c r="B9" i="10"/>
  <c r="D29" i="10"/>
  <c r="E29" i="10"/>
  <c r="G29" i="10"/>
  <c r="H29" i="10"/>
  <c r="AG29" i="10"/>
  <c r="AI29" i="10"/>
  <c r="AK29" i="10"/>
  <c r="AL29" i="10"/>
  <c r="B37" i="10"/>
  <c r="B95" i="10" s="1"/>
  <c r="B121" i="10" s="1"/>
  <c r="B147" i="10" s="1"/>
  <c r="B2" i="10"/>
  <c r="M28" i="2"/>
  <c r="M27" i="2"/>
  <c r="G15" i="4"/>
  <c r="B230" i="10" l="1"/>
  <c r="BX230" i="10" s="1"/>
  <c r="BX204" i="10"/>
  <c r="B205" i="10"/>
  <c r="V31" i="3"/>
  <c r="AB31" i="3" s="1"/>
  <c r="AG31" i="3"/>
  <c r="AH31" i="3"/>
  <c r="U31" i="3"/>
  <c r="AA31" i="3" s="1"/>
  <c r="CD80" i="11"/>
  <c r="CR79" i="11"/>
  <c r="CV79" i="11"/>
  <c r="CZ79" i="11"/>
  <c r="CS79" i="11"/>
  <c r="CW79" i="11"/>
  <c r="DA79" i="11"/>
  <c r="CX79" i="11"/>
  <c r="CQ79" i="11"/>
  <c r="CY79" i="11"/>
  <c r="CT79" i="11"/>
  <c r="DB79" i="11"/>
  <c r="CU79" i="11"/>
  <c r="B38" i="10"/>
  <c r="B10" i="10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72" i="10"/>
  <c r="B180" i="10" s="1"/>
  <c r="BX180" i="10" s="1"/>
  <c r="F32" i="3"/>
  <c r="F56" i="3"/>
  <c r="F60" i="11"/>
  <c r="N36" i="11"/>
  <c r="F38" i="11"/>
  <c r="DN49" i="11"/>
  <c r="CB49" i="11"/>
  <c r="EZ49" i="11"/>
  <c r="DP59" i="11"/>
  <c r="GF49" i="11"/>
  <c r="C2" i="10"/>
  <c r="C34" i="10" s="1"/>
  <c r="B231" i="10" l="1"/>
  <c r="BX231" i="10" s="1"/>
  <c r="BX205" i="10"/>
  <c r="B206" i="10"/>
  <c r="B39" i="10"/>
  <c r="B96" i="10"/>
  <c r="B122" i="10" s="1"/>
  <c r="B148" i="10" s="1"/>
  <c r="G34" i="10"/>
  <c r="C92" i="10"/>
  <c r="C118" i="10" s="1"/>
  <c r="C144" i="10" s="1"/>
  <c r="AH32" i="3"/>
  <c r="U32" i="3"/>
  <c r="AA32" i="3" s="1"/>
  <c r="V32" i="3"/>
  <c r="AB32" i="3" s="1"/>
  <c r="AG32" i="3"/>
  <c r="CD81" i="11"/>
  <c r="CR80" i="11"/>
  <c r="CV80" i="11"/>
  <c r="CZ80" i="11"/>
  <c r="CS80" i="11"/>
  <c r="CT80" i="11"/>
  <c r="CY80" i="11"/>
  <c r="CU80" i="11"/>
  <c r="DA80" i="11"/>
  <c r="CW80" i="11"/>
  <c r="DB80" i="11"/>
  <c r="CQ80" i="11"/>
  <c r="CX80" i="11"/>
  <c r="P30" i="10"/>
  <c r="U30" i="10"/>
  <c r="Q30" i="10"/>
  <c r="F63" i="1" s="1"/>
  <c r="Y30" i="10"/>
  <c r="AF30" i="10"/>
  <c r="H66" i="1" s="1"/>
  <c r="W30" i="10"/>
  <c r="T30" i="10"/>
  <c r="F66" i="1" s="1"/>
  <c r="Z30" i="10"/>
  <c r="N30" i="10"/>
  <c r="AE30" i="10"/>
  <c r="H65" i="1" s="1"/>
  <c r="S30" i="10"/>
  <c r="F65" i="1" s="1"/>
  <c r="M30" i="10"/>
  <c r="E30" i="10"/>
  <c r="D63" i="1" s="1"/>
  <c r="AK30" i="10"/>
  <c r="I30" i="10"/>
  <c r="AC30" i="10"/>
  <c r="H63" i="1" s="1"/>
  <c r="AL30" i="10"/>
  <c r="AG30" i="10"/>
  <c r="G30" i="10"/>
  <c r="D65" i="1" s="1"/>
  <c r="AI30" i="10"/>
  <c r="H30" i="10"/>
  <c r="D66" i="1" s="1"/>
  <c r="AB30" i="10"/>
  <c r="K30" i="10"/>
  <c r="D30" i="10"/>
  <c r="B73" i="10"/>
  <c r="B181" i="10" s="1"/>
  <c r="BX181" i="10" s="1"/>
  <c r="F33" i="3"/>
  <c r="F57" i="3"/>
  <c r="F61" i="11"/>
  <c r="GL49" i="11"/>
  <c r="N37" i="11"/>
  <c r="DP60" i="11"/>
  <c r="F39" i="11"/>
  <c r="D2" i="10"/>
  <c r="D34" i="10" s="1"/>
  <c r="AM21" i="2"/>
  <c r="Q21" i="2" s="1"/>
  <c r="AM22" i="2"/>
  <c r="Q22" i="2" s="1"/>
  <c r="AM23" i="2"/>
  <c r="Q23" i="2" s="1"/>
  <c r="AM24" i="2"/>
  <c r="Q24" i="2" s="1"/>
  <c r="AM25" i="2"/>
  <c r="Q25" i="2" s="1"/>
  <c r="AM26" i="2"/>
  <c r="Q26" i="2" s="1"/>
  <c r="AM27" i="2"/>
  <c r="Q27" i="2" s="1"/>
  <c r="AM28" i="2"/>
  <c r="Q28" i="2" s="1"/>
  <c r="AM29" i="2"/>
  <c r="Q29" i="2" s="1"/>
  <c r="AM30" i="2"/>
  <c r="Q30" i="2" s="1"/>
  <c r="AM31" i="2"/>
  <c r="Q31" i="2" s="1"/>
  <c r="AM32" i="2"/>
  <c r="Q32" i="2" s="1"/>
  <c r="AM46" i="2"/>
  <c r="AM47" i="2"/>
  <c r="AM48" i="2"/>
  <c r="AM49" i="2"/>
  <c r="AM50" i="2"/>
  <c r="AM51" i="2"/>
  <c r="AM52" i="2"/>
  <c r="AM53" i="2"/>
  <c r="AM54" i="2"/>
  <c r="AM55" i="2"/>
  <c r="AM56" i="2"/>
  <c r="AM45" i="2"/>
  <c r="AM70" i="2"/>
  <c r="AM71" i="2"/>
  <c r="AM72" i="2"/>
  <c r="AM73" i="2"/>
  <c r="AM74" i="2"/>
  <c r="AM75" i="2"/>
  <c r="AM76" i="2"/>
  <c r="AM77" i="2"/>
  <c r="AM78" i="2"/>
  <c r="AM79" i="2"/>
  <c r="AM80" i="2"/>
  <c r="AM69" i="2"/>
  <c r="M26" i="2"/>
  <c r="N26" i="2" s="1"/>
  <c r="M25" i="2"/>
  <c r="N25" i="2" s="1"/>
  <c r="N27" i="2"/>
  <c r="N28" i="2"/>
  <c r="M24" i="2"/>
  <c r="M23" i="2"/>
  <c r="N23" i="2" s="1"/>
  <c r="M22" i="2"/>
  <c r="N22" i="2" s="1"/>
  <c r="AM36" i="2"/>
  <c r="R12" i="2" s="1"/>
  <c r="AM37" i="2"/>
  <c r="AM38" i="2"/>
  <c r="AM39" i="2"/>
  <c r="AM40" i="2"/>
  <c r="AM68" i="2"/>
  <c r="AM67" i="2"/>
  <c r="AM66" i="2"/>
  <c r="AM65" i="2"/>
  <c r="AM64" i="2"/>
  <c r="AM63" i="2"/>
  <c r="AM62" i="2"/>
  <c r="AM61" i="2"/>
  <c r="AM60" i="2"/>
  <c r="AM44" i="2"/>
  <c r="AM43" i="2"/>
  <c r="AM42" i="2"/>
  <c r="AM41" i="2"/>
  <c r="L66" i="1" l="1"/>
  <c r="L63" i="1"/>
  <c r="N63" i="1"/>
  <c r="P63" i="1"/>
  <c r="L65" i="1"/>
  <c r="N65" i="1"/>
  <c r="P65" i="1"/>
  <c r="P66" i="1"/>
  <c r="N66" i="1"/>
  <c r="B232" i="10"/>
  <c r="BX232" i="10" s="1"/>
  <c r="BX206" i="10"/>
  <c r="T20" i="2"/>
  <c r="S20" i="2"/>
  <c r="T14" i="2"/>
  <c r="S14" i="2"/>
  <c r="T16" i="2"/>
  <c r="S16" i="2"/>
  <c r="S21" i="2"/>
  <c r="T21" i="2"/>
  <c r="S29" i="2"/>
  <c r="T29" i="2"/>
  <c r="S25" i="2"/>
  <c r="T25" i="2"/>
  <c r="T18" i="2"/>
  <c r="S18" i="2"/>
  <c r="T12" i="2"/>
  <c r="S12" i="2"/>
  <c r="T19" i="2"/>
  <c r="S19" i="2"/>
  <c r="T15" i="2"/>
  <c r="S15" i="2"/>
  <c r="T32" i="2"/>
  <c r="S32" i="2"/>
  <c r="T28" i="2"/>
  <c r="S28" i="2"/>
  <c r="T24" i="2"/>
  <c r="S24" i="2"/>
  <c r="T31" i="2"/>
  <c r="S31" i="2"/>
  <c r="T27" i="2"/>
  <c r="S27" i="2"/>
  <c r="T23" i="2"/>
  <c r="S23" i="2"/>
  <c r="S17" i="2"/>
  <c r="T17" i="2"/>
  <c r="S13" i="2"/>
  <c r="T13" i="2"/>
  <c r="T30" i="2"/>
  <c r="S30" i="2"/>
  <c r="T26" i="2"/>
  <c r="S26" i="2"/>
  <c r="T22" i="2"/>
  <c r="S22" i="2"/>
  <c r="E65" i="1"/>
  <c r="E66" i="1"/>
  <c r="E63" i="1"/>
  <c r="B207" i="10"/>
  <c r="B40" i="10"/>
  <c r="B97" i="10"/>
  <c r="B123" i="10" s="1"/>
  <c r="B149" i="10" s="1"/>
  <c r="H34" i="10"/>
  <c r="H92" i="10" s="1"/>
  <c r="H118" i="10" s="1"/>
  <c r="H144" i="10" s="1"/>
  <c r="D92" i="10"/>
  <c r="D118" i="10" s="1"/>
  <c r="D144" i="10" s="1"/>
  <c r="K34" i="10"/>
  <c r="G92" i="10"/>
  <c r="G118" i="10" s="1"/>
  <c r="G144" i="10" s="1"/>
  <c r="V33" i="3"/>
  <c r="AB33" i="3" s="1"/>
  <c r="AG33" i="3"/>
  <c r="AH33" i="3"/>
  <c r="U33" i="3"/>
  <c r="AA33" i="3" s="1"/>
  <c r="G65" i="1"/>
  <c r="G63" i="1"/>
  <c r="G66" i="1"/>
  <c r="CD82" i="11"/>
  <c r="CR81" i="11"/>
  <c r="CV81" i="11"/>
  <c r="CZ81" i="11"/>
  <c r="CS81" i="11"/>
  <c r="CX81" i="11"/>
  <c r="CT81" i="11"/>
  <c r="CY81" i="11"/>
  <c r="CU81" i="11"/>
  <c r="DA81" i="11"/>
  <c r="DB81" i="11"/>
  <c r="CW81" i="11"/>
  <c r="CQ81" i="11"/>
  <c r="I66" i="1"/>
  <c r="I65" i="1"/>
  <c r="I63" i="1"/>
  <c r="U29" i="2"/>
  <c r="R13" i="2"/>
  <c r="R30" i="2"/>
  <c r="U19" i="2"/>
  <c r="R28" i="2"/>
  <c r="U12" i="2"/>
  <c r="U30" i="2"/>
  <c r="R24" i="2"/>
  <c r="R23" i="2"/>
  <c r="U14" i="2"/>
  <c r="U28" i="2"/>
  <c r="R22" i="2"/>
  <c r="R18" i="2"/>
  <c r="R21" i="2"/>
  <c r="R27" i="2"/>
  <c r="U23" i="2"/>
  <c r="R17" i="2"/>
  <c r="U20" i="2"/>
  <c r="U22" i="2"/>
  <c r="U15" i="2"/>
  <c r="R16" i="2"/>
  <c r="U21" i="2"/>
  <c r="U27" i="2"/>
  <c r="R19" i="2"/>
  <c r="U16" i="2"/>
  <c r="R15" i="2"/>
  <c r="U32" i="2"/>
  <c r="U26" i="2"/>
  <c r="R32" i="2"/>
  <c r="R26" i="2"/>
  <c r="U18" i="2"/>
  <c r="U24" i="2"/>
  <c r="U13" i="2"/>
  <c r="R29" i="2"/>
  <c r="R20" i="2"/>
  <c r="U17" i="2"/>
  <c r="R14" i="2"/>
  <c r="U31" i="2"/>
  <c r="U25" i="2"/>
  <c r="R31" i="2"/>
  <c r="R25" i="2"/>
  <c r="B74" i="10"/>
  <c r="B182" i="10" s="1"/>
  <c r="BX182" i="10" s="1"/>
  <c r="F34" i="3"/>
  <c r="F58" i="3"/>
  <c r="F40" i="11"/>
  <c r="DP61" i="11"/>
  <c r="F62" i="11"/>
  <c r="N38" i="11"/>
  <c r="E2" i="10"/>
  <c r="E34" i="10" s="1"/>
  <c r="D27" i="2"/>
  <c r="N24" i="2"/>
  <c r="D28" i="2" s="1"/>
  <c r="M66" i="1" l="1"/>
  <c r="M63" i="1"/>
  <c r="Q63" i="1"/>
  <c r="O63" i="1"/>
  <c r="O65" i="1"/>
  <c r="Q65" i="1"/>
  <c r="Q66" i="1"/>
  <c r="O66" i="1"/>
  <c r="M65" i="1"/>
  <c r="B233" i="10"/>
  <c r="BX233" i="10" s="1"/>
  <c r="BX207" i="10"/>
  <c r="B208" i="10"/>
  <c r="B41" i="10"/>
  <c r="B98" i="10"/>
  <c r="B124" i="10" s="1"/>
  <c r="B150" i="10" s="1"/>
  <c r="L34" i="10"/>
  <c r="L92" i="10" s="1"/>
  <c r="L118" i="10" s="1"/>
  <c r="L144" i="10" s="1"/>
  <c r="T34" i="10"/>
  <c r="X34" i="10" s="1"/>
  <c r="X92" i="10" s="1"/>
  <c r="X118" i="10" s="1"/>
  <c r="X144" i="10" s="1"/>
  <c r="O34" i="10"/>
  <c r="O92" i="10" s="1"/>
  <c r="O118" i="10" s="1"/>
  <c r="O144" i="10" s="1"/>
  <c r="K92" i="10"/>
  <c r="K118" i="10" s="1"/>
  <c r="K144" i="10" s="1"/>
  <c r="I34" i="10"/>
  <c r="I92" i="10" s="1"/>
  <c r="I118" i="10" s="1"/>
  <c r="I144" i="10" s="1"/>
  <c r="E92" i="10"/>
  <c r="E118" i="10" s="1"/>
  <c r="E144" i="10" s="1"/>
  <c r="AH34" i="3"/>
  <c r="U34" i="3"/>
  <c r="AA34" i="3" s="1"/>
  <c r="V34" i="3"/>
  <c r="AB34" i="3" s="1"/>
  <c r="AG34" i="3"/>
  <c r="CD83" i="11"/>
  <c r="CR82" i="11"/>
  <c r="CV82" i="11"/>
  <c r="CZ82" i="11"/>
  <c r="CQ82" i="11"/>
  <c r="CW82" i="11"/>
  <c r="DB82" i="11"/>
  <c r="CS82" i="11"/>
  <c r="CX82" i="11"/>
  <c r="CT82" i="11"/>
  <c r="CY82" i="11"/>
  <c r="CU82" i="11"/>
  <c r="DA82" i="11"/>
  <c r="B75" i="10"/>
  <c r="B183" i="10" s="1"/>
  <c r="BX183" i="10" s="1"/>
  <c r="F35" i="3"/>
  <c r="F59" i="3"/>
  <c r="F63" i="11"/>
  <c r="DP62" i="11"/>
  <c r="N39" i="11"/>
  <c r="F41" i="11"/>
  <c r="F2" i="10"/>
  <c r="F34" i="10" s="1"/>
  <c r="B234" i="10" l="1"/>
  <c r="BX234" i="10" s="1"/>
  <c r="BX208" i="10"/>
  <c r="B209" i="10"/>
  <c r="B42" i="10"/>
  <c r="B99" i="10"/>
  <c r="B125" i="10" s="1"/>
  <c r="B151" i="10" s="1"/>
  <c r="P34" i="10"/>
  <c r="P92" i="10" s="1"/>
  <c r="P118" i="10" s="1"/>
  <c r="P144" i="10" s="1"/>
  <c r="T92" i="10"/>
  <c r="T118" i="10" s="1"/>
  <c r="T144" i="10" s="1"/>
  <c r="M34" i="10"/>
  <c r="Q34" i="10" s="1"/>
  <c r="Q92" i="10" s="1"/>
  <c r="Q118" i="10" s="1"/>
  <c r="Q144" i="10" s="1"/>
  <c r="J34" i="10"/>
  <c r="J92" i="10" s="1"/>
  <c r="J118" i="10" s="1"/>
  <c r="J144" i="10" s="1"/>
  <c r="F92" i="10"/>
  <c r="F118" i="10" s="1"/>
  <c r="F144" i="10" s="1"/>
  <c r="U34" i="10"/>
  <c r="V35" i="3"/>
  <c r="AB35" i="3" s="1"/>
  <c r="AG35" i="3"/>
  <c r="AH35" i="3"/>
  <c r="U35" i="3"/>
  <c r="AA35" i="3" s="1"/>
  <c r="CD84" i="11"/>
  <c r="CR83" i="11"/>
  <c r="CV83" i="11"/>
  <c r="CZ83" i="11"/>
  <c r="CU83" i="11"/>
  <c r="DA83" i="11"/>
  <c r="CQ83" i="11"/>
  <c r="CW83" i="11"/>
  <c r="DB83" i="11"/>
  <c r="CS83" i="11"/>
  <c r="CX83" i="11"/>
  <c r="CY83" i="11"/>
  <c r="CT83" i="11"/>
  <c r="B76" i="10"/>
  <c r="B184" i="10" s="1"/>
  <c r="BX184" i="10" s="1"/>
  <c r="F36" i="3"/>
  <c r="F60" i="3"/>
  <c r="F64" i="11"/>
  <c r="F42" i="11"/>
  <c r="N40" i="11"/>
  <c r="DP63" i="11"/>
  <c r="G2" i="10"/>
  <c r="H2" i="10" s="1"/>
  <c r="I2" i="10" s="1"/>
  <c r="J2" i="10" s="1"/>
  <c r="K2" i="10" s="1"/>
  <c r="L2" i="10" s="1"/>
  <c r="M2" i="10" s="1"/>
  <c r="N2" i="10" s="1"/>
  <c r="O2" i="10" s="1"/>
  <c r="P2" i="10" s="1"/>
  <c r="Q2" i="10" s="1"/>
  <c r="R2" i="10" s="1"/>
  <c r="S2" i="10" s="1"/>
  <c r="T2" i="10" s="1"/>
  <c r="U2" i="10" s="1"/>
  <c r="V2" i="10" s="1"/>
  <c r="W2" i="10" s="1"/>
  <c r="X2" i="10" s="1"/>
  <c r="Y2" i="10" s="1"/>
  <c r="Z2" i="10" s="1"/>
  <c r="AA2" i="10" s="1"/>
  <c r="AB2" i="10" s="1"/>
  <c r="AC2" i="10" s="1"/>
  <c r="AD2" i="10" s="1"/>
  <c r="AE2" i="10" s="1"/>
  <c r="AF2" i="10" s="1"/>
  <c r="AG2" i="10" s="1"/>
  <c r="AH2" i="10" s="1"/>
  <c r="AI2" i="10" s="1"/>
  <c r="AJ2" i="10" s="1"/>
  <c r="AK2" i="10" s="1"/>
  <c r="AL2" i="10" s="1"/>
  <c r="AM2" i="10" s="1"/>
  <c r="AN2" i="10" s="1"/>
  <c r="AO2" i="10" s="1"/>
  <c r="AP2" i="10" s="1"/>
  <c r="AQ2" i="10" s="1"/>
  <c r="AR2" i="10" s="1"/>
  <c r="AS2" i="10" s="1"/>
  <c r="AT2" i="10" s="1"/>
  <c r="AU2" i="10" s="1"/>
  <c r="AV2" i="10" s="1"/>
  <c r="AW2" i="10" s="1"/>
  <c r="AX2" i="10" s="1"/>
  <c r="AY2" i="10" s="1"/>
  <c r="AA28" i="9"/>
  <c r="T6" i="9"/>
  <c r="B235" i="10" l="1"/>
  <c r="BX235" i="10" s="1"/>
  <c r="BX209" i="10"/>
  <c r="B210" i="10"/>
  <c r="B43" i="10"/>
  <c r="B100" i="10"/>
  <c r="B126" i="10" s="1"/>
  <c r="B152" i="10" s="1"/>
  <c r="N34" i="10"/>
  <c r="R34" i="10" s="1"/>
  <c r="R92" i="10" s="1"/>
  <c r="R118" i="10" s="1"/>
  <c r="R144" i="10" s="1"/>
  <c r="V34" i="10"/>
  <c r="V92" i="10" s="1"/>
  <c r="V118" i="10" s="1"/>
  <c r="V144" i="10" s="1"/>
  <c r="M92" i="10"/>
  <c r="M118" i="10" s="1"/>
  <c r="M144" i="10" s="1"/>
  <c r="Y34" i="10"/>
  <c r="Y92" i="10" s="1"/>
  <c r="Y118" i="10" s="1"/>
  <c r="Y144" i="10" s="1"/>
  <c r="U92" i="10"/>
  <c r="U118" i="10" s="1"/>
  <c r="U144" i="10" s="1"/>
  <c r="AH36" i="3"/>
  <c r="U36" i="3"/>
  <c r="AA36" i="3" s="1"/>
  <c r="V36" i="3"/>
  <c r="AB36" i="3" s="1"/>
  <c r="AG36" i="3"/>
  <c r="CD85" i="11"/>
  <c r="CR84" i="11"/>
  <c r="CV84" i="11"/>
  <c r="CZ84" i="11"/>
  <c r="CT84" i="11"/>
  <c r="CY84" i="11"/>
  <c r="CU84" i="11"/>
  <c r="DA84" i="11"/>
  <c r="CQ84" i="11"/>
  <c r="CW84" i="11"/>
  <c r="DB84" i="11"/>
  <c r="CS84" i="11"/>
  <c r="CX84" i="11"/>
  <c r="B77" i="10"/>
  <c r="B185" i="10" s="1"/>
  <c r="BX185" i="10" s="1"/>
  <c r="F37" i="3"/>
  <c r="F61" i="3"/>
  <c r="N41" i="11"/>
  <c r="F43" i="11"/>
  <c r="DP64" i="11"/>
  <c r="F65" i="11"/>
  <c r="T30" i="9"/>
  <c r="Y6" i="9"/>
  <c r="U6" i="9"/>
  <c r="AZ2" i="10"/>
  <c r="BA2" i="10" s="1"/>
  <c r="BB2" i="10" s="1"/>
  <c r="BC2" i="10" s="1"/>
  <c r="BD2" i="10" s="1"/>
  <c r="BE2" i="10" s="1"/>
  <c r="BF2" i="10" s="1"/>
  <c r="BG2" i="10" s="1"/>
  <c r="BH2" i="10" s="1"/>
  <c r="BI2" i="10" s="1"/>
  <c r="BJ2" i="10" s="1"/>
  <c r="BK2" i="10" s="1"/>
  <c r="BL2" i="10" s="1"/>
  <c r="BM2" i="10" s="1"/>
  <c r="BN2" i="10" s="1"/>
  <c r="BO2" i="10" s="1"/>
  <c r="BP2" i="10" s="1"/>
  <c r="BQ2" i="10" s="1"/>
  <c r="BR2" i="10" s="1"/>
  <c r="BS2" i="10" s="1"/>
  <c r="BT2" i="10" s="1"/>
  <c r="BU2" i="10" s="1"/>
  <c r="BV2" i="10" s="1"/>
  <c r="BW2" i="10" s="1"/>
  <c r="BX2" i="10" s="1"/>
  <c r="BY2" i="10" s="1"/>
  <c r="BZ2" i="10" s="1"/>
  <c r="CA2" i="10" s="1"/>
  <c r="CB2" i="10" s="1"/>
  <c r="CC2" i="10" s="1"/>
  <c r="CD2" i="10" s="1"/>
  <c r="CE2" i="10" s="1"/>
  <c r="CF2" i="10" s="1"/>
  <c r="CG2" i="10" s="1"/>
  <c r="CH2" i="10" s="1"/>
  <c r="CI2" i="10" s="1"/>
  <c r="CJ2" i="10" s="1"/>
  <c r="CK2" i="10" s="1"/>
  <c r="AA6" i="9"/>
  <c r="T7" i="9"/>
  <c r="T54" i="9"/>
  <c r="B2" i="9"/>
  <c r="C28" i="9"/>
  <c r="B236" i="10" l="1"/>
  <c r="BX236" i="10" s="1"/>
  <c r="BX210" i="10"/>
  <c r="B211" i="10"/>
  <c r="B44" i="10"/>
  <c r="B101" i="10"/>
  <c r="B127" i="10" s="1"/>
  <c r="B153" i="10" s="1"/>
  <c r="N92" i="10"/>
  <c r="N118" i="10" s="1"/>
  <c r="N144" i="10" s="1"/>
  <c r="Z34" i="10"/>
  <c r="Z92" i="10" s="1"/>
  <c r="Z118" i="10" s="1"/>
  <c r="Z144" i="10" s="1"/>
  <c r="V37" i="3"/>
  <c r="AB37" i="3" s="1"/>
  <c r="AG37" i="3"/>
  <c r="AH37" i="3"/>
  <c r="U37" i="3"/>
  <c r="AA37" i="3" s="1"/>
  <c r="CD86" i="11"/>
  <c r="CR85" i="11"/>
  <c r="CV85" i="11"/>
  <c r="CZ85" i="11"/>
  <c r="CS85" i="11"/>
  <c r="CX85" i="11"/>
  <c r="CT85" i="11"/>
  <c r="CY85" i="11"/>
  <c r="CU85" i="11"/>
  <c r="DA85" i="11"/>
  <c r="CW85" i="11"/>
  <c r="DB85" i="11"/>
  <c r="CQ85" i="11"/>
  <c r="B78" i="10"/>
  <c r="B186" i="10" s="1"/>
  <c r="BX186" i="10" s="1"/>
  <c r="F38" i="3"/>
  <c r="F62" i="3"/>
  <c r="C2" i="9"/>
  <c r="U30" i="9"/>
  <c r="U54" i="9" s="1"/>
  <c r="Y30" i="9"/>
  <c r="Y54" i="9" s="1"/>
  <c r="T31" i="9"/>
  <c r="DP65" i="11"/>
  <c r="F44" i="11"/>
  <c r="N42" i="11"/>
  <c r="F66" i="11"/>
  <c r="T55" i="9"/>
  <c r="T56" i="9" s="1"/>
  <c r="T57" i="9" s="1"/>
  <c r="T58" i="9" s="1"/>
  <c r="T59" i="9" s="1"/>
  <c r="T60" i="9" s="1"/>
  <c r="T61" i="9" s="1"/>
  <c r="T62" i="9" s="1"/>
  <c r="T63" i="9" s="1"/>
  <c r="T64" i="9" s="1"/>
  <c r="T65" i="9" s="1"/>
  <c r="T66" i="9" s="1"/>
  <c r="T67" i="9" s="1"/>
  <c r="T68" i="9" s="1"/>
  <c r="T69" i="9" s="1"/>
  <c r="T70" i="9" s="1"/>
  <c r="T71" i="9" s="1"/>
  <c r="T72" i="9" s="1"/>
  <c r="T73" i="9" s="1"/>
  <c r="T74" i="9" s="1"/>
  <c r="AF6" i="9"/>
  <c r="AF30" i="9" s="1"/>
  <c r="T8" i="9"/>
  <c r="AA7" i="9"/>
  <c r="AB6" i="9"/>
  <c r="AB30" i="9" s="1"/>
  <c r="AA30" i="9"/>
  <c r="AA31" i="9" l="1"/>
  <c r="B237" i="10"/>
  <c r="BX237" i="10" s="1"/>
  <c r="BX211" i="10"/>
  <c r="B212" i="10"/>
  <c r="B45" i="10"/>
  <c r="B102" i="10"/>
  <c r="B128" i="10" s="1"/>
  <c r="B154" i="10" s="1"/>
  <c r="AH38" i="3"/>
  <c r="U38" i="3"/>
  <c r="AA38" i="3" s="1"/>
  <c r="V38" i="3"/>
  <c r="AB38" i="3" s="1"/>
  <c r="AG38" i="3"/>
  <c r="CD87" i="11"/>
  <c r="CR86" i="11"/>
  <c r="CV86" i="11"/>
  <c r="CZ86" i="11"/>
  <c r="CQ86" i="11"/>
  <c r="CW86" i="11"/>
  <c r="DB86" i="11"/>
  <c r="CS86" i="11"/>
  <c r="CX86" i="11"/>
  <c r="CT86" i="11"/>
  <c r="CY86" i="11"/>
  <c r="DA86" i="11"/>
  <c r="CU86" i="11"/>
  <c r="Y31" i="9"/>
  <c r="Y55" i="9" s="1"/>
  <c r="B79" i="10"/>
  <c r="B187" i="10" s="1"/>
  <c r="BX187" i="10" s="1"/>
  <c r="F39" i="3"/>
  <c r="F63" i="3"/>
  <c r="E2" i="9"/>
  <c r="U31" i="9"/>
  <c r="U55" i="9" s="1"/>
  <c r="T32" i="9"/>
  <c r="F67" i="11"/>
  <c r="N43" i="11"/>
  <c r="F45" i="11"/>
  <c r="DP66" i="11"/>
  <c r="Y7" i="9"/>
  <c r="U7" i="9"/>
  <c r="AF7" i="9"/>
  <c r="AF31" i="9" s="1"/>
  <c r="AA8" i="9"/>
  <c r="AB7" i="9"/>
  <c r="AB31" i="9" s="1"/>
  <c r="T9" i="9"/>
  <c r="AA32" i="9" l="1"/>
  <c r="B238" i="10"/>
  <c r="BX238" i="10" s="1"/>
  <c r="BX212" i="10"/>
  <c r="B213" i="10"/>
  <c r="B46" i="10"/>
  <c r="B103" i="10"/>
  <c r="B129" i="10" s="1"/>
  <c r="B155" i="10" s="1"/>
  <c r="V39" i="3"/>
  <c r="AB39" i="3" s="1"/>
  <c r="AG39" i="3"/>
  <c r="AH39" i="3"/>
  <c r="U39" i="3"/>
  <c r="AA39" i="3" s="1"/>
  <c r="CD88" i="11"/>
  <c r="CR87" i="11"/>
  <c r="CV87" i="11"/>
  <c r="CZ87" i="11"/>
  <c r="CU87" i="11"/>
  <c r="DA87" i="11"/>
  <c r="CQ87" i="11"/>
  <c r="CW87" i="11"/>
  <c r="DB87" i="11"/>
  <c r="CS87" i="11"/>
  <c r="CX87" i="11"/>
  <c r="CT87" i="11"/>
  <c r="CY87" i="11"/>
  <c r="F64" i="3"/>
  <c r="B80" i="10"/>
  <c r="B188" i="10" s="1"/>
  <c r="BX188" i="10" s="1"/>
  <c r="F2" i="9"/>
  <c r="G2" i="9" s="1"/>
  <c r="H2" i="9" s="1"/>
  <c r="I2" i="9" s="1"/>
  <c r="J2" i="9" s="1"/>
  <c r="K2" i="9" s="1"/>
  <c r="L2" i="9" s="1"/>
  <c r="M2" i="9" s="1"/>
  <c r="N2" i="9" s="1"/>
  <c r="O2" i="9" s="1"/>
  <c r="P2" i="9" s="1"/>
  <c r="Q2" i="9" s="1"/>
  <c r="R2" i="9" s="1"/>
  <c r="S2" i="9" s="1"/>
  <c r="T2" i="9" s="1"/>
  <c r="U2" i="9" s="1"/>
  <c r="V2" i="9" s="1"/>
  <c r="W2" i="9" s="1"/>
  <c r="X2" i="9" s="1"/>
  <c r="Y2" i="9" s="1"/>
  <c r="Z2" i="9" s="1"/>
  <c r="AA2" i="9" s="1"/>
  <c r="AB2" i="9" s="1"/>
  <c r="AC2" i="9" s="1"/>
  <c r="AD2" i="9" s="1"/>
  <c r="AE2" i="9" s="1"/>
  <c r="AF2" i="9" s="1"/>
  <c r="AG2" i="9" s="1"/>
  <c r="AH2" i="9" s="1"/>
  <c r="AI2" i="9" s="1"/>
  <c r="T33" i="9"/>
  <c r="Y33" i="9" s="1"/>
  <c r="Y57" i="9" s="1"/>
  <c r="Y32" i="9"/>
  <c r="Y56" i="9" s="1"/>
  <c r="U32" i="9"/>
  <c r="U56" i="9" s="1"/>
  <c r="DP67" i="11"/>
  <c r="N44" i="11"/>
  <c r="F68" i="11"/>
  <c r="U8" i="9"/>
  <c r="Y8" i="9"/>
  <c r="AF8" i="9"/>
  <c r="AF32" i="9" s="1"/>
  <c r="AA9" i="9"/>
  <c r="AB8" i="9"/>
  <c r="AB32" i="9" s="1"/>
  <c r="T10" i="9"/>
  <c r="AA33" i="9" l="1"/>
  <c r="B239" i="10"/>
  <c r="BX239" i="10" s="1"/>
  <c r="BX213" i="10"/>
  <c r="B214" i="10"/>
  <c r="B47" i="10"/>
  <c r="B104" i="10"/>
  <c r="B130" i="10" s="1"/>
  <c r="B156" i="10" s="1"/>
  <c r="CD89" i="11"/>
  <c r="CR88" i="11"/>
  <c r="CV88" i="11"/>
  <c r="CZ88" i="11"/>
  <c r="CT88" i="11"/>
  <c r="CY88" i="11"/>
  <c r="CU88" i="11"/>
  <c r="DA88" i="11"/>
  <c r="CQ88" i="11"/>
  <c r="CW88" i="11"/>
  <c r="DB88" i="11"/>
  <c r="CX88" i="11"/>
  <c r="CS88" i="11"/>
  <c r="U33" i="9"/>
  <c r="U57" i="9" s="1"/>
  <c r="T34" i="9"/>
  <c r="B81" i="10"/>
  <c r="B189" i="10" s="1"/>
  <c r="BX189" i="10" s="1"/>
  <c r="DP68" i="11"/>
  <c r="N45" i="11"/>
  <c r="F69" i="11"/>
  <c r="Y9" i="9"/>
  <c r="U9" i="9"/>
  <c r="AF9" i="9"/>
  <c r="AF33" i="9" s="1"/>
  <c r="T11" i="9"/>
  <c r="AA10" i="9"/>
  <c r="AB9" i="9"/>
  <c r="AB33" i="9" s="1"/>
  <c r="AA34" i="9" l="1"/>
  <c r="B240" i="10"/>
  <c r="BX240" i="10" s="1"/>
  <c r="BX214" i="10"/>
  <c r="B215" i="10"/>
  <c r="B48" i="10"/>
  <c r="B105" i="10"/>
  <c r="B131" i="10" s="1"/>
  <c r="B157" i="10" s="1"/>
  <c r="CD90" i="11"/>
  <c r="CR89" i="11"/>
  <c r="CV89" i="11"/>
  <c r="CZ89" i="11"/>
  <c r="CS89" i="11"/>
  <c r="CX89" i="11"/>
  <c r="CT89" i="11"/>
  <c r="CY89" i="11"/>
  <c r="CU89" i="11"/>
  <c r="DA89" i="11"/>
  <c r="CQ89" i="11"/>
  <c r="CW89" i="11"/>
  <c r="DB89" i="11"/>
  <c r="U34" i="9"/>
  <c r="U58" i="9" s="1"/>
  <c r="T35" i="9"/>
  <c r="Y34" i="9"/>
  <c r="Y58" i="9" s="1"/>
  <c r="B82" i="10"/>
  <c r="B190" i="10" s="1"/>
  <c r="BX190" i="10" s="1"/>
  <c r="F70" i="11"/>
  <c r="DP69" i="11"/>
  <c r="U10" i="9"/>
  <c r="Y10" i="9"/>
  <c r="AF10" i="9"/>
  <c r="AF34" i="9" s="1"/>
  <c r="AA11" i="9"/>
  <c r="AB10" i="9"/>
  <c r="AB34" i="9" s="1"/>
  <c r="T12" i="9"/>
  <c r="AA35" i="9" l="1"/>
  <c r="B241" i="10"/>
  <c r="BX241" i="10" s="1"/>
  <c r="BX215" i="10"/>
  <c r="B216" i="10"/>
  <c r="B49" i="10"/>
  <c r="B106" i="10"/>
  <c r="B132" i="10" s="1"/>
  <c r="B158" i="10" s="1"/>
  <c r="CD91" i="11"/>
  <c r="CR90" i="11"/>
  <c r="CV90" i="11"/>
  <c r="CZ90" i="11"/>
  <c r="CQ90" i="11"/>
  <c r="CW90" i="11"/>
  <c r="DB90" i="11"/>
  <c r="CS90" i="11"/>
  <c r="CX90" i="11"/>
  <c r="CT90" i="11"/>
  <c r="CY90" i="11"/>
  <c r="DA90" i="11"/>
  <c r="CU90" i="11"/>
  <c r="U35" i="9"/>
  <c r="U59" i="9" s="1"/>
  <c r="T36" i="9"/>
  <c r="T37" i="9" s="1"/>
  <c r="Y35" i="9"/>
  <c r="Y59" i="9" s="1"/>
  <c r="B83" i="10"/>
  <c r="B191" i="10" s="1"/>
  <c r="BX191" i="10" s="1"/>
  <c r="DP70" i="11"/>
  <c r="Y11" i="9"/>
  <c r="U11" i="9"/>
  <c r="AF11" i="9"/>
  <c r="AF35" i="9" s="1"/>
  <c r="AA12" i="9"/>
  <c r="AB11" i="9"/>
  <c r="AB35" i="9" s="1"/>
  <c r="T13" i="9"/>
  <c r="AA36" i="9" l="1"/>
  <c r="B242" i="10"/>
  <c r="BX242" i="10" s="1"/>
  <c r="BX216" i="10"/>
  <c r="B217" i="10"/>
  <c r="B50" i="10"/>
  <c r="B107" i="10"/>
  <c r="B133" i="10" s="1"/>
  <c r="B159" i="10" s="1"/>
  <c r="CD92" i="11"/>
  <c r="CR91" i="11"/>
  <c r="CV91" i="11"/>
  <c r="CZ91" i="11"/>
  <c r="CU91" i="11"/>
  <c r="DA91" i="11"/>
  <c r="CQ91" i="11"/>
  <c r="CW91" i="11"/>
  <c r="DB91" i="11"/>
  <c r="CS91" i="11"/>
  <c r="CX91" i="11"/>
  <c r="CT91" i="11"/>
  <c r="CY91" i="11"/>
  <c r="Y36" i="9"/>
  <c r="Y60" i="9" s="1"/>
  <c r="U36" i="9"/>
  <c r="U60" i="9" s="1"/>
  <c r="B84" i="10"/>
  <c r="B192" i="10" s="1"/>
  <c r="BX192" i="10" s="1"/>
  <c r="DP71" i="11"/>
  <c r="U12" i="9"/>
  <c r="Y12" i="9"/>
  <c r="Y37" i="9"/>
  <c r="Y61" i="9" s="1"/>
  <c r="AF12" i="9"/>
  <c r="AF36" i="9" s="1"/>
  <c r="T14" i="9"/>
  <c r="T38" i="9"/>
  <c r="U37" i="9"/>
  <c r="U61" i="9" s="1"/>
  <c r="AA13" i="9"/>
  <c r="AB12" i="9"/>
  <c r="AB36" i="9" s="1"/>
  <c r="AA37" i="9" l="1"/>
  <c r="B243" i="10"/>
  <c r="BX243" i="10" s="1"/>
  <c r="BX217" i="10"/>
  <c r="B218" i="10"/>
  <c r="B51" i="10"/>
  <c r="B108" i="10"/>
  <c r="B134" i="10" s="1"/>
  <c r="B160" i="10" s="1"/>
  <c r="AS86" i="10"/>
  <c r="AJ86" i="10"/>
  <c r="AV86" i="10"/>
  <c r="AW86" i="10"/>
  <c r="AK86" i="10"/>
  <c r="AF86" i="10"/>
  <c r="AB86" i="10"/>
  <c r="AI86" i="10"/>
  <c r="AU86" i="10"/>
  <c r="AL86" i="10"/>
  <c r="AM86" i="10"/>
  <c r="AX86" i="10"/>
  <c r="AG86" i="10"/>
  <c r="AR86" i="10"/>
  <c r="EC71" i="11"/>
  <c r="EG71" i="11"/>
  <c r="EK71" i="11"/>
  <c r="ED71" i="11"/>
  <c r="EH71" i="11"/>
  <c r="EL71" i="11"/>
  <c r="EE71" i="11"/>
  <c r="EM71" i="11"/>
  <c r="EF71" i="11"/>
  <c r="EN71" i="11"/>
  <c r="EI71" i="11"/>
  <c r="EJ71" i="11"/>
  <c r="CD93" i="11"/>
  <c r="CR92" i="11"/>
  <c r="CV92" i="11"/>
  <c r="CZ92" i="11"/>
  <c r="CT92" i="11"/>
  <c r="CY92" i="11"/>
  <c r="CU92" i="11"/>
  <c r="CQ92" i="11"/>
  <c r="CW92" i="11"/>
  <c r="DB92" i="11"/>
  <c r="CX92" i="11"/>
  <c r="CS92" i="11"/>
  <c r="DA92" i="11"/>
  <c r="BS86" i="10"/>
  <c r="BU86" i="10"/>
  <c r="BI86" i="10"/>
  <c r="M86" i="10"/>
  <c r="N86" i="10"/>
  <c r="Z86" i="10"/>
  <c r="BV86" i="10"/>
  <c r="BJ86" i="10"/>
  <c r="T86" i="10"/>
  <c r="O86" i="10"/>
  <c r="AZ86" i="10"/>
  <c r="H86" i="10"/>
  <c r="BD86" i="10"/>
  <c r="D86" i="10"/>
  <c r="BP86" i="10"/>
  <c r="BK86" i="10"/>
  <c r="Y86" i="10"/>
  <c r="DP72" i="11"/>
  <c r="U13" i="9"/>
  <c r="Y13" i="9"/>
  <c r="AF13" i="9"/>
  <c r="AF37" i="9" s="1"/>
  <c r="Y38" i="9"/>
  <c r="Y62" i="9" s="1"/>
  <c r="T39" i="9"/>
  <c r="U38" i="9"/>
  <c r="U62" i="9" s="1"/>
  <c r="AA14" i="9"/>
  <c r="AB13" i="9"/>
  <c r="AB37" i="9" s="1"/>
  <c r="T15" i="9"/>
  <c r="AA38" i="9" l="1"/>
  <c r="B244" i="10"/>
  <c r="BX244" i="10" s="1"/>
  <c r="BX218" i="10"/>
  <c r="B52" i="10"/>
  <c r="B109" i="10"/>
  <c r="B135" i="10" s="1"/>
  <c r="B161" i="10" s="1"/>
  <c r="EC72" i="11"/>
  <c r="EG72" i="11"/>
  <c r="EK72" i="11"/>
  <c r="ED72" i="11"/>
  <c r="EH72" i="11"/>
  <c r="EL72" i="11"/>
  <c r="EI72" i="11"/>
  <c r="EJ72" i="11"/>
  <c r="EM72" i="11"/>
  <c r="EN72" i="11"/>
  <c r="EE72" i="11"/>
  <c r="EF72" i="11"/>
  <c r="CD94" i="11"/>
  <c r="CR93" i="11"/>
  <c r="CV93" i="11"/>
  <c r="CZ93" i="11"/>
  <c r="CS93" i="11"/>
  <c r="CX93" i="11"/>
  <c r="CU93" i="11"/>
  <c r="DA93" i="11"/>
  <c r="CW93" i="11"/>
  <c r="CY93" i="11"/>
  <c r="CT93" i="11"/>
  <c r="CQ93" i="11"/>
  <c r="DB93" i="11"/>
  <c r="DP73" i="11"/>
  <c r="Y14" i="9"/>
  <c r="U14" i="9"/>
  <c r="Y39" i="9"/>
  <c r="Y63" i="9" s="1"/>
  <c r="AF14" i="9"/>
  <c r="AF38" i="9" s="1"/>
  <c r="AA15" i="9"/>
  <c r="AB14" i="9"/>
  <c r="AB38" i="9" s="1"/>
  <c r="T16" i="9"/>
  <c r="T40" i="9"/>
  <c r="U39" i="9"/>
  <c r="U63" i="9" s="1"/>
  <c r="AA39" i="9" l="1"/>
  <c r="B53" i="10"/>
  <c r="B110" i="10"/>
  <c r="B136" i="10" s="1"/>
  <c r="B162" i="10" s="1"/>
  <c r="EC73" i="11"/>
  <c r="EG73" i="11"/>
  <c r="EK73" i="11"/>
  <c r="ED73" i="11"/>
  <c r="EH73" i="11"/>
  <c r="EL73" i="11"/>
  <c r="EE73" i="11"/>
  <c r="EM73" i="11"/>
  <c r="EF73" i="11"/>
  <c r="EN73" i="11"/>
  <c r="EI73" i="11"/>
  <c r="EJ73" i="11"/>
  <c r="CD95" i="11"/>
  <c r="CR94" i="11"/>
  <c r="CV94" i="11"/>
  <c r="CZ94" i="11"/>
  <c r="CQ94" i="11"/>
  <c r="CW94" i="11"/>
  <c r="DB94" i="11"/>
  <c r="CT94" i="11"/>
  <c r="CY94" i="11"/>
  <c r="CU94" i="11"/>
  <c r="CS94" i="11"/>
  <c r="CX94" i="11"/>
  <c r="DA94" i="11"/>
  <c r="DP74" i="11"/>
  <c r="U15" i="9"/>
  <c r="Y15" i="9"/>
  <c r="Y40" i="9"/>
  <c r="Y64" i="9" s="1"/>
  <c r="AF15" i="9"/>
  <c r="AF39" i="9" s="1"/>
  <c r="T17" i="9"/>
  <c r="T41" i="9"/>
  <c r="U40" i="9"/>
  <c r="U64" i="9" s="1"/>
  <c r="AA16" i="9"/>
  <c r="AB15" i="9"/>
  <c r="AB39" i="9" s="1"/>
  <c r="AA40" i="9" l="1"/>
  <c r="B54" i="10"/>
  <c r="B111" i="10"/>
  <c r="B137" i="10" s="1"/>
  <c r="B163" i="10" s="1"/>
  <c r="EC74" i="11"/>
  <c r="EG74" i="11"/>
  <c r="EK74" i="11"/>
  <c r="ED74" i="11"/>
  <c r="EH74" i="11"/>
  <c r="EL74" i="11"/>
  <c r="EI74" i="11"/>
  <c r="EJ74" i="11"/>
  <c r="EE74" i="11"/>
  <c r="EF74" i="11"/>
  <c r="EM74" i="11"/>
  <c r="EN74" i="11"/>
  <c r="CD96" i="11"/>
  <c r="CR95" i="11"/>
  <c r="CV95" i="11"/>
  <c r="CZ95" i="11"/>
  <c r="CU95" i="11"/>
  <c r="DA95" i="11"/>
  <c r="CS95" i="11"/>
  <c r="CX95" i="11"/>
  <c r="CT95" i="11"/>
  <c r="CW95" i="11"/>
  <c r="DB95" i="11"/>
  <c r="CY95" i="11"/>
  <c r="CQ95" i="11"/>
  <c r="DP75" i="11"/>
  <c r="U16" i="9"/>
  <c r="Y16" i="9"/>
  <c r="Y41" i="9"/>
  <c r="Y65" i="9" s="1"/>
  <c r="AF16" i="9"/>
  <c r="AF40" i="9" s="1"/>
  <c r="T42" i="9"/>
  <c r="U41" i="9"/>
  <c r="U65" i="9" s="1"/>
  <c r="AA17" i="9"/>
  <c r="AB16" i="9"/>
  <c r="AB40" i="9" s="1"/>
  <c r="T18" i="9"/>
  <c r="AA41" i="9" l="1"/>
  <c r="B55" i="10"/>
  <c r="B112" i="10"/>
  <c r="B138" i="10" s="1"/>
  <c r="B164" i="10" s="1"/>
  <c r="EC75" i="11"/>
  <c r="EG75" i="11"/>
  <c r="EK75" i="11"/>
  <c r="ED75" i="11"/>
  <c r="EH75" i="11"/>
  <c r="EL75" i="11"/>
  <c r="EE75" i="11"/>
  <c r="EM75" i="11"/>
  <c r="EF75" i="11"/>
  <c r="EN75" i="11"/>
  <c r="EI75" i="11"/>
  <c r="EJ75" i="11"/>
  <c r="CD97" i="11"/>
  <c r="CR96" i="11"/>
  <c r="CV96" i="11"/>
  <c r="CZ96" i="11"/>
  <c r="CT96" i="11"/>
  <c r="CY96" i="11"/>
  <c r="CQ96" i="11"/>
  <c r="CW96" i="11"/>
  <c r="DB96" i="11"/>
  <c r="CS96" i="11"/>
  <c r="DA96" i="11"/>
  <c r="CU96" i="11"/>
  <c r="CX96" i="11"/>
  <c r="DP76" i="11"/>
  <c r="Y17" i="9"/>
  <c r="U17" i="9"/>
  <c r="Y42" i="9"/>
  <c r="Y66" i="9" s="1"/>
  <c r="AF17" i="9"/>
  <c r="AF41" i="9" s="1"/>
  <c r="AA18" i="9"/>
  <c r="AB17" i="9"/>
  <c r="AB41" i="9" s="1"/>
  <c r="T19" i="9"/>
  <c r="T43" i="9"/>
  <c r="U42" i="9"/>
  <c r="U66" i="9" s="1"/>
  <c r="AA42" i="9" l="1"/>
  <c r="B56" i="10"/>
  <c r="B113" i="10"/>
  <c r="B139" i="10" s="1"/>
  <c r="B165" i="10" s="1"/>
  <c r="EC76" i="11"/>
  <c r="EG76" i="11"/>
  <c r="EK76" i="11"/>
  <c r="ED76" i="11"/>
  <c r="EH76" i="11"/>
  <c r="EL76" i="11"/>
  <c r="EI76" i="11"/>
  <c r="EJ76" i="11"/>
  <c r="EM76" i="11"/>
  <c r="EN76" i="11"/>
  <c r="EE76" i="11"/>
  <c r="EF76" i="11"/>
  <c r="CD98" i="11"/>
  <c r="CR97" i="11"/>
  <c r="CV97" i="11"/>
  <c r="CZ97" i="11"/>
  <c r="CS97" i="11"/>
  <c r="CX97" i="11"/>
  <c r="CU97" i="11"/>
  <c r="DA97" i="11"/>
  <c r="CQ97" i="11"/>
  <c r="DB97" i="11"/>
  <c r="CT97" i="11"/>
  <c r="CY97" i="11"/>
  <c r="CW97" i="11"/>
  <c r="DP77" i="11"/>
  <c r="U18" i="9"/>
  <c r="Y18" i="9"/>
  <c r="Y43" i="9"/>
  <c r="Y67" i="9" s="1"/>
  <c r="AF18" i="9"/>
  <c r="AF42" i="9" s="1"/>
  <c r="T20" i="9"/>
  <c r="T44" i="9"/>
  <c r="U43" i="9"/>
  <c r="U67" i="9" s="1"/>
  <c r="AA19" i="9"/>
  <c r="AB18" i="9"/>
  <c r="AB42" i="9" s="1"/>
  <c r="AA43" i="9" l="1"/>
  <c r="B114" i="10"/>
  <c r="B140" i="10" s="1"/>
  <c r="B166" i="10" s="1"/>
  <c r="Q58" i="10"/>
  <c r="Y58" i="10"/>
  <c r="C58" i="10"/>
  <c r="K58" i="10"/>
  <c r="W58" i="10"/>
  <c r="R58" i="10"/>
  <c r="N58" i="10"/>
  <c r="V58" i="10"/>
  <c r="O58" i="10"/>
  <c r="F58" i="10"/>
  <c r="J58" i="10"/>
  <c r="M58" i="10"/>
  <c r="S58" i="10"/>
  <c r="I58" i="10"/>
  <c r="E58" i="10"/>
  <c r="G58" i="10"/>
  <c r="Z58" i="10"/>
  <c r="U58" i="10"/>
  <c r="EC77" i="11"/>
  <c r="EG77" i="11"/>
  <c r="EK77" i="11"/>
  <c r="ED77" i="11"/>
  <c r="EH77" i="11"/>
  <c r="EL77" i="11"/>
  <c r="EE77" i="11"/>
  <c r="EM77" i="11"/>
  <c r="EF77" i="11"/>
  <c r="EN77" i="11"/>
  <c r="EI77" i="11"/>
  <c r="EJ77" i="11"/>
  <c r="CD99" i="11"/>
  <c r="CR98" i="11"/>
  <c r="CV98" i="11"/>
  <c r="CZ98" i="11"/>
  <c r="CQ98" i="11"/>
  <c r="CW98" i="11"/>
  <c r="DB98" i="11"/>
  <c r="CT98" i="11"/>
  <c r="CY98" i="11"/>
  <c r="DA98" i="11"/>
  <c r="CS98" i="11"/>
  <c r="CU98" i="11"/>
  <c r="CX98" i="11"/>
  <c r="DP78" i="11"/>
  <c r="Y19" i="9"/>
  <c r="U19" i="9"/>
  <c r="AF19" i="9"/>
  <c r="AF43" i="9" s="1"/>
  <c r="Y44" i="9"/>
  <c r="Y68" i="9" s="1"/>
  <c r="T45" i="9"/>
  <c r="U44" i="9"/>
  <c r="U68" i="9" s="1"/>
  <c r="AA20" i="9"/>
  <c r="AB19" i="9"/>
  <c r="AB43" i="9" s="1"/>
  <c r="T21" i="9"/>
  <c r="AA44" i="9" l="1"/>
  <c r="CD100" i="11"/>
  <c r="CT99" i="11"/>
  <c r="CX99" i="11"/>
  <c r="DB99" i="11"/>
  <c r="CR99" i="11"/>
  <c r="CV99" i="11"/>
  <c r="CZ99" i="11"/>
  <c r="CW99" i="11"/>
  <c r="CU99" i="11"/>
  <c r="CQ99" i="11"/>
  <c r="CY99" i="11"/>
  <c r="CS99" i="11"/>
  <c r="DA99" i="11"/>
  <c r="EC78" i="11"/>
  <c r="EG78" i="11"/>
  <c r="EK78" i="11"/>
  <c r="ED78" i="11"/>
  <c r="EH78" i="11"/>
  <c r="EL78" i="11"/>
  <c r="EI78" i="11"/>
  <c r="EJ78" i="11"/>
  <c r="EE78" i="11"/>
  <c r="EF78" i="11"/>
  <c r="EM78" i="11"/>
  <c r="EN78" i="11"/>
  <c r="DP79" i="11"/>
  <c r="U20" i="9"/>
  <c r="Y20" i="9"/>
  <c r="Y45" i="9"/>
  <c r="Y69" i="9" s="1"/>
  <c r="AF20" i="9"/>
  <c r="AF44" i="9" s="1"/>
  <c r="AA21" i="9"/>
  <c r="AB20" i="9"/>
  <c r="AB44" i="9" s="1"/>
  <c r="T22" i="9"/>
  <c r="T46" i="9"/>
  <c r="U45" i="9"/>
  <c r="U69" i="9" s="1"/>
  <c r="AA45" i="9" l="1"/>
  <c r="EC79" i="11"/>
  <c r="EG79" i="11"/>
  <c r="EK79" i="11"/>
  <c r="ED79" i="11"/>
  <c r="EH79" i="11"/>
  <c r="EL79" i="11"/>
  <c r="EE79" i="11"/>
  <c r="EM79" i="11"/>
  <c r="EF79" i="11"/>
  <c r="EN79" i="11"/>
  <c r="EI79" i="11"/>
  <c r="EJ79" i="11"/>
  <c r="CD101" i="11"/>
  <c r="CT100" i="11"/>
  <c r="CX100" i="11"/>
  <c r="DB100" i="11"/>
  <c r="CR100" i="11"/>
  <c r="CV100" i="11"/>
  <c r="CZ100" i="11"/>
  <c r="CS100" i="11"/>
  <c r="DA100" i="11"/>
  <c r="CY100" i="11"/>
  <c r="CU100" i="11"/>
  <c r="CQ100" i="11"/>
  <c r="CW100" i="11"/>
  <c r="DP80" i="11"/>
  <c r="U21" i="9"/>
  <c r="Y21" i="9"/>
  <c r="Y46" i="9"/>
  <c r="Y70" i="9" s="1"/>
  <c r="AF21" i="9"/>
  <c r="AF45" i="9" s="1"/>
  <c r="T23" i="9"/>
  <c r="T47" i="9"/>
  <c r="U46" i="9"/>
  <c r="U70" i="9" s="1"/>
  <c r="AA22" i="9"/>
  <c r="AB21" i="9"/>
  <c r="AB45" i="9" s="1"/>
  <c r="AA46" i="9" l="1"/>
  <c r="EC80" i="11"/>
  <c r="EG80" i="11"/>
  <c r="EK80" i="11"/>
  <c r="ED80" i="11"/>
  <c r="EH80" i="11"/>
  <c r="EL80" i="11"/>
  <c r="EI80" i="11"/>
  <c r="EJ80" i="11"/>
  <c r="EM80" i="11"/>
  <c r="EN80" i="11"/>
  <c r="EE80" i="11"/>
  <c r="EF80" i="11"/>
  <c r="CD102" i="11"/>
  <c r="CT101" i="11"/>
  <c r="CX101" i="11"/>
  <c r="DB101" i="11"/>
  <c r="CU101" i="11"/>
  <c r="CZ101" i="11"/>
  <c r="CQ101" i="11"/>
  <c r="CV101" i="11"/>
  <c r="DA101" i="11"/>
  <c r="CY101" i="11"/>
  <c r="CR101" i="11"/>
  <c r="CW101" i="11"/>
  <c r="CS101" i="11"/>
  <c r="DP81" i="11"/>
  <c r="U22" i="9"/>
  <c r="Y22" i="9"/>
  <c r="AF22" i="9"/>
  <c r="AF46" i="9" s="1"/>
  <c r="Y47" i="9"/>
  <c r="Y71" i="9" s="1"/>
  <c r="T48" i="9"/>
  <c r="U47" i="9"/>
  <c r="U71" i="9" s="1"/>
  <c r="AA23" i="9"/>
  <c r="AB22" i="9"/>
  <c r="AB46" i="9" s="1"/>
  <c r="T24" i="9"/>
  <c r="AA47" i="9" l="1"/>
  <c r="EC81" i="11"/>
  <c r="EG81" i="11"/>
  <c r="EK81" i="11"/>
  <c r="ED81" i="11"/>
  <c r="EH81" i="11"/>
  <c r="EL81" i="11"/>
  <c r="EE81" i="11"/>
  <c r="EM81" i="11"/>
  <c r="EF81" i="11"/>
  <c r="EN81" i="11"/>
  <c r="EI81" i="11"/>
  <c r="EJ81" i="11"/>
  <c r="CD103" i="11"/>
  <c r="CT102" i="11"/>
  <c r="CX102" i="11"/>
  <c r="DB102" i="11"/>
  <c r="CS102" i="11"/>
  <c r="CY102" i="11"/>
  <c r="CR102" i="11"/>
  <c r="CU102" i="11"/>
  <c r="CZ102" i="11"/>
  <c r="CQ102" i="11"/>
  <c r="CV102" i="11"/>
  <c r="DA102" i="11"/>
  <c r="CW102" i="11"/>
  <c r="DP82" i="11"/>
  <c r="Y23" i="9"/>
  <c r="U23" i="9"/>
  <c r="Y48" i="9"/>
  <c r="Y72" i="9" s="1"/>
  <c r="AF23" i="9"/>
  <c r="AF47" i="9" s="1"/>
  <c r="AA24" i="9"/>
  <c r="AB23" i="9"/>
  <c r="AB47" i="9" s="1"/>
  <c r="T25" i="9"/>
  <c r="T49" i="9"/>
  <c r="U48" i="9"/>
  <c r="U72" i="9" s="1"/>
  <c r="AA48" i="9" l="1"/>
  <c r="EC82" i="11"/>
  <c r="EG82" i="11"/>
  <c r="EK82" i="11"/>
  <c r="ED82" i="11"/>
  <c r="EH82" i="11"/>
  <c r="EL82" i="11"/>
  <c r="EI82" i="11"/>
  <c r="EJ82" i="11"/>
  <c r="EE82" i="11"/>
  <c r="EF82" i="11"/>
  <c r="EM82" i="11"/>
  <c r="EN82" i="11"/>
  <c r="CD104" i="11"/>
  <c r="CR103" i="11"/>
  <c r="CV103" i="11"/>
  <c r="CZ103" i="11"/>
  <c r="CU103" i="11"/>
  <c r="CS103" i="11"/>
  <c r="CW103" i="11"/>
  <c r="DA103" i="11"/>
  <c r="CQ103" i="11"/>
  <c r="CT103" i="11"/>
  <c r="CX103" i="11"/>
  <c r="DB103" i="11"/>
  <c r="CY103" i="11"/>
  <c r="DP83" i="11"/>
  <c r="U24" i="9"/>
  <c r="Y24" i="9"/>
  <c r="Y49" i="9"/>
  <c r="Y73" i="9" s="1"/>
  <c r="AF24" i="9"/>
  <c r="AF48" i="9" s="1"/>
  <c r="T26" i="9"/>
  <c r="T50" i="9"/>
  <c r="U49" i="9"/>
  <c r="U73" i="9" s="1"/>
  <c r="AA25" i="9"/>
  <c r="AB24" i="9"/>
  <c r="AB48" i="9" s="1"/>
  <c r="AA49" i="9" l="1"/>
  <c r="CD105" i="11"/>
  <c r="CR104" i="11"/>
  <c r="CV104" i="11"/>
  <c r="CZ104" i="11"/>
  <c r="CU104" i="11"/>
  <c r="CS104" i="11"/>
  <c r="CW104" i="11"/>
  <c r="DA104" i="11"/>
  <c r="CQ104" i="11"/>
  <c r="CT104" i="11"/>
  <c r="CX104" i="11"/>
  <c r="DB104" i="11"/>
  <c r="CY104" i="11"/>
  <c r="EC83" i="11"/>
  <c r="EG83" i="11"/>
  <c r="EK83" i="11"/>
  <c r="ED83" i="11"/>
  <c r="EH83" i="11"/>
  <c r="EL83" i="11"/>
  <c r="EE83" i="11"/>
  <c r="EM83" i="11"/>
  <c r="EF83" i="11"/>
  <c r="EN83" i="11"/>
  <c r="EI83" i="11"/>
  <c r="EJ83" i="11"/>
  <c r="DP84" i="11"/>
  <c r="Y25" i="9"/>
  <c r="U25" i="9"/>
  <c r="AF25" i="9"/>
  <c r="AF49" i="9" s="1"/>
  <c r="Y50" i="9"/>
  <c r="Y74" i="9" s="1"/>
  <c r="U50" i="9"/>
  <c r="U74" i="9" s="1"/>
  <c r="AA26" i="9"/>
  <c r="AB25" i="9"/>
  <c r="AB49" i="9" s="1"/>
  <c r="AA50" i="9" l="1"/>
  <c r="EC84" i="11"/>
  <c r="EG84" i="11"/>
  <c r="EK84" i="11"/>
  <c r="ED84" i="11"/>
  <c r="EH84" i="11"/>
  <c r="EL84" i="11"/>
  <c r="EI84" i="11"/>
  <c r="EJ84" i="11"/>
  <c r="EM84" i="11"/>
  <c r="EN84" i="11"/>
  <c r="EE84" i="11"/>
  <c r="EF84" i="11"/>
  <c r="CD106" i="11"/>
  <c r="CR105" i="11"/>
  <c r="CV105" i="11"/>
  <c r="CZ105" i="11"/>
  <c r="CQ105" i="11"/>
  <c r="CS105" i="11"/>
  <c r="CW105" i="11"/>
  <c r="DA105" i="11"/>
  <c r="CU105" i="11"/>
  <c r="CT105" i="11"/>
  <c r="CX105" i="11"/>
  <c r="DB105" i="11"/>
  <c r="CY105" i="11"/>
  <c r="DP85" i="11"/>
  <c r="U26" i="9"/>
  <c r="Y26" i="9"/>
  <c r="AF26" i="9"/>
  <c r="AF50" i="9" s="1"/>
  <c r="AB26" i="9"/>
  <c r="AB50" i="9" s="1"/>
  <c r="EC85" i="11" l="1"/>
  <c r="EG85" i="11"/>
  <c r="EK85" i="11"/>
  <c r="ED85" i="11"/>
  <c r="EH85" i="11"/>
  <c r="EL85" i="11"/>
  <c r="EE85" i="11"/>
  <c r="EM85" i="11"/>
  <c r="EF85" i="11"/>
  <c r="EN85" i="11"/>
  <c r="EI85" i="11"/>
  <c r="EJ85" i="11"/>
  <c r="CD107" i="11"/>
  <c r="CR106" i="11"/>
  <c r="CV106" i="11"/>
  <c r="CZ106" i="11"/>
  <c r="CQ106" i="11"/>
  <c r="CS106" i="11"/>
  <c r="CW106" i="11"/>
  <c r="DA106" i="11"/>
  <c r="CU106" i="11"/>
  <c r="CT106" i="11"/>
  <c r="CX106" i="11"/>
  <c r="DB106" i="11"/>
  <c r="CY106" i="11"/>
  <c r="DP86" i="11"/>
  <c r="B13" i="3"/>
  <c r="D13" i="3"/>
  <c r="D14" i="3"/>
  <c r="D15" i="3"/>
  <c r="C14" i="3"/>
  <c r="C15" i="3"/>
  <c r="C13" i="3"/>
  <c r="C12" i="3"/>
  <c r="B6" i="3"/>
  <c r="D6" i="3"/>
  <c r="D8" i="3"/>
  <c r="D9" i="3"/>
  <c r="D10" i="3"/>
  <c r="D11" i="3"/>
  <c r="D12" i="3"/>
  <c r="C7" i="3"/>
  <c r="C8" i="3"/>
  <c r="C9" i="3"/>
  <c r="C10" i="3"/>
  <c r="C11" i="3"/>
  <c r="C6" i="3"/>
  <c r="B2" i="3"/>
  <c r="C2" i="3" s="1"/>
  <c r="D2" i="3" s="1"/>
  <c r="E2" i="3" s="1"/>
  <c r="AD50" i="3" l="1"/>
  <c r="X50" i="3"/>
  <c r="S44" i="3"/>
  <c r="AD47" i="3"/>
  <c r="AD63" i="3"/>
  <c r="AD64" i="3"/>
  <c r="AD57" i="3"/>
  <c r="AD46" i="3"/>
  <c r="AD62" i="3"/>
  <c r="AD59" i="3"/>
  <c r="AD60" i="3"/>
  <c r="AD53" i="3"/>
  <c r="AD61" i="3"/>
  <c r="X58" i="3"/>
  <c r="X55" i="3"/>
  <c r="X56" i="3"/>
  <c r="X49" i="3"/>
  <c r="X48" i="3"/>
  <c r="X54" i="3"/>
  <c r="X51" i="3"/>
  <c r="X52" i="3"/>
  <c r="X45" i="3"/>
  <c r="X44" i="3"/>
  <c r="AD58" i="3"/>
  <c r="AD55" i="3"/>
  <c r="AD56" i="3"/>
  <c r="AD49" i="3"/>
  <c r="AD48" i="3"/>
  <c r="AD54" i="3"/>
  <c r="AD51" i="3"/>
  <c r="AD52" i="3"/>
  <c r="AD45" i="3"/>
  <c r="AD44" i="3"/>
  <c r="Y44" i="3"/>
  <c r="X60" i="3"/>
  <c r="X61" i="3"/>
  <c r="X47" i="3"/>
  <c r="X63" i="3"/>
  <c r="X64" i="3"/>
  <c r="X57" i="3"/>
  <c r="X46" i="3"/>
  <c r="X62" i="3"/>
  <c r="X59" i="3"/>
  <c r="X53" i="3"/>
  <c r="S45" i="3"/>
  <c r="Y45" i="3"/>
  <c r="EC86" i="11"/>
  <c r="EG86" i="11"/>
  <c r="EK86" i="11"/>
  <c r="ED86" i="11"/>
  <c r="EH86" i="11"/>
  <c r="EL86" i="11"/>
  <c r="EI86" i="11"/>
  <c r="EJ86" i="11"/>
  <c r="EE86" i="11"/>
  <c r="EF86" i="11"/>
  <c r="EM86" i="11"/>
  <c r="EN86" i="11"/>
  <c r="CD108" i="11"/>
  <c r="CR107" i="11"/>
  <c r="CV107" i="11"/>
  <c r="CZ107" i="11"/>
  <c r="CQ107" i="11"/>
  <c r="CS107" i="11"/>
  <c r="CW107" i="11"/>
  <c r="DA107" i="11"/>
  <c r="CU107" i="11"/>
  <c r="CT107" i="11"/>
  <c r="CX107" i="11"/>
  <c r="DB107" i="11"/>
  <c r="CY107" i="11"/>
  <c r="AP44" i="3"/>
  <c r="AJ55" i="3"/>
  <c r="AJ63" i="3"/>
  <c r="R55" i="3"/>
  <c r="AJ51" i="3"/>
  <c r="AJ59" i="3"/>
  <c r="R47" i="3"/>
  <c r="R59" i="3"/>
  <c r="AJ47" i="3"/>
  <c r="R51" i="3"/>
  <c r="R63" i="3"/>
  <c r="AP63" i="3"/>
  <c r="AP47" i="3"/>
  <c r="R58" i="3"/>
  <c r="AP56" i="3"/>
  <c r="AP53" i="3"/>
  <c r="R62" i="3"/>
  <c r="AJ58" i="3"/>
  <c r="R61" i="3"/>
  <c r="R45" i="3"/>
  <c r="AJ49" i="3"/>
  <c r="R60" i="3"/>
  <c r="AJ64" i="3"/>
  <c r="AJ48" i="3"/>
  <c r="AP59" i="3"/>
  <c r="AP60" i="3"/>
  <c r="AP54" i="3"/>
  <c r="AP58" i="3"/>
  <c r="AP49" i="3"/>
  <c r="R54" i="3"/>
  <c r="AJ54" i="3"/>
  <c r="R57" i="3"/>
  <c r="AJ61" i="3"/>
  <c r="AJ45" i="3"/>
  <c r="R56" i="3"/>
  <c r="AJ60" i="3"/>
  <c r="AJ44" i="3"/>
  <c r="AP64" i="3"/>
  <c r="AP55" i="3"/>
  <c r="AP52" i="3"/>
  <c r="R50" i="3"/>
  <c r="AP61" i="3"/>
  <c r="AP45" i="3"/>
  <c r="R46" i="3"/>
  <c r="AJ46" i="3"/>
  <c r="R53" i="3"/>
  <c r="AJ57" i="3"/>
  <c r="R52" i="3"/>
  <c r="AJ56" i="3"/>
  <c r="AP48" i="3"/>
  <c r="AP51" i="3"/>
  <c r="AP62" i="3"/>
  <c r="AP46" i="3"/>
  <c r="AP57" i="3"/>
  <c r="AJ62" i="3"/>
  <c r="R44" i="3"/>
  <c r="R49" i="3"/>
  <c r="AJ53" i="3"/>
  <c r="R64" i="3"/>
  <c r="R48" i="3"/>
  <c r="AJ52" i="3"/>
  <c r="M44" i="3"/>
  <c r="AK44" i="3"/>
  <c r="AJ50" i="3"/>
  <c r="AE44" i="3"/>
  <c r="AP50" i="3"/>
  <c r="AE45" i="3"/>
  <c r="M45" i="3"/>
  <c r="AK45" i="3"/>
  <c r="L44" i="3"/>
  <c r="L48" i="3"/>
  <c r="L52" i="3"/>
  <c r="L56" i="3"/>
  <c r="L60" i="3"/>
  <c r="L64" i="3"/>
  <c r="L46" i="3"/>
  <c r="L54" i="3"/>
  <c r="L62" i="3"/>
  <c r="L47" i="3"/>
  <c r="L59" i="3"/>
  <c r="G45" i="3"/>
  <c r="L45" i="3"/>
  <c r="L49" i="3"/>
  <c r="L53" i="3"/>
  <c r="L57" i="3"/>
  <c r="L61" i="3"/>
  <c r="L50" i="3"/>
  <c r="L58" i="3"/>
  <c r="L51" i="3"/>
  <c r="L55" i="3"/>
  <c r="L63" i="3"/>
  <c r="G44" i="3"/>
  <c r="F2" i="3"/>
  <c r="G2" i="3" s="1"/>
  <c r="DP87" i="11"/>
  <c r="AD65" i="3" l="1"/>
  <c r="AD66" i="3"/>
  <c r="X65" i="3"/>
  <c r="X66" i="3"/>
  <c r="EC87" i="11"/>
  <c r="EG87" i="11"/>
  <c r="EK87" i="11"/>
  <c r="ED87" i="11"/>
  <c r="EH87" i="11"/>
  <c r="EL87" i="11"/>
  <c r="EE87" i="11"/>
  <c r="EM87" i="11"/>
  <c r="EF87" i="11"/>
  <c r="EN87" i="11"/>
  <c r="EI87" i="11"/>
  <c r="EJ87" i="11"/>
  <c r="CD109" i="11"/>
  <c r="CR108" i="11"/>
  <c r="CV108" i="11"/>
  <c r="CZ108" i="11"/>
  <c r="CU108" i="11"/>
  <c r="CS108" i="11"/>
  <c r="CW108" i="11"/>
  <c r="DA108" i="11"/>
  <c r="CQ108" i="11"/>
  <c r="CT108" i="11"/>
  <c r="CX108" i="11"/>
  <c r="DB108" i="11"/>
  <c r="CY108" i="11"/>
  <c r="L66" i="3"/>
  <c r="R66" i="3"/>
  <c r="AJ66" i="3"/>
  <c r="AP66" i="3"/>
  <c r="DP88" i="11"/>
  <c r="EC88" i="11" l="1"/>
  <c r="EG88" i="11"/>
  <c r="EK88" i="11"/>
  <c r="ED88" i="11"/>
  <c r="EH88" i="11"/>
  <c r="EL88" i="11"/>
  <c r="EI88" i="11"/>
  <c r="EJ88" i="11"/>
  <c r="EM88" i="11"/>
  <c r="EN88" i="11"/>
  <c r="EE88" i="11"/>
  <c r="EF88" i="11"/>
  <c r="CD110" i="11"/>
  <c r="CR109" i="11"/>
  <c r="CV109" i="11"/>
  <c r="CZ109" i="11"/>
  <c r="CU109" i="11"/>
  <c r="CS109" i="11"/>
  <c r="CW109" i="11"/>
  <c r="DA109" i="11"/>
  <c r="CQ109" i="11"/>
  <c r="CT109" i="11"/>
  <c r="CX109" i="11"/>
  <c r="DB109" i="11"/>
  <c r="CY109" i="11"/>
  <c r="DP89" i="11"/>
  <c r="I45" i="2"/>
  <c r="I41" i="2"/>
  <c r="EC89" i="11" l="1"/>
  <c r="EG89" i="11"/>
  <c r="EK89" i="11"/>
  <c r="ED89" i="11"/>
  <c r="EH89" i="11"/>
  <c r="EL89" i="11"/>
  <c r="EE89" i="11"/>
  <c r="EM89" i="11"/>
  <c r="EF89" i="11"/>
  <c r="EN89" i="11"/>
  <c r="EI89" i="11"/>
  <c r="EJ89" i="11"/>
  <c r="CD111" i="11"/>
  <c r="CR110" i="11"/>
  <c r="CV110" i="11"/>
  <c r="CZ110" i="11"/>
  <c r="CU110" i="11"/>
  <c r="CS110" i="11"/>
  <c r="CW110" i="11"/>
  <c r="DA110" i="11"/>
  <c r="CQ110" i="11"/>
  <c r="CY110" i="11"/>
  <c r="CT110" i="11"/>
  <c r="CX110" i="11"/>
  <c r="DB110" i="11"/>
  <c r="DP90" i="11"/>
  <c r="I47" i="2"/>
  <c r="I20" i="2"/>
  <c r="I19" i="2"/>
  <c r="EC90" i="11" l="1"/>
  <c r="EG90" i="11"/>
  <c r="EK90" i="11"/>
  <c r="ED90" i="11"/>
  <c r="EH90" i="11"/>
  <c r="EL90" i="11"/>
  <c r="EI90" i="11"/>
  <c r="EJ90" i="11"/>
  <c r="EE90" i="11"/>
  <c r="EF90" i="11"/>
  <c r="EM90" i="11"/>
  <c r="EN90" i="11"/>
  <c r="CD112" i="11"/>
  <c r="CR111" i="11"/>
  <c r="CV111" i="11"/>
  <c r="CZ111" i="11"/>
  <c r="CU111" i="11"/>
  <c r="CS111" i="11"/>
  <c r="CW111" i="11"/>
  <c r="DA111" i="11"/>
  <c r="CY111" i="11"/>
  <c r="CT111" i="11"/>
  <c r="CX111" i="11"/>
  <c r="DB111" i="11"/>
  <c r="CQ111" i="11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I31" i="2"/>
  <c r="H31" i="2"/>
  <c r="H35" i="2" s="1"/>
  <c r="S34" i="10"/>
  <c r="DP91" i="11"/>
  <c r="I32" i="2"/>
  <c r="D21" i="7" l="1"/>
  <c r="D27" i="7" s="1"/>
  <c r="W34" i="10"/>
  <c r="W92" i="10" s="1"/>
  <c r="W118" i="10" s="1"/>
  <c r="W144" i="10" s="1"/>
  <c r="S92" i="10"/>
  <c r="S118" i="10" s="1"/>
  <c r="S144" i="10" s="1"/>
  <c r="EC91" i="11"/>
  <c r="EG91" i="11"/>
  <c r="EK91" i="11"/>
  <c r="ED91" i="11"/>
  <c r="EH91" i="11"/>
  <c r="EL91" i="11"/>
  <c r="EE91" i="11"/>
  <c r="EM91" i="11"/>
  <c r="EF91" i="11"/>
  <c r="EN91" i="11"/>
  <c r="EI91" i="11"/>
  <c r="EJ91" i="11"/>
  <c r="CD113" i="11"/>
  <c r="CR112" i="11"/>
  <c r="CV112" i="11"/>
  <c r="CZ112" i="11"/>
  <c r="CQ112" i="11"/>
  <c r="CS112" i="11"/>
  <c r="CW112" i="11"/>
  <c r="DA112" i="11"/>
  <c r="CY112" i="11"/>
  <c r="CT112" i="11"/>
  <c r="CX112" i="11"/>
  <c r="DB112" i="11"/>
  <c r="CU112" i="11"/>
  <c r="Q37" i="3"/>
  <c r="W37" i="3" s="1"/>
  <c r="AC37" i="3" s="1"/>
  <c r="AI37" i="3" s="1"/>
  <c r="K62" i="3"/>
  <c r="Q33" i="3"/>
  <c r="W33" i="3" s="1"/>
  <c r="AC33" i="3" s="1"/>
  <c r="AI33" i="3" s="1"/>
  <c r="K58" i="3"/>
  <c r="Q29" i="3"/>
  <c r="W29" i="3" s="1"/>
  <c r="D20" i="7" s="1"/>
  <c r="K54" i="3"/>
  <c r="Q25" i="3"/>
  <c r="W25" i="3" s="1"/>
  <c r="AC25" i="3" s="1"/>
  <c r="AI25" i="3" s="1"/>
  <c r="K50" i="3"/>
  <c r="Q21" i="3"/>
  <c r="W21" i="3" s="1"/>
  <c r="AC21" i="3" s="1"/>
  <c r="AI21" i="3" s="1"/>
  <c r="K46" i="3"/>
  <c r="Q26" i="3"/>
  <c r="W26" i="3" s="1"/>
  <c r="AC26" i="3" s="1"/>
  <c r="AI26" i="3" s="1"/>
  <c r="K51" i="3"/>
  <c r="Q36" i="3"/>
  <c r="W36" i="3" s="1"/>
  <c r="AC36" i="3" s="1"/>
  <c r="AI36" i="3" s="1"/>
  <c r="K61" i="3"/>
  <c r="Q32" i="3"/>
  <c r="W32" i="3" s="1"/>
  <c r="AC32" i="3" s="1"/>
  <c r="AI32" i="3" s="1"/>
  <c r="K57" i="3"/>
  <c r="Q28" i="3"/>
  <c r="W28" i="3" s="1"/>
  <c r="AC28" i="3" s="1"/>
  <c r="AI28" i="3" s="1"/>
  <c r="K53" i="3"/>
  <c r="Q24" i="3"/>
  <c r="W24" i="3" s="1"/>
  <c r="AC24" i="3" s="1"/>
  <c r="AI24" i="3" s="1"/>
  <c r="K49" i="3"/>
  <c r="Q20" i="3"/>
  <c r="W20" i="3" s="1"/>
  <c r="AC20" i="3" s="1"/>
  <c r="AI20" i="3" s="1"/>
  <c r="K45" i="3"/>
  <c r="Q38" i="3"/>
  <c r="W38" i="3" s="1"/>
  <c r="AC38" i="3" s="1"/>
  <c r="AI38" i="3" s="1"/>
  <c r="K63" i="3"/>
  <c r="Q34" i="3"/>
  <c r="W34" i="3" s="1"/>
  <c r="AC34" i="3" s="1"/>
  <c r="AI34" i="3" s="1"/>
  <c r="K59" i="3"/>
  <c r="Q30" i="3"/>
  <c r="W30" i="3" s="1"/>
  <c r="AC30" i="3" s="1"/>
  <c r="AI30" i="3" s="1"/>
  <c r="K55" i="3"/>
  <c r="Q22" i="3"/>
  <c r="W22" i="3" s="1"/>
  <c r="AC22" i="3" s="1"/>
  <c r="AI22" i="3" s="1"/>
  <c r="K47" i="3"/>
  <c r="Q39" i="3"/>
  <c r="W39" i="3" s="1"/>
  <c r="AC39" i="3" s="1"/>
  <c r="AI39" i="3" s="1"/>
  <c r="K64" i="3"/>
  <c r="Q35" i="3"/>
  <c r="W35" i="3" s="1"/>
  <c r="AC35" i="3" s="1"/>
  <c r="AI35" i="3" s="1"/>
  <c r="K60" i="3"/>
  <c r="Q31" i="3"/>
  <c r="W31" i="3" s="1"/>
  <c r="AC31" i="3" s="1"/>
  <c r="AI31" i="3" s="1"/>
  <c r="K56" i="3"/>
  <c r="Q27" i="3"/>
  <c r="W27" i="3" s="1"/>
  <c r="AC27" i="3" s="1"/>
  <c r="AI27" i="3" s="1"/>
  <c r="K52" i="3"/>
  <c r="Q23" i="3"/>
  <c r="W23" i="3" s="1"/>
  <c r="AC23" i="3" s="1"/>
  <c r="AI23" i="3" s="1"/>
  <c r="K48" i="3"/>
  <c r="Q19" i="3"/>
  <c r="W19" i="3" s="1"/>
  <c r="AC19" i="3" s="1"/>
  <c r="AI19" i="3" s="1"/>
  <c r="K44" i="3"/>
  <c r="DP92" i="11"/>
  <c r="C12" i="4"/>
  <c r="C11" i="4"/>
  <c r="AC29" i="3" l="1"/>
  <c r="AI29" i="3" s="1"/>
  <c r="D26" i="7"/>
  <c r="W48" i="3"/>
  <c r="AC48" i="3"/>
  <c r="AC64" i="3"/>
  <c r="W64" i="3"/>
  <c r="AC63" i="3"/>
  <c r="W63" i="3"/>
  <c r="W57" i="3"/>
  <c r="AC57" i="3"/>
  <c r="AC58" i="3"/>
  <c r="W58" i="3"/>
  <c r="AC44" i="3"/>
  <c r="W44" i="3"/>
  <c r="W52" i="3"/>
  <c r="AC52" i="3"/>
  <c r="AC60" i="3"/>
  <c r="W60" i="3"/>
  <c r="W47" i="3"/>
  <c r="AC47" i="3"/>
  <c r="W59" i="3"/>
  <c r="AC59" i="3"/>
  <c r="W45" i="3"/>
  <c r="AC45" i="3"/>
  <c r="AC53" i="3"/>
  <c r="W53" i="3"/>
  <c r="W61" i="3"/>
  <c r="AC61" i="3"/>
  <c r="W46" i="3"/>
  <c r="AC46" i="3"/>
  <c r="W54" i="3"/>
  <c r="AC62" i="3"/>
  <c r="W62" i="3"/>
  <c r="AC56" i="3"/>
  <c r="W56" i="3"/>
  <c r="W55" i="3"/>
  <c r="AC55" i="3"/>
  <c r="W49" i="3"/>
  <c r="AC49" i="3"/>
  <c r="W51" i="3"/>
  <c r="AC51" i="3"/>
  <c r="AC50" i="3"/>
  <c r="W50" i="3"/>
  <c r="EC92" i="11"/>
  <c r="EG92" i="11"/>
  <c r="EK92" i="11"/>
  <c r="ED92" i="11"/>
  <c r="EH92" i="11"/>
  <c r="EL92" i="11"/>
  <c r="EI92" i="11"/>
  <c r="EJ92" i="11"/>
  <c r="EM92" i="11"/>
  <c r="EN92" i="11"/>
  <c r="EE92" i="11"/>
  <c r="EF92" i="11"/>
  <c r="CD114" i="11"/>
  <c r="CR113" i="11"/>
  <c r="CV113" i="11"/>
  <c r="CZ113" i="11"/>
  <c r="CQ113" i="11"/>
  <c r="CS113" i="11"/>
  <c r="CW113" i="11"/>
  <c r="DA113" i="11"/>
  <c r="CY113" i="11"/>
  <c r="CT113" i="11"/>
  <c r="CX113" i="11"/>
  <c r="DB113" i="11"/>
  <c r="CU113" i="11"/>
  <c r="Q48" i="3"/>
  <c r="Q56" i="3"/>
  <c r="Q64" i="3"/>
  <c r="Q55" i="3"/>
  <c r="Q63" i="3"/>
  <c r="Q49" i="3"/>
  <c r="Q57" i="3"/>
  <c r="Q51" i="3"/>
  <c r="Q50" i="3"/>
  <c r="Q58" i="3"/>
  <c r="K66" i="3"/>
  <c r="Q44" i="3"/>
  <c r="Q52" i="3"/>
  <c r="Q60" i="3"/>
  <c r="Q47" i="3"/>
  <c r="Q59" i="3"/>
  <c r="Q45" i="3"/>
  <c r="Q53" i="3"/>
  <c r="Q61" i="3"/>
  <c r="Q46" i="3"/>
  <c r="Q54" i="3"/>
  <c r="Q62" i="3"/>
  <c r="DP93" i="11"/>
  <c r="D12" i="4"/>
  <c r="AC54" i="3" l="1"/>
  <c r="D19" i="7"/>
  <c r="D25" i="7" s="1"/>
  <c r="EC93" i="11"/>
  <c r="EG93" i="11"/>
  <c r="EK93" i="11"/>
  <c r="ED93" i="11"/>
  <c r="EH93" i="11"/>
  <c r="EL93" i="11"/>
  <c r="EE93" i="11"/>
  <c r="EM93" i="11"/>
  <c r="EF93" i="11"/>
  <c r="EN93" i="11"/>
  <c r="EI93" i="11"/>
  <c r="EJ93" i="11"/>
  <c r="CD115" i="11"/>
  <c r="CR114" i="11"/>
  <c r="CV114" i="11"/>
  <c r="CZ114" i="11"/>
  <c r="CQ114" i="11"/>
  <c r="CS114" i="11"/>
  <c r="CW114" i="11"/>
  <c r="DA114" i="11"/>
  <c r="CY114" i="11"/>
  <c r="CT114" i="11"/>
  <c r="CX114" i="11"/>
  <c r="DB114" i="11"/>
  <c r="CU114" i="11"/>
  <c r="AO36" i="3"/>
  <c r="AO61" i="3" s="1"/>
  <c r="AI61" i="3"/>
  <c r="AO22" i="3"/>
  <c r="AO47" i="3" s="1"/>
  <c r="AI47" i="3"/>
  <c r="AO29" i="3"/>
  <c r="AO54" i="3" s="1"/>
  <c r="AI54" i="3"/>
  <c r="Q66" i="3"/>
  <c r="AO33" i="3"/>
  <c r="AO58" i="3" s="1"/>
  <c r="AI58" i="3"/>
  <c r="AO26" i="3"/>
  <c r="AO51" i="3" s="1"/>
  <c r="AI51" i="3"/>
  <c r="AO24" i="3"/>
  <c r="AO49" i="3" s="1"/>
  <c r="AI49" i="3"/>
  <c r="AO30" i="3"/>
  <c r="AO55" i="3" s="1"/>
  <c r="AI55" i="3"/>
  <c r="AO31" i="3"/>
  <c r="AO56" i="3" s="1"/>
  <c r="AI56" i="3"/>
  <c r="AO20" i="3"/>
  <c r="AO45" i="3" s="1"/>
  <c r="AI45" i="3"/>
  <c r="AO27" i="3"/>
  <c r="AO52" i="3" s="1"/>
  <c r="AI52" i="3"/>
  <c r="AO37" i="3"/>
  <c r="AO62" i="3" s="1"/>
  <c r="AI62" i="3"/>
  <c r="AO21" i="3"/>
  <c r="AO46" i="3" s="1"/>
  <c r="AI46" i="3"/>
  <c r="AO28" i="3"/>
  <c r="AO53" i="3" s="1"/>
  <c r="AI53" i="3"/>
  <c r="AO34" i="3"/>
  <c r="AO59" i="3" s="1"/>
  <c r="AI59" i="3"/>
  <c r="AO35" i="3"/>
  <c r="AO60" i="3" s="1"/>
  <c r="AI60" i="3"/>
  <c r="AO19" i="3"/>
  <c r="AO44" i="3" s="1"/>
  <c r="AI44" i="3"/>
  <c r="AO25" i="3"/>
  <c r="AO50" i="3" s="1"/>
  <c r="AI50" i="3"/>
  <c r="AO32" i="3"/>
  <c r="AO57" i="3" s="1"/>
  <c r="AI57" i="3"/>
  <c r="AO38" i="3"/>
  <c r="AO63" i="3" s="1"/>
  <c r="AI63" i="3"/>
  <c r="AO39" i="3"/>
  <c r="AO64" i="3" s="1"/>
  <c r="AI64" i="3"/>
  <c r="AO23" i="3"/>
  <c r="AO48" i="3" s="1"/>
  <c r="AI48" i="3"/>
  <c r="DV93" i="11"/>
  <c r="EB93" i="11"/>
  <c r="ET93" i="11"/>
  <c r="EZ93" i="11"/>
  <c r="DP94" i="11"/>
  <c r="EC94" i="11" l="1"/>
  <c r="EG94" i="11"/>
  <c r="EK94" i="11"/>
  <c r="ED94" i="11"/>
  <c r="EH94" i="11"/>
  <c r="EL94" i="11"/>
  <c r="EI94" i="11"/>
  <c r="EJ94" i="11"/>
  <c r="EE94" i="11"/>
  <c r="EF94" i="11"/>
  <c r="EM94" i="11"/>
  <c r="EN94" i="11"/>
  <c r="CD116" i="11"/>
  <c r="CR115" i="11"/>
  <c r="CV115" i="11"/>
  <c r="CZ115" i="11"/>
  <c r="CQ115" i="11"/>
  <c r="CS115" i="11"/>
  <c r="CW115" i="11"/>
  <c r="DA115" i="11"/>
  <c r="CU115" i="11"/>
  <c r="CT115" i="11"/>
  <c r="CX115" i="11"/>
  <c r="DB115" i="11"/>
  <c r="CY115" i="11"/>
  <c r="AO66" i="3"/>
  <c r="AI66" i="3"/>
  <c r="H2" i="3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DV94" i="11"/>
  <c r="EB94" i="11"/>
  <c r="ET94" i="11"/>
  <c r="EZ94" i="11"/>
  <c r="DP95" i="11"/>
  <c r="EC95" i="11" l="1"/>
  <c r="EG95" i="11"/>
  <c r="EK95" i="11"/>
  <c r="ED95" i="11"/>
  <c r="EH95" i="11"/>
  <c r="EL95" i="11"/>
  <c r="EE95" i="11"/>
  <c r="EM95" i="11"/>
  <c r="EF95" i="11"/>
  <c r="EN95" i="11"/>
  <c r="EI95" i="11"/>
  <c r="EJ95" i="11"/>
  <c r="CD117" i="11"/>
  <c r="CR116" i="11"/>
  <c r="CV116" i="11"/>
  <c r="CZ116" i="11"/>
  <c r="CQ116" i="11"/>
  <c r="CS116" i="11"/>
  <c r="CW116" i="11"/>
  <c r="DA116" i="11"/>
  <c r="CU116" i="11"/>
  <c r="CT116" i="11"/>
  <c r="CX116" i="11"/>
  <c r="DB116" i="11"/>
  <c r="CY116" i="11"/>
  <c r="DR95" i="11"/>
  <c r="DS95" i="11"/>
  <c r="DQ95" i="11"/>
  <c r="DX95" i="11"/>
  <c r="DW95" i="11"/>
  <c r="DY95" i="11"/>
  <c r="DT95" i="11"/>
  <c r="EP95" i="11"/>
  <c r="EQ95" i="11"/>
  <c r="EV95" i="11"/>
  <c r="DZ95" i="11"/>
  <c r="DU95" i="11"/>
  <c r="EO95" i="11"/>
  <c r="EA95" i="11"/>
  <c r="ER95" i="11"/>
  <c r="EW95" i="11"/>
  <c r="EU95" i="11"/>
  <c r="DV95" i="11"/>
  <c r="EX95" i="11"/>
  <c r="ES95" i="11"/>
  <c r="EB95" i="11"/>
  <c r="EY95" i="11"/>
  <c r="ET95" i="11"/>
  <c r="EZ95" i="11"/>
  <c r="DP96" i="11"/>
  <c r="AB36" i="2"/>
  <c r="EC96" i="11" l="1"/>
  <c r="EG96" i="11"/>
  <c r="EK96" i="11"/>
  <c r="ED96" i="11"/>
  <c r="EH96" i="11"/>
  <c r="EL96" i="11"/>
  <c r="EI96" i="11"/>
  <c r="EJ96" i="11"/>
  <c r="EM96" i="11"/>
  <c r="EN96" i="11"/>
  <c r="EE96" i="11"/>
  <c r="EF96" i="11"/>
  <c r="CD118" i="11"/>
  <c r="CR117" i="11"/>
  <c r="CV117" i="11"/>
  <c r="CZ117" i="11"/>
  <c r="CU117" i="11"/>
  <c r="CS117" i="11"/>
  <c r="CW117" i="11"/>
  <c r="DA117" i="11"/>
  <c r="CQ117" i="11"/>
  <c r="CT117" i="11"/>
  <c r="CX117" i="11"/>
  <c r="DB117" i="11"/>
  <c r="CY117" i="11"/>
  <c r="DR96" i="11"/>
  <c r="DS96" i="11"/>
  <c r="DQ96" i="11"/>
  <c r="DX96" i="11"/>
  <c r="EP96" i="11"/>
  <c r="DY96" i="11"/>
  <c r="DW96" i="11"/>
  <c r="DT96" i="11"/>
  <c r="DU96" i="11"/>
  <c r="EQ96" i="11"/>
  <c r="EV96" i="11"/>
  <c r="EO96" i="11"/>
  <c r="DZ96" i="11"/>
  <c r="EA96" i="11"/>
  <c r="EW96" i="11"/>
  <c r="ER96" i="11"/>
  <c r="EU96" i="11"/>
  <c r="EX96" i="11"/>
  <c r="ES96" i="11"/>
  <c r="DV96" i="11"/>
  <c r="EY96" i="11"/>
  <c r="EB96" i="11"/>
  <c r="ET96" i="11"/>
  <c r="EZ96" i="11"/>
  <c r="DP97" i="11"/>
  <c r="Q42" i="2"/>
  <c r="Q43" i="2"/>
  <c r="Q44" i="2"/>
  <c r="Q41" i="2"/>
  <c r="B94" i="2"/>
  <c r="AX15" i="2"/>
  <c r="AC15" i="2" s="1"/>
  <c r="AX16" i="2"/>
  <c r="AC16" i="2" s="1"/>
  <c r="AX17" i="2"/>
  <c r="AC17" i="2" s="1"/>
  <c r="AX18" i="2"/>
  <c r="AC18" i="2" s="1"/>
  <c r="AX19" i="2"/>
  <c r="AC19" i="2" s="1"/>
  <c r="AX20" i="2"/>
  <c r="AC20" i="2" s="1"/>
  <c r="AX21" i="2"/>
  <c r="AC21" i="2" s="1"/>
  <c r="AX13" i="2"/>
  <c r="AC13" i="2" s="1"/>
  <c r="AX14" i="2"/>
  <c r="AC14" i="2" s="1"/>
  <c r="AX12" i="2"/>
  <c r="AM20" i="2"/>
  <c r="Q20" i="2" s="1"/>
  <c r="AM13" i="2"/>
  <c r="Q13" i="2" s="1"/>
  <c r="AM14" i="2"/>
  <c r="Q14" i="2" s="1"/>
  <c r="AM15" i="2"/>
  <c r="Q15" i="2" s="1"/>
  <c r="AM16" i="2"/>
  <c r="Q16" i="2" s="1"/>
  <c r="AM17" i="2"/>
  <c r="Q17" i="2" s="1"/>
  <c r="AM18" i="2"/>
  <c r="Q18" i="2" s="1"/>
  <c r="AM19" i="2"/>
  <c r="Q19" i="2" s="1"/>
  <c r="AM12" i="2"/>
  <c r="Q12" i="2" s="1"/>
  <c r="E69" i="2" s="1"/>
  <c r="J76" i="2" l="1"/>
  <c r="E178" i="21"/>
  <c r="J71" i="2"/>
  <c r="E173" i="21"/>
  <c r="J72" i="2"/>
  <c r="E174" i="21"/>
  <c r="J70" i="2"/>
  <c r="E172" i="21"/>
  <c r="J75" i="2"/>
  <c r="E177" i="21"/>
  <c r="J78" i="2"/>
  <c r="E180" i="21"/>
  <c r="J74" i="2"/>
  <c r="E176" i="21"/>
  <c r="J77" i="2"/>
  <c r="E179" i="21"/>
  <c r="J73" i="2"/>
  <c r="E175" i="21"/>
  <c r="AC12" i="2"/>
  <c r="D32" i="2"/>
  <c r="EC97" i="11"/>
  <c r="EG97" i="11"/>
  <c r="EK97" i="11"/>
  <c r="ED97" i="11"/>
  <c r="EH97" i="11"/>
  <c r="EL97" i="11"/>
  <c r="EE97" i="11"/>
  <c r="EM97" i="11"/>
  <c r="EF97" i="11"/>
  <c r="EN97" i="11"/>
  <c r="EI97" i="11"/>
  <c r="EJ97" i="11"/>
  <c r="CD119" i="11"/>
  <c r="CR118" i="11"/>
  <c r="CV118" i="11"/>
  <c r="CZ118" i="11"/>
  <c r="CU118" i="11"/>
  <c r="CY118" i="11"/>
  <c r="CS118" i="11"/>
  <c r="CW118" i="11"/>
  <c r="DA118" i="11"/>
  <c r="CQ118" i="11"/>
  <c r="CT118" i="11"/>
  <c r="CX118" i="11"/>
  <c r="DB118" i="11"/>
  <c r="DR97" i="11"/>
  <c r="DQ97" i="11"/>
  <c r="DX97" i="11"/>
  <c r="DS97" i="11"/>
  <c r="DY97" i="11"/>
  <c r="DW97" i="11"/>
  <c r="EP97" i="11"/>
  <c r="DT97" i="11"/>
  <c r="EO97" i="11"/>
  <c r="DU97" i="11"/>
  <c r="EQ97" i="11"/>
  <c r="EV97" i="11"/>
  <c r="DZ97" i="11"/>
  <c r="EU97" i="11"/>
  <c r="EA97" i="11"/>
  <c r="ER97" i="11"/>
  <c r="EW97" i="11"/>
  <c r="DV97" i="11"/>
  <c r="EX97" i="11"/>
  <c r="ES97" i="11"/>
  <c r="EB97" i="11"/>
  <c r="EY97" i="11"/>
  <c r="ET97" i="11"/>
  <c r="EZ97" i="11"/>
  <c r="DP98" i="11"/>
  <c r="F75" i="2"/>
  <c r="F69" i="2"/>
  <c r="E75" i="2"/>
  <c r="G174" i="21" l="1"/>
  <c r="G178" i="21"/>
  <c r="G182" i="21"/>
  <c r="G186" i="21"/>
  <c r="G190" i="21"/>
  <c r="G175" i="21"/>
  <c r="G179" i="21"/>
  <c r="G183" i="21"/>
  <c r="G187" i="21"/>
  <c r="G191" i="21"/>
  <c r="G173" i="21"/>
  <c r="G185" i="21"/>
  <c r="G172" i="21"/>
  <c r="G176" i="21"/>
  <c r="G180" i="21"/>
  <c r="G184" i="21"/>
  <c r="G188" i="21"/>
  <c r="G171" i="21"/>
  <c r="G177" i="21"/>
  <c r="G181" i="21"/>
  <c r="G189" i="21"/>
  <c r="J69" i="2"/>
  <c r="E171" i="21"/>
  <c r="EC98" i="11"/>
  <c r="EG98" i="11"/>
  <c r="EK98" i="11"/>
  <c r="ED98" i="11"/>
  <c r="EH98" i="11"/>
  <c r="EL98" i="11"/>
  <c r="EI98" i="11"/>
  <c r="EJ98" i="11"/>
  <c r="EE98" i="11"/>
  <c r="EF98" i="11"/>
  <c r="EM98" i="11"/>
  <c r="EN98" i="11"/>
  <c r="CD120" i="11"/>
  <c r="CR119" i="11"/>
  <c r="CV119" i="11"/>
  <c r="CZ119" i="11"/>
  <c r="CY119" i="11"/>
  <c r="CS119" i="11"/>
  <c r="CW119" i="11"/>
  <c r="DA119" i="11"/>
  <c r="CU119" i="11"/>
  <c r="CT119" i="11"/>
  <c r="CX119" i="11"/>
  <c r="DB119" i="11"/>
  <c r="CQ119" i="11"/>
  <c r="DR98" i="11"/>
  <c r="DQ98" i="11"/>
  <c r="DS98" i="11"/>
  <c r="DX98" i="11"/>
  <c r="DY98" i="11"/>
  <c r="DW98" i="11"/>
  <c r="EP98" i="11"/>
  <c r="DT98" i="11"/>
  <c r="DZ98" i="11"/>
  <c r="EO98" i="11"/>
  <c r="DU98" i="11"/>
  <c r="EQ98" i="11"/>
  <c r="EV98" i="11"/>
  <c r="ER98" i="11"/>
  <c r="EW98" i="11"/>
  <c r="EU98" i="11"/>
  <c r="EA98" i="11"/>
  <c r="ES98" i="11"/>
  <c r="EX98" i="11"/>
  <c r="DV98" i="11"/>
  <c r="EB98" i="11"/>
  <c r="EY98" i="11"/>
  <c r="ET98" i="11"/>
  <c r="EZ98" i="11"/>
  <c r="DP99" i="11"/>
  <c r="F72" i="2"/>
  <c r="F79" i="2"/>
  <c r="E79" i="2"/>
  <c r="F77" i="2"/>
  <c r="E77" i="2"/>
  <c r="F78" i="2"/>
  <c r="E73" i="2"/>
  <c r="F76" i="2"/>
  <c r="E76" i="2"/>
  <c r="F70" i="2"/>
  <c r="E70" i="2"/>
  <c r="E74" i="2"/>
  <c r="E71" i="2"/>
  <c r="E72" i="2"/>
  <c r="F71" i="2"/>
  <c r="E78" i="2"/>
  <c r="F74" i="2"/>
  <c r="F73" i="2"/>
  <c r="EC99" i="11" l="1"/>
  <c r="ED99" i="11"/>
  <c r="EE99" i="11"/>
  <c r="EI99" i="11"/>
  <c r="EM99" i="11"/>
  <c r="EF99" i="11"/>
  <c r="EJ99" i="11"/>
  <c r="EN99" i="11"/>
  <c r="EG99" i="11"/>
  <c r="EH99" i="11"/>
  <c r="EK99" i="11"/>
  <c r="EL99" i="11"/>
  <c r="CD121" i="11"/>
  <c r="CR120" i="11"/>
  <c r="CV120" i="11"/>
  <c r="CZ120" i="11"/>
  <c r="CY120" i="11"/>
  <c r="CS120" i="11"/>
  <c r="CW120" i="11"/>
  <c r="DA120" i="11"/>
  <c r="CQ120" i="11"/>
  <c r="CT120" i="11"/>
  <c r="CX120" i="11"/>
  <c r="DB120" i="11"/>
  <c r="CU120" i="11"/>
  <c r="DR99" i="11"/>
  <c r="DX99" i="11"/>
  <c r="DQ99" i="11"/>
  <c r="DS99" i="11"/>
  <c r="DT99" i="11"/>
  <c r="EP99" i="11"/>
  <c r="DY99" i="11"/>
  <c r="DW99" i="11"/>
  <c r="EQ99" i="11"/>
  <c r="EV99" i="11"/>
  <c r="EO99" i="11"/>
  <c r="DU99" i="11"/>
  <c r="DZ99" i="11"/>
  <c r="ER99" i="11"/>
  <c r="EU99" i="11"/>
  <c r="EW99" i="11"/>
  <c r="EA99" i="11"/>
  <c r="EX99" i="11"/>
  <c r="ES99" i="11"/>
  <c r="DV99" i="11"/>
  <c r="EB99" i="11"/>
  <c r="EY99" i="11"/>
  <c r="ET99" i="11"/>
  <c r="EZ99" i="11"/>
  <c r="DP100" i="11"/>
  <c r="E80" i="2"/>
  <c r="F80" i="2"/>
  <c r="EE100" i="11" l="1"/>
  <c r="EI100" i="11"/>
  <c r="EM100" i="11"/>
  <c r="EF100" i="11"/>
  <c r="EJ100" i="11"/>
  <c r="EN100" i="11"/>
  <c r="EC100" i="11"/>
  <c r="EK100" i="11"/>
  <c r="ED100" i="11"/>
  <c r="EL100" i="11"/>
  <c r="EG100" i="11"/>
  <c r="EH100" i="11"/>
  <c r="CD122" i="11"/>
  <c r="CR121" i="11"/>
  <c r="CV121" i="11"/>
  <c r="CZ121" i="11"/>
  <c r="CY121" i="11"/>
  <c r="CS121" i="11"/>
  <c r="CW121" i="11"/>
  <c r="DA121" i="11"/>
  <c r="CQ121" i="11"/>
  <c r="CT121" i="11"/>
  <c r="CX121" i="11"/>
  <c r="DB121" i="11"/>
  <c r="CU121" i="11"/>
  <c r="DR100" i="11"/>
  <c r="DS100" i="11"/>
  <c r="DQ100" i="11"/>
  <c r="DX100" i="11"/>
  <c r="DT100" i="11"/>
  <c r="DW100" i="11"/>
  <c r="EP100" i="11"/>
  <c r="DY100" i="11"/>
  <c r="DZ100" i="11"/>
  <c r="EO100" i="11"/>
  <c r="EQ100" i="11"/>
  <c r="EV100" i="11"/>
  <c r="DU100" i="11"/>
  <c r="EA100" i="11"/>
  <c r="EW100" i="11"/>
  <c r="ER100" i="11"/>
  <c r="EU100" i="11"/>
  <c r="ES100" i="11"/>
  <c r="DV100" i="11"/>
  <c r="EX100" i="11"/>
  <c r="EB100" i="11"/>
  <c r="EY100" i="11"/>
  <c r="ET100" i="11"/>
  <c r="EZ100" i="11"/>
  <c r="DP101" i="11"/>
  <c r="F81" i="2"/>
  <c r="E81" i="2"/>
  <c r="EE101" i="11" l="1"/>
  <c r="EI101" i="11"/>
  <c r="EM101" i="11"/>
  <c r="EF101" i="11"/>
  <c r="EJ101" i="11"/>
  <c r="EN101" i="11"/>
  <c r="EG101" i="11"/>
  <c r="EH101" i="11"/>
  <c r="EC101" i="11"/>
  <c r="EK101" i="11"/>
  <c r="EL101" i="11"/>
  <c r="ED101" i="11"/>
  <c r="CD123" i="11"/>
  <c r="CR122" i="11"/>
  <c r="CV122" i="11"/>
  <c r="CZ122" i="11"/>
  <c r="CY122" i="11"/>
  <c r="CS122" i="11"/>
  <c r="CW122" i="11"/>
  <c r="DA122" i="11"/>
  <c r="CQ122" i="11"/>
  <c r="CT122" i="11"/>
  <c r="CX122" i="11"/>
  <c r="DB122" i="11"/>
  <c r="CU122" i="11"/>
  <c r="DR101" i="11"/>
  <c r="DX101" i="11"/>
  <c r="DQ101" i="11"/>
  <c r="DS101" i="11"/>
  <c r="DW101" i="11"/>
  <c r="DY101" i="11"/>
  <c r="DT101" i="11"/>
  <c r="EP101" i="11"/>
  <c r="EQ101" i="11"/>
  <c r="EV101" i="11"/>
  <c r="DU101" i="11"/>
  <c r="DZ101" i="11"/>
  <c r="EO101" i="11"/>
  <c r="EA101" i="11"/>
  <c r="EW101" i="11"/>
  <c r="EU101" i="11"/>
  <c r="ER101" i="11"/>
  <c r="DV101" i="11"/>
  <c r="ES101" i="11"/>
  <c r="EX101" i="11"/>
  <c r="EY101" i="11"/>
  <c r="EB101" i="11"/>
  <c r="ET101" i="11"/>
  <c r="EZ101" i="11"/>
  <c r="DP102" i="11"/>
  <c r="E82" i="2"/>
  <c r="F82" i="2"/>
  <c r="EE102" i="11" l="1"/>
  <c r="EI102" i="11"/>
  <c r="EM102" i="11"/>
  <c r="EF102" i="11"/>
  <c r="EJ102" i="11"/>
  <c r="EN102" i="11"/>
  <c r="EC102" i="11"/>
  <c r="EK102" i="11"/>
  <c r="ED102" i="11"/>
  <c r="EL102" i="11"/>
  <c r="EG102" i="11"/>
  <c r="EH102" i="11"/>
  <c r="CD124" i="11"/>
  <c r="CR123" i="11"/>
  <c r="CV123" i="11"/>
  <c r="CZ123" i="11"/>
  <c r="CU123" i="11"/>
  <c r="CS123" i="11"/>
  <c r="CW123" i="11"/>
  <c r="DA123" i="11"/>
  <c r="CQ123" i="11"/>
  <c r="CT123" i="11"/>
  <c r="CX123" i="11"/>
  <c r="DB123" i="11"/>
  <c r="CY123" i="11"/>
  <c r="AF2" i="3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AQ2" i="3" s="1"/>
  <c r="AR2" i="3" s="1"/>
  <c r="AS2" i="3" s="1"/>
  <c r="AT2" i="3" s="1"/>
  <c r="AU2" i="3" s="1"/>
  <c r="AV2" i="3" s="1"/>
  <c r="AW2" i="3" s="1"/>
  <c r="AX2" i="3" s="1"/>
  <c r="AY2" i="3" s="1"/>
  <c r="DR102" i="11"/>
  <c r="DS102" i="11"/>
  <c r="DX102" i="11"/>
  <c r="DQ102" i="11"/>
  <c r="EP102" i="11"/>
  <c r="DW102" i="11"/>
  <c r="DY102" i="11"/>
  <c r="DT102" i="11"/>
  <c r="DU102" i="11"/>
  <c r="EO102" i="11"/>
  <c r="EQ102" i="11"/>
  <c r="EV102" i="11"/>
  <c r="DZ102" i="11"/>
  <c r="ER102" i="11"/>
  <c r="EW102" i="11"/>
  <c r="EA102" i="11"/>
  <c r="EU102" i="11"/>
  <c r="EX102" i="11"/>
  <c r="DV102" i="11"/>
  <c r="ES102" i="11"/>
  <c r="EB102" i="11"/>
  <c r="EY102" i="11"/>
  <c r="ET102" i="11"/>
  <c r="EZ102" i="11"/>
  <c r="DP103" i="11"/>
  <c r="F83" i="2"/>
  <c r="E83" i="2"/>
  <c r="EE103" i="11" l="1"/>
  <c r="EI103" i="11"/>
  <c r="EM103" i="11"/>
  <c r="EF103" i="11"/>
  <c r="EJ103" i="11"/>
  <c r="EN103" i="11"/>
  <c r="EG103" i="11"/>
  <c r="EH103" i="11"/>
  <c r="EC103" i="11"/>
  <c r="EK103" i="11"/>
  <c r="ED103" i="11"/>
  <c r="EL103" i="11"/>
  <c r="CD125" i="11"/>
  <c r="CR124" i="11"/>
  <c r="CV124" i="11"/>
  <c r="CZ124" i="11"/>
  <c r="CY124" i="11"/>
  <c r="CS124" i="11"/>
  <c r="CW124" i="11"/>
  <c r="DA124" i="11"/>
  <c r="CQ124" i="11"/>
  <c r="CT124" i="11"/>
  <c r="CX124" i="11"/>
  <c r="DB124" i="11"/>
  <c r="CU124" i="11"/>
  <c r="DR103" i="11"/>
  <c r="DS103" i="11"/>
  <c r="DQ103" i="11"/>
  <c r="DX103" i="11"/>
  <c r="EP103" i="11"/>
  <c r="DT103" i="11"/>
  <c r="DW103" i="11"/>
  <c r="DY103" i="11"/>
  <c r="DU103" i="11"/>
  <c r="DZ103" i="11"/>
  <c r="EQ103" i="11"/>
  <c r="EV103" i="11"/>
  <c r="EO103" i="11"/>
  <c r="EU103" i="11"/>
  <c r="ER103" i="11"/>
  <c r="EA103" i="11"/>
  <c r="EW103" i="11"/>
  <c r="DV103" i="11"/>
  <c r="EX103" i="11"/>
  <c r="ES103" i="11"/>
  <c r="EB103" i="11"/>
  <c r="EY103" i="11"/>
  <c r="ET103" i="11"/>
  <c r="EZ103" i="11"/>
  <c r="DP104" i="11"/>
  <c r="F84" i="2"/>
  <c r="E84" i="2"/>
  <c r="EE104" i="11" l="1"/>
  <c r="EI104" i="11"/>
  <c r="EM104" i="11"/>
  <c r="EF104" i="11"/>
  <c r="EJ104" i="11"/>
  <c r="EN104" i="11"/>
  <c r="EC104" i="11"/>
  <c r="EK104" i="11"/>
  <c r="ED104" i="11"/>
  <c r="EL104" i="11"/>
  <c r="EG104" i="11"/>
  <c r="EH104" i="11"/>
  <c r="CD126" i="11"/>
  <c r="CR125" i="11"/>
  <c r="CV125" i="11"/>
  <c r="CZ125" i="11"/>
  <c r="CY125" i="11"/>
  <c r="CS125" i="11"/>
  <c r="CW125" i="11"/>
  <c r="DA125" i="11"/>
  <c r="CQ125" i="11"/>
  <c r="CT125" i="11"/>
  <c r="CX125" i="11"/>
  <c r="DB125" i="11"/>
  <c r="CU125" i="11"/>
  <c r="DR104" i="11"/>
  <c r="DX104" i="11"/>
  <c r="DQ104" i="11"/>
  <c r="DS104" i="11"/>
  <c r="DT104" i="11"/>
  <c r="DW104" i="11"/>
  <c r="EP104" i="11"/>
  <c r="DY104" i="11"/>
  <c r="EO104" i="11"/>
  <c r="DU104" i="11"/>
  <c r="DZ104" i="11"/>
  <c r="EQ104" i="11"/>
  <c r="EV104" i="11"/>
  <c r="EW104" i="11"/>
  <c r="EA104" i="11"/>
  <c r="EU104" i="11"/>
  <c r="ER104" i="11"/>
  <c r="ES104" i="11"/>
  <c r="DV104" i="11"/>
  <c r="EX104" i="11"/>
  <c r="EB104" i="11"/>
  <c r="EY104" i="11"/>
  <c r="ET104" i="11"/>
  <c r="EZ104" i="11"/>
  <c r="DP105" i="11"/>
  <c r="F85" i="2"/>
  <c r="E85" i="2"/>
  <c r="EE105" i="11" l="1"/>
  <c r="EI105" i="11"/>
  <c r="EM105" i="11"/>
  <c r="EF105" i="11"/>
  <c r="EJ105" i="11"/>
  <c r="EN105" i="11"/>
  <c r="EG105" i="11"/>
  <c r="EH105" i="11"/>
  <c r="EC105" i="11"/>
  <c r="EK105" i="11"/>
  <c r="ED105" i="11"/>
  <c r="EL105" i="11"/>
  <c r="CD127" i="11"/>
  <c r="CR126" i="11"/>
  <c r="CV126" i="11"/>
  <c r="CZ126" i="11"/>
  <c r="CY126" i="11"/>
  <c r="CS126" i="11"/>
  <c r="CW126" i="11"/>
  <c r="DA126" i="11"/>
  <c r="CQ126" i="11"/>
  <c r="CT126" i="11"/>
  <c r="CX126" i="11"/>
  <c r="DB126" i="11"/>
  <c r="CU126" i="11"/>
  <c r="DR105" i="11"/>
  <c r="DX105" i="11"/>
  <c r="DS105" i="11"/>
  <c r="DQ105" i="11"/>
  <c r="DY105" i="11"/>
  <c r="DT105" i="11"/>
  <c r="DW105" i="11"/>
  <c r="EP105" i="11"/>
  <c r="EO105" i="11"/>
  <c r="DU105" i="11"/>
  <c r="DZ105" i="11"/>
  <c r="EQ105" i="11"/>
  <c r="EV105" i="11"/>
  <c r="ER105" i="11"/>
  <c r="EW105" i="11"/>
  <c r="EU105" i="11"/>
  <c r="EA105" i="11"/>
  <c r="ES105" i="11"/>
  <c r="DV105" i="11"/>
  <c r="EX105" i="11"/>
  <c r="EY105" i="11"/>
  <c r="EB105" i="11"/>
  <c r="ET105" i="11"/>
  <c r="EZ105" i="11"/>
  <c r="DP106" i="11"/>
  <c r="F86" i="2"/>
  <c r="E86" i="2"/>
  <c r="EE106" i="11" l="1"/>
  <c r="EI106" i="11"/>
  <c r="EM106" i="11"/>
  <c r="EF106" i="11"/>
  <c r="EJ106" i="11"/>
  <c r="EN106" i="11"/>
  <c r="EC106" i="11"/>
  <c r="EK106" i="11"/>
  <c r="ED106" i="11"/>
  <c r="EL106" i="11"/>
  <c r="EG106" i="11"/>
  <c r="EH106" i="11"/>
  <c r="CR127" i="11"/>
  <c r="CV127" i="11"/>
  <c r="CZ127" i="11"/>
  <c r="CY127" i="11"/>
  <c r="CS127" i="11"/>
  <c r="CW127" i="11"/>
  <c r="DA127" i="11"/>
  <c r="CQ127" i="11"/>
  <c r="CT127" i="11"/>
  <c r="CX127" i="11"/>
  <c r="DB127" i="11"/>
  <c r="CU127" i="11"/>
  <c r="DR106" i="11"/>
  <c r="DQ106" i="11"/>
  <c r="DX106" i="11"/>
  <c r="DS106" i="11"/>
  <c r="DY106" i="11"/>
  <c r="DW106" i="11"/>
  <c r="EP106" i="11"/>
  <c r="DT106" i="11"/>
  <c r="EQ106" i="11"/>
  <c r="EV106" i="11"/>
  <c r="DZ106" i="11"/>
  <c r="EO106" i="11"/>
  <c r="DU106" i="11"/>
  <c r="EA106" i="11"/>
  <c r="EW106" i="11"/>
  <c r="EU106" i="11"/>
  <c r="ER106" i="11"/>
  <c r="ES106" i="11"/>
  <c r="DV106" i="11"/>
  <c r="EX106" i="11"/>
  <c r="EY106" i="11"/>
  <c r="EB106" i="11"/>
  <c r="ET106" i="11"/>
  <c r="EZ106" i="11"/>
  <c r="DP107" i="11"/>
  <c r="F87" i="2"/>
  <c r="E87" i="2"/>
  <c r="EE107" i="11" l="1"/>
  <c r="EI107" i="11"/>
  <c r="EM107" i="11"/>
  <c r="EF107" i="11"/>
  <c r="EJ107" i="11"/>
  <c r="EN107" i="11"/>
  <c r="EG107" i="11"/>
  <c r="EH107" i="11"/>
  <c r="EC107" i="11"/>
  <c r="EK107" i="11"/>
  <c r="ED107" i="11"/>
  <c r="EL107" i="11"/>
  <c r="DR107" i="11"/>
  <c r="DS107" i="11"/>
  <c r="DQ107" i="11"/>
  <c r="DX107" i="11"/>
  <c r="DW107" i="11"/>
  <c r="DT107" i="11"/>
  <c r="DY107" i="11"/>
  <c r="EP107" i="11"/>
  <c r="EQ107" i="11"/>
  <c r="EV107" i="11"/>
  <c r="DU107" i="11"/>
  <c r="DZ107" i="11"/>
  <c r="EO107" i="11"/>
  <c r="ER107" i="11"/>
  <c r="EU107" i="11"/>
  <c r="EA107" i="11"/>
  <c r="EW107" i="11"/>
  <c r="EX107" i="11"/>
  <c r="ES107" i="11"/>
  <c r="DV107" i="11"/>
  <c r="EY107" i="11"/>
  <c r="EB107" i="11"/>
  <c r="ET107" i="11"/>
  <c r="EZ107" i="11"/>
  <c r="DP108" i="11"/>
  <c r="E88" i="2"/>
  <c r="F88" i="2"/>
  <c r="EE108" i="11" l="1"/>
  <c r="EI108" i="11"/>
  <c r="EM108" i="11"/>
  <c r="EF108" i="11"/>
  <c r="EJ108" i="11"/>
  <c r="EN108" i="11"/>
  <c r="EC108" i="11"/>
  <c r="EK108" i="11"/>
  <c r="ED108" i="11"/>
  <c r="EL108" i="11"/>
  <c r="EG108" i="11"/>
  <c r="EH108" i="11"/>
  <c r="DR108" i="11"/>
  <c r="DS108" i="11"/>
  <c r="DX108" i="11"/>
  <c r="DQ108" i="11"/>
  <c r="DT108" i="11"/>
  <c r="DW108" i="11"/>
  <c r="DY108" i="11"/>
  <c r="EP108" i="11"/>
  <c r="EQ108" i="11"/>
  <c r="DZ108" i="11"/>
  <c r="EV108" i="11"/>
  <c r="DU108" i="11"/>
  <c r="EO108" i="11"/>
  <c r="EW108" i="11"/>
  <c r="ER108" i="11"/>
  <c r="EA108" i="11"/>
  <c r="EU108" i="11"/>
  <c r="EX108" i="11"/>
  <c r="ES108" i="11"/>
  <c r="DV108" i="11"/>
  <c r="EB108" i="11"/>
  <c r="EY108" i="11"/>
  <c r="ET108" i="11"/>
  <c r="EZ108" i="11"/>
  <c r="DP109" i="11"/>
  <c r="F89" i="2"/>
  <c r="E89" i="2"/>
  <c r="EE109" i="11" l="1"/>
  <c r="EI109" i="11"/>
  <c r="EM109" i="11"/>
  <c r="EF109" i="11"/>
  <c r="EJ109" i="11"/>
  <c r="EN109" i="11"/>
  <c r="EG109" i="11"/>
  <c r="EH109" i="11"/>
  <c r="EC109" i="11"/>
  <c r="EK109" i="11"/>
  <c r="EL109" i="11"/>
  <c r="ED109" i="11"/>
  <c r="DR109" i="11"/>
  <c r="DS109" i="11"/>
  <c r="DX109" i="11"/>
  <c r="DQ109" i="11"/>
  <c r="EP109" i="11"/>
  <c r="DT109" i="11"/>
  <c r="DW109" i="11"/>
  <c r="DY109" i="11"/>
  <c r="DU109" i="11"/>
  <c r="DZ109" i="11"/>
  <c r="EO109" i="11"/>
  <c r="EQ109" i="11"/>
  <c r="EV109" i="11"/>
  <c r="EU109" i="11"/>
  <c r="ER109" i="11"/>
  <c r="EA109" i="11"/>
  <c r="EW109" i="11"/>
  <c r="DV109" i="11"/>
  <c r="ES109" i="11"/>
  <c r="EX109" i="11"/>
  <c r="EB109" i="11"/>
  <c r="EY109" i="11"/>
  <c r="ET109" i="11"/>
  <c r="EZ109" i="11"/>
  <c r="DP110" i="11"/>
  <c r="B2" i="2"/>
  <c r="L13" i="2"/>
  <c r="L14" i="2"/>
  <c r="L24" i="2" s="1"/>
  <c r="L15" i="2"/>
  <c r="L25" i="2" s="1"/>
  <c r="L16" i="2"/>
  <c r="L26" i="2" s="1"/>
  <c r="L17" i="2"/>
  <c r="L27" i="2" s="1"/>
  <c r="L18" i="2"/>
  <c r="L28" i="2" s="1"/>
  <c r="L12" i="2"/>
  <c r="P12" i="2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EE110" i="11" l="1"/>
  <c r="EI110" i="11"/>
  <c r="EM110" i="11"/>
  <c r="EF110" i="11"/>
  <c r="EJ110" i="11"/>
  <c r="EN110" i="11"/>
  <c r="EC110" i="11"/>
  <c r="EK110" i="11"/>
  <c r="ED110" i="11"/>
  <c r="EL110" i="11"/>
  <c r="EG110" i="11"/>
  <c r="EH110" i="11"/>
  <c r="D117" i="2"/>
  <c r="D62" i="10" s="1"/>
  <c r="D170" i="10" s="1"/>
  <c r="D196" i="10" s="1"/>
  <c r="D222" i="10" s="1"/>
  <c r="DR110" i="11"/>
  <c r="DX110" i="11"/>
  <c r="DS110" i="11"/>
  <c r="DQ110" i="11"/>
  <c r="EP110" i="11"/>
  <c r="DT110" i="11"/>
  <c r="DW110" i="11"/>
  <c r="DY110" i="11"/>
  <c r="EO110" i="11"/>
  <c r="DZ110" i="11"/>
  <c r="DU110" i="11"/>
  <c r="EQ110" i="11"/>
  <c r="EV110" i="11"/>
  <c r="EW110" i="11"/>
  <c r="EU110" i="11"/>
  <c r="ER110" i="11"/>
  <c r="EA110" i="11"/>
  <c r="ES110" i="11"/>
  <c r="DV110" i="11"/>
  <c r="EX110" i="11"/>
  <c r="EB110" i="11"/>
  <c r="EY110" i="11"/>
  <c r="ET110" i="11"/>
  <c r="EZ110" i="11"/>
  <c r="D68" i="2"/>
  <c r="DP111" i="11"/>
  <c r="AB12" i="2"/>
  <c r="AB13" i="2" s="1"/>
  <c r="AB14" i="2" s="1"/>
  <c r="AB15" i="2" s="1"/>
  <c r="AB16" i="2" s="1"/>
  <c r="AB17" i="2" s="1"/>
  <c r="AB18" i="2" s="1"/>
  <c r="AB19" i="2" s="1"/>
  <c r="AB20" i="2" s="1"/>
  <c r="AB21" i="2" s="1"/>
  <c r="AB22" i="2" s="1"/>
  <c r="AB23" i="2" s="1"/>
  <c r="AB24" i="2" s="1"/>
  <c r="AB25" i="2" s="1"/>
  <c r="AB26" i="2" s="1"/>
  <c r="AB27" i="2" s="1"/>
  <c r="AB28" i="2" s="1"/>
  <c r="AB29" i="2" s="1"/>
  <c r="AB30" i="2" s="1"/>
  <c r="AB31" i="2" s="1"/>
  <c r="AB32" i="2" s="1"/>
  <c r="U36" i="2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P13" i="2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R11" i="2"/>
  <c r="L23" i="2"/>
  <c r="Q11" i="2"/>
  <c r="L22" i="2"/>
  <c r="AR29" i="8"/>
  <c r="AS29" i="8"/>
  <c r="AU29" i="8"/>
  <c r="AV29" i="8"/>
  <c r="AW29" i="8"/>
  <c r="AX29" i="8"/>
  <c r="AJ29" i="8"/>
  <c r="AL29" i="8"/>
  <c r="AM29" i="8"/>
  <c r="AN29" i="8"/>
  <c r="AO29" i="8"/>
  <c r="AP29" i="8"/>
  <c r="L29" i="8"/>
  <c r="M29" i="8"/>
  <c r="D29" i="8"/>
  <c r="F29" i="8"/>
  <c r="G29" i="8"/>
  <c r="H29" i="8"/>
  <c r="I29" i="8"/>
  <c r="J29" i="8"/>
  <c r="AI29" i="8"/>
  <c r="K29" i="8"/>
  <c r="EE111" i="11" l="1"/>
  <c r="EI111" i="11"/>
  <c r="EM111" i="11"/>
  <c r="EF111" i="11"/>
  <c r="EJ111" i="11"/>
  <c r="EN111" i="11"/>
  <c r="EG111" i="11"/>
  <c r="EH111" i="11"/>
  <c r="EC111" i="11"/>
  <c r="EK111" i="11"/>
  <c r="ED111" i="11"/>
  <c r="EL111" i="11"/>
  <c r="DR111" i="11"/>
  <c r="DX111" i="11"/>
  <c r="DS111" i="11"/>
  <c r="DQ111" i="11"/>
  <c r="EP111" i="11"/>
  <c r="DY111" i="11"/>
  <c r="DT111" i="11"/>
  <c r="DW111" i="11"/>
  <c r="EO111" i="11"/>
  <c r="EQ111" i="11"/>
  <c r="DZ111" i="11"/>
  <c r="EV111" i="11"/>
  <c r="DU111" i="11"/>
  <c r="EW111" i="11"/>
  <c r="EU111" i="11"/>
  <c r="ER111" i="11"/>
  <c r="EA111" i="11"/>
  <c r="ES111" i="11"/>
  <c r="DV111" i="11"/>
  <c r="EX111" i="11"/>
  <c r="EY111" i="11"/>
  <c r="EB111" i="11"/>
  <c r="ET111" i="11"/>
  <c r="EZ111" i="11"/>
  <c r="DP112" i="11"/>
  <c r="C2" i="2"/>
  <c r="J13" i="2"/>
  <c r="J14" i="2" s="1"/>
  <c r="EE112" i="11" l="1"/>
  <c r="EI112" i="11"/>
  <c r="EM112" i="11"/>
  <c r="EF112" i="11"/>
  <c r="EJ112" i="11"/>
  <c r="EN112" i="11"/>
  <c r="EC112" i="11"/>
  <c r="EK112" i="11"/>
  <c r="ED112" i="11"/>
  <c r="EL112" i="11"/>
  <c r="EG112" i="11"/>
  <c r="EH112" i="11"/>
  <c r="E117" i="2"/>
  <c r="E62" i="10" s="1"/>
  <c r="DR112" i="11"/>
  <c r="DQ112" i="11"/>
  <c r="DX112" i="11"/>
  <c r="DS112" i="11"/>
  <c r="DY112" i="11"/>
  <c r="DW112" i="11"/>
  <c r="EP112" i="11"/>
  <c r="DT112" i="11"/>
  <c r="EQ112" i="11"/>
  <c r="EV112" i="11"/>
  <c r="EO112" i="11"/>
  <c r="DZ112" i="11"/>
  <c r="DU112" i="11"/>
  <c r="EA112" i="11"/>
  <c r="EU112" i="11"/>
  <c r="EW112" i="11"/>
  <c r="ER112" i="11"/>
  <c r="DV112" i="11"/>
  <c r="ES112" i="11"/>
  <c r="EX112" i="11"/>
  <c r="EY112" i="11"/>
  <c r="EB112" i="11"/>
  <c r="ET112" i="11"/>
  <c r="EZ112" i="11"/>
  <c r="E68" i="2"/>
  <c r="DP113" i="11"/>
  <c r="S11" i="2"/>
  <c r="D2" i="2"/>
  <c r="E2" i="2" s="1"/>
  <c r="F2" i="2" s="1"/>
  <c r="G2" i="2" s="1"/>
  <c r="H2" i="2" s="1"/>
  <c r="I2" i="2" s="1"/>
  <c r="J2" i="2" s="1"/>
  <c r="K2" i="2" s="1"/>
  <c r="L2" i="2" s="1"/>
  <c r="C7" i="4"/>
  <c r="D7" i="4" s="1"/>
  <c r="C8" i="4"/>
  <c r="D8" i="4" s="1"/>
  <c r="E170" i="10" l="1"/>
  <c r="E196" i="10" s="1"/>
  <c r="E222" i="10" s="1"/>
  <c r="EE113" i="11"/>
  <c r="EI113" i="11"/>
  <c r="EF113" i="11"/>
  <c r="EG113" i="11"/>
  <c r="EL113" i="11"/>
  <c r="EH113" i="11"/>
  <c r="EM113" i="11"/>
  <c r="EC113" i="11"/>
  <c r="EJ113" i="11"/>
  <c r="EN113" i="11"/>
  <c r="ED113" i="11"/>
  <c r="EK113" i="11"/>
  <c r="H62" i="10"/>
  <c r="H170" i="10" s="1"/>
  <c r="H196" i="10" s="1"/>
  <c r="H222" i="10" s="1"/>
  <c r="I117" i="2"/>
  <c r="G117" i="2"/>
  <c r="G62" i="10" s="1"/>
  <c r="F117" i="2"/>
  <c r="F62" i="10" s="1"/>
  <c r="M2" i="2"/>
  <c r="DR113" i="11"/>
  <c r="DS113" i="11"/>
  <c r="DX113" i="11"/>
  <c r="DQ113" i="11"/>
  <c r="DW113" i="11"/>
  <c r="EP113" i="11"/>
  <c r="DT113" i="11"/>
  <c r="DY113" i="11"/>
  <c r="EQ113" i="11"/>
  <c r="EV113" i="11"/>
  <c r="DZ113" i="11"/>
  <c r="DU113" i="11"/>
  <c r="EO113" i="11"/>
  <c r="EA113" i="11"/>
  <c r="EW113" i="11"/>
  <c r="EU113" i="11"/>
  <c r="ER113" i="11"/>
  <c r="EX113" i="11"/>
  <c r="DV113" i="11"/>
  <c r="ES113" i="11"/>
  <c r="EY113" i="11"/>
  <c r="EB113" i="11"/>
  <c r="ET113" i="11"/>
  <c r="EZ113" i="11"/>
  <c r="I68" i="2"/>
  <c r="H68" i="2"/>
  <c r="F68" i="2"/>
  <c r="G68" i="2"/>
  <c r="J68" i="2"/>
  <c r="DP114" i="11"/>
  <c r="E93" i="2"/>
  <c r="U11" i="2"/>
  <c r="V11" i="2"/>
  <c r="T11" i="2"/>
  <c r="W11" i="2"/>
  <c r="C26" i="2"/>
  <c r="H50" i="2" s="1"/>
  <c r="C29" i="2"/>
  <c r="C30" i="2"/>
  <c r="C31" i="2"/>
  <c r="C32" i="2"/>
  <c r="H56" i="2" s="1"/>
  <c r="B2" i="8"/>
  <c r="AQ29" i="8"/>
  <c r="C29" i="8"/>
  <c r="B9" i="8"/>
  <c r="B36" i="8" l="1"/>
  <c r="I62" i="10"/>
  <c r="I170" i="10" s="1"/>
  <c r="I196" i="10" s="1"/>
  <c r="I222" i="10" s="1"/>
  <c r="V5" i="9"/>
  <c r="B10" i="8"/>
  <c r="B37" i="8" s="1"/>
  <c r="B63" i="8"/>
  <c r="B89" i="8" s="1"/>
  <c r="G170" i="10"/>
  <c r="G196" i="10" s="1"/>
  <c r="G222" i="10" s="1"/>
  <c r="F170" i="10"/>
  <c r="F196" i="10" s="1"/>
  <c r="F222" i="10" s="1"/>
  <c r="ED114" i="11"/>
  <c r="EH114" i="11"/>
  <c r="EL114" i="11"/>
  <c r="EE114" i="11"/>
  <c r="EI114" i="11"/>
  <c r="EM114" i="11"/>
  <c r="EF114" i="11"/>
  <c r="EJ114" i="11"/>
  <c r="EN114" i="11"/>
  <c r="EG114" i="11"/>
  <c r="EK114" i="11"/>
  <c r="EC114" i="11"/>
  <c r="N2" i="2"/>
  <c r="J117" i="2"/>
  <c r="I23" i="20"/>
  <c r="I50" i="20" s="1"/>
  <c r="C37" i="2"/>
  <c r="H55" i="2"/>
  <c r="C36" i="2"/>
  <c r="H54" i="2"/>
  <c r="D9" i="11"/>
  <c r="D10" i="11"/>
  <c r="D10" i="4"/>
  <c r="C35" i="2"/>
  <c r="E172" i="10" s="1"/>
  <c r="Q172" i="10" s="1"/>
  <c r="H53" i="2"/>
  <c r="I23" i="18"/>
  <c r="I18" i="18" s="1"/>
  <c r="I23" i="19"/>
  <c r="I23" i="13"/>
  <c r="Q62" i="10"/>
  <c r="DR114" i="11"/>
  <c r="DQ114" i="11"/>
  <c r="DS114" i="11"/>
  <c r="DX114" i="11"/>
  <c r="DT114" i="11"/>
  <c r="DW114" i="11"/>
  <c r="DY114" i="11"/>
  <c r="EP114" i="11"/>
  <c r="EQ114" i="11"/>
  <c r="DZ114" i="11"/>
  <c r="EO114" i="11"/>
  <c r="EV114" i="11"/>
  <c r="DU114" i="11"/>
  <c r="ER114" i="11"/>
  <c r="EW114" i="11"/>
  <c r="EA114" i="11"/>
  <c r="EU114" i="11"/>
  <c r="ES114" i="11"/>
  <c r="DV114" i="11"/>
  <c r="EX114" i="11"/>
  <c r="EY114" i="11"/>
  <c r="EB114" i="11"/>
  <c r="ET114" i="11"/>
  <c r="EZ114" i="11"/>
  <c r="J16" i="4"/>
  <c r="DP115" i="11"/>
  <c r="D93" i="2"/>
  <c r="F93" i="2"/>
  <c r="E104" i="2"/>
  <c r="E106" i="2"/>
  <c r="E111" i="2"/>
  <c r="E103" i="2"/>
  <c r="E98" i="2"/>
  <c r="E100" i="2"/>
  <c r="E105" i="2"/>
  <c r="E101" i="2"/>
  <c r="E108" i="2"/>
  <c r="E113" i="2"/>
  <c r="E95" i="2"/>
  <c r="E97" i="2"/>
  <c r="E102" i="2"/>
  <c r="E110" i="2"/>
  <c r="E112" i="2"/>
  <c r="E94" i="2"/>
  <c r="E99" i="2"/>
  <c r="E107" i="2"/>
  <c r="E109" i="2"/>
  <c r="E114" i="2"/>
  <c r="E96" i="2"/>
  <c r="C2" i="8"/>
  <c r="D2" i="8" s="1"/>
  <c r="E2" i="8" s="1"/>
  <c r="F2" i="8" s="1"/>
  <c r="G2" i="8" s="1"/>
  <c r="H2" i="8" s="1"/>
  <c r="I2" i="8" s="1"/>
  <c r="J2" i="8" s="1"/>
  <c r="K2" i="8" s="1"/>
  <c r="L2" i="8" s="1"/>
  <c r="M2" i="8" s="1"/>
  <c r="N2" i="8" s="1"/>
  <c r="O2" i="8" s="1"/>
  <c r="P2" i="8" s="1"/>
  <c r="Q2" i="8" s="1"/>
  <c r="R2" i="8" s="1"/>
  <c r="J93" i="2"/>
  <c r="G6" i="8"/>
  <c r="G33" i="8" s="1"/>
  <c r="G93" i="2"/>
  <c r="I6" i="8"/>
  <c r="I33" i="8" s="1"/>
  <c r="I93" i="2"/>
  <c r="H6" i="8"/>
  <c r="H33" i="8" s="1"/>
  <c r="H93" i="2"/>
  <c r="J6" i="8"/>
  <c r="J33" i="8" s="1"/>
  <c r="F6" i="8"/>
  <c r="F33" i="8" s="1"/>
  <c r="D6" i="8"/>
  <c r="D33" i="8" s="1"/>
  <c r="E6" i="8"/>
  <c r="E33" i="8" s="1"/>
  <c r="D11" i="4"/>
  <c r="B2" i="4"/>
  <c r="F12" i="7" l="1"/>
  <c r="F18" i="7" s="1"/>
  <c r="F24" i="7" s="1"/>
  <c r="J62" i="10"/>
  <c r="G12" i="7" s="1"/>
  <c r="E191" i="10"/>
  <c r="E175" i="10"/>
  <c r="E178" i="10"/>
  <c r="E188" i="10"/>
  <c r="E181" i="10"/>
  <c r="E184" i="10"/>
  <c r="E187" i="10"/>
  <c r="E190" i="10"/>
  <c r="E174" i="10"/>
  <c r="E177" i="10"/>
  <c r="E180" i="10"/>
  <c r="E183" i="10"/>
  <c r="E186" i="10"/>
  <c r="E189" i="10"/>
  <c r="E173" i="10"/>
  <c r="Q173" i="10" s="1"/>
  <c r="E192" i="10"/>
  <c r="E176" i="10"/>
  <c r="E179" i="10"/>
  <c r="E182" i="10"/>
  <c r="E185" i="10"/>
  <c r="J99" i="2"/>
  <c r="J105" i="2"/>
  <c r="J111" i="2"/>
  <c r="J97" i="2"/>
  <c r="J100" i="2"/>
  <c r="J106" i="2"/>
  <c r="J112" i="2"/>
  <c r="J98" i="2"/>
  <c r="J101" i="2"/>
  <c r="J107" i="2"/>
  <c r="J113" i="2"/>
  <c r="J94" i="2"/>
  <c r="J102" i="2"/>
  <c r="J108" i="2"/>
  <c r="J114" i="2"/>
  <c r="J103" i="2"/>
  <c r="J109" i="2"/>
  <c r="J95" i="2"/>
  <c r="J104" i="2"/>
  <c r="J110" i="2"/>
  <c r="J96" i="2"/>
  <c r="S2" i="8"/>
  <c r="T2" i="8" s="1"/>
  <c r="U2" i="8" s="1"/>
  <c r="V2" i="8" s="1"/>
  <c r="W2" i="8" s="1"/>
  <c r="X2" i="8" s="1"/>
  <c r="Y2" i="8" s="1"/>
  <c r="Z2" i="8" s="1"/>
  <c r="AA2" i="8" s="1"/>
  <c r="AB2" i="8" s="1"/>
  <c r="AC2" i="8" s="1"/>
  <c r="AD2" i="8" s="1"/>
  <c r="AE2" i="8" s="1"/>
  <c r="AF2" i="8" s="1"/>
  <c r="AG2" i="8" s="1"/>
  <c r="AH2" i="8" s="1"/>
  <c r="AI2" i="8" s="1"/>
  <c r="AJ2" i="8" s="1"/>
  <c r="AK2" i="8" s="1"/>
  <c r="AL2" i="8" s="1"/>
  <c r="AM2" i="8" s="1"/>
  <c r="AN2" i="8" s="1"/>
  <c r="AO2" i="8" s="1"/>
  <c r="AP2" i="8" s="1"/>
  <c r="AQ2" i="8" s="1"/>
  <c r="AR2" i="8" s="1"/>
  <c r="AS2" i="8" s="1"/>
  <c r="AT2" i="8" s="1"/>
  <c r="AU2" i="8" s="1"/>
  <c r="AV2" i="8" s="1"/>
  <c r="AW2" i="8" s="1"/>
  <c r="AX2" i="8" s="1"/>
  <c r="AY2" i="8" s="1"/>
  <c r="AZ2" i="8" s="1"/>
  <c r="BA2" i="8" s="1"/>
  <c r="BB2" i="8" s="1"/>
  <c r="BC2" i="8" s="1"/>
  <c r="BD2" i="8" s="1"/>
  <c r="BE2" i="8" s="1"/>
  <c r="BF2" i="8" s="1"/>
  <c r="BG2" i="8" s="1"/>
  <c r="BH2" i="8" s="1"/>
  <c r="B11" i="8"/>
  <c r="B64" i="8"/>
  <c r="B90" i="8" s="1"/>
  <c r="R6" i="8"/>
  <c r="J60" i="8"/>
  <c r="J86" i="8" s="1"/>
  <c r="Q6" i="8"/>
  <c r="I60" i="8"/>
  <c r="I86" i="8" s="1"/>
  <c r="M6" i="8"/>
  <c r="E60" i="8"/>
  <c r="E86" i="8" s="1"/>
  <c r="N6" i="8"/>
  <c r="F60" i="8"/>
  <c r="F86" i="8" s="1"/>
  <c r="L6" i="8"/>
  <c r="D60" i="8"/>
  <c r="D86" i="8" s="1"/>
  <c r="P6" i="8"/>
  <c r="H60" i="8"/>
  <c r="H86" i="8" s="1"/>
  <c r="O6" i="8"/>
  <c r="G60" i="8"/>
  <c r="G86" i="8" s="1"/>
  <c r="E198" i="10"/>
  <c r="Q198" i="10" s="1"/>
  <c r="G172" i="10"/>
  <c r="G173" i="10"/>
  <c r="G177" i="10"/>
  <c r="G181" i="10"/>
  <c r="G185" i="10"/>
  <c r="G189" i="10"/>
  <c r="G179" i="10"/>
  <c r="G183" i="10"/>
  <c r="G187" i="10"/>
  <c r="G180" i="10"/>
  <c r="G188" i="10"/>
  <c r="G174" i="10"/>
  <c r="G178" i="10"/>
  <c r="G182" i="10"/>
  <c r="G186" i="10"/>
  <c r="G190" i="10"/>
  <c r="G175" i="10"/>
  <c r="G191" i="10"/>
  <c r="G176" i="10"/>
  <c r="G184" i="10"/>
  <c r="G192" i="10"/>
  <c r="F172" i="10"/>
  <c r="F173" i="10"/>
  <c r="F177" i="10"/>
  <c r="F181" i="10"/>
  <c r="F185" i="10"/>
  <c r="F189" i="10"/>
  <c r="F174" i="10"/>
  <c r="F178" i="10"/>
  <c r="F182" i="10"/>
  <c r="F186" i="10"/>
  <c r="F190" i="10"/>
  <c r="F175" i="10"/>
  <c r="F179" i="10"/>
  <c r="F183" i="10"/>
  <c r="F187" i="10"/>
  <c r="F191" i="10"/>
  <c r="F176" i="10"/>
  <c r="F180" i="10"/>
  <c r="F184" i="10"/>
  <c r="F188" i="10"/>
  <c r="F192" i="10"/>
  <c r="AC62" i="10"/>
  <c r="Q170" i="10"/>
  <c r="Q196" i="10" s="1"/>
  <c r="Q222" i="10" s="1"/>
  <c r="ED115" i="11"/>
  <c r="EH115" i="11"/>
  <c r="EL115" i="11"/>
  <c r="EE115" i="11"/>
  <c r="EI115" i="11"/>
  <c r="EM115" i="11"/>
  <c r="EF115" i="11"/>
  <c r="EJ115" i="11"/>
  <c r="EN115" i="11"/>
  <c r="EK115" i="11"/>
  <c r="EC115" i="11"/>
  <c r="EG115" i="11"/>
  <c r="D13" i="11"/>
  <c r="F101" i="2"/>
  <c r="H23" i="13"/>
  <c r="H23" i="19"/>
  <c r="H23" i="20"/>
  <c r="P62" i="10"/>
  <c r="P170" i="10" s="1"/>
  <c r="P196" i="10" s="1"/>
  <c r="P222" i="10" s="1"/>
  <c r="H23" i="18"/>
  <c r="I18" i="20"/>
  <c r="U23" i="20"/>
  <c r="O2" i="2"/>
  <c r="K117" i="2"/>
  <c r="K62" i="10" s="1"/>
  <c r="K170" i="10" s="1"/>
  <c r="K196" i="10" s="1"/>
  <c r="K222" i="10" s="1"/>
  <c r="J23" i="20"/>
  <c r="J18" i="20" s="1"/>
  <c r="K23" i="20"/>
  <c r="K18" i="20" s="1"/>
  <c r="U62" i="10"/>
  <c r="G43" i="3"/>
  <c r="M23" i="20"/>
  <c r="M23" i="13"/>
  <c r="M23" i="19"/>
  <c r="M23" i="18"/>
  <c r="D14" i="11"/>
  <c r="CJ94" i="11" s="1"/>
  <c r="D11" i="11"/>
  <c r="D12" i="11"/>
  <c r="CH124" i="11" s="1"/>
  <c r="CI103" i="11"/>
  <c r="CI109" i="11"/>
  <c r="CI115" i="11"/>
  <c r="CI97" i="11"/>
  <c r="CI124" i="11"/>
  <c r="CI98" i="11"/>
  <c r="CI104" i="11"/>
  <c r="CI110" i="11"/>
  <c r="CI116" i="11"/>
  <c r="CI119" i="11"/>
  <c r="CI125" i="11"/>
  <c r="CI99" i="11"/>
  <c r="CI105" i="11"/>
  <c r="CI111" i="11"/>
  <c r="CI117" i="11"/>
  <c r="CI120" i="11"/>
  <c r="CI126" i="11"/>
  <c r="CI100" i="11"/>
  <c r="CI106" i="11"/>
  <c r="CI112" i="11"/>
  <c r="CI118" i="11"/>
  <c r="CI121" i="11"/>
  <c r="CI127" i="11"/>
  <c r="CI101" i="11"/>
  <c r="CI107" i="11"/>
  <c r="CI113" i="11"/>
  <c r="CI95" i="11"/>
  <c r="CI122" i="11"/>
  <c r="CI102" i="11"/>
  <c r="CI108" i="11"/>
  <c r="CI114" i="11"/>
  <c r="CI96" i="11"/>
  <c r="CI123" i="11"/>
  <c r="CO96" i="11"/>
  <c r="CO110" i="11"/>
  <c r="CO116" i="11"/>
  <c r="CO106" i="11"/>
  <c r="CO125" i="11"/>
  <c r="CO121" i="11"/>
  <c r="CO97" i="11"/>
  <c r="CO111" i="11"/>
  <c r="CO117" i="11"/>
  <c r="CO108" i="11"/>
  <c r="CO126" i="11"/>
  <c r="CO98" i="11"/>
  <c r="CO112" i="11"/>
  <c r="CO118" i="11"/>
  <c r="CO103" i="11"/>
  <c r="CO127" i="11"/>
  <c r="CO100" i="11"/>
  <c r="CO113" i="11"/>
  <c r="CO122" i="11"/>
  <c r="CO120" i="11"/>
  <c r="CO101" i="11"/>
  <c r="CO99" i="11"/>
  <c r="CO119" i="11"/>
  <c r="CO114" i="11"/>
  <c r="CO102" i="11"/>
  <c r="CO123" i="11"/>
  <c r="CO105" i="11"/>
  <c r="CO95" i="11"/>
  <c r="CO109" i="11"/>
  <c r="CO115" i="11"/>
  <c r="CO104" i="11"/>
  <c r="CO124" i="11"/>
  <c r="CO107" i="11"/>
  <c r="DG101" i="11"/>
  <c r="DG107" i="11"/>
  <c r="DG113" i="11"/>
  <c r="DG96" i="11"/>
  <c r="DG124" i="11"/>
  <c r="DG102" i="11"/>
  <c r="DG108" i="11"/>
  <c r="DG114" i="11"/>
  <c r="DG119" i="11"/>
  <c r="DG125" i="11"/>
  <c r="DG97" i="11"/>
  <c r="DG103" i="11"/>
  <c r="DG109" i="11"/>
  <c r="DG115" i="11"/>
  <c r="DG120" i="11"/>
  <c r="DG126" i="11"/>
  <c r="DG98" i="11"/>
  <c r="DG104" i="11"/>
  <c r="DG110" i="11"/>
  <c r="DG116" i="11"/>
  <c r="DG121" i="11"/>
  <c r="DG127" i="11"/>
  <c r="DG99" i="11"/>
  <c r="DG105" i="11"/>
  <c r="DG111" i="11"/>
  <c r="DG117" i="11"/>
  <c r="DG122" i="11"/>
  <c r="DG118" i="11"/>
  <c r="DG100" i="11"/>
  <c r="DG106" i="11"/>
  <c r="DG112" i="11"/>
  <c r="DG95" i="11"/>
  <c r="DG123" i="11"/>
  <c r="DM98" i="11"/>
  <c r="DM110" i="11"/>
  <c r="DM116" i="11"/>
  <c r="DM104" i="11"/>
  <c r="DM121" i="11"/>
  <c r="DM127" i="11"/>
  <c r="DM95" i="11"/>
  <c r="DM111" i="11"/>
  <c r="DM117" i="11"/>
  <c r="DM105" i="11"/>
  <c r="DM122" i="11"/>
  <c r="DM96" i="11"/>
  <c r="DM112" i="11"/>
  <c r="DM100" i="11"/>
  <c r="DM106" i="11"/>
  <c r="DM123" i="11"/>
  <c r="DM118" i="11"/>
  <c r="DM113" i="11"/>
  <c r="DM101" i="11"/>
  <c r="DM107" i="11"/>
  <c r="DM124" i="11"/>
  <c r="DM99" i="11"/>
  <c r="DM119" i="11"/>
  <c r="DM114" i="11"/>
  <c r="DM102" i="11"/>
  <c r="DM108" i="11"/>
  <c r="DM125" i="11"/>
  <c r="DM97" i="11"/>
  <c r="DM109" i="11"/>
  <c r="DM115" i="11"/>
  <c r="DM103" i="11"/>
  <c r="DM120" i="11"/>
  <c r="DM126" i="11"/>
  <c r="CF99" i="11"/>
  <c r="CF120" i="11"/>
  <c r="CF113" i="11"/>
  <c r="CF127" i="11"/>
  <c r="CF103" i="11"/>
  <c r="CF118" i="11"/>
  <c r="CF100" i="11"/>
  <c r="CF102" i="11"/>
  <c r="CF116" i="11"/>
  <c r="CF111" i="11"/>
  <c r="CF105" i="11"/>
  <c r="CF122" i="11"/>
  <c r="CF95" i="11"/>
  <c r="CF104" i="11"/>
  <c r="CF123" i="11"/>
  <c r="CF114" i="11"/>
  <c r="CF107" i="11"/>
  <c r="CF96" i="11"/>
  <c r="CF106" i="11"/>
  <c r="CF124" i="11"/>
  <c r="CF117" i="11"/>
  <c r="CF109" i="11"/>
  <c r="CF97" i="11"/>
  <c r="CF108" i="11"/>
  <c r="CF125" i="11"/>
  <c r="CF121" i="11"/>
  <c r="CF112" i="11"/>
  <c r="CF98" i="11"/>
  <c r="CF119" i="11"/>
  <c r="CF110" i="11"/>
  <c r="CF126" i="11"/>
  <c r="CF101" i="11"/>
  <c r="CF115" i="11"/>
  <c r="CL98" i="11"/>
  <c r="CL104" i="11"/>
  <c r="CL110" i="11"/>
  <c r="CL116" i="11"/>
  <c r="CL122" i="11"/>
  <c r="CL99" i="11"/>
  <c r="CL105" i="11"/>
  <c r="CL111" i="11"/>
  <c r="CL117" i="11"/>
  <c r="CL123" i="11"/>
  <c r="CL100" i="11"/>
  <c r="CL106" i="11"/>
  <c r="CL112" i="11"/>
  <c r="CL118" i="11"/>
  <c r="CL124" i="11"/>
  <c r="CL95" i="11"/>
  <c r="CL101" i="11"/>
  <c r="CL107" i="11"/>
  <c r="CL113" i="11"/>
  <c r="CL119" i="11"/>
  <c r="CL125" i="11"/>
  <c r="CL96" i="11"/>
  <c r="CL102" i="11"/>
  <c r="CL108" i="11"/>
  <c r="CL114" i="11"/>
  <c r="CL120" i="11"/>
  <c r="CL126" i="11"/>
  <c r="CL97" i="11"/>
  <c r="CL103" i="11"/>
  <c r="CL109" i="11"/>
  <c r="CL115" i="11"/>
  <c r="CL121" i="11"/>
  <c r="CL127" i="11"/>
  <c r="DD119" i="11"/>
  <c r="DD104" i="11"/>
  <c r="DD111" i="11"/>
  <c r="DD126" i="11"/>
  <c r="DD113" i="11"/>
  <c r="DD99" i="11"/>
  <c r="DD118" i="11"/>
  <c r="DD105" i="11"/>
  <c r="DD114" i="11"/>
  <c r="DD127" i="11"/>
  <c r="DD116" i="11"/>
  <c r="DD95" i="11"/>
  <c r="DD100" i="11"/>
  <c r="DD106" i="11"/>
  <c r="DD117" i="11"/>
  <c r="DD120" i="11"/>
  <c r="DD112" i="11"/>
  <c r="DD96" i="11"/>
  <c r="DD101" i="11"/>
  <c r="DD107" i="11"/>
  <c r="DD123" i="11"/>
  <c r="DD121" i="11"/>
  <c r="DD115" i="11"/>
  <c r="DD97" i="11"/>
  <c r="DD102" i="11"/>
  <c r="DD108" i="11"/>
  <c r="DD124" i="11"/>
  <c r="DD122" i="11"/>
  <c r="DD98" i="11"/>
  <c r="DD103" i="11"/>
  <c r="DD109" i="11"/>
  <c r="DD125" i="11"/>
  <c r="DD110" i="11"/>
  <c r="DJ99" i="11"/>
  <c r="DJ105" i="11"/>
  <c r="DJ111" i="11"/>
  <c r="DJ117" i="11"/>
  <c r="DJ121" i="11"/>
  <c r="DJ127" i="11"/>
  <c r="DJ100" i="11"/>
  <c r="DJ106" i="11"/>
  <c r="DJ112" i="11"/>
  <c r="DJ98" i="11"/>
  <c r="DJ122" i="11"/>
  <c r="DJ101" i="11"/>
  <c r="DJ107" i="11"/>
  <c r="DJ113" i="11"/>
  <c r="DJ97" i="11"/>
  <c r="DJ123" i="11"/>
  <c r="DJ102" i="11"/>
  <c r="DJ108" i="11"/>
  <c r="DJ114" i="11"/>
  <c r="DJ118" i="11"/>
  <c r="DJ124" i="11"/>
  <c r="DJ95" i="11"/>
  <c r="DJ103" i="11"/>
  <c r="DJ109" i="11"/>
  <c r="DJ115" i="11"/>
  <c r="DJ119" i="11"/>
  <c r="DJ125" i="11"/>
  <c r="DJ96" i="11"/>
  <c r="DJ104" i="11"/>
  <c r="DJ110" i="11"/>
  <c r="DJ116" i="11"/>
  <c r="DJ120" i="11"/>
  <c r="DJ126" i="11"/>
  <c r="CG98" i="11"/>
  <c r="CG101" i="11"/>
  <c r="CG107" i="11"/>
  <c r="CG113" i="11"/>
  <c r="CG119" i="11"/>
  <c r="CG126" i="11"/>
  <c r="CG99" i="11"/>
  <c r="CG102" i="11"/>
  <c r="CG108" i="11"/>
  <c r="CG114" i="11"/>
  <c r="CG120" i="11"/>
  <c r="CG127" i="11"/>
  <c r="CG100" i="11"/>
  <c r="CG103" i="11"/>
  <c r="CG109" i="11"/>
  <c r="CG115" i="11"/>
  <c r="CG122" i="11"/>
  <c r="CG121" i="11"/>
  <c r="CG95" i="11"/>
  <c r="CG104" i="11"/>
  <c r="CG110" i="11"/>
  <c r="CG116" i="11"/>
  <c r="CG123" i="11"/>
  <c r="CG96" i="11"/>
  <c r="CG105" i="11"/>
  <c r="CG111" i="11"/>
  <c r="CG117" i="11"/>
  <c r="CG124" i="11"/>
  <c r="CG97" i="11"/>
  <c r="CG106" i="11"/>
  <c r="CG112" i="11"/>
  <c r="CG118" i="11"/>
  <c r="CG125" i="11"/>
  <c r="CM97" i="11"/>
  <c r="CM103" i="11"/>
  <c r="CM109" i="11"/>
  <c r="CM115" i="11"/>
  <c r="CM121" i="11"/>
  <c r="CM127" i="11"/>
  <c r="CM98" i="11"/>
  <c r="CM104" i="11"/>
  <c r="CM110" i="11"/>
  <c r="CM116" i="11"/>
  <c r="CM122" i="11"/>
  <c r="CM99" i="11"/>
  <c r="CM105" i="11"/>
  <c r="CM111" i="11"/>
  <c r="CM117" i="11"/>
  <c r="CM123" i="11"/>
  <c r="CM100" i="11"/>
  <c r="CM106" i="11"/>
  <c r="CM112" i="11"/>
  <c r="CM118" i="11"/>
  <c r="CM124" i="11"/>
  <c r="CM95" i="11"/>
  <c r="CM101" i="11"/>
  <c r="CM107" i="11"/>
  <c r="CM113" i="11"/>
  <c r="CM119" i="11"/>
  <c r="CM125" i="11"/>
  <c r="CM96" i="11"/>
  <c r="CM102" i="11"/>
  <c r="CM108" i="11"/>
  <c r="CM114" i="11"/>
  <c r="CM120" i="11"/>
  <c r="CM126" i="11"/>
  <c r="DE96" i="11"/>
  <c r="DE112" i="11"/>
  <c r="DE119" i="11"/>
  <c r="DE104" i="11"/>
  <c r="DE124" i="11"/>
  <c r="DE122" i="11"/>
  <c r="DE97" i="11"/>
  <c r="DE113" i="11"/>
  <c r="DE118" i="11"/>
  <c r="DE105" i="11"/>
  <c r="DE125" i="11"/>
  <c r="DE98" i="11"/>
  <c r="DE114" i="11"/>
  <c r="DE100" i="11"/>
  <c r="DE106" i="11"/>
  <c r="DE126" i="11"/>
  <c r="DE109" i="11"/>
  <c r="DE115" i="11"/>
  <c r="DE101" i="11"/>
  <c r="DE107" i="11"/>
  <c r="DE127" i="11"/>
  <c r="DE99" i="11"/>
  <c r="DE110" i="11"/>
  <c r="DE116" i="11"/>
  <c r="DE102" i="11"/>
  <c r="DE108" i="11"/>
  <c r="DE120" i="11"/>
  <c r="DE95" i="11"/>
  <c r="DE111" i="11"/>
  <c r="DE117" i="11"/>
  <c r="DE103" i="11"/>
  <c r="DE123" i="11"/>
  <c r="DE121" i="11"/>
  <c r="DK100" i="11"/>
  <c r="DK106" i="11"/>
  <c r="DK112" i="11"/>
  <c r="DK118" i="11"/>
  <c r="DK124" i="11"/>
  <c r="DK95" i="11"/>
  <c r="DK101" i="11"/>
  <c r="DK107" i="11"/>
  <c r="DK113" i="11"/>
  <c r="DK119" i="11"/>
  <c r="DK125" i="11"/>
  <c r="DK96" i="11"/>
  <c r="DK102" i="11"/>
  <c r="DK108" i="11"/>
  <c r="DK114" i="11"/>
  <c r="DK120" i="11"/>
  <c r="DK126" i="11"/>
  <c r="DK97" i="11"/>
  <c r="DK103" i="11"/>
  <c r="DK109" i="11"/>
  <c r="DK115" i="11"/>
  <c r="DK121" i="11"/>
  <c r="DK127" i="11"/>
  <c r="DK98" i="11"/>
  <c r="DK104" i="11"/>
  <c r="DK110" i="11"/>
  <c r="DK116" i="11"/>
  <c r="DK122" i="11"/>
  <c r="DK99" i="11"/>
  <c r="DK105" i="11"/>
  <c r="DK111" i="11"/>
  <c r="DK117" i="11"/>
  <c r="DK123" i="11"/>
  <c r="CE99" i="11"/>
  <c r="CE104" i="11"/>
  <c r="CE110" i="11"/>
  <c r="CE116" i="11"/>
  <c r="CE126" i="11"/>
  <c r="CE100" i="11"/>
  <c r="CE105" i="11"/>
  <c r="CE111" i="11"/>
  <c r="CE117" i="11"/>
  <c r="CE119" i="11"/>
  <c r="CE98" i="11"/>
  <c r="CE106" i="11"/>
  <c r="CE112" i="11"/>
  <c r="CE118" i="11"/>
  <c r="CE120" i="11"/>
  <c r="CE95" i="11"/>
  <c r="CE101" i="11"/>
  <c r="CE107" i="11"/>
  <c r="CE113" i="11"/>
  <c r="CE123" i="11"/>
  <c r="CE121" i="11"/>
  <c r="CE96" i="11"/>
  <c r="CE102" i="11"/>
  <c r="CE108" i="11"/>
  <c r="CE114" i="11"/>
  <c r="CE124" i="11"/>
  <c r="CE122" i="11"/>
  <c r="CE97" i="11"/>
  <c r="CE103" i="11"/>
  <c r="CE109" i="11"/>
  <c r="CE115" i="11"/>
  <c r="CE125" i="11"/>
  <c r="CE127" i="11"/>
  <c r="CK97" i="11"/>
  <c r="CK103" i="11"/>
  <c r="CK119" i="11"/>
  <c r="CK117" i="11"/>
  <c r="CK110" i="11"/>
  <c r="CK115" i="11"/>
  <c r="CK98" i="11"/>
  <c r="CK104" i="11"/>
  <c r="CK120" i="11"/>
  <c r="CK123" i="11"/>
  <c r="CK113" i="11"/>
  <c r="CK99" i="11"/>
  <c r="CK105" i="11"/>
  <c r="CK121" i="11"/>
  <c r="CK124" i="11"/>
  <c r="CK116" i="11"/>
  <c r="CK100" i="11"/>
  <c r="CK106" i="11"/>
  <c r="CK122" i="11"/>
  <c r="CK125" i="11"/>
  <c r="CK118" i="11"/>
  <c r="CK95" i="11"/>
  <c r="CK101" i="11"/>
  <c r="CK107" i="11"/>
  <c r="CK111" i="11"/>
  <c r="CK126" i="11"/>
  <c r="CK109" i="11"/>
  <c r="CK96" i="11"/>
  <c r="CK102" i="11"/>
  <c r="CK108" i="11"/>
  <c r="CK114" i="11"/>
  <c r="CK127" i="11"/>
  <c r="CK112" i="11"/>
  <c r="DC97" i="11"/>
  <c r="DC102" i="11"/>
  <c r="DC108" i="11"/>
  <c r="DC114" i="11"/>
  <c r="DC120" i="11"/>
  <c r="DC119" i="11"/>
  <c r="DC98" i="11"/>
  <c r="DC103" i="11"/>
  <c r="DC109" i="11"/>
  <c r="DC115" i="11"/>
  <c r="DC121" i="11"/>
  <c r="DC99" i="11"/>
  <c r="DC104" i="11"/>
  <c r="DC110" i="11"/>
  <c r="DC116" i="11"/>
  <c r="DC122" i="11"/>
  <c r="DC118" i="11"/>
  <c r="DC105" i="11"/>
  <c r="DC111" i="11"/>
  <c r="DC117" i="11"/>
  <c r="DC123" i="11"/>
  <c r="DC95" i="11"/>
  <c r="DC100" i="11"/>
  <c r="DC106" i="11"/>
  <c r="DC112" i="11"/>
  <c r="DC125" i="11"/>
  <c r="DC124" i="11"/>
  <c r="DC96" i="11"/>
  <c r="DC101" i="11"/>
  <c r="DC107" i="11"/>
  <c r="DC113" i="11"/>
  <c r="DC126" i="11"/>
  <c r="DC127" i="11"/>
  <c r="DI102" i="11"/>
  <c r="DI108" i="11"/>
  <c r="DI121" i="11"/>
  <c r="DI124" i="11"/>
  <c r="DI117" i="11"/>
  <c r="DI95" i="11"/>
  <c r="DI103" i="11"/>
  <c r="DI97" i="11"/>
  <c r="DI109" i="11"/>
  <c r="DI125" i="11"/>
  <c r="DI113" i="11"/>
  <c r="DI96" i="11"/>
  <c r="DI104" i="11"/>
  <c r="DI98" i="11"/>
  <c r="DI112" i="11"/>
  <c r="DI126" i="11"/>
  <c r="DI110" i="11"/>
  <c r="DI99" i="11"/>
  <c r="DI105" i="11"/>
  <c r="DI118" i="11"/>
  <c r="DI115" i="11"/>
  <c r="DI127" i="11"/>
  <c r="DI116" i="11"/>
  <c r="DI100" i="11"/>
  <c r="DI106" i="11"/>
  <c r="DI119" i="11"/>
  <c r="DI122" i="11"/>
  <c r="DI111" i="11"/>
  <c r="DI101" i="11"/>
  <c r="DI107" i="11"/>
  <c r="DI120" i="11"/>
  <c r="DI123" i="11"/>
  <c r="DI114" i="11"/>
  <c r="U23" i="18"/>
  <c r="I50" i="18"/>
  <c r="L23" i="19"/>
  <c r="L23" i="20"/>
  <c r="J23" i="18"/>
  <c r="V23" i="18" s="1"/>
  <c r="AH23" i="18" s="1"/>
  <c r="AH50" i="18" s="1"/>
  <c r="J23" i="19"/>
  <c r="I50" i="19"/>
  <c r="I18" i="19"/>
  <c r="U23" i="19"/>
  <c r="AG23" i="19" s="1"/>
  <c r="AG50" i="19" s="1"/>
  <c r="K23" i="18"/>
  <c r="K50" i="18" s="1"/>
  <c r="K23" i="19"/>
  <c r="L23" i="18"/>
  <c r="BA62" i="10"/>
  <c r="I50" i="13"/>
  <c r="U23" i="13"/>
  <c r="AG23" i="13" s="1"/>
  <c r="AG50" i="13" s="1"/>
  <c r="I18" i="13"/>
  <c r="K23" i="13"/>
  <c r="L23" i="13"/>
  <c r="J23" i="13"/>
  <c r="S62" i="10"/>
  <c r="T62" i="10"/>
  <c r="T170" i="10" s="1"/>
  <c r="T196" i="10" s="1"/>
  <c r="T222" i="10" s="1"/>
  <c r="R62" i="10"/>
  <c r="DR115" i="11"/>
  <c r="DQ115" i="11"/>
  <c r="DX115" i="11"/>
  <c r="DS115" i="11"/>
  <c r="EP115" i="11"/>
  <c r="DT115" i="11"/>
  <c r="DW115" i="11"/>
  <c r="DY115" i="11"/>
  <c r="DZ115" i="11"/>
  <c r="EV115" i="11"/>
  <c r="DU115" i="11"/>
  <c r="EO115" i="11"/>
  <c r="EQ115" i="11"/>
  <c r="EU115" i="11"/>
  <c r="ER115" i="11"/>
  <c r="EW115" i="11"/>
  <c r="EA115" i="11"/>
  <c r="DV115" i="11"/>
  <c r="EX115" i="11"/>
  <c r="ES115" i="11"/>
  <c r="EB115" i="11"/>
  <c r="EY115" i="11"/>
  <c r="ET115" i="11"/>
  <c r="EZ115" i="11"/>
  <c r="J17" i="4"/>
  <c r="DP116" i="11"/>
  <c r="D99" i="2"/>
  <c r="D101" i="2"/>
  <c r="F114" i="2"/>
  <c r="D96" i="2"/>
  <c r="F108" i="2"/>
  <c r="D103" i="2"/>
  <c r="D94" i="2"/>
  <c r="D95" i="2"/>
  <c r="D102" i="2"/>
  <c r="D97" i="2"/>
  <c r="D113" i="2"/>
  <c r="D107" i="2"/>
  <c r="D100" i="2"/>
  <c r="D114" i="2"/>
  <c r="D98" i="2"/>
  <c r="D105" i="2"/>
  <c r="D109" i="2"/>
  <c r="D110" i="2"/>
  <c r="D112" i="2"/>
  <c r="D111" i="2"/>
  <c r="D108" i="2"/>
  <c r="D104" i="2"/>
  <c r="D106" i="2"/>
  <c r="F104" i="2"/>
  <c r="F109" i="2"/>
  <c r="F103" i="2"/>
  <c r="F110" i="2"/>
  <c r="F96" i="2"/>
  <c r="F98" i="2"/>
  <c r="F100" i="2"/>
  <c r="F105" i="2"/>
  <c r="F95" i="2"/>
  <c r="F97" i="2"/>
  <c r="F102" i="2"/>
  <c r="F113" i="2"/>
  <c r="F112" i="2"/>
  <c r="F94" i="2"/>
  <c r="F99" i="2"/>
  <c r="F107" i="2"/>
  <c r="F106" i="2"/>
  <c r="F111" i="2"/>
  <c r="H15" i="4"/>
  <c r="G96" i="2"/>
  <c r="G102" i="2"/>
  <c r="G108" i="2"/>
  <c r="G114" i="2"/>
  <c r="G95" i="2"/>
  <c r="G101" i="2"/>
  <c r="G107" i="2"/>
  <c r="G113" i="2"/>
  <c r="G94" i="2"/>
  <c r="G100" i="2"/>
  <c r="G106" i="2"/>
  <c r="G112" i="2"/>
  <c r="G99" i="2"/>
  <c r="G105" i="2"/>
  <c r="G111" i="2"/>
  <c r="G98" i="2"/>
  <c r="G104" i="2"/>
  <c r="G110" i="2"/>
  <c r="G109" i="2"/>
  <c r="G103" i="2"/>
  <c r="G97" i="2"/>
  <c r="H97" i="2"/>
  <c r="H103" i="2"/>
  <c r="H109" i="2"/>
  <c r="H96" i="2"/>
  <c r="H102" i="2"/>
  <c r="H108" i="2"/>
  <c r="H114" i="2"/>
  <c r="H95" i="2"/>
  <c r="H101" i="2"/>
  <c r="H107" i="2"/>
  <c r="H113" i="2"/>
  <c r="H94" i="2"/>
  <c r="H100" i="2"/>
  <c r="H106" i="2"/>
  <c r="H112" i="2"/>
  <c r="H99" i="2"/>
  <c r="H105" i="2"/>
  <c r="H111" i="2"/>
  <c r="H110" i="2"/>
  <c r="H104" i="2"/>
  <c r="H98" i="2"/>
  <c r="I98" i="2"/>
  <c r="I104" i="2"/>
  <c r="I110" i="2"/>
  <c r="I97" i="2"/>
  <c r="I103" i="2"/>
  <c r="I109" i="2"/>
  <c r="I96" i="2"/>
  <c r="I102" i="2"/>
  <c r="I108" i="2"/>
  <c r="I114" i="2"/>
  <c r="I95" i="2"/>
  <c r="I101" i="2"/>
  <c r="I107" i="2"/>
  <c r="I113" i="2"/>
  <c r="I94" i="2"/>
  <c r="I100" i="2"/>
  <c r="I106" i="2"/>
  <c r="I99" i="2"/>
  <c r="I111" i="2"/>
  <c r="I105" i="2"/>
  <c r="I112" i="2"/>
  <c r="K15" i="4"/>
  <c r="C2" i="4"/>
  <c r="C6" i="8"/>
  <c r="G40" i="4"/>
  <c r="B38" i="8" l="1"/>
  <c r="J170" i="10"/>
  <c r="J196" i="10" s="1"/>
  <c r="J222" i="10" s="1"/>
  <c r="V62" i="10"/>
  <c r="V170" i="10" s="1"/>
  <c r="V196" i="10" s="1"/>
  <c r="V222" i="10" s="1"/>
  <c r="Q179" i="10"/>
  <c r="E209" i="10"/>
  <c r="Q209" i="10" s="1"/>
  <c r="E210" i="10"/>
  <c r="Q210" i="10" s="1"/>
  <c r="Q181" i="10"/>
  <c r="E218" i="10"/>
  <c r="E244" i="10" s="1"/>
  <c r="E84" i="10" s="1"/>
  <c r="Q177" i="10"/>
  <c r="E214" i="10"/>
  <c r="E240" i="10" s="1"/>
  <c r="E80" i="10" s="1"/>
  <c r="Q180" i="10"/>
  <c r="E200" i="10"/>
  <c r="Q200" i="10" s="1"/>
  <c r="E204" i="10"/>
  <c r="Q204" i="10" s="1"/>
  <c r="E202" i="10"/>
  <c r="E228" i="10" s="1"/>
  <c r="Q228" i="10" s="1"/>
  <c r="E211" i="10"/>
  <c r="Q211" i="10" s="1"/>
  <c r="E215" i="10"/>
  <c r="Q215" i="10" s="1"/>
  <c r="Q190" i="10"/>
  <c r="E201" i="10"/>
  <c r="E227" i="10" s="1"/>
  <c r="E67" i="10" s="1"/>
  <c r="Q182" i="10"/>
  <c r="Q186" i="10"/>
  <c r="E213" i="10"/>
  <c r="E239" i="10" s="1"/>
  <c r="E79" i="10" s="1"/>
  <c r="E217" i="10"/>
  <c r="Q217" i="10" s="1"/>
  <c r="Q191" i="10"/>
  <c r="E207" i="10"/>
  <c r="Q207" i="10" s="1"/>
  <c r="Q175" i="10"/>
  <c r="Q178" i="10"/>
  <c r="Q188" i="10"/>
  <c r="E199" i="10"/>
  <c r="Q199" i="10" s="1"/>
  <c r="Q183" i="10"/>
  <c r="E216" i="10"/>
  <c r="Q216" i="10" s="1"/>
  <c r="Q184" i="10"/>
  <c r="Q192" i="10"/>
  <c r="Q185" i="10"/>
  <c r="Q187" i="10"/>
  <c r="E205" i="10"/>
  <c r="E231" i="10" s="1"/>
  <c r="E71" i="10" s="1"/>
  <c r="E208" i="10"/>
  <c r="Q208" i="10" s="1"/>
  <c r="E206" i="10"/>
  <c r="Q206" i="10" s="1"/>
  <c r="E203" i="10"/>
  <c r="E229" i="10" s="1"/>
  <c r="E69" i="10" s="1"/>
  <c r="Q174" i="10"/>
  <c r="Q189" i="10"/>
  <c r="Q176" i="10"/>
  <c r="E212" i="10"/>
  <c r="Q212" i="10" s="1"/>
  <c r="G18" i="7"/>
  <c r="G24" i="7" s="1"/>
  <c r="O60" i="8"/>
  <c r="O86" i="8" s="1"/>
  <c r="O33" i="8"/>
  <c r="L60" i="8"/>
  <c r="L86" i="8" s="1"/>
  <c r="L33" i="8"/>
  <c r="M60" i="8"/>
  <c r="M86" i="8" s="1"/>
  <c r="M33" i="8"/>
  <c r="R60" i="8"/>
  <c r="R86" i="8" s="1"/>
  <c r="R33" i="8"/>
  <c r="C60" i="8"/>
  <c r="C86" i="8" s="1"/>
  <c r="C33" i="8"/>
  <c r="P60" i="8"/>
  <c r="P86" i="8" s="1"/>
  <c r="P33" i="8"/>
  <c r="N60" i="8"/>
  <c r="N86" i="8" s="1"/>
  <c r="N33" i="8"/>
  <c r="Q60" i="8"/>
  <c r="Q86" i="8" s="1"/>
  <c r="Q33" i="8"/>
  <c r="AM6" i="8"/>
  <c r="AM33" i="8" s="1"/>
  <c r="AP6" i="8"/>
  <c r="AP33" i="8" s="1"/>
  <c r="T6" i="8"/>
  <c r="T60" i="8" s="1"/>
  <c r="T86" i="8" s="1"/>
  <c r="AK6" i="8"/>
  <c r="B12" i="8"/>
  <c r="B39" i="8" s="1"/>
  <c r="B65" i="8"/>
  <c r="B91" i="8" s="1"/>
  <c r="W6" i="8"/>
  <c r="AJ6" i="8"/>
  <c r="Z6" i="8"/>
  <c r="U6" i="8"/>
  <c r="X6" i="8"/>
  <c r="AN6" i="8"/>
  <c r="AV6" i="8" s="1"/>
  <c r="V6" i="8"/>
  <c r="Y6" i="8"/>
  <c r="AL6" i="8"/>
  <c r="AO6" i="8"/>
  <c r="E224" i="10"/>
  <c r="R189" i="10"/>
  <c r="F215" i="10"/>
  <c r="S186" i="10"/>
  <c r="G212" i="10"/>
  <c r="S177" i="10"/>
  <c r="G203" i="10"/>
  <c r="R192" i="10"/>
  <c r="F218" i="10"/>
  <c r="R176" i="10"/>
  <c r="F202" i="10"/>
  <c r="R179" i="10"/>
  <c r="F205" i="10"/>
  <c r="R182" i="10"/>
  <c r="F208" i="10"/>
  <c r="R185" i="10"/>
  <c r="F211" i="10"/>
  <c r="S191" i="10"/>
  <c r="G217" i="10"/>
  <c r="S182" i="10"/>
  <c r="G208" i="10"/>
  <c r="S180" i="10"/>
  <c r="G206" i="10"/>
  <c r="S189" i="10"/>
  <c r="G215" i="10"/>
  <c r="S173" i="10"/>
  <c r="G199" i="10"/>
  <c r="R180" i="10"/>
  <c r="F206" i="10"/>
  <c r="R186" i="10"/>
  <c r="F212" i="10"/>
  <c r="S176" i="10"/>
  <c r="G202" i="10"/>
  <c r="S179" i="10"/>
  <c r="G205" i="10"/>
  <c r="R188" i="10"/>
  <c r="F214" i="10"/>
  <c r="R191" i="10"/>
  <c r="F217" i="10"/>
  <c r="R175" i="10"/>
  <c r="F201" i="10"/>
  <c r="R178" i="10"/>
  <c r="F204" i="10"/>
  <c r="R181" i="10"/>
  <c r="F207" i="10"/>
  <c r="S192" i="10"/>
  <c r="G218" i="10"/>
  <c r="S175" i="10"/>
  <c r="G201" i="10"/>
  <c r="S178" i="10"/>
  <c r="G204" i="10"/>
  <c r="S187" i="10"/>
  <c r="G213" i="10"/>
  <c r="S185" i="10"/>
  <c r="G211" i="10"/>
  <c r="R183" i="10"/>
  <c r="F209" i="10"/>
  <c r="R173" i="10"/>
  <c r="F199" i="10"/>
  <c r="S188" i="10"/>
  <c r="G214" i="10"/>
  <c r="R184" i="10"/>
  <c r="F210" i="10"/>
  <c r="R187" i="10"/>
  <c r="F213" i="10"/>
  <c r="R190" i="10"/>
  <c r="F216" i="10"/>
  <c r="R174" i="10"/>
  <c r="F200" i="10"/>
  <c r="R177" i="10"/>
  <c r="F203" i="10"/>
  <c r="S184" i="10"/>
  <c r="G210" i="10"/>
  <c r="S190" i="10"/>
  <c r="G216" i="10"/>
  <c r="S174" i="10"/>
  <c r="G200" i="10"/>
  <c r="S183" i="10"/>
  <c r="G209" i="10"/>
  <c r="S181" i="10"/>
  <c r="G207" i="10"/>
  <c r="R172" i="10"/>
  <c r="F198" i="10"/>
  <c r="S172" i="10"/>
  <c r="G198" i="10"/>
  <c r="AO62" i="10"/>
  <c r="AO170" i="10" s="1"/>
  <c r="AO196" i="10" s="1"/>
  <c r="AO222" i="10" s="1"/>
  <c r="BA170" i="10"/>
  <c r="BA196" i="10" s="1"/>
  <c r="BA222" i="10" s="1"/>
  <c r="AC170" i="10"/>
  <c r="AC196" i="10" s="1"/>
  <c r="AC222" i="10" s="1"/>
  <c r="AG62" i="10"/>
  <c r="U170" i="10"/>
  <c r="U196" i="10" s="1"/>
  <c r="U222" i="10" s="1"/>
  <c r="AE62" i="10"/>
  <c r="S170" i="10"/>
  <c r="S196" i="10" s="1"/>
  <c r="S222" i="10" s="1"/>
  <c r="AD62" i="10"/>
  <c r="R170" i="10"/>
  <c r="R196" i="10" s="1"/>
  <c r="R222" i="10" s="1"/>
  <c r="G21" i="3"/>
  <c r="G22" i="3"/>
  <c r="G23" i="3"/>
  <c r="G24" i="3"/>
  <c r="AE21" i="3"/>
  <c r="AE22" i="3"/>
  <c r="AE23" i="3"/>
  <c r="AE24" i="3"/>
  <c r="AE25" i="3"/>
  <c r="AE50" i="3" s="1"/>
  <c r="AE26" i="3"/>
  <c r="AE51" i="3" s="1"/>
  <c r="AE27" i="3"/>
  <c r="AE52" i="3" s="1"/>
  <c r="AE28" i="3"/>
  <c r="AE53" i="3" s="1"/>
  <c r="AE29" i="3"/>
  <c r="AE30" i="3"/>
  <c r="AE55" i="3" s="1"/>
  <c r="AE31" i="3"/>
  <c r="AE56" i="3" s="1"/>
  <c r="AE32" i="3"/>
  <c r="AE57" i="3" s="1"/>
  <c r="AE33" i="3"/>
  <c r="AE58" i="3" s="1"/>
  <c r="AE34" i="3"/>
  <c r="AE59" i="3" s="1"/>
  <c r="AE35" i="3"/>
  <c r="AE60" i="3" s="1"/>
  <c r="AE36" i="3"/>
  <c r="AE61" i="3" s="1"/>
  <c r="AE37" i="3"/>
  <c r="AE62" i="3" s="1"/>
  <c r="AE38" i="3"/>
  <c r="AE63" i="3" s="1"/>
  <c r="AE39" i="3"/>
  <c r="AE64" i="3" s="1"/>
  <c r="ED116" i="11"/>
  <c r="EH116" i="11"/>
  <c r="EL116" i="11"/>
  <c r="EE116" i="11"/>
  <c r="EI116" i="11"/>
  <c r="EM116" i="11"/>
  <c r="EF116" i="11"/>
  <c r="EJ116" i="11"/>
  <c r="EN116" i="11"/>
  <c r="EC116" i="11"/>
  <c r="EG116" i="11"/>
  <c r="EK116" i="11"/>
  <c r="U50" i="18"/>
  <c r="AG23" i="18"/>
  <c r="AG50" i="18" s="1"/>
  <c r="AT23" i="18"/>
  <c r="AT50" i="18" s="1"/>
  <c r="BE23" i="20"/>
  <c r="BQ23" i="20" s="1"/>
  <c r="AG23" i="20"/>
  <c r="AG50" i="20" s="1"/>
  <c r="AS23" i="13"/>
  <c r="AS50" i="13" s="1"/>
  <c r="AS23" i="19"/>
  <c r="AS50" i="19" s="1"/>
  <c r="W65" i="3"/>
  <c r="W66" i="3"/>
  <c r="AZ62" i="10"/>
  <c r="AB62" i="10"/>
  <c r="BD62" i="10"/>
  <c r="AF62" i="10"/>
  <c r="P2" i="2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H50" i="19"/>
  <c r="H18" i="19"/>
  <c r="T23" i="19"/>
  <c r="AF23" i="19" s="1"/>
  <c r="AF50" i="19" s="1"/>
  <c r="H18" i="18"/>
  <c r="H50" i="18"/>
  <c r="T23" i="18"/>
  <c r="AF23" i="18" s="1"/>
  <c r="AF50" i="18" s="1"/>
  <c r="H18" i="13"/>
  <c r="T23" i="13"/>
  <c r="AF23" i="13" s="1"/>
  <c r="AF50" i="13" s="1"/>
  <c r="H50" i="13"/>
  <c r="H18" i="20"/>
  <c r="H50" i="20"/>
  <c r="T23" i="20"/>
  <c r="AF23" i="20" s="1"/>
  <c r="AF50" i="20" s="1"/>
  <c r="G28" i="3"/>
  <c r="G32" i="3"/>
  <c r="G36" i="3"/>
  <c r="G31" i="3"/>
  <c r="G25" i="3"/>
  <c r="G29" i="3"/>
  <c r="G33" i="3"/>
  <c r="G37" i="3"/>
  <c r="G27" i="3"/>
  <c r="G39" i="3"/>
  <c r="G26" i="3"/>
  <c r="G30" i="3"/>
  <c r="G34" i="3"/>
  <c r="G38" i="3"/>
  <c r="G35" i="3"/>
  <c r="N23" i="13"/>
  <c r="N50" i="13" s="1"/>
  <c r="N23" i="20"/>
  <c r="Z23" i="20" s="1"/>
  <c r="AL23" i="20" s="1"/>
  <c r="AL50" i="20" s="1"/>
  <c r="N23" i="19"/>
  <c r="N50" i="19" s="1"/>
  <c r="H43" i="3"/>
  <c r="N23" i="18"/>
  <c r="N18" i="18" s="1"/>
  <c r="U50" i="20"/>
  <c r="G18" i="3"/>
  <c r="J50" i="20"/>
  <c r="W23" i="20"/>
  <c r="K50" i="20"/>
  <c r="L117" i="2"/>
  <c r="V23" i="20"/>
  <c r="M18" i="13"/>
  <c r="M19" i="13" s="1"/>
  <c r="Y23" i="13"/>
  <c r="AK23" i="13" s="1"/>
  <c r="AK50" i="13" s="1"/>
  <c r="BE62" i="10"/>
  <c r="DF124" i="11"/>
  <c r="CN115" i="11"/>
  <c r="CH123" i="11"/>
  <c r="CH113" i="11"/>
  <c r="DL109" i="11"/>
  <c r="DF97" i="11"/>
  <c r="CH116" i="11"/>
  <c r="DL116" i="11"/>
  <c r="DF110" i="11"/>
  <c r="CH114" i="11"/>
  <c r="DL126" i="11"/>
  <c r="CN97" i="11"/>
  <c r="DF126" i="11"/>
  <c r="CN96" i="11"/>
  <c r="DN104" i="11"/>
  <c r="DL110" i="11"/>
  <c r="DL120" i="11"/>
  <c r="DF119" i="11"/>
  <c r="DF107" i="11"/>
  <c r="CN119" i="11"/>
  <c r="CH117" i="11"/>
  <c r="CH97" i="11"/>
  <c r="DL122" i="11"/>
  <c r="DF121" i="11"/>
  <c r="DF112" i="11"/>
  <c r="CN109" i="11"/>
  <c r="CN122" i="11"/>
  <c r="CH110" i="11"/>
  <c r="CH96" i="11"/>
  <c r="DN118" i="11"/>
  <c r="DL117" i="11"/>
  <c r="DL127" i="11"/>
  <c r="DF125" i="11"/>
  <c r="DF111" i="11"/>
  <c r="CN98" i="11"/>
  <c r="CN95" i="11"/>
  <c r="CH115" i="11"/>
  <c r="CH112" i="11"/>
  <c r="DN107" i="11"/>
  <c r="DL111" i="11"/>
  <c r="DL121" i="11"/>
  <c r="DF120" i="11"/>
  <c r="DF108" i="11"/>
  <c r="CN121" i="11"/>
  <c r="CN120" i="11"/>
  <c r="CH109" i="11"/>
  <c r="CH95" i="11"/>
  <c r="DN105" i="11"/>
  <c r="DH124" i="11"/>
  <c r="DH109" i="11"/>
  <c r="CP97" i="11"/>
  <c r="DH126" i="11"/>
  <c r="DH95" i="11"/>
  <c r="CJ112" i="11"/>
  <c r="DN116" i="11"/>
  <c r="DN103" i="11"/>
  <c r="DN98" i="11"/>
  <c r="DN106" i="11"/>
  <c r="DH111" i="11"/>
  <c r="DH120" i="11"/>
  <c r="DH119" i="11"/>
  <c r="DH122" i="11"/>
  <c r="CP93" i="11"/>
  <c r="CP120" i="11"/>
  <c r="CP125" i="11"/>
  <c r="CP116" i="11"/>
  <c r="CJ98" i="11"/>
  <c r="M50" i="13"/>
  <c r="DN110" i="11"/>
  <c r="DN125" i="11"/>
  <c r="DN113" i="11"/>
  <c r="DN117" i="11"/>
  <c r="DH98" i="11"/>
  <c r="DH100" i="11"/>
  <c r="DH93" i="11"/>
  <c r="DH96" i="11"/>
  <c r="CP127" i="11"/>
  <c r="CP107" i="11"/>
  <c r="CP124" i="11"/>
  <c r="CP104" i="11"/>
  <c r="CJ118" i="11"/>
  <c r="M50" i="20"/>
  <c r="Y23" i="20"/>
  <c r="AK23" i="20" s="1"/>
  <c r="AK50" i="20" s="1"/>
  <c r="M18" i="20"/>
  <c r="CP121" i="11"/>
  <c r="CJ123" i="11"/>
  <c r="M43" i="3"/>
  <c r="DN121" i="11"/>
  <c r="DN114" i="11"/>
  <c r="DN93" i="11"/>
  <c r="DN99" i="11"/>
  <c r="DH102" i="11"/>
  <c r="DH94" i="11"/>
  <c r="DH103" i="11"/>
  <c r="CP118" i="11"/>
  <c r="CP108" i="11"/>
  <c r="CP119" i="11"/>
  <c r="CP105" i="11"/>
  <c r="CJ95" i="11"/>
  <c r="CJ96" i="11"/>
  <c r="AC5" i="9"/>
  <c r="V29" i="9"/>
  <c r="V6" i="9"/>
  <c r="CP117" i="11"/>
  <c r="DN115" i="11"/>
  <c r="DN108" i="11"/>
  <c r="DN97" i="11"/>
  <c r="DH125" i="11"/>
  <c r="DH110" i="11"/>
  <c r="DH127" i="11"/>
  <c r="DH118" i="11"/>
  <c r="CP122" i="11"/>
  <c r="CP98" i="11"/>
  <c r="CP112" i="11"/>
  <c r="CP95" i="11"/>
  <c r="CJ113" i="11"/>
  <c r="CJ125" i="11"/>
  <c r="M18" i="18"/>
  <c r="M50" i="18"/>
  <c r="Y23" i="18"/>
  <c r="AK23" i="18" s="1"/>
  <c r="AK50" i="18" s="1"/>
  <c r="DN126" i="11"/>
  <c r="DN109" i="11"/>
  <c r="DN94" i="11"/>
  <c r="DN112" i="11"/>
  <c r="DH104" i="11"/>
  <c r="DH97" i="11"/>
  <c r="DH123" i="11"/>
  <c r="DH99" i="11"/>
  <c r="CP109" i="11"/>
  <c r="CP126" i="11"/>
  <c r="CP100" i="11"/>
  <c r="CP123" i="11"/>
  <c r="CJ101" i="11"/>
  <c r="CJ111" i="11"/>
  <c r="M50" i="19"/>
  <c r="Y23" i="19"/>
  <c r="AK23" i="19" s="1"/>
  <c r="AK50" i="19" s="1"/>
  <c r="M18" i="19"/>
  <c r="M19" i="19" s="1"/>
  <c r="DL105" i="11"/>
  <c r="DL104" i="11"/>
  <c r="DL115" i="11"/>
  <c r="DL98" i="11"/>
  <c r="DL97" i="11"/>
  <c r="DL96" i="11"/>
  <c r="DF100" i="11"/>
  <c r="DF99" i="11"/>
  <c r="DF123" i="11"/>
  <c r="DF117" i="11"/>
  <c r="DF116" i="11"/>
  <c r="CN103" i="11"/>
  <c r="CN114" i="11"/>
  <c r="CN113" i="11"/>
  <c r="CN112" i="11"/>
  <c r="CN111" i="11"/>
  <c r="CN110" i="11"/>
  <c r="CH122" i="11"/>
  <c r="CH121" i="11"/>
  <c r="CH120" i="11"/>
  <c r="CH119" i="11"/>
  <c r="CH118" i="11"/>
  <c r="CJ117" i="11"/>
  <c r="DL95" i="11"/>
  <c r="DL123" i="11"/>
  <c r="DL108" i="11"/>
  <c r="DL107" i="11"/>
  <c r="DL106" i="11"/>
  <c r="DF115" i="11"/>
  <c r="DF114" i="11"/>
  <c r="DF113" i="11"/>
  <c r="DF95" i="11"/>
  <c r="DF102" i="11"/>
  <c r="DF101" i="11"/>
  <c r="CN126" i="11"/>
  <c r="CN125" i="11"/>
  <c r="CN124" i="11"/>
  <c r="CN123" i="11"/>
  <c r="CN100" i="11"/>
  <c r="CH111" i="11"/>
  <c r="CH107" i="11"/>
  <c r="CH106" i="11"/>
  <c r="CH105" i="11"/>
  <c r="CH104" i="11"/>
  <c r="CH103" i="11"/>
  <c r="DL125" i="11"/>
  <c r="DL124" i="11"/>
  <c r="DL99" i="11"/>
  <c r="DL102" i="11"/>
  <c r="DL101" i="11"/>
  <c r="DL100" i="11"/>
  <c r="DF109" i="11"/>
  <c r="DF98" i="11"/>
  <c r="DF96" i="11"/>
  <c r="DF103" i="11"/>
  <c r="DF127" i="11"/>
  <c r="CN127" i="11"/>
  <c r="CN108" i="11"/>
  <c r="CN107" i="11"/>
  <c r="CN106" i="11"/>
  <c r="CN105" i="11"/>
  <c r="CN104" i="11"/>
  <c r="CH108" i="11"/>
  <c r="CH101" i="11"/>
  <c r="CH100" i="11"/>
  <c r="CH99" i="11"/>
  <c r="CH98" i="11"/>
  <c r="DL119" i="11"/>
  <c r="DL118" i="11"/>
  <c r="DL103" i="11"/>
  <c r="DL114" i="11"/>
  <c r="DL113" i="11"/>
  <c r="DL112" i="11"/>
  <c r="DF106" i="11"/>
  <c r="DF105" i="11"/>
  <c r="DF104" i="11"/>
  <c r="DF118" i="11"/>
  <c r="DF122" i="11"/>
  <c r="CN99" i="11"/>
  <c r="CN102" i="11"/>
  <c r="CN101" i="11"/>
  <c r="CN118" i="11"/>
  <c r="CN117" i="11"/>
  <c r="CN116" i="11"/>
  <c r="CH102" i="11"/>
  <c r="CH127" i="11"/>
  <c r="CH126" i="11"/>
  <c r="CH125" i="11"/>
  <c r="CJ119" i="11"/>
  <c r="CJ115" i="11"/>
  <c r="CJ120" i="11"/>
  <c r="CJ122" i="11"/>
  <c r="CJ116" i="11"/>
  <c r="CJ110" i="11"/>
  <c r="CJ109" i="11"/>
  <c r="DN127" i="11"/>
  <c r="DN96" i="11"/>
  <c r="DN95" i="11"/>
  <c r="DN102" i="11"/>
  <c r="DN101" i="11"/>
  <c r="DN100" i="11"/>
  <c r="DH121" i="11"/>
  <c r="DH107" i="11"/>
  <c r="DH105" i="11"/>
  <c r="DH101" i="11"/>
  <c r="DH108" i="11"/>
  <c r="DH106" i="11"/>
  <c r="CP115" i="11"/>
  <c r="CP114" i="11"/>
  <c r="CP113" i="11"/>
  <c r="CP106" i="11"/>
  <c r="CP111" i="11"/>
  <c r="CP110" i="11"/>
  <c r="CJ107" i="11"/>
  <c r="CJ106" i="11"/>
  <c r="CJ105" i="11"/>
  <c r="CJ104" i="11"/>
  <c r="DN120" i="11"/>
  <c r="DN119" i="11"/>
  <c r="DN124" i="11"/>
  <c r="DN123" i="11"/>
  <c r="DN122" i="11"/>
  <c r="DN111" i="11"/>
  <c r="DH117" i="11"/>
  <c r="DH116" i="11"/>
  <c r="DH115" i="11"/>
  <c r="DH114" i="11"/>
  <c r="DH113" i="11"/>
  <c r="DH112" i="11"/>
  <c r="CP103" i="11"/>
  <c r="CP102" i="11"/>
  <c r="CP101" i="11"/>
  <c r="CP96" i="11"/>
  <c r="CP99" i="11"/>
  <c r="CP94" i="11"/>
  <c r="CJ93" i="11"/>
  <c r="CJ100" i="11"/>
  <c r="CJ99" i="11"/>
  <c r="CJ127" i="11"/>
  <c r="CJ121" i="11"/>
  <c r="CJ97" i="11"/>
  <c r="CJ126" i="11"/>
  <c r="CJ114" i="11"/>
  <c r="CJ124" i="11"/>
  <c r="CJ103" i="11"/>
  <c r="CJ108" i="11"/>
  <c r="CJ102" i="11"/>
  <c r="J19" i="20"/>
  <c r="L18" i="19"/>
  <c r="BE23" i="18"/>
  <c r="BQ23" i="18" s="1"/>
  <c r="L50" i="19"/>
  <c r="K18" i="18"/>
  <c r="K19" i="18" s="1"/>
  <c r="X23" i="19"/>
  <c r="AJ23" i="19" s="1"/>
  <c r="AJ50" i="19" s="1"/>
  <c r="W23" i="18"/>
  <c r="L50" i="20"/>
  <c r="X23" i="20"/>
  <c r="AJ23" i="20" s="1"/>
  <c r="AJ50" i="20" s="1"/>
  <c r="L18" i="20"/>
  <c r="J50" i="19"/>
  <c r="V23" i="19"/>
  <c r="AH23" i="19" s="1"/>
  <c r="AH50" i="19" s="1"/>
  <c r="J18" i="19"/>
  <c r="J50" i="18"/>
  <c r="J18" i="18"/>
  <c r="K50" i="19"/>
  <c r="W23" i="19"/>
  <c r="AI23" i="19" s="1"/>
  <c r="AI50" i="19" s="1"/>
  <c r="K18" i="19"/>
  <c r="K19" i="19" s="1"/>
  <c r="U50" i="19"/>
  <c r="BE23" i="19"/>
  <c r="I19" i="19"/>
  <c r="V50" i="18"/>
  <c r="BF23" i="18"/>
  <c r="L50" i="18"/>
  <c r="X23" i="18"/>
  <c r="AJ23" i="18" s="1"/>
  <c r="AJ50" i="18" s="1"/>
  <c r="L18" i="18"/>
  <c r="BM62" i="10"/>
  <c r="BM170" i="10" s="1"/>
  <c r="BM196" i="10" s="1"/>
  <c r="BM222" i="10" s="1"/>
  <c r="BB62" i="10"/>
  <c r="BC62" i="10"/>
  <c r="U50" i="13"/>
  <c r="J50" i="13"/>
  <c r="L50" i="13"/>
  <c r="I19" i="13"/>
  <c r="K50" i="13"/>
  <c r="X23" i="13"/>
  <c r="AJ23" i="13" s="1"/>
  <c r="AJ50" i="13" s="1"/>
  <c r="BE23" i="13"/>
  <c r="W23" i="13"/>
  <c r="AI23" i="13" s="1"/>
  <c r="AI50" i="13" s="1"/>
  <c r="V23" i="13"/>
  <c r="AH23" i="13" s="1"/>
  <c r="AH50" i="13" s="1"/>
  <c r="J18" i="13"/>
  <c r="K18" i="13"/>
  <c r="K19" i="13" s="1"/>
  <c r="L18" i="13"/>
  <c r="DR116" i="11"/>
  <c r="DQ116" i="11"/>
  <c r="DX116" i="11"/>
  <c r="DS116" i="11"/>
  <c r="EP116" i="11"/>
  <c r="DW116" i="11"/>
  <c r="DT116" i="11"/>
  <c r="DY116" i="11"/>
  <c r="DZ116" i="11"/>
  <c r="EO116" i="11"/>
  <c r="DU116" i="11"/>
  <c r="EV116" i="11"/>
  <c r="EQ116" i="11"/>
  <c r="EU116" i="11"/>
  <c r="ER116" i="11"/>
  <c r="EA116" i="11"/>
  <c r="EW116" i="11"/>
  <c r="DV116" i="11"/>
  <c r="EX116" i="11"/>
  <c r="ES116" i="11"/>
  <c r="EB116" i="11"/>
  <c r="EY116" i="11"/>
  <c r="ET116" i="11"/>
  <c r="EZ116" i="11"/>
  <c r="J18" i="4"/>
  <c r="DP117" i="11"/>
  <c r="C94" i="2"/>
  <c r="C98" i="2"/>
  <c r="C99" i="2"/>
  <c r="C111" i="2"/>
  <c r="C97" i="2"/>
  <c r="C100" i="2"/>
  <c r="C103" i="2"/>
  <c r="C106" i="2"/>
  <c r="C109" i="2"/>
  <c r="C112" i="2"/>
  <c r="C95" i="2"/>
  <c r="C101" i="2"/>
  <c r="C104" i="2"/>
  <c r="C107" i="2"/>
  <c r="C110" i="2"/>
  <c r="C113" i="2"/>
  <c r="C96" i="2"/>
  <c r="C102" i="2"/>
  <c r="C105" i="2"/>
  <c r="C108" i="2"/>
  <c r="C114" i="2"/>
  <c r="H40" i="4"/>
  <c r="L15" i="4"/>
  <c r="K6" i="8"/>
  <c r="D2" i="4"/>
  <c r="I40" i="4"/>
  <c r="K40" i="4" s="1"/>
  <c r="BA40" i="4" s="1"/>
  <c r="BO40" i="4" s="1"/>
  <c r="Q214" i="10" l="1"/>
  <c r="AH62" i="10"/>
  <c r="AT62" i="10" s="1"/>
  <c r="AT170" i="10" s="1"/>
  <c r="AT196" i="10" s="1"/>
  <c r="AT222" i="10" s="1"/>
  <c r="BF62" i="10"/>
  <c r="BF170" i="10" s="1"/>
  <c r="BF196" i="10" s="1"/>
  <c r="BF222" i="10" s="1"/>
  <c r="E230" i="10"/>
  <c r="Q230" i="10" s="1"/>
  <c r="Q70" i="10" s="1"/>
  <c r="E243" i="10"/>
  <c r="E83" i="10" s="1"/>
  <c r="E241" i="10"/>
  <c r="E81" i="10" s="1"/>
  <c r="Q240" i="10"/>
  <c r="Q80" i="10" s="1"/>
  <c r="E237" i="10"/>
  <c r="E77" i="10" s="1"/>
  <c r="Q202" i="10"/>
  <c r="Q68" i="10" s="1"/>
  <c r="E68" i="10"/>
  <c r="Q213" i="10"/>
  <c r="E235" i="10"/>
  <c r="E75" i="10" s="1"/>
  <c r="Q218" i="10"/>
  <c r="Q227" i="10"/>
  <c r="Q244" i="10"/>
  <c r="Q201" i="10"/>
  <c r="E236" i="10"/>
  <c r="E76" i="10" s="1"/>
  <c r="E226" i="10"/>
  <c r="E66" i="10" s="1"/>
  <c r="E233" i="10"/>
  <c r="E73" i="10" s="1"/>
  <c r="E225" i="10"/>
  <c r="E65" i="10" s="1"/>
  <c r="Q205" i="10"/>
  <c r="E242" i="10"/>
  <c r="E82" i="10" s="1"/>
  <c r="E234" i="10"/>
  <c r="E74" i="10" s="1"/>
  <c r="E232" i="10"/>
  <c r="E72" i="10" s="1"/>
  <c r="Q229" i="10"/>
  <c r="E238" i="10"/>
  <c r="E78" i="10" s="1"/>
  <c r="Q203" i="10"/>
  <c r="AE54" i="3"/>
  <c r="F19" i="7"/>
  <c r="F21" i="7"/>
  <c r="AU6" i="8"/>
  <c r="AU33" i="8" s="1"/>
  <c r="AX6" i="8"/>
  <c r="AX60" i="8" s="1"/>
  <c r="AX86" i="8" s="1"/>
  <c r="AM60" i="8"/>
  <c r="AM86" i="8" s="1"/>
  <c r="AP60" i="8"/>
  <c r="AP86" i="8" s="1"/>
  <c r="AR6" i="8"/>
  <c r="AJ33" i="8"/>
  <c r="AS6" i="8"/>
  <c r="AK33" i="8"/>
  <c r="K60" i="8"/>
  <c r="K86" i="8" s="1"/>
  <c r="K33" i="8"/>
  <c r="Y60" i="8"/>
  <c r="Y86" i="8" s="1"/>
  <c r="Y33" i="8"/>
  <c r="W60" i="8"/>
  <c r="W86" i="8" s="1"/>
  <c r="W33" i="8"/>
  <c r="AB6" i="8"/>
  <c r="T33" i="8"/>
  <c r="AW6" i="8"/>
  <c r="AO33" i="8"/>
  <c r="AD6" i="8"/>
  <c r="V33" i="8"/>
  <c r="AF6" i="8"/>
  <c r="X33" i="8"/>
  <c r="AC6" i="8"/>
  <c r="U33" i="8"/>
  <c r="AV60" i="8"/>
  <c r="AV86" i="8" s="1"/>
  <c r="AV33" i="8"/>
  <c r="AL60" i="8"/>
  <c r="AL86" i="8" s="1"/>
  <c r="AL33" i="8"/>
  <c r="AN60" i="8"/>
  <c r="AN86" i="8" s="1"/>
  <c r="AN33" i="8"/>
  <c r="AH6" i="8"/>
  <c r="Z33" i="8"/>
  <c r="AK60" i="8"/>
  <c r="AK86" i="8" s="1"/>
  <c r="B13" i="8"/>
  <c r="B66" i="8"/>
  <c r="B92" i="8" s="1"/>
  <c r="AE6" i="8"/>
  <c r="AJ60" i="8"/>
  <c r="AJ86" i="8" s="1"/>
  <c r="U60" i="8"/>
  <c r="U86" i="8" s="1"/>
  <c r="Z60" i="8"/>
  <c r="Z86" i="8" s="1"/>
  <c r="AT6" i="8"/>
  <c r="X60" i="8"/>
  <c r="X86" i="8" s="1"/>
  <c r="AG6" i="8"/>
  <c r="V60" i="8"/>
  <c r="V86" i="8" s="1"/>
  <c r="AO60" i="8"/>
  <c r="AO86" i="8" s="1"/>
  <c r="Q224" i="10"/>
  <c r="Q64" i="10" s="1"/>
  <c r="E64" i="10"/>
  <c r="R198" i="10"/>
  <c r="F224" i="10"/>
  <c r="F64" i="10" s="1"/>
  <c r="S209" i="10"/>
  <c r="G235" i="10"/>
  <c r="S235" i="10" s="1"/>
  <c r="S216" i="10"/>
  <c r="G242" i="10"/>
  <c r="S242" i="10" s="1"/>
  <c r="R203" i="10"/>
  <c r="F229" i="10"/>
  <c r="F69" i="10" s="1"/>
  <c r="R216" i="10"/>
  <c r="F242" i="10"/>
  <c r="R242" i="10" s="1"/>
  <c r="R210" i="10"/>
  <c r="F236" i="10"/>
  <c r="F76" i="10" s="1"/>
  <c r="R199" i="10"/>
  <c r="F225" i="10"/>
  <c r="F65" i="10" s="1"/>
  <c r="S211" i="10"/>
  <c r="G237" i="10"/>
  <c r="S237" i="10" s="1"/>
  <c r="S204" i="10"/>
  <c r="G230" i="10"/>
  <c r="S230" i="10" s="1"/>
  <c r="S218" i="10"/>
  <c r="G244" i="10"/>
  <c r="S244" i="10" s="1"/>
  <c r="R204" i="10"/>
  <c r="F230" i="10"/>
  <c r="R217" i="10"/>
  <c r="F243" i="10"/>
  <c r="F83" i="10" s="1"/>
  <c r="S205" i="10"/>
  <c r="G231" i="10"/>
  <c r="S231" i="10" s="1"/>
  <c r="R212" i="10"/>
  <c r="F238" i="10"/>
  <c r="R238" i="10" s="1"/>
  <c r="S199" i="10"/>
  <c r="G225" i="10"/>
  <c r="S225" i="10" s="1"/>
  <c r="S206" i="10"/>
  <c r="G232" i="10"/>
  <c r="S232" i="10" s="1"/>
  <c r="S217" i="10"/>
  <c r="G243" i="10"/>
  <c r="S243" i="10" s="1"/>
  <c r="R208" i="10"/>
  <c r="F234" i="10"/>
  <c r="F74" i="10" s="1"/>
  <c r="R202" i="10"/>
  <c r="F228" i="10"/>
  <c r="F68" i="10" s="1"/>
  <c r="S203" i="10"/>
  <c r="G229" i="10"/>
  <c r="S229" i="10" s="1"/>
  <c r="R215" i="10"/>
  <c r="F241" i="10"/>
  <c r="F81" i="10" s="1"/>
  <c r="S198" i="10"/>
  <c r="G224" i="10"/>
  <c r="S224" i="10" s="1"/>
  <c r="S207" i="10"/>
  <c r="G233" i="10"/>
  <c r="S233" i="10" s="1"/>
  <c r="S200" i="10"/>
  <c r="G226" i="10"/>
  <c r="S226" i="10" s="1"/>
  <c r="S210" i="10"/>
  <c r="G236" i="10"/>
  <c r="S236" i="10" s="1"/>
  <c r="R200" i="10"/>
  <c r="F226" i="10"/>
  <c r="R213" i="10"/>
  <c r="F239" i="10"/>
  <c r="R239" i="10" s="1"/>
  <c r="S214" i="10"/>
  <c r="G240" i="10"/>
  <c r="S240" i="10" s="1"/>
  <c r="R209" i="10"/>
  <c r="F235" i="10"/>
  <c r="S213" i="10"/>
  <c r="G239" i="10"/>
  <c r="S239" i="10" s="1"/>
  <c r="S201" i="10"/>
  <c r="G227" i="10"/>
  <c r="S227" i="10" s="1"/>
  <c r="R207" i="10"/>
  <c r="F233" i="10"/>
  <c r="F73" i="10" s="1"/>
  <c r="R201" i="10"/>
  <c r="F227" i="10"/>
  <c r="R214" i="10"/>
  <c r="F240" i="10"/>
  <c r="S202" i="10"/>
  <c r="G228" i="10"/>
  <c r="S228" i="10" s="1"/>
  <c r="R206" i="10"/>
  <c r="F232" i="10"/>
  <c r="F72" i="10" s="1"/>
  <c r="S215" i="10"/>
  <c r="G241" i="10"/>
  <c r="S241" i="10" s="1"/>
  <c r="S208" i="10"/>
  <c r="G234" i="10"/>
  <c r="S234" i="10" s="1"/>
  <c r="R211" i="10"/>
  <c r="F237" i="10"/>
  <c r="R237" i="10" s="1"/>
  <c r="R205" i="10"/>
  <c r="F231" i="10"/>
  <c r="R231" i="10" s="1"/>
  <c r="R218" i="10"/>
  <c r="F244" i="10"/>
  <c r="S212" i="10"/>
  <c r="G238" i="10"/>
  <c r="S238" i="10" s="1"/>
  <c r="Q239" i="10"/>
  <c r="Q231" i="10"/>
  <c r="BA172" i="10"/>
  <c r="BA173" i="10"/>
  <c r="BA177" i="10"/>
  <c r="BA181" i="10"/>
  <c r="BA185" i="10"/>
  <c r="BA189" i="10"/>
  <c r="BA174" i="10"/>
  <c r="BA178" i="10"/>
  <c r="BA182" i="10"/>
  <c r="BA186" i="10"/>
  <c r="BA190" i="10"/>
  <c r="BA175" i="10"/>
  <c r="BA179" i="10"/>
  <c r="BA183" i="10"/>
  <c r="BA187" i="10"/>
  <c r="BA191" i="10"/>
  <c r="BA176" i="10"/>
  <c r="BA180" i="10"/>
  <c r="BA184" i="10"/>
  <c r="BA188" i="10"/>
  <c r="BA192" i="10"/>
  <c r="AC172" i="10"/>
  <c r="AC173" i="10"/>
  <c r="AC177" i="10"/>
  <c r="AC181" i="10"/>
  <c r="AC185" i="10"/>
  <c r="AO185" i="10" s="1"/>
  <c r="AC189" i="10"/>
  <c r="AC176" i="10"/>
  <c r="AC180" i="10"/>
  <c r="AC184" i="10"/>
  <c r="AC188" i="10"/>
  <c r="AC192" i="10"/>
  <c r="AC182" i="10"/>
  <c r="AC190" i="10"/>
  <c r="AC175" i="10"/>
  <c r="AC179" i="10"/>
  <c r="AC183" i="10"/>
  <c r="AC187" i="10"/>
  <c r="AC191" i="10"/>
  <c r="AC174" i="10"/>
  <c r="AC178" i="10"/>
  <c r="AC186" i="10"/>
  <c r="AP62" i="10"/>
  <c r="AP170" i="10" s="1"/>
  <c r="AP196" i="10" s="1"/>
  <c r="AP222" i="10" s="1"/>
  <c r="AE170" i="10"/>
  <c r="AE196" i="10" s="1"/>
  <c r="AE222" i="10" s="1"/>
  <c r="BC170" i="10"/>
  <c r="BC196" i="10" s="1"/>
  <c r="BC222" i="10" s="1"/>
  <c r="BB170" i="10"/>
  <c r="BB196" i="10" s="1"/>
  <c r="BB222" i="10" s="1"/>
  <c r="AQ62" i="10"/>
  <c r="AQ170" i="10" s="1"/>
  <c r="AQ196" i="10" s="1"/>
  <c r="AQ222" i="10" s="1"/>
  <c r="AD170" i="10"/>
  <c r="AD196" i="10" s="1"/>
  <c r="AD222" i="10" s="1"/>
  <c r="AR62" i="10"/>
  <c r="AR170" i="10" s="1"/>
  <c r="AR196" i="10" s="1"/>
  <c r="AR222" i="10" s="1"/>
  <c r="AF170" i="10"/>
  <c r="AF196" i="10" s="1"/>
  <c r="AF222" i="10" s="1"/>
  <c r="BQ62" i="10"/>
  <c r="BQ170" i="10" s="1"/>
  <c r="BQ196" i="10" s="1"/>
  <c r="BQ222" i="10" s="1"/>
  <c r="BE170" i="10"/>
  <c r="BE196" i="10" s="1"/>
  <c r="BE222" i="10" s="1"/>
  <c r="BP62" i="10"/>
  <c r="BP170" i="10" s="1"/>
  <c r="BP196" i="10" s="1"/>
  <c r="BP222" i="10" s="1"/>
  <c r="BD170" i="10"/>
  <c r="BD196" i="10" s="1"/>
  <c r="BD222" i="10" s="1"/>
  <c r="AN62" i="10"/>
  <c r="AN170" i="10" s="1"/>
  <c r="AN196" i="10" s="1"/>
  <c r="AN222" i="10" s="1"/>
  <c r="AB170" i="10"/>
  <c r="AB196" i="10" s="1"/>
  <c r="AB222" i="10" s="1"/>
  <c r="BL62" i="10"/>
  <c r="BL170" i="10" s="1"/>
  <c r="BL196" i="10" s="1"/>
  <c r="BL222" i="10" s="1"/>
  <c r="AZ170" i="10"/>
  <c r="AZ196" i="10" s="1"/>
  <c r="AZ222" i="10" s="1"/>
  <c r="AS62" i="10"/>
  <c r="AS170" i="10" s="1"/>
  <c r="AS196" i="10" s="1"/>
  <c r="AS222" i="10" s="1"/>
  <c r="AG170" i="10"/>
  <c r="AG196" i="10" s="1"/>
  <c r="AG222" i="10" s="1"/>
  <c r="M24" i="3"/>
  <c r="M49" i="3" s="1"/>
  <c r="G49" i="3"/>
  <c r="M21" i="3"/>
  <c r="M46" i="3" s="1"/>
  <c r="G46" i="3"/>
  <c r="M23" i="3"/>
  <c r="M48" i="3" s="1"/>
  <c r="G48" i="3"/>
  <c r="M22" i="3"/>
  <c r="M47" i="3" s="1"/>
  <c r="G47" i="3"/>
  <c r="AK24" i="3"/>
  <c r="AK49" i="3" s="1"/>
  <c r="AE49" i="3"/>
  <c r="AK22" i="3"/>
  <c r="AK47" i="3" s="1"/>
  <c r="AE47" i="3"/>
  <c r="AK23" i="3"/>
  <c r="AK48" i="3" s="1"/>
  <c r="AE48" i="3"/>
  <c r="AK21" i="3"/>
  <c r="AK46" i="3" s="1"/>
  <c r="AE46" i="3"/>
  <c r="ED117" i="11"/>
  <c r="EH117" i="11"/>
  <c r="EL117" i="11"/>
  <c r="EE117" i="11"/>
  <c r="EI117" i="11"/>
  <c r="EM117" i="11"/>
  <c r="EF117" i="11"/>
  <c r="EJ117" i="11"/>
  <c r="EN117" i="11"/>
  <c r="EC117" i="11"/>
  <c r="EG117" i="11"/>
  <c r="EK117" i="11"/>
  <c r="BE50" i="20"/>
  <c r="AR23" i="13"/>
  <c r="AR50" i="13" s="1"/>
  <c r="AV23" i="18"/>
  <c r="AV50" i="18" s="1"/>
  <c r="AV23" i="20"/>
  <c r="AV50" i="20" s="1"/>
  <c r="AR23" i="19"/>
  <c r="AR50" i="19" s="1"/>
  <c r="AT23" i="19"/>
  <c r="AT50" i="19" s="1"/>
  <c r="AX23" i="20"/>
  <c r="AX50" i="20" s="1"/>
  <c r="AU23" i="19"/>
  <c r="AU50" i="19" s="1"/>
  <c r="AU23" i="13"/>
  <c r="AU50" i="13" s="1"/>
  <c r="AV23" i="19"/>
  <c r="AV50" i="19" s="1"/>
  <c r="AW23" i="18"/>
  <c r="AW50" i="18" s="1"/>
  <c r="V50" i="20"/>
  <c r="AH23" i="20"/>
  <c r="AH50" i="20" s="1"/>
  <c r="AR23" i="20"/>
  <c r="AR50" i="20" s="1"/>
  <c r="AR23" i="18"/>
  <c r="AR50" i="18" s="1"/>
  <c r="W50" i="20"/>
  <c r="AI23" i="20"/>
  <c r="AI50" i="20" s="1"/>
  <c r="AT23" i="13"/>
  <c r="AT50" i="13" s="1"/>
  <c r="AW23" i="20"/>
  <c r="AW50" i="20" s="1"/>
  <c r="AW23" i="13"/>
  <c r="AW50" i="13" s="1"/>
  <c r="AS23" i="20"/>
  <c r="AS50" i="20" s="1"/>
  <c r="AS23" i="18"/>
  <c r="AS50" i="18" s="1"/>
  <c r="BG23" i="18"/>
  <c r="BS23" i="18" s="1"/>
  <c r="AI23" i="18"/>
  <c r="AI50" i="18" s="1"/>
  <c r="AV23" i="13"/>
  <c r="AV50" i="13" s="1"/>
  <c r="AW23" i="19"/>
  <c r="AW50" i="19" s="1"/>
  <c r="Y40" i="4"/>
  <c r="AM40" i="4"/>
  <c r="M40" i="4"/>
  <c r="BC40" i="4" s="1"/>
  <c r="BQ40" i="4" s="1"/>
  <c r="AC65" i="3"/>
  <c r="AC66" i="3"/>
  <c r="M18" i="3"/>
  <c r="S43" i="3"/>
  <c r="AI6" i="8"/>
  <c r="AI33" i="8" s="1"/>
  <c r="S6" i="8"/>
  <c r="S33" i="8" s="1"/>
  <c r="G19" i="18"/>
  <c r="L62" i="10"/>
  <c r="L19" i="13"/>
  <c r="L19" i="19"/>
  <c r="BD23" i="20"/>
  <c r="T50" i="20"/>
  <c r="T50" i="13"/>
  <c r="BD23" i="13"/>
  <c r="N19" i="18"/>
  <c r="BD23" i="19"/>
  <c r="T50" i="19"/>
  <c r="T50" i="18"/>
  <c r="BD23" i="18"/>
  <c r="N18" i="13"/>
  <c r="N19" i="13" s="1"/>
  <c r="N43" i="3"/>
  <c r="Z23" i="13"/>
  <c r="Z23" i="19"/>
  <c r="N18" i="19"/>
  <c r="N19" i="19" s="1"/>
  <c r="AK37" i="3"/>
  <c r="AK62" i="3" s="1"/>
  <c r="AK35" i="3"/>
  <c r="AK60" i="3" s="1"/>
  <c r="AK38" i="3"/>
  <c r="AK63" i="3" s="1"/>
  <c r="AK34" i="3"/>
  <c r="AK59" i="3" s="1"/>
  <c r="AK30" i="3"/>
  <c r="AK55" i="3" s="1"/>
  <c r="AK26" i="3"/>
  <c r="AK51" i="3" s="1"/>
  <c r="AK27" i="3"/>
  <c r="AK52" i="3" s="1"/>
  <c r="AK39" i="3"/>
  <c r="AK64" i="3" s="1"/>
  <c r="AK33" i="3"/>
  <c r="AK58" i="3" s="1"/>
  <c r="AK29" i="3"/>
  <c r="AK54" i="3" s="1"/>
  <c r="AK25" i="3"/>
  <c r="AK50" i="3" s="1"/>
  <c r="AK31" i="3"/>
  <c r="AK56" i="3" s="1"/>
  <c r="AK36" i="3"/>
  <c r="AK61" i="3" s="1"/>
  <c r="AK32" i="3"/>
  <c r="AK57" i="3" s="1"/>
  <c r="AK28" i="3"/>
  <c r="AK53" i="3" s="1"/>
  <c r="N50" i="20"/>
  <c r="N18" i="20"/>
  <c r="N19" i="20" s="1"/>
  <c r="H18" i="3"/>
  <c r="G57" i="3"/>
  <c r="M32" i="3"/>
  <c r="G61" i="3"/>
  <c r="M36" i="3"/>
  <c r="G64" i="3"/>
  <c r="M39" i="3"/>
  <c r="G59" i="3"/>
  <c r="M34" i="3"/>
  <c r="G54" i="3"/>
  <c r="M29" i="3"/>
  <c r="G58" i="3"/>
  <c r="M33" i="3"/>
  <c r="G60" i="3"/>
  <c r="M35" i="3"/>
  <c r="G56" i="3"/>
  <c r="M31" i="3"/>
  <c r="G51" i="3"/>
  <c r="M26" i="3"/>
  <c r="G50" i="3"/>
  <c r="M25" i="3"/>
  <c r="G63" i="3"/>
  <c r="M38" i="3"/>
  <c r="G55" i="3"/>
  <c r="M30" i="3"/>
  <c r="G52" i="3"/>
  <c r="M27" i="3"/>
  <c r="G62" i="3"/>
  <c r="M37" i="3"/>
  <c r="G53" i="3"/>
  <c r="M28" i="3"/>
  <c r="N50" i="18"/>
  <c r="Z23" i="18"/>
  <c r="BG23" i="20"/>
  <c r="BG50" i="20" s="1"/>
  <c r="BF23" i="20"/>
  <c r="BR23" i="20" s="1"/>
  <c r="R19" i="13"/>
  <c r="Q19" i="13"/>
  <c r="Q19" i="18"/>
  <c r="R19" i="20"/>
  <c r="R19" i="18"/>
  <c r="Q19" i="20"/>
  <c r="Z50" i="20"/>
  <c r="BJ23" i="20"/>
  <c r="O23" i="18"/>
  <c r="O23" i="19"/>
  <c r="I43" i="3"/>
  <c r="O23" i="20"/>
  <c r="O23" i="13"/>
  <c r="W62" i="10"/>
  <c r="W170" i="10" s="1"/>
  <c r="W196" i="10" s="1"/>
  <c r="W222" i="10" s="1"/>
  <c r="AE43" i="3"/>
  <c r="I19" i="18"/>
  <c r="I19" i="20"/>
  <c r="G19" i="13"/>
  <c r="H19" i="19"/>
  <c r="G19" i="19"/>
  <c r="H19" i="18"/>
  <c r="G19" i="20"/>
  <c r="M19" i="18"/>
  <c r="M19" i="20"/>
  <c r="H19" i="13"/>
  <c r="H19" i="20"/>
  <c r="K19" i="20"/>
  <c r="W29" i="9"/>
  <c r="AD5" i="9"/>
  <c r="W6" i="9"/>
  <c r="Q19" i="19"/>
  <c r="R19" i="19"/>
  <c r="V53" i="9"/>
  <c r="V30" i="9"/>
  <c r="V54" i="9" s="1"/>
  <c r="V31" i="9"/>
  <c r="V32" i="9"/>
  <c r="V33" i="9"/>
  <c r="V34" i="9"/>
  <c r="V35" i="9"/>
  <c r="V37" i="9"/>
  <c r="V36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Y50" i="18"/>
  <c r="BI23" i="18"/>
  <c r="AC29" i="9"/>
  <c r="AC6" i="9"/>
  <c r="AC7" i="9"/>
  <c r="AC31" i="9" s="1"/>
  <c r="AC8" i="9"/>
  <c r="AC9" i="9"/>
  <c r="AC33" i="9" s="1"/>
  <c r="AC10" i="9"/>
  <c r="AC11" i="9"/>
  <c r="AC35" i="9" s="1"/>
  <c r="AC12" i="9"/>
  <c r="AC13" i="9"/>
  <c r="AC14" i="9"/>
  <c r="AC15" i="9"/>
  <c r="AC39" i="9" s="1"/>
  <c r="AC16" i="9"/>
  <c r="AC40" i="9" s="1"/>
  <c r="AC17" i="9"/>
  <c r="AC41" i="9" s="1"/>
  <c r="AC18" i="9"/>
  <c r="AC42" i="9" s="1"/>
  <c r="AC19" i="9"/>
  <c r="AC43" i="9" s="1"/>
  <c r="AC20" i="9"/>
  <c r="AC44" i="9" s="1"/>
  <c r="AC21" i="9"/>
  <c r="AC45" i="9" s="1"/>
  <c r="AC22" i="9"/>
  <c r="AC46" i="9" s="1"/>
  <c r="AC23" i="9"/>
  <c r="AC47" i="9" s="1"/>
  <c r="AC24" i="9"/>
  <c r="AC48" i="9" s="1"/>
  <c r="AC25" i="9"/>
  <c r="AC49" i="9" s="1"/>
  <c r="AC26" i="9"/>
  <c r="AC50" i="9" s="1"/>
  <c r="Y50" i="13"/>
  <c r="BI23" i="13"/>
  <c r="Y50" i="19"/>
  <c r="BI23" i="19"/>
  <c r="Y50" i="20"/>
  <c r="BI23" i="20"/>
  <c r="J19" i="13"/>
  <c r="L19" i="20"/>
  <c r="J19" i="18"/>
  <c r="X50" i="19"/>
  <c r="BE50" i="18"/>
  <c r="W50" i="18"/>
  <c r="BH23" i="19"/>
  <c r="BQ50" i="20"/>
  <c r="X50" i="20"/>
  <c r="BH23" i="20"/>
  <c r="J19" i="19"/>
  <c r="V50" i="19"/>
  <c r="BF23" i="19"/>
  <c r="W50" i="19"/>
  <c r="BG23" i="19"/>
  <c r="BE50" i="19"/>
  <c r="BQ23" i="19"/>
  <c r="L19" i="18"/>
  <c r="X50" i="18"/>
  <c r="BH23" i="18"/>
  <c r="BF50" i="18"/>
  <c r="BR23" i="18"/>
  <c r="BQ50" i="18"/>
  <c r="BN62" i="10"/>
  <c r="BN170" i="10" s="1"/>
  <c r="BN196" i="10" s="1"/>
  <c r="BN222" i="10" s="1"/>
  <c r="BO62" i="10"/>
  <c r="BO170" i="10" s="1"/>
  <c r="BO196" i="10" s="1"/>
  <c r="BO222" i="10" s="1"/>
  <c r="BG23" i="13"/>
  <c r="BE50" i="13"/>
  <c r="BQ23" i="13"/>
  <c r="X50" i="13"/>
  <c r="W50" i="13"/>
  <c r="V50" i="13"/>
  <c r="BH23" i="13"/>
  <c r="BF23" i="13"/>
  <c r="DR117" i="11"/>
  <c r="DS117" i="11"/>
  <c r="DQ117" i="11"/>
  <c r="DX117" i="11"/>
  <c r="DY117" i="11"/>
  <c r="EP117" i="11"/>
  <c r="DW117" i="11"/>
  <c r="DT117" i="11"/>
  <c r="DZ117" i="11"/>
  <c r="EV117" i="11"/>
  <c r="EO117" i="11"/>
  <c r="EQ117" i="11"/>
  <c r="DU117" i="11"/>
  <c r="EW117" i="11"/>
  <c r="ER117" i="11"/>
  <c r="EA117" i="11"/>
  <c r="EU117" i="11"/>
  <c r="ES117" i="11"/>
  <c r="DV117" i="11"/>
  <c r="EX117" i="11"/>
  <c r="EB117" i="11"/>
  <c r="EY117" i="11"/>
  <c r="ET117" i="11"/>
  <c r="EZ117" i="11"/>
  <c r="J19" i="4"/>
  <c r="DP118" i="11"/>
  <c r="AJ40" i="4"/>
  <c r="AX40" i="4"/>
  <c r="J40" i="4"/>
  <c r="L40" i="4" s="1"/>
  <c r="BB40" i="4" s="1"/>
  <c r="BP40" i="4" s="1"/>
  <c r="V40" i="4"/>
  <c r="E2" i="4"/>
  <c r="AK40" i="4"/>
  <c r="O40" i="4"/>
  <c r="AQ40" i="4" s="1"/>
  <c r="W40" i="4"/>
  <c r="AY40" i="4"/>
  <c r="B70" i="2"/>
  <c r="C6" i="4"/>
  <c r="D6" i="4" s="1"/>
  <c r="D7" i="3"/>
  <c r="F41" i="4"/>
  <c r="F17" i="4"/>
  <c r="B40" i="8" l="1"/>
  <c r="BR62" i="10"/>
  <c r="BR170" i="10" s="1"/>
  <c r="BR196" i="10" s="1"/>
  <c r="BR222" i="10" s="1"/>
  <c r="AH170" i="10"/>
  <c r="AH196" i="10" s="1"/>
  <c r="AH222" i="10" s="1"/>
  <c r="V66" i="9"/>
  <c r="V59" i="9"/>
  <c r="V72" i="9"/>
  <c r="V65" i="9"/>
  <c r="V70" i="9"/>
  <c r="V64" i="9"/>
  <c r="V58" i="9"/>
  <c r="V71" i="9"/>
  <c r="V69" i="9"/>
  <c r="V63" i="9"/>
  <c r="V57" i="9"/>
  <c r="V68" i="9"/>
  <c r="V62" i="9"/>
  <c r="V56" i="9"/>
  <c r="V61" i="9"/>
  <c r="V73" i="9"/>
  <c r="V67" i="9"/>
  <c r="V60" i="9"/>
  <c r="V55" i="9"/>
  <c r="AC36" i="9"/>
  <c r="AC34" i="9"/>
  <c r="V74" i="9"/>
  <c r="Q79" i="10"/>
  <c r="Q67" i="10"/>
  <c r="Q71" i="10"/>
  <c r="Q84" i="10"/>
  <c r="E70" i="10"/>
  <c r="E85" i="10" s="1"/>
  <c r="Q241" i="10"/>
  <c r="Q81" i="10" s="1"/>
  <c r="Q237" i="10"/>
  <c r="Q77" i="10" s="1"/>
  <c r="Q243" i="10"/>
  <c r="Q83" i="10" s="1"/>
  <c r="Q236" i="10"/>
  <c r="Q76" i="10" s="1"/>
  <c r="Q233" i="10"/>
  <c r="Q73" i="10" s="1"/>
  <c r="Q235" i="10"/>
  <c r="Q75" i="10" s="1"/>
  <c r="Q226" i="10"/>
  <c r="Q66" i="10" s="1"/>
  <c r="Q242" i="10"/>
  <c r="Q82" i="10" s="1"/>
  <c r="Q225" i="10"/>
  <c r="Q65" i="10" s="1"/>
  <c r="Q69" i="10"/>
  <c r="Q234" i="10"/>
  <c r="Q74" i="10" s="1"/>
  <c r="Q238" i="10"/>
  <c r="Q78" i="10" s="1"/>
  <c r="Q232" i="10"/>
  <c r="Q72" i="10" s="1"/>
  <c r="F27" i="7"/>
  <c r="F25" i="7"/>
  <c r="AU60" i="8"/>
  <c r="AU86" i="8" s="1"/>
  <c r="AX33" i="8"/>
  <c r="AG60" i="8"/>
  <c r="AG86" i="8" s="1"/>
  <c r="AG33" i="8"/>
  <c r="AH60" i="8"/>
  <c r="AH86" i="8" s="1"/>
  <c r="AH33" i="8"/>
  <c r="AC60" i="8"/>
  <c r="AC86" i="8" s="1"/>
  <c r="AC33" i="8"/>
  <c r="AD60" i="8"/>
  <c r="AD86" i="8" s="1"/>
  <c r="AD33" i="8"/>
  <c r="AB60" i="8"/>
  <c r="AB86" i="8" s="1"/>
  <c r="AB33" i="8"/>
  <c r="AS60" i="8"/>
  <c r="AS86" i="8" s="1"/>
  <c r="AS33" i="8"/>
  <c r="AT60" i="8"/>
  <c r="AT86" i="8" s="1"/>
  <c r="AT33" i="8"/>
  <c r="AE60" i="8"/>
  <c r="AE86" i="8" s="1"/>
  <c r="AE33" i="8"/>
  <c r="AF60" i="8"/>
  <c r="AF86" i="8" s="1"/>
  <c r="AF33" i="8"/>
  <c r="AW60" i="8"/>
  <c r="AW86" i="8" s="1"/>
  <c r="AW33" i="8"/>
  <c r="AR60" i="8"/>
  <c r="AR86" i="8" s="1"/>
  <c r="AR33" i="8"/>
  <c r="B14" i="8"/>
  <c r="B67" i="8"/>
  <c r="B93" i="8" s="1"/>
  <c r="AA6" i="8"/>
  <c r="S60" i="8"/>
  <c r="S86" i="8" s="1"/>
  <c r="AQ6" i="8"/>
  <c r="AI60" i="8"/>
  <c r="AI86" i="8" s="1"/>
  <c r="R77" i="10"/>
  <c r="S81" i="10"/>
  <c r="S68" i="10"/>
  <c r="S75" i="10"/>
  <c r="S67" i="10"/>
  <c r="R79" i="10"/>
  <c r="S76" i="10"/>
  <c r="S73" i="10"/>
  <c r="S69" i="10"/>
  <c r="S72" i="10"/>
  <c r="R78" i="10"/>
  <c r="S84" i="10"/>
  <c r="S78" i="10"/>
  <c r="R71" i="10"/>
  <c r="S74" i="10"/>
  <c r="S79" i="10"/>
  <c r="S80" i="10"/>
  <c r="S66" i="10"/>
  <c r="S64" i="10"/>
  <c r="S83" i="10"/>
  <c r="S65" i="10"/>
  <c r="S71" i="10"/>
  <c r="S70" i="10"/>
  <c r="R82" i="10"/>
  <c r="S77" i="10"/>
  <c r="S82" i="10"/>
  <c r="F84" i="10"/>
  <c r="G81" i="10"/>
  <c r="F67" i="10"/>
  <c r="F75" i="10"/>
  <c r="G76" i="10"/>
  <c r="G69" i="10"/>
  <c r="G72" i="10"/>
  <c r="G77" i="10"/>
  <c r="F71" i="10"/>
  <c r="G80" i="10"/>
  <c r="G66" i="10"/>
  <c r="G65" i="10"/>
  <c r="F70" i="10"/>
  <c r="G82" i="10"/>
  <c r="F77" i="10"/>
  <c r="G68" i="10"/>
  <c r="G67" i="10"/>
  <c r="F79" i="10"/>
  <c r="G73" i="10"/>
  <c r="F78" i="10"/>
  <c r="G84" i="10"/>
  <c r="G75" i="10"/>
  <c r="G78" i="10"/>
  <c r="G74" i="10"/>
  <c r="F80" i="10"/>
  <c r="G79" i="10"/>
  <c r="F66" i="10"/>
  <c r="G64" i="10"/>
  <c r="G83" i="10"/>
  <c r="G71" i="10"/>
  <c r="G70" i="10"/>
  <c r="F82" i="10"/>
  <c r="BA204" i="10"/>
  <c r="BA230" i="10" s="1"/>
  <c r="BM230" i="10" s="1"/>
  <c r="BA207" i="10"/>
  <c r="BA233" i="10" s="1"/>
  <c r="BM233" i="10" s="1"/>
  <c r="BA210" i="10"/>
  <c r="BA236" i="10" s="1"/>
  <c r="BA76" i="10" s="1"/>
  <c r="BA213" i="10"/>
  <c r="BA239" i="10" s="1"/>
  <c r="BM239" i="10" s="1"/>
  <c r="BA216" i="10"/>
  <c r="BA242" i="10" s="1"/>
  <c r="BA82" i="10" s="1"/>
  <c r="BA203" i="10"/>
  <c r="BA229" i="10" s="1"/>
  <c r="BM229" i="10" s="1"/>
  <c r="BA209" i="10"/>
  <c r="BA235" i="10" s="1"/>
  <c r="BM235" i="10" s="1"/>
  <c r="AC211" i="10"/>
  <c r="AC237" i="10" s="1"/>
  <c r="AO237" i="10" s="1"/>
  <c r="AC204" i="10"/>
  <c r="AC230" i="10" s="1"/>
  <c r="AO230" i="10" s="1"/>
  <c r="AC209" i="10"/>
  <c r="AC235" i="10" s="1"/>
  <c r="AO235" i="10" s="1"/>
  <c r="AC208" i="10"/>
  <c r="AC234" i="10" s="1"/>
  <c r="AO234" i="10" s="1"/>
  <c r="AC206" i="10"/>
  <c r="AC232" i="10" s="1"/>
  <c r="AO232" i="10" s="1"/>
  <c r="AC207" i="10"/>
  <c r="AC233" i="10" s="1"/>
  <c r="AO233" i="10" s="1"/>
  <c r="AC200" i="10"/>
  <c r="AC226" i="10" s="1"/>
  <c r="AO226" i="10" s="1"/>
  <c r="AC205" i="10"/>
  <c r="AC231" i="10" s="1"/>
  <c r="AO231" i="10" s="1"/>
  <c r="AC203" i="10"/>
  <c r="AC229" i="10" s="1"/>
  <c r="AO229" i="10" s="1"/>
  <c r="R232" i="10"/>
  <c r="R72" i="10" s="1"/>
  <c r="R240" i="10"/>
  <c r="R80" i="10" s="1"/>
  <c r="R233" i="10"/>
  <c r="R73" i="10" s="1"/>
  <c r="R226" i="10"/>
  <c r="R66" i="10" s="1"/>
  <c r="R234" i="10"/>
  <c r="R74" i="10" s="1"/>
  <c r="R243" i="10"/>
  <c r="R83" i="10" s="1"/>
  <c r="R236" i="10"/>
  <c r="R76" i="10" s="1"/>
  <c r="R229" i="10"/>
  <c r="R69" i="10" s="1"/>
  <c r="R244" i="10"/>
  <c r="R84" i="10" s="1"/>
  <c r="R227" i="10"/>
  <c r="R67" i="10" s="1"/>
  <c r="R235" i="10"/>
  <c r="R75" i="10" s="1"/>
  <c r="R241" i="10"/>
  <c r="R81" i="10" s="1"/>
  <c r="R228" i="10"/>
  <c r="R68" i="10" s="1"/>
  <c r="R230" i="10"/>
  <c r="R70" i="10" s="1"/>
  <c r="R225" i="10"/>
  <c r="R65" i="10" s="1"/>
  <c r="R224" i="10"/>
  <c r="R64" i="10" s="1"/>
  <c r="BM173" i="10"/>
  <c r="BA199" i="10"/>
  <c r="BA225" i="10" s="1"/>
  <c r="BM192" i="10"/>
  <c r="BA218" i="10"/>
  <c r="BA244" i="10" s="1"/>
  <c r="BM176" i="10"/>
  <c r="BA202" i="10"/>
  <c r="BA228" i="10" s="1"/>
  <c r="BM179" i="10"/>
  <c r="BA205" i="10"/>
  <c r="BA231" i="10" s="1"/>
  <c r="BM182" i="10"/>
  <c r="BA208" i="10"/>
  <c r="BM185" i="10"/>
  <c r="BA211" i="10"/>
  <c r="BA237" i="10" s="1"/>
  <c r="BM180" i="10"/>
  <c r="BA206" i="10"/>
  <c r="BA232" i="10" s="1"/>
  <c r="BM188" i="10"/>
  <c r="BA214" i="10"/>
  <c r="BA240" i="10" s="1"/>
  <c r="BM191" i="10"/>
  <c r="BA217" i="10"/>
  <c r="BA243" i="10" s="1"/>
  <c r="BM175" i="10"/>
  <c r="BA201" i="10"/>
  <c r="BA227" i="10" s="1"/>
  <c r="BM186" i="10"/>
  <c r="BA212" i="10"/>
  <c r="BM189" i="10"/>
  <c r="BA215" i="10"/>
  <c r="BA241" i="10" s="1"/>
  <c r="BM174" i="10"/>
  <c r="BA200" i="10"/>
  <c r="BA226" i="10" s="1"/>
  <c r="BM172" i="10"/>
  <c r="BA198" i="10"/>
  <c r="BA224" i="10" s="1"/>
  <c r="AO191" i="10"/>
  <c r="AC217" i="10"/>
  <c r="AO175" i="10"/>
  <c r="AC201" i="10"/>
  <c r="AC227" i="10" s="1"/>
  <c r="AO188" i="10"/>
  <c r="AC214" i="10"/>
  <c r="AO189" i="10"/>
  <c r="AC215" i="10"/>
  <c r="AO173" i="10"/>
  <c r="AC199" i="10"/>
  <c r="AO186" i="10"/>
  <c r="AC212" i="10"/>
  <c r="AC238" i="10" s="1"/>
  <c r="AO187" i="10"/>
  <c r="AC213" i="10"/>
  <c r="AC239" i="10" s="1"/>
  <c r="AO190" i="10"/>
  <c r="AC216" i="10"/>
  <c r="AC242" i="10" s="1"/>
  <c r="AO184" i="10"/>
  <c r="AC210" i="10"/>
  <c r="AO192" i="10"/>
  <c r="AC218" i="10"/>
  <c r="AC244" i="10" s="1"/>
  <c r="AO176" i="10"/>
  <c r="AC202" i="10"/>
  <c r="AO172" i="10"/>
  <c r="AC198" i="10"/>
  <c r="AC224" i="10" s="1"/>
  <c r="BM187" i="10"/>
  <c r="BM190" i="10"/>
  <c r="BM184" i="10"/>
  <c r="BM178" i="10"/>
  <c r="BM181" i="10"/>
  <c r="BM183" i="10"/>
  <c r="BM177" i="10"/>
  <c r="BB172" i="10"/>
  <c r="BB174" i="10"/>
  <c r="BB178" i="10"/>
  <c r="BB182" i="10"/>
  <c r="BB186" i="10"/>
  <c r="BB190" i="10"/>
  <c r="BB173" i="10"/>
  <c r="BB177" i="10"/>
  <c r="BB181" i="10"/>
  <c r="BB185" i="10"/>
  <c r="BB189" i="10"/>
  <c r="BB175" i="10"/>
  <c r="BB179" i="10"/>
  <c r="BB183" i="10"/>
  <c r="BB176" i="10"/>
  <c r="BB180" i="10"/>
  <c r="BB184" i="10"/>
  <c r="BB188" i="10"/>
  <c r="BB192" i="10"/>
  <c r="BB187" i="10"/>
  <c r="BB191" i="10"/>
  <c r="BC172" i="10"/>
  <c r="BC175" i="10"/>
  <c r="BC179" i="10"/>
  <c r="BC183" i="10"/>
  <c r="BC187" i="10"/>
  <c r="BC191" i="10"/>
  <c r="BC184" i="10"/>
  <c r="BC188" i="10"/>
  <c r="BC192" i="10"/>
  <c r="BC174" i="10"/>
  <c r="BC178" i="10"/>
  <c r="BC182" i="10"/>
  <c r="BC186" i="10"/>
  <c r="BC190" i="10"/>
  <c r="BC180" i="10"/>
  <c r="BC173" i="10"/>
  <c r="BC177" i="10"/>
  <c r="BC181" i="10"/>
  <c r="BC185" i="10"/>
  <c r="BC189" i="10"/>
  <c r="BC176" i="10"/>
  <c r="AO178" i="10"/>
  <c r="AO183" i="10"/>
  <c r="AO182" i="10"/>
  <c r="AO180" i="10"/>
  <c r="AO181" i="10"/>
  <c r="AO174" i="10"/>
  <c r="AO179" i="10"/>
  <c r="AO177" i="10"/>
  <c r="AD172" i="10"/>
  <c r="AD174" i="10"/>
  <c r="AD178" i="10"/>
  <c r="AD182" i="10"/>
  <c r="AD186" i="10"/>
  <c r="AD190" i="10"/>
  <c r="AD173" i="10"/>
  <c r="AD177" i="10"/>
  <c r="AD181" i="10"/>
  <c r="AD185" i="10"/>
  <c r="AD189" i="10"/>
  <c r="AD175" i="10"/>
  <c r="AD179" i="10"/>
  <c r="AD187" i="10"/>
  <c r="AD191" i="10"/>
  <c r="AD176" i="10"/>
  <c r="AD180" i="10"/>
  <c r="AD184" i="10"/>
  <c r="AD188" i="10"/>
  <c r="AD192" i="10"/>
  <c r="AD183" i="10"/>
  <c r="AE172" i="10"/>
  <c r="AE175" i="10"/>
  <c r="AE179" i="10"/>
  <c r="AE183" i="10"/>
  <c r="AE187" i="10"/>
  <c r="AE191" i="10"/>
  <c r="AE176" i="10"/>
  <c r="AE174" i="10"/>
  <c r="AE178" i="10"/>
  <c r="AE182" i="10"/>
  <c r="AE186" i="10"/>
  <c r="AE190" i="10"/>
  <c r="AE184" i="10"/>
  <c r="AE192" i="10"/>
  <c r="AE173" i="10"/>
  <c r="AE177" i="10"/>
  <c r="AE181" i="10"/>
  <c r="AE185" i="10"/>
  <c r="AE189" i="10"/>
  <c r="AE180" i="10"/>
  <c r="AE188" i="10"/>
  <c r="X6" i="9"/>
  <c r="L170" i="10"/>
  <c r="L196" i="10" s="1"/>
  <c r="L222" i="10" s="1"/>
  <c r="AE66" i="3"/>
  <c r="S21" i="3"/>
  <c r="S22" i="3"/>
  <c r="S23" i="3"/>
  <c r="S24" i="3"/>
  <c r="S25" i="3"/>
  <c r="S26" i="3"/>
  <c r="S27" i="3"/>
  <c r="S28" i="3"/>
  <c r="S29" i="3"/>
  <c r="F20" i="7" s="1"/>
  <c r="S30" i="3"/>
  <c r="S31" i="3"/>
  <c r="S32" i="3"/>
  <c r="S33" i="3"/>
  <c r="S34" i="3"/>
  <c r="S35" i="3"/>
  <c r="S36" i="3"/>
  <c r="S37" i="3"/>
  <c r="S38" i="3"/>
  <c r="S39" i="3"/>
  <c r="ED118" i="11"/>
  <c r="EH118" i="11"/>
  <c r="EL118" i="11"/>
  <c r="EE118" i="11"/>
  <c r="EI118" i="11"/>
  <c r="EM118" i="11"/>
  <c r="EF118" i="11"/>
  <c r="EJ118" i="11"/>
  <c r="EN118" i="11"/>
  <c r="EG118" i="11"/>
  <c r="EK118" i="11"/>
  <c r="EC118" i="11"/>
  <c r="BG50" i="18"/>
  <c r="BJ23" i="13"/>
  <c r="BV23" i="13" s="1"/>
  <c r="BV50" i="13" s="1"/>
  <c r="AL23" i="13"/>
  <c r="AL50" i="13" s="1"/>
  <c r="AT23" i="20"/>
  <c r="AT50" i="20" s="1"/>
  <c r="Z50" i="18"/>
  <c r="AL23" i="18"/>
  <c r="AL50" i="18" s="1"/>
  <c r="AU23" i="20"/>
  <c r="AU50" i="20" s="1"/>
  <c r="BJ23" i="19"/>
  <c r="BJ50" i="19" s="1"/>
  <c r="AL23" i="19"/>
  <c r="AL50" i="19" s="1"/>
  <c r="AU23" i="18"/>
  <c r="AU50" i="18" s="1"/>
  <c r="AC40" i="4"/>
  <c r="AA40" i="4"/>
  <c r="AO40" i="4"/>
  <c r="Z40" i="4"/>
  <c r="AN40" i="4"/>
  <c r="N40" i="4"/>
  <c r="BD40" i="4" s="1"/>
  <c r="BR40" i="4" s="1"/>
  <c r="M62" i="3"/>
  <c r="M63" i="3"/>
  <c r="M56" i="3"/>
  <c r="M54" i="3"/>
  <c r="M61" i="3"/>
  <c r="M52" i="3"/>
  <c r="M50" i="3"/>
  <c r="M60" i="3"/>
  <c r="M59" i="3"/>
  <c r="M57" i="3"/>
  <c r="M53" i="3"/>
  <c r="M55" i="3"/>
  <c r="M51" i="3"/>
  <c r="M58" i="3"/>
  <c r="M64" i="3"/>
  <c r="AF43" i="3"/>
  <c r="AF18" i="3" s="1"/>
  <c r="T43" i="3"/>
  <c r="Y43" i="3"/>
  <c r="Y18" i="3" s="1"/>
  <c r="S18" i="3"/>
  <c r="L58" i="10"/>
  <c r="F61" i="1" s="1"/>
  <c r="BG62" i="10"/>
  <c r="AI62" i="10"/>
  <c r="BD50" i="13"/>
  <c r="BP23" i="13"/>
  <c r="BP50" i="13" s="1"/>
  <c r="BD50" i="19"/>
  <c r="BP23" i="19"/>
  <c r="BP50" i="19" s="1"/>
  <c r="BP23" i="18"/>
  <c r="BP50" i="18" s="1"/>
  <c r="BD50" i="18"/>
  <c r="BP23" i="20"/>
  <c r="BP50" i="20" s="1"/>
  <c r="BD50" i="20"/>
  <c r="Z50" i="19"/>
  <c r="G66" i="3"/>
  <c r="AK66" i="3"/>
  <c r="N18" i="3"/>
  <c r="Z50" i="13"/>
  <c r="I20" i="3"/>
  <c r="I24" i="3"/>
  <c r="I28" i="3"/>
  <c r="I32" i="3"/>
  <c r="I36" i="3"/>
  <c r="I19" i="3"/>
  <c r="I23" i="3"/>
  <c r="I27" i="3"/>
  <c r="I31" i="3"/>
  <c r="I35" i="3"/>
  <c r="I39" i="3"/>
  <c r="I21" i="3"/>
  <c r="I25" i="3"/>
  <c r="I29" i="3"/>
  <c r="I33" i="3"/>
  <c r="I37" i="3"/>
  <c r="I22" i="3"/>
  <c r="I26" i="3"/>
  <c r="I30" i="3"/>
  <c r="I34" i="3"/>
  <c r="I38" i="3"/>
  <c r="G65" i="3"/>
  <c r="I18" i="3"/>
  <c r="BF50" i="20"/>
  <c r="BJ23" i="18"/>
  <c r="BJ50" i="18" s="1"/>
  <c r="AK43" i="3"/>
  <c r="AK18" i="3" s="1"/>
  <c r="AE18" i="3"/>
  <c r="BS23" i="20"/>
  <c r="BS50" i="20" s="1"/>
  <c r="AA23" i="20"/>
  <c r="AM23" i="20" s="1"/>
  <c r="AM50" i="20" s="1"/>
  <c r="O18" i="20"/>
  <c r="O19" i="20" s="1"/>
  <c r="O50" i="20"/>
  <c r="O43" i="3"/>
  <c r="U43" i="3" s="1"/>
  <c r="P23" i="20"/>
  <c r="X62" i="10"/>
  <c r="X170" i="10" s="1"/>
  <c r="X196" i="10" s="1"/>
  <c r="X222" i="10" s="1"/>
  <c r="P23" i="19"/>
  <c r="P18" i="19" s="1"/>
  <c r="P23" i="18"/>
  <c r="J43" i="3"/>
  <c r="P23" i="13"/>
  <c r="O50" i="19"/>
  <c r="AA23" i="19"/>
  <c r="AM23" i="19" s="1"/>
  <c r="AM50" i="19" s="1"/>
  <c r="O18" i="19"/>
  <c r="BV23" i="20"/>
  <c r="BV50" i="20" s="1"/>
  <c r="BJ50" i="20"/>
  <c r="O50" i="13"/>
  <c r="AA23" i="13"/>
  <c r="AM23" i="13" s="1"/>
  <c r="AM50" i="13" s="1"/>
  <c r="O18" i="13"/>
  <c r="O50" i="18"/>
  <c r="AA23" i="18"/>
  <c r="AM23" i="18" s="1"/>
  <c r="AM50" i="18" s="1"/>
  <c r="O18" i="18"/>
  <c r="AC37" i="9"/>
  <c r="AC30" i="9"/>
  <c r="AC38" i="9"/>
  <c r="AC32" i="9"/>
  <c r="BI50" i="13"/>
  <c r="BU23" i="13"/>
  <c r="BU50" i="13" s="1"/>
  <c r="V7" i="9"/>
  <c r="BI50" i="19"/>
  <c r="BU23" i="19"/>
  <c r="BU50" i="19" s="1"/>
  <c r="BU23" i="18"/>
  <c r="BU50" i="18" s="1"/>
  <c r="BI50" i="18"/>
  <c r="AD29" i="9"/>
  <c r="AD6" i="9"/>
  <c r="AD7" i="9"/>
  <c r="AD31" i="9" s="1"/>
  <c r="AD8" i="9"/>
  <c r="AD9" i="9"/>
  <c r="AD33" i="9" s="1"/>
  <c r="AD10" i="9"/>
  <c r="AD11" i="9"/>
  <c r="AD35" i="9" s="1"/>
  <c r="AD12" i="9"/>
  <c r="AD13" i="9"/>
  <c r="AD37" i="9" s="1"/>
  <c r="AD14" i="9"/>
  <c r="AD38" i="9" s="1"/>
  <c r="AD15" i="9"/>
  <c r="AD39" i="9" s="1"/>
  <c r="AD16" i="9"/>
  <c r="AD40" i="9" s="1"/>
  <c r="AD17" i="9"/>
  <c r="AD41" i="9" s="1"/>
  <c r="AD18" i="9"/>
  <c r="AD42" i="9" s="1"/>
  <c r="AD19" i="9"/>
  <c r="AD43" i="9" s="1"/>
  <c r="AD20" i="9"/>
  <c r="AD44" i="9" s="1"/>
  <c r="AD21" i="9"/>
  <c r="AD45" i="9" s="1"/>
  <c r="AD22" i="9"/>
  <c r="AD46" i="9" s="1"/>
  <c r="AD23" i="9"/>
  <c r="AD47" i="9" s="1"/>
  <c r="AD24" i="9"/>
  <c r="AD48" i="9" s="1"/>
  <c r="AD25" i="9"/>
  <c r="AD49" i="9" s="1"/>
  <c r="AD26" i="9"/>
  <c r="AD50" i="9" s="1"/>
  <c r="BU23" i="20"/>
  <c r="BU50" i="20" s="1"/>
  <c r="BI50" i="20"/>
  <c r="W53" i="9"/>
  <c r="W30" i="9"/>
  <c r="W54" i="9" s="1"/>
  <c r="W31" i="9"/>
  <c r="W55" i="9" s="1"/>
  <c r="W32" i="9"/>
  <c r="W56" i="9" s="1"/>
  <c r="W33" i="9"/>
  <c r="W34" i="9"/>
  <c r="W58" i="9" s="1"/>
  <c r="W35" i="9"/>
  <c r="W59" i="9" s="1"/>
  <c r="W36" i="9"/>
  <c r="W60" i="9" s="1"/>
  <c r="W37" i="9"/>
  <c r="W38" i="9"/>
  <c r="W62" i="9" s="1"/>
  <c r="W39" i="9"/>
  <c r="W40" i="9"/>
  <c r="W64" i="9" s="1"/>
  <c r="W41" i="9"/>
  <c r="W65" i="9" s="1"/>
  <c r="W42" i="9"/>
  <c r="W43" i="9"/>
  <c r="W67" i="9" s="1"/>
  <c r="W44" i="9"/>
  <c r="W68" i="9" s="1"/>
  <c r="W45" i="9"/>
  <c r="W46" i="9"/>
  <c r="W47" i="9"/>
  <c r="W71" i="9" s="1"/>
  <c r="W48" i="9"/>
  <c r="W49" i="9"/>
  <c r="W73" i="9" s="1"/>
  <c r="W50" i="9"/>
  <c r="BT23" i="19"/>
  <c r="BH50" i="19"/>
  <c r="BH50" i="20"/>
  <c r="BT23" i="20"/>
  <c r="BR50" i="20"/>
  <c r="BQ50" i="19"/>
  <c r="BG50" i="19"/>
  <c r="BS23" i="19"/>
  <c r="BF50" i="19"/>
  <c r="BR23" i="19"/>
  <c r="BH50" i="18"/>
  <c r="BT23" i="18"/>
  <c r="BR50" i="18"/>
  <c r="BS50" i="18"/>
  <c r="BS23" i="13"/>
  <c r="BG50" i="13"/>
  <c r="BT23" i="13"/>
  <c r="BQ50" i="13"/>
  <c r="BF50" i="13"/>
  <c r="BH50" i="13"/>
  <c r="BR23" i="13"/>
  <c r="DR118" i="11"/>
  <c r="DS118" i="11"/>
  <c r="DX118" i="11"/>
  <c r="DQ118" i="11"/>
  <c r="DY118" i="11"/>
  <c r="DW118" i="11"/>
  <c r="EP118" i="11"/>
  <c r="DT118" i="11"/>
  <c r="DZ118" i="11"/>
  <c r="EV118" i="11"/>
  <c r="EO118" i="11"/>
  <c r="DU118" i="11"/>
  <c r="EQ118" i="11"/>
  <c r="EA118" i="11"/>
  <c r="EU118" i="11"/>
  <c r="ER118" i="11"/>
  <c r="EW118" i="11"/>
  <c r="EX118" i="11"/>
  <c r="ES118" i="11"/>
  <c r="DV118" i="11"/>
  <c r="EB118" i="11"/>
  <c r="EY118" i="11"/>
  <c r="ET118" i="11"/>
  <c r="EZ118" i="11"/>
  <c r="J20" i="4"/>
  <c r="DP119" i="11"/>
  <c r="B95" i="2"/>
  <c r="BL40" i="4"/>
  <c r="AL40" i="4"/>
  <c r="AZ40" i="4"/>
  <c r="P40" i="4"/>
  <c r="AD40" i="4" s="1"/>
  <c r="X40" i="4"/>
  <c r="F2" i="4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AL2" i="4" s="1"/>
  <c r="AM2" i="4" s="1"/>
  <c r="AN2" i="4" s="1"/>
  <c r="AO2" i="4" s="1"/>
  <c r="AP2" i="4" s="1"/>
  <c r="AQ2" i="4" s="1"/>
  <c r="AR2" i="4" s="1"/>
  <c r="AS2" i="4" s="1"/>
  <c r="AT2" i="4" s="1"/>
  <c r="AU2" i="4" s="1"/>
  <c r="AV2" i="4" s="1"/>
  <c r="AW2" i="4" s="1"/>
  <c r="AX2" i="4" s="1"/>
  <c r="AY2" i="4" s="1"/>
  <c r="AZ2" i="4" s="1"/>
  <c r="BA2" i="4" s="1"/>
  <c r="BB2" i="4" s="1"/>
  <c r="BC2" i="4" s="1"/>
  <c r="BD2" i="4" s="1"/>
  <c r="BE2" i="4" s="1"/>
  <c r="BF2" i="4" s="1"/>
  <c r="BG2" i="4" s="1"/>
  <c r="BH2" i="4" s="1"/>
  <c r="BI2" i="4" s="1"/>
  <c r="BJ2" i="4" s="1"/>
  <c r="BK2" i="4" s="1"/>
  <c r="BL2" i="4" s="1"/>
  <c r="BM2" i="4" s="1"/>
  <c r="BN2" i="4" s="1"/>
  <c r="BO2" i="4" s="1"/>
  <c r="BP2" i="4" s="1"/>
  <c r="BQ2" i="4" s="1"/>
  <c r="BR2" i="4" s="1"/>
  <c r="BS2" i="4" s="1"/>
  <c r="BT2" i="4" s="1"/>
  <c r="BU2" i="4" s="1"/>
  <c r="BV2" i="4" s="1"/>
  <c r="BW2" i="4" s="1"/>
  <c r="BX2" i="4" s="1"/>
  <c r="BY2" i="4" s="1"/>
  <c r="BM40" i="4"/>
  <c r="BJ41" i="4"/>
  <c r="BJ42" i="4" s="1"/>
  <c r="BJ43" i="4" s="1"/>
  <c r="BJ44" i="4" s="1"/>
  <c r="BJ45" i="4" s="1"/>
  <c r="BJ46" i="4" s="1"/>
  <c r="BJ47" i="4" s="1"/>
  <c r="BJ48" i="4" s="1"/>
  <c r="BJ49" i="4" s="1"/>
  <c r="BJ50" i="4" s="1"/>
  <c r="BJ51" i="4" s="1"/>
  <c r="BJ52" i="4" s="1"/>
  <c r="BJ53" i="4" s="1"/>
  <c r="BJ54" i="4" s="1"/>
  <c r="BJ55" i="4" s="1"/>
  <c r="BJ56" i="4" s="1"/>
  <c r="BJ57" i="4" s="1"/>
  <c r="BJ58" i="4" s="1"/>
  <c r="BJ59" i="4" s="1"/>
  <c r="BJ60" i="4" s="1"/>
  <c r="BJ61" i="4" s="1"/>
  <c r="BE40" i="4"/>
  <c r="Q40" i="4"/>
  <c r="AE40" i="4" s="1"/>
  <c r="B71" i="2"/>
  <c r="F18" i="4"/>
  <c r="AV41" i="4"/>
  <c r="AH41" i="4"/>
  <c r="T41" i="4"/>
  <c r="AD30" i="9" l="1"/>
  <c r="B41" i="8"/>
  <c r="E86" i="10"/>
  <c r="Q85" i="10"/>
  <c r="Q86" i="10"/>
  <c r="F26" i="7"/>
  <c r="AQ60" i="8"/>
  <c r="AQ86" i="8" s="1"/>
  <c r="AQ33" i="8"/>
  <c r="AA60" i="8"/>
  <c r="AA86" i="8" s="1"/>
  <c r="AA33" i="8"/>
  <c r="B15" i="8"/>
  <c r="B68" i="8"/>
  <c r="B94" i="8" s="1"/>
  <c r="BM209" i="10"/>
  <c r="BM75" i="10" s="1"/>
  <c r="BM210" i="10"/>
  <c r="BM236" i="10"/>
  <c r="S86" i="10"/>
  <c r="BM216" i="10"/>
  <c r="AO203" i="10"/>
  <c r="AO69" i="10" s="1"/>
  <c r="AO207" i="10"/>
  <c r="AO73" i="10" s="1"/>
  <c r="S85" i="10"/>
  <c r="BM242" i="10"/>
  <c r="BM207" i="10"/>
  <c r="BM73" i="10" s="1"/>
  <c r="R86" i="10"/>
  <c r="R85" i="10"/>
  <c r="G86" i="10"/>
  <c r="G85" i="10"/>
  <c r="F85" i="10"/>
  <c r="F86" i="10"/>
  <c r="BM203" i="10"/>
  <c r="BM69" i="10" s="1"/>
  <c r="BM213" i="10"/>
  <c r="BM79" i="10" s="1"/>
  <c r="BA75" i="10"/>
  <c r="BM204" i="10"/>
  <c r="BM70" i="10" s="1"/>
  <c r="BA70" i="10"/>
  <c r="AC79" i="10"/>
  <c r="BA65" i="10"/>
  <c r="AC77" i="10"/>
  <c r="BA67" i="10"/>
  <c r="AC71" i="10"/>
  <c r="BA64" i="10"/>
  <c r="BA68" i="10"/>
  <c r="AC74" i="10"/>
  <c r="AC64" i="10"/>
  <c r="AC78" i="10"/>
  <c r="AC84" i="10"/>
  <c r="BA69" i="10"/>
  <c r="BA79" i="10"/>
  <c r="BA73" i="10"/>
  <c r="BA81" i="10"/>
  <c r="BA66" i="10"/>
  <c r="BA83" i="10"/>
  <c r="AC66" i="10"/>
  <c r="BA77" i="10"/>
  <c r="BA84" i="10"/>
  <c r="AC75" i="10"/>
  <c r="AC67" i="10"/>
  <c r="BA80" i="10"/>
  <c r="AC73" i="10"/>
  <c r="AC70" i="10"/>
  <c r="AC82" i="10"/>
  <c r="BA72" i="10"/>
  <c r="AC69" i="10"/>
  <c r="BA71" i="10"/>
  <c r="AC72" i="10"/>
  <c r="AO209" i="10"/>
  <c r="AO75" i="10" s="1"/>
  <c r="AO211" i="10"/>
  <c r="AO77" i="10" s="1"/>
  <c r="AO208" i="10"/>
  <c r="AO74" i="10" s="1"/>
  <c r="BM199" i="10"/>
  <c r="AO206" i="10"/>
  <c r="AO72" i="10" s="1"/>
  <c r="AO204" i="10"/>
  <c r="AO70" i="10" s="1"/>
  <c r="AO200" i="10"/>
  <c r="AO66" i="10" s="1"/>
  <c r="AO205" i="10"/>
  <c r="AO71" i="10" s="1"/>
  <c r="BM206" i="10"/>
  <c r="AO213" i="10"/>
  <c r="BM202" i="10"/>
  <c r="AO224" i="10"/>
  <c r="AO244" i="10"/>
  <c r="AO242" i="10"/>
  <c r="AO238" i="10"/>
  <c r="AO215" i="10"/>
  <c r="AC241" i="10"/>
  <c r="AC81" i="10" s="1"/>
  <c r="AO227" i="10"/>
  <c r="BM224" i="10"/>
  <c r="BM241" i="10"/>
  <c r="BM227" i="10"/>
  <c r="BM240" i="10"/>
  <c r="BM237" i="10"/>
  <c r="BM231" i="10"/>
  <c r="BM244" i="10"/>
  <c r="BM217" i="10"/>
  <c r="AO202" i="10"/>
  <c r="AC228" i="10"/>
  <c r="AC68" i="10" s="1"/>
  <c r="AO210" i="10"/>
  <c r="AC236" i="10"/>
  <c r="AC76" i="10" s="1"/>
  <c r="AO239" i="10"/>
  <c r="AO199" i="10"/>
  <c r="AC225" i="10"/>
  <c r="AC65" i="10" s="1"/>
  <c r="AO214" i="10"/>
  <c r="AC240" i="10"/>
  <c r="AC80" i="10" s="1"/>
  <c r="AO217" i="10"/>
  <c r="AC243" i="10"/>
  <c r="AC83" i="10" s="1"/>
  <c r="BM226" i="10"/>
  <c r="BM212" i="10"/>
  <c r="BA238" i="10"/>
  <c r="BA78" i="10" s="1"/>
  <c r="BM243" i="10"/>
  <c r="BM232" i="10"/>
  <c r="BM208" i="10"/>
  <c r="BA234" i="10"/>
  <c r="BA74" i="10" s="1"/>
  <c r="BM228" i="10"/>
  <c r="BM225" i="10"/>
  <c r="BM215" i="10"/>
  <c r="BM201" i="10"/>
  <c r="BM214" i="10"/>
  <c r="BM211" i="10"/>
  <c r="BM205" i="10"/>
  <c r="BM218" i="10"/>
  <c r="BM200" i="10"/>
  <c r="BM198" i="10"/>
  <c r="BO180" i="10"/>
  <c r="BC206" i="10"/>
  <c r="BO178" i="10"/>
  <c r="BC204" i="10"/>
  <c r="BO184" i="10"/>
  <c r="BC210" i="10"/>
  <c r="BN187" i="10"/>
  <c r="BB213" i="10"/>
  <c r="BB239" i="10" s="1"/>
  <c r="BN180" i="10"/>
  <c r="BB206" i="10"/>
  <c r="BN175" i="10"/>
  <c r="BB201" i="10"/>
  <c r="BN177" i="10"/>
  <c r="BB203" i="10"/>
  <c r="BB229" i="10" s="1"/>
  <c r="BN182" i="10"/>
  <c r="BB208" i="10"/>
  <c r="BO181" i="10"/>
  <c r="BC207" i="10"/>
  <c r="BO190" i="10"/>
  <c r="BC216" i="10"/>
  <c r="BO174" i="10"/>
  <c r="BC200" i="10"/>
  <c r="BO191" i="10"/>
  <c r="BC217" i="10"/>
  <c r="BO175" i="10"/>
  <c r="BC201" i="10"/>
  <c r="BN192" i="10"/>
  <c r="BB218" i="10"/>
  <c r="BN176" i="10"/>
  <c r="BB202" i="10"/>
  <c r="BN189" i="10"/>
  <c r="BB215" i="10"/>
  <c r="BN173" i="10"/>
  <c r="BB199" i="10"/>
  <c r="BN178" i="10"/>
  <c r="BB204" i="10"/>
  <c r="BB230" i="10" s="1"/>
  <c r="BO185" i="10"/>
  <c r="BC211" i="10"/>
  <c r="BO179" i="10"/>
  <c r="BC205" i="10"/>
  <c r="BO176" i="10"/>
  <c r="BC202" i="10"/>
  <c r="BO177" i="10"/>
  <c r="BC203" i="10"/>
  <c r="BO186" i="10"/>
  <c r="BC212" i="10"/>
  <c r="BO192" i="10"/>
  <c r="BC218" i="10"/>
  <c r="BO187" i="10"/>
  <c r="BC213" i="10"/>
  <c r="BN188" i="10"/>
  <c r="BB214" i="10"/>
  <c r="BN183" i="10"/>
  <c r="BB209" i="10"/>
  <c r="BB235" i="10" s="1"/>
  <c r="BN185" i="10"/>
  <c r="BB211" i="10"/>
  <c r="BN190" i="10"/>
  <c r="BB216" i="10"/>
  <c r="BB242" i="10" s="1"/>
  <c r="BN174" i="10"/>
  <c r="BB200" i="10"/>
  <c r="BO189" i="10"/>
  <c r="BC215" i="10"/>
  <c r="BO173" i="10"/>
  <c r="BC199" i="10"/>
  <c r="BO182" i="10"/>
  <c r="BC208" i="10"/>
  <c r="BO188" i="10"/>
  <c r="BC214" i="10"/>
  <c r="BO183" i="10"/>
  <c r="BC209" i="10"/>
  <c r="BN191" i="10"/>
  <c r="BB217" i="10"/>
  <c r="BN184" i="10"/>
  <c r="BB210" i="10"/>
  <c r="BB236" i="10" s="1"/>
  <c r="BN179" i="10"/>
  <c r="BB205" i="10"/>
  <c r="BN181" i="10"/>
  <c r="BB207" i="10"/>
  <c r="BB233" i="10" s="1"/>
  <c r="BN186" i="10"/>
  <c r="BB212" i="10"/>
  <c r="BO172" i="10"/>
  <c r="BC198" i="10"/>
  <c r="BN172" i="10"/>
  <c r="BB198" i="10"/>
  <c r="AO218" i="10"/>
  <c r="AO216" i="10"/>
  <c r="AO212" i="10"/>
  <c r="AO201" i="10"/>
  <c r="AO198" i="10"/>
  <c r="AQ188" i="10"/>
  <c r="AE214" i="10"/>
  <c r="AQ181" i="10"/>
  <c r="AE207" i="10"/>
  <c r="AQ184" i="10"/>
  <c r="AE210" i="10"/>
  <c r="AQ178" i="10"/>
  <c r="AE204" i="10"/>
  <c r="AQ187" i="10"/>
  <c r="AE213" i="10"/>
  <c r="AP184" i="10"/>
  <c r="AD210" i="10"/>
  <c r="AP187" i="10"/>
  <c r="AD213" i="10"/>
  <c r="AP185" i="10"/>
  <c r="AD211" i="10"/>
  <c r="AD237" i="10" s="1"/>
  <c r="AP190" i="10"/>
  <c r="AD216" i="10"/>
  <c r="AP174" i="10"/>
  <c r="AD200" i="10"/>
  <c r="AD226" i="10" s="1"/>
  <c r="AQ180" i="10"/>
  <c r="AE206" i="10"/>
  <c r="AQ177" i="10"/>
  <c r="AE203" i="10"/>
  <c r="AQ190" i="10"/>
  <c r="AE216" i="10"/>
  <c r="AQ174" i="10"/>
  <c r="AE200" i="10"/>
  <c r="AQ183" i="10"/>
  <c r="AE209" i="10"/>
  <c r="AP183" i="10"/>
  <c r="AD209" i="10"/>
  <c r="AD235" i="10" s="1"/>
  <c r="AP180" i="10"/>
  <c r="AD206" i="10"/>
  <c r="AD232" i="10" s="1"/>
  <c r="AP179" i="10"/>
  <c r="AD205" i="10"/>
  <c r="AD231" i="10" s="1"/>
  <c r="AP181" i="10"/>
  <c r="AD207" i="10"/>
  <c r="AD233" i="10" s="1"/>
  <c r="AP186" i="10"/>
  <c r="AD212" i="10"/>
  <c r="AQ189" i="10"/>
  <c r="AE215" i="10"/>
  <c r="AQ173" i="10"/>
  <c r="AE199" i="10"/>
  <c r="AQ186" i="10"/>
  <c r="AE212" i="10"/>
  <c r="AQ176" i="10"/>
  <c r="AE202" i="10"/>
  <c r="AQ179" i="10"/>
  <c r="AE205" i="10"/>
  <c r="AP192" i="10"/>
  <c r="AD218" i="10"/>
  <c r="AP176" i="10"/>
  <c r="AD202" i="10"/>
  <c r="AP175" i="10"/>
  <c r="AD201" i="10"/>
  <c r="AP177" i="10"/>
  <c r="AD203" i="10"/>
  <c r="AD229" i="10" s="1"/>
  <c r="AP182" i="10"/>
  <c r="AD208" i="10"/>
  <c r="AD234" i="10" s="1"/>
  <c r="AQ185" i="10"/>
  <c r="AE211" i="10"/>
  <c r="AQ192" i="10"/>
  <c r="AE218" i="10"/>
  <c r="AQ182" i="10"/>
  <c r="AE208" i="10"/>
  <c r="AQ191" i="10"/>
  <c r="AE217" i="10"/>
  <c r="AQ175" i="10"/>
  <c r="AE201" i="10"/>
  <c r="AP188" i="10"/>
  <c r="AD214" i="10"/>
  <c r="AP191" i="10"/>
  <c r="AD217" i="10"/>
  <c r="AP189" i="10"/>
  <c r="AD215" i="10"/>
  <c r="AP173" i="10"/>
  <c r="AD199" i="10"/>
  <c r="AP178" i="10"/>
  <c r="AD204" i="10"/>
  <c r="AD230" i="10" s="1"/>
  <c r="AP172" i="10"/>
  <c r="AD198" i="10"/>
  <c r="AQ172" i="10"/>
  <c r="AE198" i="10"/>
  <c r="X29" i="9"/>
  <c r="X32" i="9" s="1"/>
  <c r="X56" i="9" s="1"/>
  <c r="AE5" i="9"/>
  <c r="AE29" i="9" s="1"/>
  <c r="AU62" i="10"/>
  <c r="AU170" i="10" s="1"/>
  <c r="AU196" i="10" s="1"/>
  <c r="AU222" i="10" s="1"/>
  <c r="AI170" i="10"/>
  <c r="AI196" i="10" s="1"/>
  <c r="AI222" i="10" s="1"/>
  <c r="BS62" i="10"/>
  <c r="BS170" i="10" s="1"/>
  <c r="BS196" i="10" s="1"/>
  <c r="BS222" i="10" s="1"/>
  <c r="BG170" i="10"/>
  <c r="BG196" i="10" s="1"/>
  <c r="BG222" i="10" s="1"/>
  <c r="Y23" i="3"/>
  <c r="Y48" i="3" s="1"/>
  <c r="S48" i="3"/>
  <c r="Y24" i="3"/>
  <c r="Y49" i="3" s="1"/>
  <c r="S49" i="3"/>
  <c r="Y22" i="3"/>
  <c r="Y47" i="3" s="1"/>
  <c r="S47" i="3"/>
  <c r="Y21" i="3"/>
  <c r="Y46" i="3" s="1"/>
  <c r="S46" i="3"/>
  <c r="S64" i="3"/>
  <c r="Y39" i="3"/>
  <c r="Y64" i="3" s="1"/>
  <c r="S51" i="3"/>
  <c r="Y26" i="3"/>
  <c r="Y51" i="3" s="1"/>
  <c r="S53" i="3"/>
  <c r="Y28" i="3"/>
  <c r="Y53" i="3" s="1"/>
  <c r="S59" i="3"/>
  <c r="Y34" i="3"/>
  <c r="Y59" i="3" s="1"/>
  <c r="S50" i="3"/>
  <c r="Y25" i="3"/>
  <c r="Y50" i="3" s="1"/>
  <c r="S61" i="3"/>
  <c r="Y36" i="3"/>
  <c r="Y61" i="3" s="1"/>
  <c r="S56" i="3"/>
  <c r="Y31" i="3"/>
  <c r="Y56" i="3" s="1"/>
  <c r="S62" i="3"/>
  <c r="Y37" i="3"/>
  <c r="Y62" i="3" s="1"/>
  <c r="S58" i="3"/>
  <c r="Y33" i="3"/>
  <c r="Y58" i="3" s="1"/>
  <c r="S55" i="3"/>
  <c r="Y30" i="3"/>
  <c r="Y55" i="3" s="1"/>
  <c r="S57" i="3"/>
  <c r="Y32" i="3"/>
  <c r="Y57" i="3" s="1"/>
  <c r="S60" i="3"/>
  <c r="Y35" i="3"/>
  <c r="Y60" i="3" s="1"/>
  <c r="S52" i="3"/>
  <c r="Y27" i="3"/>
  <c r="Y52" i="3" s="1"/>
  <c r="S54" i="3"/>
  <c r="Y29" i="3"/>
  <c r="Y54" i="3" s="1"/>
  <c r="S63" i="3"/>
  <c r="Y38" i="3"/>
  <c r="Y63" i="3" s="1"/>
  <c r="BJ50" i="13"/>
  <c r="ED119" i="11"/>
  <c r="EH119" i="11"/>
  <c r="EL119" i="11"/>
  <c r="EE119" i="11"/>
  <c r="EI119" i="11"/>
  <c r="EM119" i="11"/>
  <c r="EF119" i="11"/>
  <c r="EJ119" i="11"/>
  <c r="EN119" i="11"/>
  <c r="EK119" i="11"/>
  <c r="EC119" i="11"/>
  <c r="EG119" i="11"/>
  <c r="BV23" i="19"/>
  <c r="BV50" i="19" s="1"/>
  <c r="O19" i="19"/>
  <c r="AY23" i="18"/>
  <c r="AY50" i="18" s="1"/>
  <c r="O19" i="13"/>
  <c r="AY23" i="19"/>
  <c r="AY50" i="19" s="1"/>
  <c r="AX23" i="19"/>
  <c r="AX50" i="19" s="1"/>
  <c r="AX23" i="18"/>
  <c r="AX50" i="18" s="1"/>
  <c r="AY23" i="13"/>
  <c r="AY50" i="13" s="1"/>
  <c r="AY23" i="20"/>
  <c r="AY50" i="20" s="1"/>
  <c r="O19" i="18"/>
  <c r="AX23" i="13"/>
  <c r="AX50" i="13" s="1"/>
  <c r="AL43" i="3"/>
  <c r="AL18" i="3" s="1"/>
  <c r="AB40" i="4"/>
  <c r="AP40" i="4"/>
  <c r="M66" i="3"/>
  <c r="AA43" i="3"/>
  <c r="AA18" i="3" s="1"/>
  <c r="U18" i="3"/>
  <c r="Z43" i="3"/>
  <c r="Z18" i="3" s="1"/>
  <c r="T18" i="3"/>
  <c r="BH62" i="10"/>
  <c r="AJ62" i="10"/>
  <c r="J21" i="3"/>
  <c r="J25" i="3"/>
  <c r="J29" i="3"/>
  <c r="J33" i="3"/>
  <c r="J37" i="3"/>
  <c r="J22" i="3"/>
  <c r="J34" i="3"/>
  <c r="J38" i="3"/>
  <c r="J20" i="3"/>
  <c r="J24" i="3"/>
  <c r="J28" i="3"/>
  <c r="J32" i="3"/>
  <c r="J36" i="3"/>
  <c r="J19" i="3"/>
  <c r="J23" i="3"/>
  <c r="J27" i="3"/>
  <c r="J31" i="3"/>
  <c r="J35" i="3"/>
  <c r="J39" i="3"/>
  <c r="J26" i="3"/>
  <c r="J30" i="3"/>
  <c r="AM38" i="3"/>
  <c r="AM63" i="3" s="1"/>
  <c r="AG63" i="3"/>
  <c r="AM34" i="3"/>
  <c r="AM59" i="3" s="1"/>
  <c r="AG59" i="3"/>
  <c r="AM30" i="3"/>
  <c r="AM55" i="3" s="1"/>
  <c r="AG55" i="3"/>
  <c r="AM26" i="3"/>
  <c r="AM51" i="3" s="1"/>
  <c r="AG51" i="3"/>
  <c r="AM22" i="3"/>
  <c r="AM47" i="3" s="1"/>
  <c r="AG47" i="3"/>
  <c r="AM19" i="3"/>
  <c r="AM44" i="3" s="1"/>
  <c r="AG44" i="3"/>
  <c r="AM37" i="3"/>
  <c r="AM62" i="3" s="1"/>
  <c r="AG62" i="3"/>
  <c r="AM33" i="3"/>
  <c r="AM58" i="3" s="1"/>
  <c r="AG58" i="3"/>
  <c r="AM29" i="3"/>
  <c r="AM54" i="3" s="1"/>
  <c r="AG54" i="3"/>
  <c r="AM25" i="3"/>
  <c r="AM50" i="3" s="1"/>
  <c r="AG50" i="3"/>
  <c r="AM21" i="3"/>
  <c r="AM46" i="3" s="1"/>
  <c r="AG46" i="3"/>
  <c r="AM36" i="3"/>
  <c r="AM61" i="3" s="1"/>
  <c r="AG61" i="3"/>
  <c r="AM32" i="3"/>
  <c r="AM57" i="3" s="1"/>
  <c r="AG57" i="3"/>
  <c r="AM28" i="3"/>
  <c r="AM53" i="3" s="1"/>
  <c r="AG53" i="3"/>
  <c r="AM24" i="3"/>
  <c r="AM49" i="3" s="1"/>
  <c r="AG49" i="3"/>
  <c r="AM20" i="3"/>
  <c r="AM45" i="3" s="1"/>
  <c r="AG45" i="3"/>
  <c r="AM39" i="3"/>
  <c r="AM64" i="3" s="1"/>
  <c r="AG64" i="3"/>
  <c r="AM35" i="3"/>
  <c r="AM60" i="3" s="1"/>
  <c r="AG60" i="3"/>
  <c r="AM31" i="3"/>
  <c r="AM56" i="3" s="1"/>
  <c r="AG56" i="3"/>
  <c r="AM27" i="3"/>
  <c r="AM52" i="3" s="1"/>
  <c r="AG52" i="3"/>
  <c r="AM23" i="3"/>
  <c r="AM48" i="3" s="1"/>
  <c r="AG48" i="3"/>
  <c r="J18" i="3"/>
  <c r="BV23" i="18"/>
  <c r="BV50" i="18" s="1"/>
  <c r="P43" i="3"/>
  <c r="I62" i="3"/>
  <c r="O37" i="3"/>
  <c r="I61" i="3"/>
  <c r="O36" i="3"/>
  <c r="I58" i="3"/>
  <c r="O33" i="3"/>
  <c r="I63" i="3"/>
  <c r="O38" i="3"/>
  <c r="I47" i="3"/>
  <c r="O22" i="3"/>
  <c r="I52" i="3"/>
  <c r="O27" i="3"/>
  <c r="I57" i="3"/>
  <c r="O32" i="3"/>
  <c r="I51" i="3"/>
  <c r="O26" i="3"/>
  <c r="I54" i="3"/>
  <c r="O29" i="3"/>
  <c r="I59" i="3"/>
  <c r="O34" i="3"/>
  <c r="I64" i="3"/>
  <c r="O39" i="3"/>
  <c r="I48" i="3"/>
  <c r="O23" i="3"/>
  <c r="I53" i="3"/>
  <c r="O28" i="3"/>
  <c r="I46" i="3"/>
  <c r="O21" i="3"/>
  <c r="I56" i="3"/>
  <c r="O31" i="3"/>
  <c r="I45" i="3"/>
  <c r="O20" i="3"/>
  <c r="I50" i="3"/>
  <c r="O25" i="3"/>
  <c r="I55" i="3"/>
  <c r="O30" i="3"/>
  <c r="I60" i="3"/>
  <c r="O35" i="3"/>
  <c r="I49" i="3"/>
  <c r="O24" i="3"/>
  <c r="I44" i="3"/>
  <c r="O19" i="3"/>
  <c r="AG43" i="3"/>
  <c r="O18" i="3"/>
  <c r="AA50" i="18"/>
  <c r="BK23" i="18"/>
  <c r="P50" i="18"/>
  <c r="AB23" i="18"/>
  <c r="AN23" i="18" s="1"/>
  <c r="AN50" i="18" s="1"/>
  <c r="P18" i="18"/>
  <c r="P19" i="18" s="1"/>
  <c r="P50" i="19"/>
  <c r="AB23" i="19"/>
  <c r="AN23" i="19" s="1"/>
  <c r="AN50" i="19" s="1"/>
  <c r="AA50" i="20"/>
  <c r="BK23" i="20"/>
  <c r="P50" i="13"/>
  <c r="AB23" i="13"/>
  <c r="AN23" i="13" s="1"/>
  <c r="AN50" i="13" s="1"/>
  <c r="P18" i="13"/>
  <c r="AA50" i="13"/>
  <c r="BK23" i="13"/>
  <c r="AA50" i="19"/>
  <c r="BK23" i="19"/>
  <c r="AB23" i="20"/>
  <c r="AN23" i="20" s="1"/>
  <c r="AN50" i="20" s="1"/>
  <c r="P50" i="20"/>
  <c r="P18" i="20"/>
  <c r="P19" i="19"/>
  <c r="W72" i="9"/>
  <c r="W66" i="9"/>
  <c r="AD36" i="9"/>
  <c r="W70" i="9"/>
  <c r="W69" i="9"/>
  <c r="W74" i="9"/>
  <c r="AD34" i="9"/>
  <c r="W63" i="9"/>
  <c r="AD32" i="9"/>
  <c r="W61" i="9"/>
  <c r="W57" i="9"/>
  <c r="V8" i="9"/>
  <c r="W7" i="9"/>
  <c r="W8" i="9" s="1"/>
  <c r="W9" i="9" s="1"/>
  <c r="W10" i="9" s="1"/>
  <c r="W11" i="9" s="1"/>
  <c r="W12" i="9" s="1"/>
  <c r="W13" i="9" s="1"/>
  <c r="W14" i="9" s="1"/>
  <c r="W15" i="9" s="1"/>
  <c r="W16" i="9" s="1"/>
  <c r="W17" i="9" s="1"/>
  <c r="W18" i="9" s="1"/>
  <c r="W19" i="9" s="1"/>
  <c r="W20" i="9" s="1"/>
  <c r="W21" i="9" s="1"/>
  <c r="W22" i="9" s="1"/>
  <c r="W23" i="9" s="1"/>
  <c r="W24" i="9" s="1"/>
  <c r="W25" i="9" s="1"/>
  <c r="W26" i="9" s="1"/>
  <c r="BT50" i="19"/>
  <c r="BT50" i="20"/>
  <c r="BR50" i="19"/>
  <c r="BS50" i="19"/>
  <c r="BT50" i="18"/>
  <c r="BS50" i="13"/>
  <c r="BT50" i="13"/>
  <c r="BR50" i="13"/>
  <c r="DR119" i="11"/>
  <c r="DX119" i="11"/>
  <c r="DQ119" i="11"/>
  <c r="DS119" i="11"/>
  <c r="DT119" i="11"/>
  <c r="EP119" i="11"/>
  <c r="DY119" i="11"/>
  <c r="DW119" i="11"/>
  <c r="EO119" i="11"/>
  <c r="EQ119" i="11"/>
  <c r="DZ119" i="11"/>
  <c r="EV119" i="11"/>
  <c r="DU119" i="11"/>
  <c r="EW119" i="11"/>
  <c r="EA119" i="11"/>
  <c r="EU119" i="11"/>
  <c r="ER119" i="11"/>
  <c r="EX119" i="11"/>
  <c r="DV119" i="11"/>
  <c r="ES119" i="11"/>
  <c r="EB119" i="11"/>
  <c r="EY119" i="11"/>
  <c r="ET119" i="11"/>
  <c r="EZ119" i="11"/>
  <c r="J21" i="4"/>
  <c r="AV42" i="4"/>
  <c r="DP120" i="11"/>
  <c r="B72" i="2"/>
  <c r="B96" i="2"/>
  <c r="BN40" i="4"/>
  <c r="AR40" i="4"/>
  <c r="BF40" i="4"/>
  <c r="R40" i="4"/>
  <c r="AF40" i="4" s="1"/>
  <c r="BS40" i="4"/>
  <c r="BG40" i="4"/>
  <c r="AS40" i="4"/>
  <c r="F19" i="4"/>
  <c r="AH42" i="4"/>
  <c r="T42" i="4"/>
  <c r="F42" i="4"/>
  <c r="B42" i="8" l="1"/>
  <c r="C27" i="7"/>
  <c r="AO67" i="10"/>
  <c r="B16" i="8"/>
  <c r="B69" i="8"/>
  <c r="B95" i="8" s="1"/>
  <c r="BM76" i="10"/>
  <c r="BM82" i="10"/>
  <c r="AO82" i="10"/>
  <c r="BM66" i="10"/>
  <c r="BM80" i="10"/>
  <c r="BM72" i="10"/>
  <c r="AO64" i="10"/>
  <c r="AO84" i="10"/>
  <c r="BM71" i="10"/>
  <c r="BM81" i="10"/>
  <c r="BM68" i="10"/>
  <c r="AC86" i="10"/>
  <c r="BA85" i="10"/>
  <c r="AC85" i="10"/>
  <c r="BM64" i="10"/>
  <c r="BM77" i="10"/>
  <c r="BM83" i="10"/>
  <c r="AO79" i="10"/>
  <c r="BM65" i="10"/>
  <c r="AO78" i="10"/>
  <c r="BM84" i="10"/>
  <c r="BM67" i="10"/>
  <c r="BA86" i="10"/>
  <c r="AD73" i="10"/>
  <c r="AD70" i="10"/>
  <c r="BB69" i="10"/>
  <c r="BB73" i="10"/>
  <c r="AD71" i="10"/>
  <c r="AD66" i="10"/>
  <c r="BB82" i="10"/>
  <c r="AD74" i="10"/>
  <c r="AD72" i="10"/>
  <c r="BB76" i="10"/>
  <c r="BB70" i="10"/>
  <c r="AD69" i="10"/>
  <c r="AD75" i="10"/>
  <c r="AD77" i="10"/>
  <c r="BB79" i="10"/>
  <c r="BB75" i="10"/>
  <c r="AP198" i="10"/>
  <c r="AD224" i="10"/>
  <c r="AD64" i="10" s="1"/>
  <c r="AP199" i="10"/>
  <c r="AD225" i="10"/>
  <c r="AP225" i="10" s="1"/>
  <c r="AP217" i="10"/>
  <c r="AD243" i="10"/>
  <c r="AP243" i="10" s="1"/>
  <c r="AQ201" i="10"/>
  <c r="AE227" i="10"/>
  <c r="AQ227" i="10" s="1"/>
  <c r="AQ208" i="10"/>
  <c r="AE234" i="10"/>
  <c r="AQ234" i="10" s="1"/>
  <c r="AQ211" i="10"/>
  <c r="AE237" i="10"/>
  <c r="AQ237" i="10" s="1"/>
  <c r="AP229" i="10"/>
  <c r="AP202" i="10"/>
  <c r="AD228" i="10"/>
  <c r="AP228" i="10" s="1"/>
  <c r="AQ205" i="10"/>
  <c r="AE231" i="10"/>
  <c r="AQ231" i="10" s="1"/>
  <c r="AQ212" i="10"/>
  <c r="AE238" i="10"/>
  <c r="AQ238" i="10" s="1"/>
  <c r="AQ215" i="10"/>
  <c r="AE241" i="10"/>
  <c r="AQ241" i="10" s="1"/>
  <c r="AP233" i="10"/>
  <c r="AP232" i="10"/>
  <c r="AQ209" i="10"/>
  <c r="AE235" i="10"/>
  <c r="AQ235" i="10" s="1"/>
  <c r="AQ216" i="10"/>
  <c r="AE242" i="10"/>
  <c r="AQ242" i="10" s="1"/>
  <c r="AQ206" i="10"/>
  <c r="AE232" i="10"/>
  <c r="AQ232" i="10" s="1"/>
  <c r="AP216" i="10"/>
  <c r="AD242" i="10"/>
  <c r="AP213" i="10"/>
  <c r="AD239" i="10"/>
  <c r="AD79" i="10" s="1"/>
  <c r="AQ213" i="10"/>
  <c r="AE239" i="10"/>
  <c r="AQ239" i="10" s="1"/>
  <c r="AQ210" i="10"/>
  <c r="AE236" i="10"/>
  <c r="AQ236" i="10" s="1"/>
  <c r="AQ214" i="10"/>
  <c r="AE240" i="10"/>
  <c r="AQ240" i="10" s="1"/>
  <c r="BO198" i="10"/>
  <c r="BC224" i="10"/>
  <c r="BO224" i="10" s="1"/>
  <c r="BN233" i="10"/>
  <c r="BN236" i="10"/>
  <c r="BO209" i="10"/>
  <c r="BC235" i="10"/>
  <c r="BO235" i="10" s="1"/>
  <c r="BO208" i="10"/>
  <c r="BC234" i="10"/>
  <c r="BO234" i="10" s="1"/>
  <c r="BO215" i="10"/>
  <c r="BC241" i="10"/>
  <c r="BO241" i="10" s="1"/>
  <c r="BN242" i="10"/>
  <c r="BN235" i="10"/>
  <c r="BO213" i="10"/>
  <c r="BC239" i="10"/>
  <c r="BO239" i="10" s="1"/>
  <c r="BO212" i="10"/>
  <c r="BC238" i="10"/>
  <c r="BO238" i="10" s="1"/>
  <c r="BO202" i="10"/>
  <c r="BC228" i="10"/>
  <c r="BO228" i="10" s="1"/>
  <c r="BO211" i="10"/>
  <c r="BC237" i="10"/>
  <c r="BO237" i="10" s="1"/>
  <c r="BN199" i="10"/>
  <c r="BB225" i="10"/>
  <c r="BB65" i="10" s="1"/>
  <c r="BN202" i="10"/>
  <c r="BB228" i="10"/>
  <c r="BB68" i="10" s="1"/>
  <c r="BO201" i="10"/>
  <c r="BC227" i="10"/>
  <c r="BO227" i="10" s="1"/>
  <c r="BO200" i="10"/>
  <c r="BC226" i="10"/>
  <c r="BO226" i="10" s="1"/>
  <c r="BO207" i="10"/>
  <c r="BC233" i="10"/>
  <c r="BO233" i="10" s="1"/>
  <c r="BN229" i="10"/>
  <c r="BN206" i="10"/>
  <c r="BB232" i="10"/>
  <c r="BB72" i="10" s="1"/>
  <c r="BO210" i="10"/>
  <c r="BC236" i="10"/>
  <c r="BO236" i="10" s="1"/>
  <c r="BO206" i="10"/>
  <c r="BC232" i="10"/>
  <c r="BO232" i="10" s="1"/>
  <c r="BM238" i="10"/>
  <c r="BM78" i="10" s="1"/>
  <c r="AO243" i="10"/>
  <c r="AO83" i="10" s="1"/>
  <c r="AO225" i="10"/>
  <c r="AO65" i="10" s="1"/>
  <c r="AO236" i="10"/>
  <c r="AO76" i="10" s="1"/>
  <c r="AQ198" i="10"/>
  <c r="AE224" i="10"/>
  <c r="AQ224" i="10" s="1"/>
  <c r="AP230" i="10"/>
  <c r="AP215" i="10"/>
  <c r="AD241" i="10"/>
  <c r="AP241" i="10" s="1"/>
  <c r="AP214" i="10"/>
  <c r="AD240" i="10"/>
  <c r="AP240" i="10" s="1"/>
  <c r="AQ217" i="10"/>
  <c r="AE243" i="10"/>
  <c r="AQ243" i="10" s="1"/>
  <c r="AQ218" i="10"/>
  <c r="AE244" i="10"/>
  <c r="AQ244" i="10" s="1"/>
  <c r="AP234" i="10"/>
  <c r="AP201" i="10"/>
  <c r="AD227" i="10"/>
  <c r="AD67" i="10" s="1"/>
  <c r="AP218" i="10"/>
  <c r="AD244" i="10"/>
  <c r="AD84" i="10" s="1"/>
  <c r="AQ202" i="10"/>
  <c r="AE228" i="10"/>
  <c r="AQ228" i="10" s="1"/>
  <c r="AQ199" i="10"/>
  <c r="AE225" i="10"/>
  <c r="AQ225" i="10" s="1"/>
  <c r="AP212" i="10"/>
  <c r="AD238" i="10"/>
  <c r="AD78" i="10" s="1"/>
  <c r="AP231" i="10"/>
  <c r="AP235" i="10"/>
  <c r="AQ200" i="10"/>
  <c r="AE226" i="10"/>
  <c r="AQ226" i="10" s="1"/>
  <c r="AQ203" i="10"/>
  <c r="AE229" i="10"/>
  <c r="AQ229" i="10" s="1"/>
  <c r="AP226" i="10"/>
  <c r="AP237" i="10"/>
  <c r="AP210" i="10"/>
  <c r="AD236" i="10"/>
  <c r="AP236" i="10" s="1"/>
  <c r="AQ204" i="10"/>
  <c r="AE230" i="10"/>
  <c r="AQ230" i="10" s="1"/>
  <c r="AQ207" i="10"/>
  <c r="AE233" i="10"/>
  <c r="AQ233" i="10" s="1"/>
  <c r="AO241" i="10"/>
  <c r="AO81" i="10" s="1"/>
  <c r="BN198" i="10"/>
  <c r="BB224" i="10"/>
  <c r="BB64" i="10" s="1"/>
  <c r="BN212" i="10"/>
  <c r="BB238" i="10"/>
  <c r="BN238" i="10" s="1"/>
  <c r="BN205" i="10"/>
  <c r="BB231" i="10"/>
  <c r="BB71" i="10" s="1"/>
  <c r="BN217" i="10"/>
  <c r="BB243" i="10"/>
  <c r="BB83" i="10" s="1"/>
  <c r="BO214" i="10"/>
  <c r="BC240" i="10"/>
  <c r="BO240" i="10" s="1"/>
  <c r="BO199" i="10"/>
  <c r="BC225" i="10"/>
  <c r="BO225" i="10" s="1"/>
  <c r="BN200" i="10"/>
  <c r="BB226" i="10"/>
  <c r="BN211" i="10"/>
  <c r="BB237" i="10"/>
  <c r="BB77" i="10" s="1"/>
  <c r="BN214" i="10"/>
  <c r="BB240" i="10"/>
  <c r="BO218" i="10"/>
  <c r="BC244" i="10"/>
  <c r="BO244" i="10" s="1"/>
  <c r="BO203" i="10"/>
  <c r="BC229" i="10"/>
  <c r="BO229" i="10" s="1"/>
  <c r="BO205" i="10"/>
  <c r="BC231" i="10"/>
  <c r="BO231" i="10" s="1"/>
  <c r="BN230" i="10"/>
  <c r="BN215" i="10"/>
  <c r="BB241" i="10"/>
  <c r="BB81" i="10" s="1"/>
  <c r="BN218" i="10"/>
  <c r="BB244" i="10"/>
  <c r="BB84" i="10" s="1"/>
  <c r="BO217" i="10"/>
  <c r="BC243" i="10"/>
  <c r="BO243" i="10" s="1"/>
  <c r="BO216" i="10"/>
  <c r="BC242" i="10"/>
  <c r="BO242" i="10" s="1"/>
  <c r="BN208" i="10"/>
  <c r="BB234" i="10"/>
  <c r="BN234" i="10" s="1"/>
  <c r="BN201" i="10"/>
  <c r="BB227" i="10"/>
  <c r="BB67" i="10" s="1"/>
  <c r="BN239" i="10"/>
  <c r="BO204" i="10"/>
  <c r="BC230" i="10"/>
  <c r="BO230" i="10" s="1"/>
  <c r="BM234" i="10"/>
  <c r="BM74" i="10" s="1"/>
  <c r="AO240" i="10"/>
  <c r="AO80" i="10" s="1"/>
  <c r="AO228" i="10"/>
  <c r="AO68" i="10" s="1"/>
  <c r="BN207" i="10"/>
  <c r="BN210" i="10"/>
  <c r="BN216" i="10"/>
  <c r="BN209" i="10"/>
  <c r="BN203" i="10"/>
  <c r="BN204" i="10"/>
  <c r="BN213" i="10"/>
  <c r="AP203" i="10"/>
  <c r="AP206" i="10"/>
  <c r="AP204" i="10"/>
  <c r="AP208" i="10"/>
  <c r="AP205" i="10"/>
  <c r="AP209" i="10"/>
  <c r="AP200" i="10"/>
  <c r="AP211" i="10"/>
  <c r="AP207" i="10"/>
  <c r="X35" i="9"/>
  <c r="AE8" i="9"/>
  <c r="AE32" i="9" s="1"/>
  <c r="AE24" i="9"/>
  <c r="AE48" i="9" s="1"/>
  <c r="AE20" i="9"/>
  <c r="AE44" i="9" s="1"/>
  <c r="AE16" i="9"/>
  <c r="AE40" i="9" s="1"/>
  <c r="X47" i="9"/>
  <c r="X31" i="9"/>
  <c r="X55" i="9" s="1"/>
  <c r="X43" i="9"/>
  <c r="X67" i="9" s="1"/>
  <c r="X39" i="9"/>
  <c r="X50" i="9"/>
  <c r="X46" i="9"/>
  <c r="X42" i="9"/>
  <c r="X38" i="9"/>
  <c r="X62" i="9" s="1"/>
  <c r="X34" i="9"/>
  <c r="X58" i="9" s="1"/>
  <c r="X30" i="9"/>
  <c r="X54" i="9" s="1"/>
  <c r="X49" i="9"/>
  <c r="X73" i="9" s="1"/>
  <c r="X45" i="9"/>
  <c r="X41" i="9"/>
  <c r="X37" i="9"/>
  <c r="X33" i="9"/>
  <c r="X53" i="9"/>
  <c r="X48" i="9"/>
  <c r="X44" i="9"/>
  <c r="X68" i="9" s="1"/>
  <c r="X40" i="9"/>
  <c r="X36" i="9"/>
  <c r="X60" i="9" s="1"/>
  <c r="AE12" i="9"/>
  <c r="AE36" i="9" s="1"/>
  <c r="AE23" i="9"/>
  <c r="AE47" i="9" s="1"/>
  <c r="AE19" i="9"/>
  <c r="AE43" i="9" s="1"/>
  <c r="AE15" i="9"/>
  <c r="AE39" i="9" s="1"/>
  <c r="AE11" i="9"/>
  <c r="AE35" i="9" s="1"/>
  <c r="AE7" i="9"/>
  <c r="AE31" i="9" s="1"/>
  <c r="AE26" i="9"/>
  <c r="AE50" i="9" s="1"/>
  <c r="AE22" i="9"/>
  <c r="AE46" i="9" s="1"/>
  <c r="AE18" i="9"/>
  <c r="AE42" i="9" s="1"/>
  <c r="AE14" i="9"/>
  <c r="AE38" i="9" s="1"/>
  <c r="AE10" i="9"/>
  <c r="AE34" i="9" s="1"/>
  <c r="AE6" i="9"/>
  <c r="AE30" i="9" s="1"/>
  <c r="AE25" i="9"/>
  <c r="AE49" i="9" s="1"/>
  <c r="AE21" i="9"/>
  <c r="AE45" i="9" s="1"/>
  <c r="AE17" i="9"/>
  <c r="AE41" i="9" s="1"/>
  <c r="AE13" i="9"/>
  <c r="AE37" i="9" s="1"/>
  <c r="AE9" i="9"/>
  <c r="AE33" i="9" s="1"/>
  <c r="AV62" i="10"/>
  <c r="AV170" i="10" s="1"/>
  <c r="AV196" i="10" s="1"/>
  <c r="AV222" i="10" s="1"/>
  <c r="AJ170" i="10"/>
  <c r="AJ196" i="10" s="1"/>
  <c r="AJ222" i="10" s="1"/>
  <c r="BT62" i="10"/>
  <c r="BT170" i="10" s="1"/>
  <c r="BT196" i="10" s="1"/>
  <c r="BT222" i="10" s="1"/>
  <c r="BH170" i="10"/>
  <c r="BH196" i="10" s="1"/>
  <c r="BH222" i="10" s="1"/>
  <c r="ED120" i="11"/>
  <c r="EH120" i="11"/>
  <c r="EL120" i="11"/>
  <c r="EE120" i="11"/>
  <c r="EI120" i="11"/>
  <c r="EM120" i="11"/>
  <c r="EF120" i="11"/>
  <c r="EJ120" i="11"/>
  <c r="EN120" i="11"/>
  <c r="EC120" i="11"/>
  <c r="EG120" i="11"/>
  <c r="EK120" i="11"/>
  <c r="P19" i="20"/>
  <c r="AZ23" i="19"/>
  <c r="AZ50" i="19" s="1"/>
  <c r="P19" i="13"/>
  <c r="AZ23" i="20"/>
  <c r="AZ50" i="20" s="1"/>
  <c r="AZ23" i="13"/>
  <c r="AZ50" i="13" s="1"/>
  <c r="AZ23" i="18"/>
  <c r="AZ50" i="18" s="1"/>
  <c r="S65" i="3"/>
  <c r="S66" i="3"/>
  <c r="Y65" i="3"/>
  <c r="Y66" i="3"/>
  <c r="O55" i="3"/>
  <c r="U55" i="3"/>
  <c r="O52" i="3"/>
  <c r="U52" i="3"/>
  <c r="O49" i="3"/>
  <c r="U49" i="3"/>
  <c r="O50" i="3"/>
  <c r="U50" i="3"/>
  <c r="O46" i="3"/>
  <c r="U46" i="3"/>
  <c r="O64" i="3"/>
  <c r="U64" i="3"/>
  <c r="O51" i="3"/>
  <c r="U51" i="3"/>
  <c r="O47" i="3"/>
  <c r="U47" i="3"/>
  <c r="O61" i="3"/>
  <c r="U61" i="3"/>
  <c r="O44" i="3"/>
  <c r="U44" i="3"/>
  <c r="O56" i="3"/>
  <c r="U56" i="3"/>
  <c r="O48" i="3"/>
  <c r="U48" i="3"/>
  <c r="O54" i="3"/>
  <c r="U54" i="3"/>
  <c r="O58" i="3"/>
  <c r="U58" i="3"/>
  <c r="O60" i="3"/>
  <c r="U60" i="3"/>
  <c r="O45" i="3"/>
  <c r="U45" i="3"/>
  <c r="O53" i="3"/>
  <c r="U53" i="3"/>
  <c r="O59" i="3"/>
  <c r="U59" i="3"/>
  <c r="O57" i="3"/>
  <c r="U57" i="3"/>
  <c r="O63" i="3"/>
  <c r="U63" i="3"/>
  <c r="O62" i="3"/>
  <c r="U62" i="3"/>
  <c r="P18" i="3"/>
  <c r="V43" i="3"/>
  <c r="AM66" i="3"/>
  <c r="AG66" i="3"/>
  <c r="I66" i="3"/>
  <c r="AN32" i="3"/>
  <c r="AN57" i="3" s="1"/>
  <c r="AH57" i="3"/>
  <c r="AN25" i="3"/>
  <c r="AN50" i="3" s="1"/>
  <c r="AH50" i="3"/>
  <c r="AN37" i="3"/>
  <c r="AN62" i="3" s="1"/>
  <c r="AH62" i="3"/>
  <c r="AN29" i="3"/>
  <c r="AN54" i="3" s="1"/>
  <c r="AH54" i="3"/>
  <c r="AN21" i="3"/>
  <c r="AN46" i="3" s="1"/>
  <c r="AH46" i="3"/>
  <c r="AN38" i="3"/>
  <c r="AN63" i="3" s="1"/>
  <c r="AH63" i="3"/>
  <c r="AN30" i="3"/>
  <c r="AN55" i="3" s="1"/>
  <c r="AH55" i="3"/>
  <c r="AN23" i="3"/>
  <c r="AN48" i="3" s="1"/>
  <c r="AH48" i="3"/>
  <c r="AN35" i="3"/>
  <c r="AN60" i="3" s="1"/>
  <c r="AH60" i="3"/>
  <c r="AN27" i="3"/>
  <c r="AN52" i="3" s="1"/>
  <c r="AH52" i="3"/>
  <c r="AN36" i="3"/>
  <c r="AN61" i="3" s="1"/>
  <c r="AH61" i="3"/>
  <c r="AN28" i="3"/>
  <c r="AN53" i="3" s="1"/>
  <c r="AH53" i="3"/>
  <c r="AN20" i="3"/>
  <c r="AN45" i="3" s="1"/>
  <c r="AH45" i="3"/>
  <c r="AN33" i="3"/>
  <c r="AN58" i="3" s="1"/>
  <c r="AH58" i="3"/>
  <c r="AN24" i="3"/>
  <c r="AN49" i="3" s="1"/>
  <c r="AH49" i="3"/>
  <c r="AN19" i="3"/>
  <c r="AN44" i="3" s="1"/>
  <c r="AH44" i="3"/>
  <c r="AN34" i="3"/>
  <c r="AN59" i="3" s="1"/>
  <c r="AH59" i="3"/>
  <c r="AN26" i="3"/>
  <c r="AN51" i="3" s="1"/>
  <c r="AH51" i="3"/>
  <c r="AN39" i="3"/>
  <c r="AN64" i="3" s="1"/>
  <c r="AH64" i="3"/>
  <c r="AN31" i="3"/>
  <c r="AN56" i="3" s="1"/>
  <c r="AH56" i="3"/>
  <c r="AN22" i="3"/>
  <c r="AN47" i="3" s="1"/>
  <c r="AH47" i="3"/>
  <c r="AH43" i="3"/>
  <c r="AN43" i="3" s="1"/>
  <c r="AN18" i="3" s="1"/>
  <c r="J59" i="3"/>
  <c r="P34" i="3"/>
  <c r="J64" i="3"/>
  <c r="P39" i="3"/>
  <c r="J48" i="3"/>
  <c r="P23" i="3"/>
  <c r="J53" i="3"/>
  <c r="P28" i="3"/>
  <c r="J58" i="3"/>
  <c r="P33" i="3"/>
  <c r="J55" i="3"/>
  <c r="P30" i="3"/>
  <c r="J60" i="3"/>
  <c r="P35" i="3"/>
  <c r="J49" i="3"/>
  <c r="P24" i="3"/>
  <c r="J54" i="3"/>
  <c r="P29" i="3"/>
  <c r="J51" i="3"/>
  <c r="P26" i="3"/>
  <c r="J56" i="3"/>
  <c r="P31" i="3"/>
  <c r="J61" i="3"/>
  <c r="P36" i="3"/>
  <c r="J45" i="3"/>
  <c r="P20" i="3"/>
  <c r="J50" i="3"/>
  <c r="P25" i="3"/>
  <c r="J63" i="3"/>
  <c r="P38" i="3"/>
  <c r="J47" i="3"/>
  <c r="P22" i="3"/>
  <c r="J52" i="3"/>
  <c r="P27" i="3"/>
  <c r="J57" i="3"/>
  <c r="P32" i="3"/>
  <c r="J62" i="3"/>
  <c r="P37" i="3"/>
  <c r="J46" i="3"/>
  <c r="P21" i="3"/>
  <c r="J44" i="3"/>
  <c r="P19" i="3"/>
  <c r="AM43" i="3"/>
  <c r="AM18" i="3" s="1"/>
  <c r="AG18" i="3"/>
  <c r="BK50" i="13"/>
  <c r="BW23" i="13"/>
  <c r="BW50" i="13" s="1"/>
  <c r="BW23" i="18"/>
  <c r="BW50" i="18" s="1"/>
  <c r="BK50" i="18"/>
  <c r="AB50" i="20"/>
  <c r="BL23" i="20"/>
  <c r="BW23" i="20"/>
  <c r="BW50" i="20" s="1"/>
  <c r="BK50" i="20"/>
  <c r="BK50" i="19"/>
  <c r="BW23" i="19"/>
  <c r="BW50" i="19" s="1"/>
  <c r="AB50" i="18"/>
  <c r="BL23" i="18"/>
  <c r="BL23" i="13"/>
  <c r="AB50" i="13"/>
  <c r="BL23" i="19"/>
  <c r="AB50" i="19"/>
  <c r="V9" i="9"/>
  <c r="DR120" i="11"/>
  <c r="DX120" i="11"/>
  <c r="DS120" i="11"/>
  <c r="DQ120" i="11"/>
  <c r="DW120" i="11"/>
  <c r="DT120" i="11"/>
  <c r="EP120" i="11"/>
  <c r="DY120" i="11"/>
  <c r="DU120" i="11"/>
  <c r="EV120" i="11"/>
  <c r="EQ120" i="11"/>
  <c r="DZ120" i="11"/>
  <c r="EO120" i="11"/>
  <c r="ER120" i="11"/>
  <c r="EW120" i="11"/>
  <c r="EA120" i="11"/>
  <c r="EU120" i="11"/>
  <c r="EX120" i="11"/>
  <c r="DV120" i="11"/>
  <c r="ES120" i="11"/>
  <c r="EY120" i="11"/>
  <c r="EB120" i="11"/>
  <c r="ET120" i="11"/>
  <c r="EZ120" i="11"/>
  <c r="T43" i="4"/>
  <c r="T44" i="4" s="1"/>
  <c r="T45" i="4" s="1"/>
  <c r="T46" i="4" s="1"/>
  <c r="T47" i="4" s="1"/>
  <c r="T48" i="4" s="1"/>
  <c r="T49" i="4" s="1"/>
  <c r="T50" i="4" s="1"/>
  <c r="T51" i="4" s="1"/>
  <c r="T52" i="4" s="1"/>
  <c r="T53" i="4" s="1"/>
  <c r="T54" i="4" s="1"/>
  <c r="T55" i="4" s="1"/>
  <c r="T56" i="4" s="1"/>
  <c r="T57" i="4" s="1"/>
  <c r="T58" i="4" s="1"/>
  <c r="T59" i="4" s="1"/>
  <c r="T60" i="4" s="1"/>
  <c r="T61" i="4" s="1"/>
  <c r="J22" i="4"/>
  <c r="AV43" i="4"/>
  <c r="DP121" i="11"/>
  <c r="B73" i="2"/>
  <c r="B97" i="2"/>
  <c r="BT40" i="4"/>
  <c r="AT40" i="4"/>
  <c r="BH40" i="4"/>
  <c r="BU40" i="4"/>
  <c r="F43" i="4"/>
  <c r="F20" i="4"/>
  <c r="AH43" i="4"/>
  <c r="X64" i="9" l="1"/>
  <c r="X65" i="9"/>
  <c r="X63" i="9"/>
  <c r="B43" i="8"/>
  <c r="X57" i="9"/>
  <c r="X61" i="9"/>
  <c r="X59" i="9"/>
  <c r="X66" i="9"/>
  <c r="X71" i="9"/>
  <c r="X69" i="9"/>
  <c r="X70" i="9"/>
  <c r="X72" i="9"/>
  <c r="X74" i="9"/>
  <c r="AP72" i="10"/>
  <c r="BN82" i="10"/>
  <c r="AP75" i="10"/>
  <c r="BN69" i="10"/>
  <c r="AP74" i="10"/>
  <c r="BN73" i="10"/>
  <c r="AP69" i="10"/>
  <c r="E15" i="7"/>
  <c r="B17" i="8"/>
  <c r="B70" i="8"/>
  <c r="B96" i="8" s="1"/>
  <c r="AP71" i="10"/>
  <c r="AP70" i="10"/>
  <c r="BN75" i="10"/>
  <c r="BN76" i="10"/>
  <c r="AQ84" i="10"/>
  <c r="AP80" i="10"/>
  <c r="BO66" i="10"/>
  <c r="BO77" i="10"/>
  <c r="BO78" i="10"/>
  <c r="BO74" i="10"/>
  <c r="BO70" i="10"/>
  <c r="BO71" i="10"/>
  <c r="BO84" i="10"/>
  <c r="BO65" i="10"/>
  <c r="BN78" i="10"/>
  <c r="AQ83" i="10"/>
  <c r="AP81" i="10"/>
  <c r="BO73" i="10"/>
  <c r="BO67" i="10"/>
  <c r="BO68" i="10"/>
  <c r="BO79" i="10"/>
  <c r="BO81" i="10"/>
  <c r="BO75" i="10"/>
  <c r="BO64" i="10"/>
  <c r="AQ76" i="10"/>
  <c r="AQ72" i="10"/>
  <c r="AQ75" i="10"/>
  <c r="BN74" i="10"/>
  <c r="AQ73" i="10"/>
  <c r="AP76" i="10"/>
  <c r="AQ69" i="10"/>
  <c r="AQ65" i="10"/>
  <c r="BO72" i="10"/>
  <c r="AQ77" i="10"/>
  <c r="AQ67" i="10"/>
  <c r="AP65" i="10"/>
  <c r="AP66" i="10"/>
  <c r="BO69" i="10"/>
  <c r="BO80" i="10"/>
  <c r="AQ80" i="10"/>
  <c r="AQ79" i="10"/>
  <c r="AQ82" i="10"/>
  <c r="AQ78" i="10"/>
  <c r="AP68" i="10"/>
  <c r="AO85" i="10"/>
  <c r="AO86" i="10"/>
  <c r="BM86" i="10"/>
  <c r="BM85" i="10"/>
  <c r="AP73" i="10"/>
  <c r="BN79" i="10"/>
  <c r="BO82" i="10"/>
  <c r="AQ70" i="10"/>
  <c r="AQ66" i="10"/>
  <c r="AQ68" i="10"/>
  <c r="AQ64" i="10"/>
  <c r="BO76" i="10"/>
  <c r="AQ74" i="10"/>
  <c r="AP83" i="10"/>
  <c r="BC73" i="10"/>
  <c r="BC79" i="10"/>
  <c r="BC64" i="10"/>
  <c r="AE79" i="10"/>
  <c r="AE82" i="10"/>
  <c r="AE71" i="10"/>
  <c r="AE67" i="10"/>
  <c r="BC70" i="10"/>
  <c r="BC83" i="10"/>
  <c r="BC69" i="10"/>
  <c r="BB66" i="10"/>
  <c r="AE73" i="10"/>
  <c r="AE69" i="10"/>
  <c r="AE83" i="10"/>
  <c r="AP77" i="10"/>
  <c r="AQ81" i="10"/>
  <c r="AQ71" i="10"/>
  <c r="BC72" i="10"/>
  <c r="BC66" i="10"/>
  <c r="BC77" i="10"/>
  <c r="BC81" i="10"/>
  <c r="AE75" i="10"/>
  <c r="AD68" i="10"/>
  <c r="AD83" i="10"/>
  <c r="BC84" i="10"/>
  <c r="BC65" i="10"/>
  <c r="BB78" i="10"/>
  <c r="AD76" i="10"/>
  <c r="AE84" i="10"/>
  <c r="AD81" i="10"/>
  <c r="BN70" i="10"/>
  <c r="BO83" i="10"/>
  <c r="BC76" i="10"/>
  <c r="BC67" i="10"/>
  <c r="BC68" i="10"/>
  <c r="BC74" i="10"/>
  <c r="AE80" i="10"/>
  <c r="AD82" i="10"/>
  <c r="AE81" i="10"/>
  <c r="AE77" i="10"/>
  <c r="AD65" i="10"/>
  <c r="BB74" i="10"/>
  <c r="BB80" i="10"/>
  <c r="BC80" i="10"/>
  <c r="AE66" i="10"/>
  <c r="AD80" i="10"/>
  <c r="AE68" i="10"/>
  <c r="BC78" i="10"/>
  <c r="BC75" i="10"/>
  <c r="AE76" i="10"/>
  <c r="AE72" i="10"/>
  <c r="AE78" i="10"/>
  <c r="AE74" i="10"/>
  <c r="BC82" i="10"/>
  <c r="BC71" i="10"/>
  <c r="AE65" i="10"/>
  <c r="AE64" i="10"/>
  <c r="AE70" i="10"/>
  <c r="BN241" i="10"/>
  <c r="BN81" i="10" s="1"/>
  <c r="BN237" i="10"/>
  <c r="BN77" i="10" s="1"/>
  <c r="BN243" i="10"/>
  <c r="BN83" i="10" s="1"/>
  <c r="AP238" i="10"/>
  <c r="AP78" i="10" s="1"/>
  <c r="AP227" i="10"/>
  <c r="AP67" i="10" s="1"/>
  <c r="BN232" i="10"/>
  <c r="BN72" i="10" s="1"/>
  <c r="BN225" i="10"/>
  <c r="BN65" i="10" s="1"/>
  <c r="AP239" i="10"/>
  <c r="AP79" i="10" s="1"/>
  <c r="BN227" i="10"/>
  <c r="BN67" i="10" s="1"/>
  <c r="BN244" i="10"/>
  <c r="BN84" i="10" s="1"/>
  <c r="BN240" i="10"/>
  <c r="BN80" i="10" s="1"/>
  <c r="BN226" i="10"/>
  <c r="BN66" i="10" s="1"/>
  <c r="BN231" i="10"/>
  <c r="BN71" i="10" s="1"/>
  <c r="BN224" i="10"/>
  <c r="BN64" i="10" s="1"/>
  <c r="AP244" i="10"/>
  <c r="AP84" i="10" s="1"/>
  <c r="BN228" i="10"/>
  <c r="BN68" i="10" s="1"/>
  <c r="AP242" i="10"/>
  <c r="AP82" i="10" s="1"/>
  <c r="AP224" i="10"/>
  <c r="AP64" i="10" s="1"/>
  <c r="X7" i="9"/>
  <c r="ED121" i="11"/>
  <c r="EH121" i="11"/>
  <c r="EL121" i="11"/>
  <c r="EE121" i="11"/>
  <c r="EI121" i="11"/>
  <c r="EM121" i="11"/>
  <c r="EF121" i="11"/>
  <c r="EJ121" i="11"/>
  <c r="EN121" i="11"/>
  <c r="EC121" i="11"/>
  <c r="EG121" i="11"/>
  <c r="EK121" i="11"/>
  <c r="AA57" i="3"/>
  <c r="AA45" i="3"/>
  <c r="AA54" i="3"/>
  <c r="AA44" i="3"/>
  <c r="AA47" i="3"/>
  <c r="AA46" i="3"/>
  <c r="AA52" i="3"/>
  <c r="AA62" i="3"/>
  <c r="AA59" i="3"/>
  <c r="AA60" i="3"/>
  <c r="AA48" i="3"/>
  <c r="AA51" i="3"/>
  <c r="AA50" i="3"/>
  <c r="AA55" i="3"/>
  <c r="AA63" i="3"/>
  <c r="AA53" i="3"/>
  <c r="AA58" i="3"/>
  <c r="AA56" i="3"/>
  <c r="AA61" i="3"/>
  <c r="AA64" i="3"/>
  <c r="AA49" i="3"/>
  <c r="O66" i="3"/>
  <c r="P49" i="3"/>
  <c r="V49" i="3"/>
  <c r="P44" i="3"/>
  <c r="V44" i="3"/>
  <c r="P57" i="3"/>
  <c r="V57" i="3"/>
  <c r="P63" i="3"/>
  <c r="V63" i="3"/>
  <c r="P61" i="3"/>
  <c r="V61" i="3"/>
  <c r="P54" i="3"/>
  <c r="V54" i="3"/>
  <c r="P48" i="3"/>
  <c r="V48" i="3"/>
  <c r="P52" i="3"/>
  <c r="V52" i="3"/>
  <c r="P56" i="3"/>
  <c r="V56" i="3"/>
  <c r="P64" i="3"/>
  <c r="V64" i="3"/>
  <c r="P51" i="3"/>
  <c r="V51" i="3"/>
  <c r="P46" i="3"/>
  <c r="V46" i="3"/>
  <c r="P50" i="3"/>
  <c r="V50" i="3"/>
  <c r="P58" i="3"/>
  <c r="V58" i="3"/>
  <c r="P62" i="3"/>
  <c r="V62" i="3"/>
  <c r="P47" i="3"/>
  <c r="V47" i="3"/>
  <c r="P45" i="3"/>
  <c r="V45" i="3"/>
  <c r="P60" i="3"/>
  <c r="V60" i="3"/>
  <c r="P53" i="3"/>
  <c r="V53" i="3"/>
  <c r="P59" i="3"/>
  <c r="V59" i="3"/>
  <c r="P55" i="3"/>
  <c r="V55" i="3"/>
  <c r="AB43" i="3"/>
  <c r="AB18" i="3" s="1"/>
  <c r="V18" i="3"/>
  <c r="AN66" i="3"/>
  <c r="AH66" i="3"/>
  <c r="AH18" i="3"/>
  <c r="J66" i="3"/>
  <c r="BL50" i="18"/>
  <c r="BX23" i="18"/>
  <c r="BX50" i="18" s="1"/>
  <c r="BL50" i="20"/>
  <c r="BX23" i="20"/>
  <c r="BX50" i="20" s="1"/>
  <c r="BL50" i="13"/>
  <c r="BX23" i="13"/>
  <c r="BX50" i="13" s="1"/>
  <c r="BX23" i="19"/>
  <c r="BX50" i="19" s="1"/>
  <c r="BL50" i="19"/>
  <c r="V10" i="9"/>
  <c r="DR121" i="11"/>
  <c r="DQ121" i="11"/>
  <c r="DS121" i="11"/>
  <c r="DX121" i="11"/>
  <c r="DW121" i="11"/>
  <c r="DT121" i="11"/>
  <c r="EP121" i="11"/>
  <c r="DY121" i="11"/>
  <c r="EO121" i="11"/>
  <c r="DU121" i="11"/>
  <c r="EV121" i="11"/>
  <c r="EQ121" i="11"/>
  <c r="DZ121" i="11"/>
  <c r="ER121" i="11"/>
  <c r="EU121" i="11"/>
  <c r="EW121" i="11"/>
  <c r="EA121" i="11"/>
  <c r="ES121" i="11"/>
  <c r="EX121" i="11"/>
  <c r="DV121" i="11"/>
  <c r="EY121" i="11"/>
  <c r="EB121" i="11"/>
  <c r="ET121" i="11"/>
  <c r="EZ121" i="11"/>
  <c r="AV44" i="4"/>
  <c r="J23" i="4"/>
  <c r="DP122" i="11"/>
  <c r="B74" i="2"/>
  <c r="B98" i="2"/>
  <c r="BV40" i="4"/>
  <c r="F44" i="4"/>
  <c r="F21" i="4"/>
  <c r="AH44" i="4"/>
  <c r="B44" i="8" l="1"/>
  <c r="X8" i="9"/>
  <c r="X9" i="9" s="1"/>
  <c r="E27" i="7"/>
  <c r="H15" i="7"/>
  <c r="C26" i="7"/>
  <c r="B18" i="8"/>
  <c r="B45" i="8" s="1"/>
  <c r="B71" i="8"/>
  <c r="B97" i="8" s="1"/>
  <c r="BO85" i="10"/>
  <c r="AQ85" i="10"/>
  <c r="AD86" i="10"/>
  <c r="AD85" i="10"/>
  <c r="BB85" i="10"/>
  <c r="BO86" i="10"/>
  <c r="BB86" i="10"/>
  <c r="AQ86" i="10"/>
  <c r="AP85" i="10"/>
  <c r="AP86" i="10"/>
  <c r="BN86" i="10"/>
  <c r="BN85" i="10"/>
  <c r="BC86" i="10"/>
  <c r="BC85" i="10"/>
  <c r="AE86" i="10"/>
  <c r="AE85" i="10"/>
  <c r="ED122" i="11"/>
  <c r="EH122" i="11"/>
  <c r="EL122" i="11"/>
  <c r="EE122" i="11"/>
  <c r="EI122" i="11"/>
  <c r="EM122" i="11"/>
  <c r="EF122" i="11"/>
  <c r="EJ122" i="11"/>
  <c r="EN122" i="11"/>
  <c r="EG122" i="11"/>
  <c r="EK122" i="11"/>
  <c r="EC122" i="11"/>
  <c r="AB53" i="3"/>
  <c r="AB64" i="3"/>
  <c r="U65" i="3"/>
  <c r="U66" i="3"/>
  <c r="AB60" i="3"/>
  <c r="AB62" i="3"/>
  <c r="AB46" i="3"/>
  <c r="AB56" i="3"/>
  <c r="AB54" i="3"/>
  <c r="AB57" i="3"/>
  <c r="AA65" i="3"/>
  <c r="AA66" i="3"/>
  <c r="AB47" i="3"/>
  <c r="AB48" i="3"/>
  <c r="AB63" i="3"/>
  <c r="AB59" i="3"/>
  <c r="AB45" i="3"/>
  <c r="AB58" i="3"/>
  <c r="AB51" i="3"/>
  <c r="AB52" i="3"/>
  <c r="AB61" i="3"/>
  <c r="AB44" i="3"/>
  <c r="P66" i="3"/>
  <c r="AB49" i="3"/>
  <c r="AB50" i="3"/>
  <c r="AB55" i="3"/>
  <c r="V11" i="9"/>
  <c r="DR122" i="11"/>
  <c r="DQ122" i="11"/>
  <c r="DX122" i="11"/>
  <c r="DS122" i="11"/>
  <c r="DW122" i="11"/>
  <c r="DT122" i="11"/>
  <c r="EP122" i="11"/>
  <c r="DY122" i="11"/>
  <c r="EO122" i="11"/>
  <c r="DU122" i="11"/>
  <c r="EV122" i="11"/>
  <c r="EQ122" i="11"/>
  <c r="DZ122" i="11"/>
  <c r="ER122" i="11"/>
  <c r="EA122" i="11"/>
  <c r="EW122" i="11"/>
  <c r="EU122" i="11"/>
  <c r="DV122" i="11"/>
  <c r="ES122" i="11"/>
  <c r="EX122" i="11"/>
  <c r="EB122" i="11"/>
  <c r="EY122" i="11"/>
  <c r="ET122" i="11"/>
  <c r="EZ122" i="11"/>
  <c r="AV45" i="4"/>
  <c r="J24" i="4"/>
  <c r="DP123" i="11"/>
  <c r="B75" i="2"/>
  <c r="B99" i="2"/>
  <c r="F45" i="4"/>
  <c r="F22" i="4"/>
  <c r="AH45" i="4"/>
  <c r="E14" i="7" l="1"/>
  <c r="C25" i="7"/>
  <c r="B19" i="8"/>
  <c r="B46" i="8" s="1"/>
  <c r="B72" i="8"/>
  <c r="B98" i="8" s="1"/>
  <c r="ED123" i="11"/>
  <c r="EH123" i="11"/>
  <c r="EL123" i="11"/>
  <c r="EE123" i="11"/>
  <c r="EI123" i="11"/>
  <c r="EM123" i="11"/>
  <c r="EF123" i="11"/>
  <c r="EJ123" i="11"/>
  <c r="EN123" i="11"/>
  <c r="EK123" i="11"/>
  <c r="EC123" i="11"/>
  <c r="EG123" i="11"/>
  <c r="AB65" i="3"/>
  <c r="AB66" i="3"/>
  <c r="V65" i="3"/>
  <c r="V66" i="3"/>
  <c r="D57" i="10"/>
  <c r="D58" i="10"/>
  <c r="D61" i="1" s="1"/>
  <c r="L61" i="1" s="1"/>
  <c r="X10" i="9"/>
  <c r="V12" i="9"/>
  <c r="DR123" i="11"/>
  <c r="DQ123" i="11"/>
  <c r="DS123" i="11"/>
  <c r="DX123" i="11"/>
  <c r="EP123" i="11"/>
  <c r="DY123" i="11"/>
  <c r="DW123" i="11"/>
  <c r="DT123" i="11"/>
  <c r="EQ123" i="11"/>
  <c r="DZ123" i="11"/>
  <c r="EO123" i="11"/>
  <c r="DU123" i="11"/>
  <c r="EV123" i="11"/>
  <c r="EU123" i="11"/>
  <c r="EW123" i="11"/>
  <c r="ER123" i="11"/>
  <c r="EA123" i="11"/>
  <c r="ES123" i="11"/>
  <c r="EX123" i="11"/>
  <c r="DV123" i="11"/>
  <c r="EB123" i="11"/>
  <c r="EY123" i="11"/>
  <c r="ET123" i="11"/>
  <c r="EZ123" i="11"/>
  <c r="AV46" i="4"/>
  <c r="J25" i="4"/>
  <c r="DP124" i="11"/>
  <c r="B76" i="2"/>
  <c r="B100" i="2"/>
  <c r="F23" i="4"/>
  <c r="F46" i="4"/>
  <c r="AH46" i="4"/>
  <c r="X11" i="9" l="1"/>
  <c r="X12" i="9" s="1"/>
  <c r="E26" i="7"/>
  <c r="H14" i="7"/>
  <c r="E13" i="7"/>
  <c r="B20" i="8"/>
  <c r="B47" i="8" s="1"/>
  <c r="B73" i="8"/>
  <c r="B99" i="8" s="1"/>
  <c r="ED124" i="11"/>
  <c r="EH124" i="11"/>
  <c r="EL124" i="11"/>
  <c r="EE124" i="11"/>
  <c r="EI124" i="11"/>
  <c r="EM124" i="11"/>
  <c r="EF124" i="11"/>
  <c r="EJ124" i="11"/>
  <c r="EN124" i="11"/>
  <c r="EC124" i="11"/>
  <c r="EG124" i="11"/>
  <c r="EK124" i="11"/>
  <c r="G61" i="1"/>
  <c r="P57" i="10"/>
  <c r="P58" i="10"/>
  <c r="T57" i="10"/>
  <c r="T58" i="10"/>
  <c r="H61" i="1" s="1"/>
  <c r="E61" i="1"/>
  <c r="H57" i="10"/>
  <c r="H58" i="10"/>
  <c r="V13" i="9"/>
  <c r="DR124" i="11"/>
  <c r="DQ124" i="11"/>
  <c r="DS124" i="11"/>
  <c r="DX124" i="11"/>
  <c r="EP124" i="11"/>
  <c r="DY124" i="11"/>
  <c r="DT124" i="11"/>
  <c r="DW124" i="11"/>
  <c r="EQ124" i="11"/>
  <c r="DZ124" i="11"/>
  <c r="EV124" i="11"/>
  <c r="EO124" i="11"/>
  <c r="DU124" i="11"/>
  <c r="EA124" i="11"/>
  <c r="EU124" i="11"/>
  <c r="ER124" i="11"/>
  <c r="EW124" i="11"/>
  <c r="DV124" i="11"/>
  <c r="ES124" i="11"/>
  <c r="EX124" i="11"/>
  <c r="EB124" i="11"/>
  <c r="EY124" i="11"/>
  <c r="ET124" i="11"/>
  <c r="EZ124" i="11"/>
  <c r="J26" i="4"/>
  <c r="AV47" i="4"/>
  <c r="DP125" i="11"/>
  <c r="B77" i="2"/>
  <c r="B101" i="2"/>
  <c r="F24" i="4"/>
  <c r="F47" i="4"/>
  <c r="AH47" i="4"/>
  <c r="N61" i="1" l="1"/>
  <c r="P61" i="1"/>
  <c r="M61" i="1"/>
  <c r="E25" i="7"/>
  <c r="H13" i="7"/>
  <c r="B21" i="8"/>
  <c r="B48" i="8" s="1"/>
  <c r="B74" i="8"/>
  <c r="B100" i="8" s="1"/>
  <c r="ED125" i="11"/>
  <c r="EH125" i="11"/>
  <c r="EL125" i="11"/>
  <c r="EE125" i="11"/>
  <c r="EI125" i="11"/>
  <c r="EM125" i="11"/>
  <c r="EF125" i="11"/>
  <c r="EC125" i="11"/>
  <c r="EN125" i="11"/>
  <c r="EG125" i="11"/>
  <c r="EJ125" i="11"/>
  <c r="EK125" i="11"/>
  <c r="I61" i="1"/>
  <c r="X57" i="10"/>
  <c r="X58" i="10"/>
  <c r="X13" i="9"/>
  <c r="V14" i="9"/>
  <c r="DR125" i="11"/>
  <c r="DX125" i="11"/>
  <c r="DQ125" i="11"/>
  <c r="DS125" i="11"/>
  <c r="DT125" i="11"/>
  <c r="EP125" i="11"/>
  <c r="DY125" i="11"/>
  <c r="DW125" i="11"/>
  <c r="EV125" i="11"/>
  <c r="EQ125" i="11"/>
  <c r="DZ125" i="11"/>
  <c r="EO125" i="11"/>
  <c r="DU125" i="11"/>
  <c r="EW125" i="11"/>
  <c r="EA125" i="11"/>
  <c r="EU125" i="11"/>
  <c r="ER125" i="11"/>
  <c r="DV125" i="11"/>
  <c r="ES125" i="11"/>
  <c r="EX125" i="11"/>
  <c r="EY125" i="11"/>
  <c r="EB125" i="11"/>
  <c r="ET125" i="11"/>
  <c r="EZ125" i="11"/>
  <c r="AV48" i="4"/>
  <c r="J27" i="4"/>
  <c r="DP126" i="11"/>
  <c r="B78" i="2"/>
  <c r="B102" i="2"/>
  <c r="F48" i="4"/>
  <c r="F25" i="4"/>
  <c r="AH48" i="4"/>
  <c r="O61" i="1" l="1"/>
  <c r="Q61" i="1"/>
  <c r="B22" i="8"/>
  <c r="B49" i="8" s="1"/>
  <c r="B75" i="8"/>
  <c r="B101" i="8" s="1"/>
  <c r="ED126" i="11"/>
  <c r="EH126" i="11"/>
  <c r="EL126" i="11"/>
  <c r="EE126" i="11"/>
  <c r="EI126" i="11"/>
  <c r="EM126" i="11"/>
  <c r="EJ126" i="11"/>
  <c r="EC126" i="11"/>
  <c r="EK126" i="11"/>
  <c r="EF126" i="11"/>
  <c r="EN126" i="11"/>
  <c r="EG126" i="11"/>
  <c r="V15" i="9"/>
  <c r="X14" i="9"/>
  <c r="DR126" i="11"/>
  <c r="DX126" i="11"/>
  <c r="DQ126" i="11"/>
  <c r="DS126" i="11"/>
  <c r="DW126" i="11"/>
  <c r="DT126" i="11"/>
  <c r="EP126" i="11"/>
  <c r="DY126" i="11"/>
  <c r="DU126" i="11"/>
  <c r="EO126" i="11"/>
  <c r="EV126" i="11"/>
  <c r="EQ126" i="11"/>
  <c r="DZ126" i="11"/>
  <c r="EW126" i="11"/>
  <c r="EA126" i="11"/>
  <c r="EU126" i="11"/>
  <c r="ER126" i="11"/>
  <c r="EX126" i="11"/>
  <c r="DV126" i="11"/>
  <c r="ES126" i="11"/>
  <c r="EY126" i="11"/>
  <c r="EB126" i="11"/>
  <c r="ET126" i="11"/>
  <c r="EZ126" i="11"/>
  <c r="AV49" i="4"/>
  <c r="J28" i="4"/>
  <c r="DP127" i="11"/>
  <c r="B79" i="2"/>
  <c r="B103" i="2"/>
  <c r="F26" i="4"/>
  <c r="F49" i="4"/>
  <c r="AH49" i="4"/>
  <c r="B23" i="8" l="1"/>
  <c r="B50" i="8" s="1"/>
  <c r="B76" i="8"/>
  <c r="B102" i="8" s="1"/>
  <c r="ED127" i="11"/>
  <c r="EH127" i="11"/>
  <c r="EL127" i="11"/>
  <c r="EE127" i="11"/>
  <c r="EI127" i="11"/>
  <c r="EM127" i="11"/>
  <c r="EF127" i="11"/>
  <c r="EN127" i="11"/>
  <c r="EG127" i="11"/>
  <c r="EJ127" i="11"/>
  <c r="EC127" i="11"/>
  <c r="EK127" i="11"/>
  <c r="X15" i="9"/>
  <c r="V16" i="9"/>
  <c r="DR127" i="11"/>
  <c r="DX127" i="11"/>
  <c r="DQ127" i="11"/>
  <c r="DS127" i="11"/>
  <c r="DW127" i="11"/>
  <c r="DT127" i="11"/>
  <c r="EP127" i="11"/>
  <c r="DY127" i="11"/>
  <c r="DU127" i="11"/>
  <c r="EV127" i="11"/>
  <c r="EQ127" i="11"/>
  <c r="DZ127" i="11"/>
  <c r="EO127" i="11"/>
  <c r="EU127" i="11"/>
  <c r="ER127" i="11"/>
  <c r="EW127" i="11"/>
  <c r="EA127" i="11"/>
  <c r="EX127" i="11"/>
  <c r="DV127" i="11"/>
  <c r="ES127" i="11"/>
  <c r="EY127" i="11"/>
  <c r="EB127" i="11"/>
  <c r="ET127" i="11"/>
  <c r="EZ127" i="11"/>
  <c r="AV50" i="4"/>
  <c r="J29" i="4"/>
  <c r="B80" i="2"/>
  <c r="B104" i="2"/>
  <c r="F27" i="4"/>
  <c r="F50" i="4"/>
  <c r="AH50" i="4"/>
  <c r="B24" i="8" l="1"/>
  <c r="B51" i="8" s="1"/>
  <c r="B77" i="8"/>
  <c r="B103" i="8" s="1"/>
  <c r="X16" i="9"/>
  <c r="V17" i="9"/>
  <c r="AV51" i="4"/>
  <c r="J30" i="4"/>
  <c r="B81" i="2"/>
  <c r="B105" i="2"/>
  <c r="F51" i="4"/>
  <c r="F28" i="4"/>
  <c r="AH51" i="4"/>
  <c r="B25" i="8" l="1"/>
  <c r="B52" i="8" s="1"/>
  <c r="B78" i="8"/>
  <c r="B104" i="8" s="1"/>
  <c r="X17" i="9"/>
  <c r="V18" i="9"/>
  <c r="AV52" i="4"/>
  <c r="J31" i="4"/>
  <c r="B82" i="2"/>
  <c r="B106" i="2"/>
  <c r="F29" i="4"/>
  <c r="F52" i="4"/>
  <c r="AH52" i="4"/>
  <c r="B26" i="8" l="1"/>
  <c r="B53" i="8" s="1"/>
  <c r="B79" i="8"/>
  <c r="B105" i="8" s="1"/>
  <c r="X18" i="9"/>
  <c r="V19" i="9"/>
  <c r="J32" i="4"/>
  <c r="AV53" i="4"/>
  <c r="B83" i="2"/>
  <c r="B107" i="2"/>
  <c r="F53" i="4"/>
  <c r="F30" i="4"/>
  <c r="AH53" i="4"/>
  <c r="B27" i="8" l="1"/>
  <c r="B54" i="8" s="1"/>
  <c r="B80" i="8"/>
  <c r="B106" i="8" s="1"/>
  <c r="X19" i="9"/>
  <c r="V20" i="9"/>
  <c r="AV54" i="4"/>
  <c r="J33" i="4"/>
  <c r="B84" i="2"/>
  <c r="B108" i="2"/>
  <c r="F31" i="4"/>
  <c r="F54" i="4"/>
  <c r="AH54" i="4"/>
  <c r="B28" i="8" l="1"/>
  <c r="B81" i="8"/>
  <c r="B107" i="8" s="1"/>
  <c r="X20" i="9"/>
  <c r="V21" i="9"/>
  <c r="J34" i="4"/>
  <c r="AV55" i="4"/>
  <c r="B85" i="2"/>
  <c r="B109" i="2"/>
  <c r="F55" i="4"/>
  <c r="F32" i="4"/>
  <c r="AH55" i="4"/>
  <c r="B55" i="8" l="1"/>
  <c r="B82" i="8"/>
  <c r="B108" i="8" s="1"/>
  <c r="X21" i="9"/>
  <c r="V22" i="9"/>
  <c r="J35" i="4"/>
  <c r="AV56" i="4"/>
  <c r="B86" i="2"/>
  <c r="B110" i="2"/>
  <c r="F33" i="4"/>
  <c r="F56" i="4"/>
  <c r="AH56" i="4"/>
  <c r="V23" i="9" l="1"/>
  <c r="X22" i="9"/>
  <c r="AV57" i="4"/>
  <c r="J36" i="4"/>
  <c r="B87" i="2"/>
  <c r="B111" i="2"/>
  <c r="F57" i="4"/>
  <c r="F34" i="4"/>
  <c r="AH57" i="4"/>
  <c r="V24" i="9" l="1"/>
  <c r="X23" i="9"/>
  <c r="AH58" i="4"/>
  <c r="AV58" i="4"/>
  <c r="B112" i="2"/>
  <c r="B88" i="2"/>
  <c r="F35" i="4"/>
  <c r="F58" i="4"/>
  <c r="V25" i="9" l="1"/>
  <c r="X24" i="9"/>
  <c r="AH59" i="4"/>
  <c r="AV59" i="4"/>
  <c r="B89" i="2"/>
  <c r="L52" i="11" s="1"/>
  <c r="B113" i="2"/>
  <c r="F59" i="4"/>
  <c r="F36" i="4"/>
  <c r="AD68" i="11" l="1"/>
  <c r="G16" i="4"/>
  <c r="G43" i="4"/>
  <c r="K58" i="4"/>
  <c r="T69" i="11"/>
  <c r="AA66" i="11"/>
  <c r="N53" i="4"/>
  <c r="M57" i="4"/>
  <c r="L54" i="4"/>
  <c r="AA68" i="11"/>
  <c r="Y68" i="11"/>
  <c r="X70" i="11"/>
  <c r="U70" i="11"/>
  <c r="W69" i="11"/>
  <c r="Y67" i="11"/>
  <c r="AA70" i="11"/>
  <c r="W67" i="11"/>
  <c r="M53" i="4"/>
  <c r="K54" i="4"/>
  <c r="N58" i="4"/>
  <c r="V69" i="11"/>
  <c r="K55" i="4"/>
  <c r="Y69" i="11"/>
  <c r="K53" i="4"/>
  <c r="K56" i="4"/>
  <c r="X67" i="11"/>
  <c r="N56" i="4"/>
  <c r="L56" i="4"/>
  <c r="X68" i="11"/>
  <c r="AB69" i="11"/>
  <c r="U69" i="11"/>
  <c r="M55" i="4"/>
  <c r="AC69" i="11"/>
  <c r="AF26" i="20"/>
  <c r="AF53" i="20" s="1"/>
  <c r="AK28" i="13"/>
  <c r="AK55" i="13" s="1"/>
  <c r="AK33" i="19"/>
  <c r="AK60" i="19" s="1"/>
  <c r="AK43" i="19"/>
  <c r="AK70" i="19" s="1"/>
  <c r="AK40" i="19"/>
  <c r="AK67" i="19" s="1"/>
  <c r="AK24" i="19"/>
  <c r="AK29" i="13"/>
  <c r="AK56" i="13" s="1"/>
  <c r="AJ25" i="20"/>
  <c r="AJ52" i="20" s="1"/>
  <c r="AK29" i="19"/>
  <c r="AK56" i="19" s="1"/>
  <c r="X52" i="11"/>
  <c r="AK31" i="13"/>
  <c r="AK58" i="13" s="1"/>
  <c r="AK38" i="19"/>
  <c r="AK65" i="19" s="1"/>
  <c r="AK34" i="13"/>
  <c r="AK61" i="13" s="1"/>
  <c r="AK26" i="18"/>
  <c r="AK53" i="18" s="1"/>
  <c r="AK31" i="19"/>
  <c r="AK58" i="19" s="1"/>
  <c r="AJ28" i="18"/>
  <c r="AJ55" i="18" s="1"/>
  <c r="AK37" i="19"/>
  <c r="AK64" i="19" s="1"/>
  <c r="AF28" i="18"/>
  <c r="AF55" i="18" s="1"/>
  <c r="AK26" i="19"/>
  <c r="AK53" i="19" s="1"/>
  <c r="U52" i="11"/>
  <c r="AK27" i="13"/>
  <c r="AK54" i="13" s="1"/>
  <c r="AK24" i="13"/>
  <c r="AK44" i="13"/>
  <c r="AK71" i="13" s="1"/>
  <c r="AK28" i="19"/>
  <c r="AK55" i="19" s="1"/>
  <c r="AV40" i="20"/>
  <c r="AV67" i="20" s="1"/>
  <c r="AK38" i="13"/>
  <c r="AK65" i="13" s="1"/>
  <c r="AK40" i="13"/>
  <c r="AK67" i="13" s="1"/>
  <c r="AK39" i="13"/>
  <c r="AK66" i="13" s="1"/>
  <c r="AJ24" i="19"/>
  <c r="AJ28" i="13"/>
  <c r="AJ55" i="13" s="1"/>
  <c r="AK41" i="19"/>
  <c r="AK68" i="19" s="1"/>
  <c r="AK32" i="13"/>
  <c r="AK59" i="13" s="1"/>
  <c r="AK39" i="19"/>
  <c r="AK66" i="19" s="1"/>
  <c r="AK30" i="13"/>
  <c r="AK57" i="13" s="1"/>
  <c r="AF28" i="13"/>
  <c r="AF55" i="13" s="1"/>
  <c r="AK42" i="19"/>
  <c r="AK69" i="19" s="1"/>
  <c r="AK34" i="19"/>
  <c r="AK61" i="19" s="1"/>
  <c r="Y51" i="11"/>
  <c r="AK32" i="19"/>
  <c r="AK59" i="19" s="1"/>
  <c r="AK35" i="19"/>
  <c r="AK62" i="19" s="1"/>
  <c r="U53" i="11"/>
  <c r="AK43" i="13"/>
  <c r="AK70" i="13" s="1"/>
  <c r="AK26" i="13"/>
  <c r="AK53" i="13" s="1"/>
  <c r="AD53" i="11"/>
  <c r="AF27" i="19"/>
  <c r="AF54" i="19" s="1"/>
  <c r="AK35" i="13"/>
  <c r="AK62" i="13" s="1"/>
  <c r="AK36" i="13"/>
  <c r="AK63" i="13" s="1"/>
  <c r="AK37" i="13"/>
  <c r="AK64" i="13" s="1"/>
  <c r="K41" i="4"/>
  <c r="AK33" i="13"/>
  <c r="AK60" i="13" s="1"/>
  <c r="AK27" i="19"/>
  <c r="AK54" i="19" s="1"/>
  <c r="AK24" i="20"/>
  <c r="AK44" i="19"/>
  <c r="AK71" i="19" s="1"/>
  <c r="AK36" i="19"/>
  <c r="AK63" i="19" s="1"/>
  <c r="AK41" i="13"/>
  <c r="AK68" i="13" s="1"/>
  <c r="AK25" i="19"/>
  <c r="AK52" i="19" s="1"/>
  <c r="AB52" i="11"/>
  <c r="AK42" i="13"/>
  <c r="AK69" i="13" s="1"/>
  <c r="AK25" i="13"/>
  <c r="AK52" i="13" s="1"/>
  <c r="AK30" i="19"/>
  <c r="AK57" i="19" s="1"/>
  <c r="BA34" i="19"/>
  <c r="BA61" i="19" s="1"/>
  <c r="AW41" i="20"/>
  <c r="AW68" i="20" s="1"/>
  <c r="AQ44" i="18"/>
  <c r="AQ71" i="18" s="1"/>
  <c r="AV33" i="13"/>
  <c r="AV60" i="13" s="1"/>
  <c r="AQ42" i="20"/>
  <c r="AQ69" i="20" s="1"/>
  <c r="AJ40" i="20"/>
  <c r="AJ67" i="20" s="1"/>
  <c r="AQ25" i="13"/>
  <c r="AQ52" i="13" s="1"/>
  <c r="AV30" i="18"/>
  <c r="AV57" i="18" s="1"/>
  <c r="AQ38" i="18"/>
  <c r="AQ65" i="18" s="1"/>
  <c r="AF38" i="13"/>
  <c r="AF65" i="13" s="1"/>
  <c r="AV42" i="18"/>
  <c r="AV69" i="18" s="1"/>
  <c r="AJ29" i="19"/>
  <c r="AJ56" i="19" s="1"/>
  <c r="AF32" i="19"/>
  <c r="AF59" i="19" s="1"/>
  <c r="AQ26" i="19"/>
  <c r="AQ53" i="19" s="1"/>
  <c r="V55" i="11"/>
  <c r="AQ26" i="13"/>
  <c r="AQ53" i="13" s="1"/>
  <c r="AA51" i="11"/>
  <c r="AJ36" i="13"/>
  <c r="AJ63" i="13" s="1"/>
  <c r="AF44" i="18"/>
  <c r="AF71" i="18" s="1"/>
  <c r="AF42" i="18"/>
  <c r="AF69" i="18" s="1"/>
  <c r="AJ32" i="18"/>
  <c r="AJ59" i="18" s="1"/>
  <c r="AW44" i="13"/>
  <c r="AW71" i="13" s="1"/>
  <c r="AQ40" i="13"/>
  <c r="AQ67" i="13" s="1"/>
  <c r="AF29" i="13"/>
  <c r="AV24" i="18"/>
  <c r="AQ36" i="20"/>
  <c r="AQ63" i="20" s="1"/>
  <c r="AV28" i="19"/>
  <c r="AV55" i="19" s="1"/>
  <c r="AF30" i="18"/>
  <c r="AF57" i="18" s="1"/>
  <c r="AJ25" i="13"/>
  <c r="AJ52" i="13" s="1"/>
  <c r="T56" i="11"/>
  <c r="AJ39" i="20"/>
  <c r="AJ66" i="20" s="1"/>
  <c r="AQ41" i="18"/>
  <c r="AQ68" i="18" s="1"/>
  <c r="AW43" i="19"/>
  <c r="AW70" i="19" s="1"/>
  <c r="AW25" i="13"/>
  <c r="AW52" i="13" s="1"/>
  <c r="AK42" i="18"/>
  <c r="AK69" i="18" s="1"/>
  <c r="Y54" i="11"/>
  <c r="AV25" i="19"/>
  <c r="AV52" i="19" s="1"/>
  <c r="AK41" i="18"/>
  <c r="AK68" i="18" s="1"/>
  <c r="AV38" i="18"/>
  <c r="AV65" i="18" s="1"/>
  <c r="AQ33" i="20"/>
  <c r="AQ60" i="20" s="1"/>
  <c r="AV41" i="13"/>
  <c r="AV68" i="13" s="1"/>
  <c r="AF31" i="18"/>
  <c r="AF58" i="18" s="1"/>
  <c r="AW32" i="18"/>
  <c r="AW59" i="18" s="1"/>
  <c r="AF30" i="19"/>
  <c r="AF57" i="19" s="1"/>
  <c r="W56" i="11"/>
  <c r="AF39" i="19"/>
  <c r="AF66" i="19" s="1"/>
  <c r="AJ44" i="20"/>
  <c r="AJ71" i="20" s="1"/>
  <c r="AA56" i="11"/>
  <c r="AK37" i="20"/>
  <c r="AK64" i="20" s="1"/>
  <c r="AW43" i="20"/>
  <c r="AW70" i="20" s="1"/>
  <c r="AQ43" i="13"/>
  <c r="AQ70" i="13" s="1"/>
  <c r="AW25" i="18"/>
  <c r="AW52" i="18" s="1"/>
  <c r="AJ44" i="13"/>
  <c r="AJ71" i="13" s="1"/>
  <c r="AJ33" i="19"/>
  <c r="AJ60" i="19" s="1"/>
  <c r="AV43" i="19"/>
  <c r="AV70" i="19" s="1"/>
  <c r="AW42" i="18"/>
  <c r="AW69" i="18" s="1"/>
  <c r="AJ37" i="19"/>
  <c r="AJ64" i="19" s="1"/>
  <c r="AF38" i="20"/>
  <c r="AF65" i="20" s="1"/>
  <c r="AW42" i="20"/>
  <c r="AW69" i="20" s="1"/>
  <c r="W50" i="11"/>
  <c r="AF40" i="20"/>
  <c r="AF67" i="20" s="1"/>
  <c r="AJ41" i="20"/>
  <c r="AJ68" i="20" s="1"/>
  <c r="AV37" i="20"/>
  <c r="AV64" i="20" s="1"/>
  <c r="AJ36" i="20"/>
  <c r="AJ63" i="20" s="1"/>
  <c r="AQ36" i="13"/>
  <c r="AQ63" i="13" s="1"/>
  <c r="X50" i="11"/>
  <c r="AW40" i="20"/>
  <c r="AW67" i="20" s="1"/>
  <c r="AW38" i="20"/>
  <c r="AW65" i="20" s="1"/>
  <c r="AW34" i="18"/>
  <c r="AW61" i="18" s="1"/>
  <c r="AK31" i="18"/>
  <c r="AK58" i="18" s="1"/>
  <c r="AF36" i="20"/>
  <c r="AF63" i="20" s="1"/>
  <c r="AF36" i="13"/>
  <c r="AF63" i="13" s="1"/>
  <c r="AW29" i="18"/>
  <c r="AW56" i="18" s="1"/>
  <c r="AJ40" i="18"/>
  <c r="AJ67" i="18" s="1"/>
  <c r="AK32" i="20"/>
  <c r="AK59" i="20" s="1"/>
  <c r="AB51" i="11"/>
  <c r="AF25" i="18"/>
  <c r="AF52" i="18" s="1"/>
  <c r="AK38" i="18"/>
  <c r="AK65" i="18" s="1"/>
  <c r="AJ42" i="20"/>
  <c r="AJ69" i="20" s="1"/>
  <c r="AD55" i="11"/>
  <c r="AW36" i="20"/>
  <c r="AW63" i="20" s="1"/>
  <c r="AJ30" i="18"/>
  <c r="AJ57" i="18" s="1"/>
  <c r="AW29" i="20"/>
  <c r="AW56" i="20" s="1"/>
  <c r="AD52" i="11"/>
  <c r="AC50" i="11"/>
  <c r="AV32" i="20"/>
  <c r="AV59" i="20" s="1"/>
  <c r="AW25" i="20"/>
  <c r="AW52" i="20" s="1"/>
  <c r="AQ41" i="13"/>
  <c r="AQ68" i="13" s="1"/>
  <c r="T52" i="11"/>
  <c r="AJ32" i="20"/>
  <c r="AJ59" i="20" s="1"/>
  <c r="AW40" i="13"/>
  <c r="AW67" i="13" s="1"/>
  <c r="AV44" i="19"/>
  <c r="AV71" i="19" s="1"/>
  <c r="AW34" i="20"/>
  <c r="AW61" i="20" s="1"/>
  <c r="AJ28" i="19"/>
  <c r="AJ55" i="19" s="1"/>
  <c r="AW37" i="13"/>
  <c r="AW64" i="13" s="1"/>
  <c r="AQ29" i="19"/>
  <c r="AQ56" i="19" s="1"/>
  <c r="AV25" i="18"/>
  <c r="AV52" i="18" s="1"/>
  <c r="U56" i="11"/>
  <c r="AJ35" i="20"/>
  <c r="AJ62" i="20" s="1"/>
  <c r="AB50" i="11"/>
  <c r="AW40" i="18"/>
  <c r="AW67" i="18" s="1"/>
  <c r="AF41" i="19"/>
  <c r="AF68" i="19" s="1"/>
  <c r="AV41" i="19"/>
  <c r="AV68" i="19" s="1"/>
  <c r="AJ35" i="13"/>
  <c r="AJ62" i="13" s="1"/>
  <c r="AF28" i="20"/>
  <c r="AF55" i="20" s="1"/>
  <c r="AV24" i="20"/>
  <c r="Y53" i="11"/>
  <c r="AQ40" i="19"/>
  <c r="AQ67" i="19" s="1"/>
  <c r="AQ28" i="18"/>
  <c r="AQ55" i="18" s="1"/>
  <c r="AJ38" i="13"/>
  <c r="AJ65" i="13" s="1"/>
  <c r="AF27" i="13"/>
  <c r="AF54" i="13" s="1"/>
  <c r="AF35" i="18"/>
  <c r="AF62" i="18" s="1"/>
  <c r="AF33" i="13"/>
  <c r="AF60" i="13" s="1"/>
  <c r="AV28" i="20"/>
  <c r="AV55" i="20" s="1"/>
  <c r="AK30" i="18"/>
  <c r="AK57" i="18" s="1"/>
  <c r="AQ24" i="18"/>
  <c r="AJ30" i="13"/>
  <c r="AJ57" i="13" s="1"/>
  <c r="AF34" i="18"/>
  <c r="AF61" i="18" s="1"/>
  <c r="X56" i="11"/>
  <c r="AF37" i="13"/>
  <c r="AF64" i="13" s="1"/>
  <c r="AK28" i="18"/>
  <c r="AK55" i="18" s="1"/>
  <c r="AF43" i="19"/>
  <c r="AF70" i="19" s="1"/>
  <c r="AF42" i="13"/>
  <c r="AF69" i="13" s="1"/>
  <c r="AW41" i="19"/>
  <c r="AW68" i="19" s="1"/>
  <c r="AV27" i="13"/>
  <c r="AV54" i="13" s="1"/>
  <c r="AJ29" i="20"/>
  <c r="AJ56" i="20" s="1"/>
  <c r="AQ31" i="19"/>
  <c r="AQ58" i="19" s="1"/>
  <c r="AV29" i="13"/>
  <c r="AV56" i="13" s="1"/>
  <c r="AV42" i="20"/>
  <c r="AV69" i="20" s="1"/>
  <c r="M41" i="4"/>
  <c r="AV24" i="13"/>
  <c r="AJ42" i="13"/>
  <c r="AJ69" i="13" s="1"/>
  <c r="AV38" i="13"/>
  <c r="AV65" i="13" s="1"/>
  <c r="AV27" i="19"/>
  <c r="AV54" i="19" s="1"/>
  <c r="AW26" i="18"/>
  <c r="AW53" i="18" s="1"/>
  <c r="AW43" i="18"/>
  <c r="AW70" i="18" s="1"/>
  <c r="AJ39" i="13"/>
  <c r="AJ66" i="13" s="1"/>
  <c r="AV36" i="18"/>
  <c r="AV63" i="18" s="1"/>
  <c r="AA50" i="11"/>
  <c r="AV31" i="18"/>
  <c r="AV58" i="18" s="1"/>
  <c r="AJ27" i="20"/>
  <c r="AJ54" i="20" s="1"/>
  <c r="AQ26" i="18"/>
  <c r="AQ53" i="18" s="1"/>
  <c r="AB56" i="11"/>
  <c r="AV26" i="13"/>
  <c r="AV53" i="13" s="1"/>
  <c r="AJ42" i="19"/>
  <c r="AJ69" i="19" s="1"/>
  <c r="AJ31" i="13"/>
  <c r="AJ58" i="13" s="1"/>
  <c r="U54" i="11"/>
  <c r="AK24" i="18"/>
  <c r="AK38" i="20"/>
  <c r="AK65" i="20" s="1"/>
  <c r="AK32" i="18"/>
  <c r="AK59" i="18" s="1"/>
  <c r="AW41" i="13"/>
  <c r="AW68" i="13" s="1"/>
  <c r="AV29" i="20"/>
  <c r="AV56" i="20" s="1"/>
  <c r="V52" i="11"/>
  <c r="AW37" i="19"/>
  <c r="AW64" i="19" s="1"/>
  <c r="AW36" i="18"/>
  <c r="AW63" i="18" s="1"/>
  <c r="AV34" i="13"/>
  <c r="AV61" i="13" s="1"/>
  <c r="AF44" i="20"/>
  <c r="AF71" i="20" s="1"/>
  <c r="AQ29" i="18"/>
  <c r="AQ56" i="18" s="1"/>
  <c r="AF31" i="13"/>
  <c r="AF58" i="13" s="1"/>
  <c r="AW31" i="20"/>
  <c r="AW58" i="20" s="1"/>
  <c r="AV25" i="13"/>
  <c r="AV52" i="13" s="1"/>
  <c r="AF27" i="20"/>
  <c r="AF54" i="20" s="1"/>
  <c r="AC54" i="11"/>
  <c r="AQ36" i="18"/>
  <c r="AQ63" i="18" s="1"/>
  <c r="AV44" i="18"/>
  <c r="AV71" i="18" s="1"/>
  <c r="AJ35" i="18"/>
  <c r="AJ62" i="18" s="1"/>
  <c r="AF43" i="20"/>
  <c r="AF70" i="20" s="1"/>
  <c r="AQ32" i="18"/>
  <c r="AQ59" i="18" s="1"/>
  <c r="AQ30" i="18"/>
  <c r="AQ57" i="18" s="1"/>
  <c r="AQ35" i="18"/>
  <c r="AQ62" i="18" s="1"/>
  <c r="AQ41" i="19"/>
  <c r="AQ68" i="19" s="1"/>
  <c r="AV34" i="20"/>
  <c r="AV61" i="20" s="1"/>
  <c r="AQ27" i="20"/>
  <c r="AQ54" i="20" s="1"/>
  <c r="AV36" i="20"/>
  <c r="AV63" i="20" s="1"/>
  <c r="AF25" i="13"/>
  <c r="AF52" i="13" s="1"/>
  <c r="AJ34" i="19"/>
  <c r="AJ61" i="19" s="1"/>
  <c r="AV35" i="18"/>
  <c r="AV62" i="18" s="1"/>
  <c r="AW34" i="13"/>
  <c r="AW61" i="13" s="1"/>
  <c r="Y56" i="11"/>
  <c r="AB53" i="11"/>
  <c r="AJ34" i="13"/>
  <c r="AJ61" i="13" s="1"/>
  <c r="AF29" i="18"/>
  <c r="AF56" i="18" s="1"/>
  <c r="V51" i="11"/>
  <c r="AF37" i="20"/>
  <c r="AF64" i="20" s="1"/>
  <c r="AF27" i="18"/>
  <c r="AF54" i="18" s="1"/>
  <c r="AV29" i="18"/>
  <c r="AV56" i="18" s="1"/>
  <c r="Y50" i="11"/>
  <c r="AK34" i="20"/>
  <c r="AK61" i="20" s="1"/>
  <c r="AV42" i="13"/>
  <c r="AV69" i="13" s="1"/>
  <c r="AW33" i="18"/>
  <c r="AW60" i="18" s="1"/>
  <c r="AJ38" i="20"/>
  <c r="AJ65" i="20" s="1"/>
  <c r="AV40" i="13"/>
  <c r="AV67" i="13" s="1"/>
  <c r="AV24" i="19"/>
  <c r="AQ38" i="19"/>
  <c r="AQ65" i="19" s="1"/>
  <c r="AV35" i="13"/>
  <c r="AV62" i="13" s="1"/>
  <c r="AW35" i="13"/>
  <c r="AW62" i="13" s="1"/>
  <c r="AW42" i="19"/>
  <c r="AW69" i="19" s="1"/>
  <c r="AW40" i="19"/>
  <c r="AW67" i="19" s="1"/>
  <c r="AW24" i="18"/>
  <c r="AJ27" i="13"/>
  <c r="AJ54" i="13" s="1"/>
  <c r="AV25" i="20"/>
  <c r="AV52" i="20" s="1"/>
  <c r="AW24" i="19"/>
  <c r="AF33" i="19"/>
  <c r="AF60" i="19" s="1"/>
  <c r="AQ39" i="20"/>
  <c r="AQ66" i="20" s="1"/>
  <c r="AD51" i="11"/>
  <c r="AQ37" i="20"/>
  <c r="AQ64" i="20" s="1"/>
  <c r="AW33" i="19"/>
  <c r="AW60" i="19" s="1"/>
  <c r="AK26" i="20"/>
  <c r="AK53" i="20" s="1"/>
  <c r="AJ26" i="13"/>
  <c r="AJ53" i="13" s="1"/>
  <c r="AV43" i="20"/>
  <c r="AV70" i="20" s="1"/>
  <c r="AJ37" i="18"/>
  <c r="AJ64" i="18" s="1"/>
  <c r="AC51" i="11"/>
  <c r="AW27" i="19"/>
  <c r="AW54" i="19" s="1"/>
  <c r="AQ38" i="13"/>
  <c r="AQ65" i="13" s="1"/>
  <c r="AF26" i="18"/>
  <c r="AF53" i="18" s="1"/>
  <c r="X51" i="11"/>
  <c r="AV26" i="20"/>
  <c r="AV53" i="20" s="1"/>
  <c r="AQ37" i="19"/>
  <c r="AQ64" i="19" s="1"/>
  <c r="AK27" i="18"/>
  <c r="AK54" i="18" s="1"/>
  <c r="AV37" i="19"/>
  <c r="AV64" i="19" s="1"/>
  <c r="AV37" i="13"/>
  <c r="AV64" i="13" s="1"/>
  <c r="AV40" i="19"/>
  <c r="AV67" i="19" s="1"/>
  <c r="AV42" i="19"/>
  <c r="AV69" i="19" s="1"/>
  <c r="AQ33" i="13"/>
  <c r="AQ60" i="13" s="1"/>
  <c r="AF40" i="18"/>
  <c r="AF67" i="18" s="1"/>
  <c r="AV44" i="13"/>
  <c r="AV71" i="13" s="1"/>
  <c r="AQ38" i="20"/>
  <c r="AQ65" i="20" s="1"/>
  <c r="AJ24" i="20"/>
  <c r="AJ30" i="20"/>
  <c r="AJ57" i="20" s="1"/>
  <c r="AK35" i="20"/>
  <c r="AK62" i="20" s="1"/>
  <c r="AW31" i="19"/>
  <c r="AW58" i="19" s="1"/>
  <c r="AK43" i="18"/>
  <c r="AK70" i="18" s="1"/>
  <c r="AK29" i="18"/>
  <c r="AK56" i="18" s="1"/>
  <c r="AW38" i="18"/>
  <c r="AW65" i="18" s="1"/>
  <c r="U51" i="11"/>
  <c r="AQ44" i="13"/>
  <c r="AQ71" i="13" s="1"/>
  <c r="AJ37" i="20"/>
  <c r="AJ64" i="20" s="1"/>
  <c r="AJ40" i="13"/>
  <c r="AJ67" i="13" s="1"/>
  <c r="AW28" i="19"/>
  <c r="AW55" i="19" s="1"/>
  <c r="AV43" i="13"/>
  <c r="AV70" i="13" s="1"/>
  <c r="AF39" i="18"/>
  <c r="AF66" i="18" s="1"/>
  <c r="AQ32" i="19"/>
  <c r="AQ59" i="19" s="1"/>
  <c r="AF31" i="19"/>
  <c r="AF58" i="19" s="1"/>
  <c r="AJ41" i="13"/>
  <c r="AJ68" i="13" s="1"/>
  <c r="AD50" i="11"/>
  <c r="AV39" i="19"/>
  <c r="AV66" i="19" s="1"/>
  <c r="AQ31" i="20"/>
  <c r="AQ58" i="20" s="1"/>
  <c r="AV36" i="13"/>
  <c r="AV63" i="13" s="1"/>
  <c r="AQ32" i="13"/>
  <c r="AQ59" i="13" s="1"/>
  <c r="AF41" i="13"/>
  <c r="AF68" i="13" s="1"/>
  <c r="AQ42" i="18"/>
  <c r="AQ69" i="18" s="1"/>
  <c r="AV41" i="18"/>
  <c r="AV68" i="18" s="1"/>
  <c r="AQ43" i="19"/>
  <c r="AQ70" i="19" s="1"/>
  <c r="AW34" i="19"/>
  <c r="AW61" i="19" s="1"/>
  <c r="AQ28" i="20"/>
  <c r="AQ55" i="20" s="1"/>
  <c r="AW31" i="13"/>
  <c r="AW58" i="13" s="1"/>
  <c r="AJ43" i="20"/>
  <c r="AJ70" i="20" s="1"/>
  <c r="V53" i="11"/>
  <c r="AW32" i="19"/>
  <c r="AW59" i="19" s="1"/>
  <c r="AF43" i="18"/>
  <c r="AF70" i="18" s="1"/>
  <c r="AQ30" i="13"/>
  <c r="AQ57" i="13" s="1"/>
  <c r="AA54" i="11"/>
  <c r="AQ35" i="20"/>
  <c r="AQ62" i="20" s="1"/>
  <c r="AJ35" i="19"/>
  <c r="AJ62" i="19" s="1"/>
  <c r="AK33" i="20"/>
  <c r="AK60" i="20" s="1"/>
  <c r="AW26" i="20"/>
  <c r="AW53" i="20" s="1"/>
  <c r="AW27" i="18"/>
  <c r="AW54" i="18" s="1"/>
  <c r="AK41" i="20"/>
  <c r="AK68" i="20" s="1"/>
  <c r="AV40" i="18"/>
  <c r="AV67" i="18" s="1"/>
  <c r="AW25" i="19"/>
  <c r="AW52" i="19" s="1"/>
  <c r="AQ41" i="20"/>
  <c r="AQ68" i="20" s="1"/>
  <c r="AF42" i="19"/>
  <c r="AF69" i="19" s="1"/>
  <c r="AF34" i="13"/>
  <c r="AF61" i="13" s="1"/>
  <c r="AJ32" i="19"/>
  <c r="AJ59" i="19" s="1"/>
  <c r="AF24" i="20"/>
  <c r="AW44" i="19"/>
  <c r="AW71" i="19" s="1"/>
  <c r="AW33" i="20"/>
  <c r="AW60" i="20" s="1"/>
  <c r="AQ35" i="13"/>
  <c r="AQ62" i="13" s="1"/>
  <c r="AJ26" i="20"/>
  <c r="AJ53" i="20" s="1"/>
  <c r="T55" i="11"/>
  <c r="AV37" i="18"/>
  <c r="AV64" i="18" s="1"/>
  <c r="AJ38" i="18"/>
  <c r="AJ65" i="18" s="1"/>
  <c r="AJ30" i="19"/>
  <c r="AJ57" i="19" s="1"/>
  <c r="AK43" i="20"/>
  <c r="AK70" i="20" s="1"/>
  <c r="AW29" i="19"/>
  <c r="AW56" i="19" s="1"/>
  <c r="AV30" i="20"/>
  <c r="AV57" i="20" s="1"/>
  <c r="T50" i="11"/>
  <c r="AW27" i="13"/>
  <c r="AW54" i="13" s="1"/>
  <c r="AA55" i="11"/>
  <c r="T53" i="11"/>
  <c r="AQ42" i="19"/>
  <c r="AQ69" i="19" s="1"/>
  <c r="AF39" i="20"/>
  <c r="AF66" i="20" s="1"/>
  <c r="AF25" i="19"/>
  <c r="AF52" i="19" s="1"/>
  <c r="AJ42" i="18"/>
  <c r="AJ69" i="18" s="1"/>
  <c r="AW28" i="18"/>
  <c r="AW55" i="18" s="1"/>
  <c r="AJ29" i="13"/>
  <c r="AJ56" i="13" s="1"/>
  <c r="AC55" i="11"/>
  <c r="AW39" i="19"/>
  <c r="AW66" i="19" s="1"/>
  <c r="AW42" i="13"/>
  <c r="AW69" i="13" s="1"/>
  <c r="AQ44" i="20"/>
  <c r="AQ71" i="20" s="1"/>
  <c r="AJ25" i="18"/>
  <c r="AJ52" i="18" s="1"/>
  <c r="AK39" i="18"/>
  <c r="AK66" i="18" s="1"/>
  <c r="AQ39" i="19"/>
  <c r="AQ66" i="19" s="1"/>
  <c r="V56" i="11"/>
  <c r="AF38" i="18"/>
  <c r="AF65" i="18" s="1"/>
  <c r="AQ44" i="19"/>
  <c r="AQ71" i="19" s="1"/>
  <c r="AJ25" i="19"/>
  <c r="AJ52" i="19" s="1"/>
  <c r="AK44" i="18"/>
  <c r="AK71" i="18" s="1"/>
  <c r="AJ43" i="18"/>
  <c r="AJ70" i="18" s="1"/>
  <c r="AK36" i="18"/>
  <c r="AK63" i="18" s="1"/>
  <c r="AK33" i="18"/>
  <c r="AK60" i="18" s="1"/>
  <c r="AW29" i="13"/>
  <c r="AW56" i="13" s="1"/>
  <c r="W52" i="11"/>
  <c r="AF32" i="13"/>
  <c r="AF59" i="13" s="1"/>
  <c r="AF30" i="20"/>
  <c r="AF57" i="20" s="1"/>
  <c r="AK40" i="20"/>
  <c r="AK67" i="20" s="1"/>
  <c r="AF24" i="18"/>
  <c r="X55" i="11"/>
  <c r="AJ31" i="19"/>
  <c r="AJ58" i="19" s="1"/>
  <c r="AQ36" i="19"/>
  <c r="AQ63" i="19" s="1"/>
  <c r="X53" i="11"/>
  <c r="AF35" i="19"/>
  <c r="AF62" i="19" s="1"/>
  <c r="AQ39" i="18"/>
  <c r="AQ66" i="18" s="1"/>
  <c r="AK44" i="20"/>
  <c r="AK71" i="20" s="1"/>
  <c r="AJ40" i="19"/>
  <c r="AJ67" i="19" s="1"/>
  <c r="AJ24" i="13"/>
  <c r="AW30" i="18"/>
  <c r="AW57" i="18" s="1"/>
  <c r="AF29" i="20"/>
  <c r="AF56" i="20" s="1"/>
  <c r="AQ25" i="19"/>
  <c r="AQ52" i="19" s="1"/>
  <c r="AQ34" i="20"/>
  <c r="AQ61" i="20" s="1"/>
  <c r="AV31" i="13"/>
  <c r="AV58" i="13" s="1"/>
  <c r="AK39" i="20"/>
  <c r="AK66" i="20" s="1"/>
  <c r="AQ27" i="19"/>
  <c r="AQ54" i="19" s="1"/>
  <c r="Y55" i="11"/>
  <c r="AF40" i="19"/>
  <c r="AF67" i="19" s="1"/>
  <c r="AQ29" i="13"/>
  <c r="AQ56" i="13" s="1"/>
  <c r="X54" i="11"/>
  <c r="AJ24" i="18"/>
  <c r="AF43" i="13"/>
  <c r="AF70" i="13" s="1"/>
  <c r="AW44" i="20"/>
  <c r="AW71" i="20" s="1"/>
  <c r="AQ32" i="20"/>
  <c r="AQ59" i="20" s="1"/>
  <c r="AW43" i="13"/>
  <c r="AW70" i="13" s="1"/>
  <c r="AW39" i="20"/>
  <c r="AW66" i="20" s="1"/>
  <c r="AQ30" i="20"/>
  <c r="AQ57" i="20" s="1"/>
  <c r="AV39" i="20"/>
  <c r="AV66" i="20" s="1"/>
  <c r="AQ27" i="13"/>
  <c r="AQ54" i="13" s="1"/>
  <c r="AW35" i="20"/>
  <c r="AW62" i="20" s="1"/>
  <c r="U50" i="11"/>
  <c r="AJ39" i="19"/>
  <c r="AJ66" i="19" s="1"/>
  <c r="AF36" i="18"/>
  <c r="AF63" i="18" s="1"/>
  <c r="AW30" i="19"/>
  <c r="AW57" i="19" s="1"/>
  <c r="AV36" i="19"/>
  <c r="AV63" i="19" s="1"/>
  <c r="AV28" i="18"/>
  <c r="AV55" i="18" s="1"/>
  <c r="AJ26" i="19"/>
  <c r="AJ53" i="19" s="1"/>
  <c r="T51" i="11"/>
  <c r="AK37" i="18"/>
  <c r="AK64" i="18" s="1"/>
  <c r="AJ32" i="13"/>
  <c r="AJ59" i="13" s="1"/>
  <c r="AF29" i="19"/>
  <c r="AF56" i="19" s="1"/>
  <c r="AJ33" i="18"/>
  <c r="AJ60" i="18" s="1"/>
  <c r="AV33" i="18"/>
  <c r="AV60" i="18" s="1"/>
  <c r="AV26" i="19"/>
  <c r="AV53" i="19" s="1"/>
  <c r="AQ31" i="13"/>
  <c r="AQ58" i="13" s="1"/>
  <c r="AQ35" i="19"/>
  <c r="AQ62" i="19" s="1"/>
  <c r="AK40" i="18"/>
  <c r="AK67" i="18" s="1"/>
  <c r="AF36" i="19"/>
  <c r="AF63" i="19" s="1"/>
  <c r="AK35" i="18"/>
  <c r="AK62" i="18" s="1"/>
  <c r="AV43" i="18"/>
  <c r="AV70" i="18" s="1"/>
  <c r="U55" i="11"/>
  <c r="AJ37" i="13"/>
  <c r="AJ64" i="13" s="1"/>
  <c r="AJ27" i="19"/>
  <c r="AJ54" i="19" s="1"/>
  <c r="W51" i="11"/>
  <c r="AW37" i="20"/>
  <c r="AW64" i="20" s="1"/>
  <c r="AK31" i="20"/>
  <c r="AK58" i="20" s="1"/>
  <c r="AQ34" i="18"/>
  <c r="AQ61" i="18" s="1"/>
  <c r="W55" i="11"/>
  <c r="AJ26" i="18"/>
  <c r="AJ53" i="18" s="1"/>
  <c r="AK34" i="18"/>
  <c r="AK61" i="18" s="1"/>
  <c r="AW35" i="18"/>
  <c r="AW62" i="18" s="1"/>
  <c r="AF41" i="18"/>
  <c r="AF68" i="18" s="1"/>
  <c r="AV39" i="18"/>
  <c r="AV66" i="18" s="1"/>
  <c r="AC56" i="11"/>
  <c r="AW24" i="20"/>
  <c r="AF35" i="20"/>
  <c r="AF62" i="20" s="1"/>
  <c r="AQ25" i="18"/>
  <c r="AQ52" i="18" s="1"/>
  <c r="AV31" i="19"/>
  <c r="AV58" i="19" s="1"/>
  <c r="AJ31" i="20"/>
  <c r="AJ58" i="20" s="1"/>
  <c r="AJ29" i="18"/>
  <c r="AJ56" i="18" s="1"/>
  <c r="AV28" i="13"/>
  <c r="AV55" i="13" s="1"/>
  <c r="AV34" i="18"/>
  <c r="AV61" i="18" s="1"/>
  <c r="AQ28" i="13"/>
  <c r="AQ55" i="13" s="1"/>
  <c r="W53" i="11"/>
  <c r="AD54" i="11"/>
  <c r="AJ28" i="20"/>
  <c r="AJ55" i="20" s="1"/>
  <c r="AW33" i="13"/>
  <c r="AW60" i="13" s="1"/>
  <c r="AW38" i="13"/>
  <c r="AW65" i="13" s="1"/>
  <c r="V50" i="11"/>
  <c r="AJ36" i="19"/>
  <c r="AJ63" i="19" s="1"/>
  <c r="AW39" i="13"/>
  <c r="AW66" i="13" s="1"/>
  <c r="AV44" i="20"/>
  <c r="AV71" i="20" s="1"/>
  <c r="AF42" i="20"/>
  <c r="AF69" i="20" s="1"/>
  <c r="AD56" i="11"/>
  <c r="AW27" i="20"/>
  <c r="AW54" i="20" s="1"/>
  <c r="AK36" i="20"/>
  <c r="AK63" i="20" s="1"/>
  <c r="L41" i="4"/>
  <c r="AW24" i="13"/>
  <c r="AJ33" i="20"/>
  <c r="AJ60" i="20" s="1"/>
  <c r="AV26" i="18"/>
  <c r="AV53" i="18" s="1"/>
  <c r="AW26" i="19"/>
  <c r="AW53" i="19" s="1"/>
  <c r="AW36" i="13"/>
  <c r="AW63" i="13" s="1"/>
  <c r="AJ34" i="18"/>
  <c r="AJ61" i="18" s="1"/>
  <c r="AC53" i="11"/>
  <c r="AF44" i="19"/>
  <c r="AF71" i="19" s="1"/>
  <c r="AJ34" i="20"/>
  <c r="AJ61" i="20" s="1"/>
  <c r="AF24" i="13"/>
  <c r="AQ40" i="18"/>
  <c r="AQ67" i="18" s="1"/>
  <c r="AV27" i="20"/>
  <c r="AV54" i="20" s="1"/>
  <c r="AV39" i="13"/>
  <c r="AV66" i="13" s="1"/>
  <c r="AW39" i="18"/>
  <c r="AW66" i="18" s="1"/>
  <c r="AQ25" i="20"/>
  <c r="AQ52" i="20" s="1"/>
  <c r="AW44" i="18"/>
  <c r="AW71" i="18" s="1"/>
  <c r="AF34" i="19"/>
  <c r="AF61" i="19" s="1"/>
  <c r="AV35" i="20"/>
  <c r="AV62" i="20" s="1"/>
  <c r="AV27" i="18"/>
  <c r="AV54" i="18" s="1"/>
  <c r="AF40" i="13"/>
  <c r="AF67" i="13" s="1"/>
  <c r="AV32" i="13"/>
  <c r="AV59" i="13" s="1"/>
  <c r="AQ33" i="18"/>
  <c r="AQ60" i="18" s="1"/>
  <c r="AQ33" i="19"/>
  <c r="AQ60" i="19" s="1"/>
  <c r="AW28" i="13"/>
  <c r="AW55" i="13" s="1"/>
  <c r="AV30" i="13"/>
  <c r="AV57" i="13" s="1"/>
  <c r="AQ39" i="13"/>
  <c r="AQ66" i="13" s="1"/>
  <c r="AW41" i="18"/>
  <c r="AW68" i="18" s="1"/>
  <c r="Y52" i="11"/>
  <c r="AW31" i="18"/>
  <c r="AW58" i="18" s="1"/>
  <c r="AQ31" i="18"/>
  <c r="AQ58" i="18" s="1"/>
  <c r="AF30" i="13"/>
  <c r="AF57" i="13" s="1"/>
  <c r="AQ43" i="20"/>
  <c r="AQ70" i="20" s="1"/>
  <c r="AQ34" i="19"/>
  <c r="AQ61" i="19" s="1"/>
  <c r="AF34" i="20"/>
  <c r="AF61" i="20" s="1"/>
  <c r="AV32" i="19"/>
  <c r="AV59" i="19" s="1"/>
  <c r="AJ44" i="18"/>
  <c r="AJ71" i="18" s="1"/>
  <c r="AV33" i="20"/>
  <c r="AV60" i="20" s="1"/>
  <c r="AK30" i="20"/>
  <c r="AK57" i="20" s="1"/>
  <c r="AV34" i="19"/>
  <c r="AV61" i="19" s="1"/>
  <c r="AQ43" i="18"/>
  <c r="AQ70" i="18" s="1"/>
  <c r="AW28" i="20"/>
  <c r="AW55" i="20" s="1"/>
  <c r="AV38" i="20"/>
  <c r="AV65" i="20" s="1"/>
  <c r="AW30" i="13"/>
  <c r="AW57" i="13" s="1"/>
  <c r="AF31" i="20"/>
  <c r="AF58" i="20" s="1"/>
  <c r="AV29" i="19"/>
  <c r="AV56" i="19" s="1"/>
  <c r="V54" i="11"/>
  <c r="AB54" i="11"/>
  <c r="AV35" i="19"/>
  <c r="AV62" i="19" s="1"/>
  <c r="AV32" i="18"/>
  <c r="AV59" i="18" s="1"/>
  <c r="AW37" i="18"/>
  <c r="AW64" i="18" s="1"/>
  <c r="AF26" i="19"/>
  <c r="AF53" i="19" s="1"/>
  <c r="AQ40" i="20"/>
  <c r="AQ67" i="20" s="1"/>
  <c r="AJ41" i="18"/>
  <c r="AJ68" i="18" s="1"/>
  <c r="AK42" i="20"/>
  <c r="AK69" i="20" s="1"/>
  <c r="AJ36" i="18"/>
  <c r="AJ63" i="18" s="1"/>
  <c r="AJ41" i="19"/>
  <c r="AJ68" i="19" s="1"/>
  <c r="AF28" i="19"/>
  <c r="AF55" i="19" s="1"/>
  <c r="AQ37" i="18"/>
  <c r="AQ64" i="18" s="1"/>
  <c r="AW30" i="20"/>
  <c r="AW57" i="20" s="1"/>
  <c r="AK25" i="20"/>
  <c r="AK52" i="20" s="1"/>
  <c r="AQ37" i="13"/>
  <c r="AQ64" i="13" s="1"/>
  <c r="AQ24" i="13"/>
  <c r="AQ34" i="13"/>
  <c r="AQ61" i="13" s="1"/>
  <c r="AF25" i="20"/>
  <c r="AF52" i="20" s="1"/>
  <c r="AQ28" i="19"/>
  <c r="AQ55" i="19" s="1"/>
  <c r="AF33" i="18"/>
  <c r="AF60" i="18" s="1"/>
  <c r="AJ39" i="18"/>
  <c r="AJ66" i="18" s="1"/>
  <c r="AB55" i="11"/>
  <c r="AF24" i="19"/>
  <c r="AV31" i="20"/>
  <c r="AV58" i="20" s="1"/>
  <c r="AW26" i="13"/>
  <c r="AW53" i="13" s="1"/>
  <c r="AF37" i="19"/>
  <c r="AF64" i="19" s="1"/>
  <c r="AF38" i="19"/>
  <c r="AF65" i="19" s="1"/>
  <c r="AJ33" i="13"/>
  <c r="AJ60" i="13" s="1"/>
  <c r="AQ24" i="20"/>
  <c r="AW36" i="19"/>
  <c r="AW63" i="19" s="1"/>
  <c r="AC52" i="11"/>
  <c r="AQ29" i="20"/>
  <c r="AQ56" i="20" s="1"/>
  <c r="AF32" i="20"/>
  <c r="AF59" i="20" s="1"/>
  <c r="AK25" i="18"/>
  <c r="AK52" i="18" s="1"/>
  <c r="AV30" i="19"/>
  <c r="AV57" i="19" s="1"/>
  <c r="AV33" i="19"/>
  <c r="AV60" i="19" s="1"/>
  <c r="AA52" i="11"/>
  <c r="AW32" i="20"/>
  <c r="AW59" i="20" s="1"/>
  <c r="AJ38" i="19"/>
  <c r="AJ65" i="19" s="1"/>
  <c r="AF32" i="18"/>
  <c r="AF59" i="18" s="1"/>
  <c r="AW38" i="19"/>
  <c r="AW65" i="19" s="1"/>
  <c r="AQ27" i="18"/>
  <c r="AQ54" i="18" s="1"/>
  <c r="AV41" i="20"/>
  <c r="AV68" i="20" s="1"/>
  <c r="AW32" i="13"/>
  <c r="AW59" i="13" s="1"/>
  <c r="AF44" i="13"/>
  <c r="AF71" i="13" s="1"/>
  <c r="W54" i="11"/>
  <c r="AV38" i="19"/>
  <c r="AV65" i="19" s="1"/>
  <c r="AQ42" i="13"/>
  <c r="AQ69" i="13" s="1"/>
  <c r="AF33" i="20"/>
  <c r="AF60" i="20" s="1"/>
  <c r="AF39" i="13"/>
  <c r="AF66" i="13" s="1"/>
  <c r="AF35" i="13"/>
  <c r="AF62" i="13" s="1"/>
  <c r="AQ30" i="19"/>
  <c r="AQ57" i="19" s="1"/>
  <c r="AF37" i="18"/>
  <c r="AF64" i="18" s="1"/>
  <c r="T54" i="11"/>
  <c r="AK27" i="20"/>
  <c r="AK54" i="20" s="1"/>
  <c r="AJ31" i="18"/>
  <c r="AJ58" i="18" s="1"/>
  <c r="AJ44" i="19"/>
  <c r="AJ71" i="19" s="1"/>
  <c r="AA53" i="11"/>
  <c r="AJ43" i="19"/>
  <c r="AJ70" i="19" s="1"/>
  <c r="AK29" i="20"/>
  <c r="AK56" i="20" s="1"/>
  <c r="AF41" i="20"/>
  <c r="AF68" i="20" s="1"/>
  <c r="AQ24" i="19"/>
  <c r="AJ27" i="18"/>
  <c r="AJ54" i="18" s="1"/>
  <c r="AJ43" i="13"/>
  <c r="AJ70" i="13" s="1"/>
  <c r="AW35" i="19"/>
  <c r="AW62" i="19" s="1"/>
  <c r="AK28" i="20"/>
  <c r="AK55" i="20" s="1"/>
  <c r="AQ26" i="20"/>
  <c r="AQ53" i="20" s="1"/>
  <c r="AF26" i="13"/>
  <c r="AF53" i="13" s="1"/>
  <c r="AM35" i="20"/>
  <c r="AM62" i="20" s="1"/>
  <c r="BA42" i="19"/>
  <c r="BA69" i="19" s="1"/>
  <c r="AO36" i="19"/>
  <c r="AO63" i="19" s="1"/>
  <c r="AM41" i="20"/>
  <c r="AM68" i="20" s="1"/>
  <c r="BA41" i="19"/>
  <c r="BA68" i="19" s="1"/>
  <c r="AG39" i="13"/>
  <c r="AG66" i="13" s="1"/>
  <c r="AG42" i="13"/>
  <c r="AG69" i="13" s="1"/>
  <c r="AP28" i="20"/>
  <c r="AP55" i="20" s="1"/>
  <c r="BA24" i="19"/>
  <c r="AM43" i="20"/>
  <c r="AM70" i="20" s="1"/>
  <c r="BA37" i="19"/>
  <c r="BA64" i="19" s="1"/>
  <c r="AP29" i="19"/>
  <c r="AP56" i="19" s="1"/>
  <c r="BB29" i="19"/>
  <c r="BB56" i="19" s="1"/>
  <c r="BA32" i="19"/>
  <c r="BA59" i="19" s="1"/>
  <c r="AO28" i="19"/>
  <c r="AO55" i="19" s="1"/>
  <c r="AM36" i="20"/>
  <c r="AM63" i="20" s="1"/>
  <c r="AP37" i="19"/>
  <c r="AP64" i="19" s="1"/>
  <c r="BA30" i="19"/>
  <c r="BA57" i="19" s="1"/>
  <c r="AP43" i="19"/>
  <c r="AP70" i="19" s="1"/>
  <c r="AO26" i="19"/>
  <c r="AO53" i="19" s="1"/>
  <c r="AM30" i="20"/>
  <c r="AM57" i="20" s="1"/>
  <c r="AO29" i="19"/>
  <c r="AO56" i="19" s="1"/>
  <c r="AP28" i="19"/>
  <c r="AP55" i="19" s="1"/>
  <c r="AP26" i="19"/>
  <c r="AP53" i="19" s="1"/>
  <c r="AM34" i="20"/>
  <c r="AM61" i="20" s="1"/>
  <c r="AO39" i="19"/>
  <c r="AO66" i="19" s="1"/>
  <c r="AP44" i="19"/>
  <c r="AP71" i="19" s="1"/>
  <c r="AG32" i="19"/>
  <c r="AG59" i="19" s="1"/>
  <c r="BA29" i="19"/>
  <c r="BA56" i="19" s="1"/>
  <c r="AO33" i="19"/>
  <c r="AO60" i="19" s="1"/>
  <c r="V58" i="11"/>
  <c r="T57" i="11"/>
  <c r="BB26" i="19"/>
  <c r="BB53" i="19" s="1"/>
  <c r="BB27" i="19"/>
  <c r="BB54" i="19" s="1"/>
  <c r="AM40" i="20"/>
  <c r="AM67" i="20" s="1"/>
  <c r="BB44" i="19"/>
  <c r="BB71" i="19" s="1"/>
  <c r="AG26" i="18"/>
  <c r="AG53" i="18" s="1"/>
  <c r="AP24" i="19"/>
  <c r="AG31" i="19"/>
  <c r="AG58" i="19" s="1"/>
  <c r="AP32" i="19"/>
  <c r="AP59" i="19" s="1"/>
  <c r="BA31" i="19"/>
  <c r="BA58" i="19" s="1"/>
  <c r="AG29" i="13"/>
  <c r="AG56" i="13" s="1"/>
  <c r="AO37" i="19"/>
  <c r="AO64" i="19" s="1"/>
  <c r="AO31" i="19"/>
  <c r="AO58" i="19" s="1"/>
  <c r="AM34" i="18"/>
  <c r="AM61" i="18" s="1"/>
  <c r="AP30" i="19"/>
  <c r="AP57" i="19" s="1"/>
  <c r="AO25" i="19"/>
  <c r="AO52" i="19" s="1"/>
  <c r="BB32" i="19"/>
  <c r="BB59" i="19" s="1"/>
  <c r="AM24" i="20"/>
  <c r="AO34" i="19"/>
  <c r="AO61" i="19" s="1"/>
  <c r="BA28" i="19"/>
  <c r="BA55" i="19" s="1"/>
  <c r="AG27" i="13"/>
  <c r="AG54" i="13" s="1"/>
  <c r="AM38" i="20"/>
  <c r="AM65" i="20" s="1"/>
  <c r="BB24" i="19"/>
  <c r="AP36" i="19"/>
  <c r="AP63" i="19" s="1"/>
  <c r="BB30" i="19"/>
  <c r="BB57" i="19" s="1"/>
  <c r="AM31" i="20"/>
  <c r="AM58" i="20" s="1"/>
  <c r="AG35" i="19"/>
  <c r="AG62" i="19" s="1"/>
  <c r="BA40" i="19"/>
  <c r="BA67" i="19" s="1"/>
  <c r="AP40" i="19"/>
  <c r="AP67" i="19" s="1"/>
  <c r="BA39" i="19"/>
  <c r="BA66" i="19" s="1"/>
  <c r="AO38" i="19"/>
  <c r="AO65" i="19" s="1"/>
  <c r="N41" i="4"/>
  <c r="AP25" i="19"/>
  <c r="AP52" i="19" s="1"/>
  <c r="BB31" i="19"/>
  <c r="BB58" i="19" s="1"/>
  <c r="AP27" i="19"/>
  <c r="AP54" i="19" s="1"/>
  <c r="AO24" i="13"/>
  <c r="AP41" i="19"/>
  <c r="AP68" i="19" s="1"/>
  <c r="BB41" i="19"/>
  <c r="BB68" i="19" s="1"/>
  <c r="BB25" i="19"/>
  <c r="BB52" i="19" s="1"/>
  <c r="AP42" i="19"/>
  <c r="AP69" i="19" s="1"/>
  <c r="BA43" i="19"/>
  <c r="BA70" i="19" s="1"/>
  <c r="BB38" i="19"/>
  <c r="BB65" i="19" s="1"/>
  <c r="AM25" i="20"/>
  <c r="AM52" i="20" s="1"/>
  <c r="BB35" i="19"/>
  <c r="BB62" i="19" s="1"/>
  <c r="AP39" i="19"/>
  <c r="AP66" i="19" s="1"/>
  <c r="AG24" i="18"/>
  <c r="BA36" i="19"/>
  <c r="BA63" i="19" s="1"/>
  <c r="AO43" i="19"/>
  <c r="AO70" i="19" s="1"/>
  <c r="AP31" i="19"/>
  <c r="AP58" i="19" s="1"/>
  <c r="AO44" i="19"/>
  <c r="AO71" i="19" s="1"/>
  <c r="AM27" i="20"/>
  <c r="AM54" i="20" s="1"/>
  <c r="AG38" i="19"/>
  <c r="AG65" i="19" s="1"/>
  <c r="AO42" i="19"/>
  <c r="AO69" i="19" s="1"/>
  <c r="AM29" i="20"/>
  <c r="AM56" i="20" s="1"/>
  <c r="AO35" i="19"/>
  <c r="AO62" i="19" s="1"/>
  <c r="AO30" i="19"/>
  <c r="AO57" i="19" s="1"/>
  <c r="BB33" i="19"/>
  <c r="BB60" i="19" s="1"/>
  <c r="AM42" i="20"/>
  <c r="AM69" i="20" s="1"/>
  <c r="AM28" i="20"/>
  <c r="AM55" i="20" s="1"/>
  <c r="BB36" i="19"/>
  <c r="BB63" i="19" s="1"/>
  <c r="AG37" i="19"/>
  <c r="AG64" i="19" s="1"/>
  <c r="BA27" i="19"/>
  <c r="BA54" i="19" s="1"/>
  <c r="BB39" i="19"/>
  <c r="BB66" i="19" s="1"/>
  <c r="AM39" i="20"/>
  <c r="AM66" i="20" s="1"/>
  <c r="AM37" i="20"/>
  <c r="AM64" i="20" s="1"/>
  <c r="AP33" i="19"/>
  <c r="AP60" i="19" s="1"/>
  <c r="AP38" i="19"/>
  <c r="AP65" i="19" s="1"/>
  <c r="AP35" i="19"/>
  <c r="AP62" i="19" s="1"/>
  <c r="BA38" i="19"/>
  <c r="BA65" i="19" s="1"/>
  <c r="BB40" i="19"/>
  <c r="BB67" i="19" s="1"/>
  <c r="AO24" i="19"/>
  <c r="AM24" i="13"/>
  <c r="BB42" i="19"/>
  <c r="BB69" i="19" s="1"/>
  <c r="AO40" i="19"/>
  <c r="AO67" i="19" s="1"/>
  <c r="BA44" i="19"/>
  <c r="BA71" i="19" s="1"/>
  <c r="AM26" i="20"/>
  <c r="AM53" i="20" s="1"/>
  <c r="BA26" i="19"/>
  <c r="BA53" i="19" s="1"/>
  <c r="AM29" i="19"/>
  <c r="AM56" i="19" s="1"/>
  <c r="BB43" i="19"/>
  <c r="BB70" i="19" s="1"/>
  <c r="AM33" i="20"/>
  <c r="AM60" i="20" s="1"/>
  <c r="BB37" i="19"/>
  <c r="BB64" i="19" s="1"/>
  <c r="BA33" i="19"/>
  <c r="BA60" i="19" s="1"/>
  <c r="AP34" i="19"/>
  <c r="AP61" i="19" s="1"/>
  <c r="AO41" i="19"/>
  <c r="AO68" i="19" s="1"/>
  <c r="AM32" i="20"/>
  <c r="AM59" i="20" s="1"/>
  <c r="BB34" i="19"/>
  <c r="BB61" i="19" s="1"/>
  <c r="BA35" i="19"/>
  <c r="BA62" i="19" s="1"/>
  <c r="N42" i="4"/>
  <c r="BB28" i="19"/>
  <c r="BB55" i="19" s="1"/>
  <c r="BA25" i="19"/>
  <c r="BA52" i="19" s="1"/>
  <c r="AO27" i="19"/>
  <c r="AO54" i="19" s="1"/>
  <c r="AG33" i="18"/>
  <c r="AG60" i="18" s="1"/>
  <c r="AG30" i="20"/>
  <c r="AG57" i="20" s="1"/>
  <c r="AM44" i="20"/>
  <c r="AM71" i="20" s="1"/>
  <c r="AO32" i="19"/>
  <c r="AO59" i="19" s="1"/>
  <c r="AG44" i="18"/>
  <c r="AG71" i="18" s="1"/>
  <c r="BA35" i="18"/>
  <c r="BA62" i="18" s="1"/>
  <c r="AO44" i="20"/>
  <c r="AO71" i="20" s="1"/>
  <c r="AG36" i="19"/>
  <c r="AG63" i="19" s="1"/>
  <c r="AS27" i="20"/>
  <c r="AS54" i="20" s="1"/>
  <c r="AY40" i="19"/>
  <c r="AY67" i="19" s="1"/>
  <c r="AS33" i="19"/>
  <c r="AS60" i="19" s="1"/>
  <c r="AY32" i="13"/>
  <c r="AY59" i="13" s="1"/>
  <c r="AS26" i="19"/>
  <c r="AS53" i="19" s="1"/>
  <c r="AM42" i="13"/>
  <c r="AM69" i="13" s="1"/>
  <c r="BA41" i="20"/>
  <c r="BA68" i="20" s="1"/>
  <c r="BB32" i="20"/>
  <c r="BB59" i="20" s="1"/>
  <c r="AG39" i="20"/>
  <c r="AG66" i="20" s="1"/>
  <c r="AP42" i="13"/>
  <c r="AP69" i="13" s="1"/>
  <c r="AG26" i="19"/>
  <c r="AG53" i="19" s="1"/>
  <c r="AH33" i="20"/>
  <c r="AH60" i="20" s="1"/>
  <c r="AG42" i="18"/>
  <c r="AG69" i="18" s="1"/>
  <c r="AO36" i="13"/>
  <c r="AO63" i="13" s="1"/>
  <c r="BB39" i="18"/>
  <c r="BB66" i="18" s="1"/>
  <c r="AY34" i="13"/>
  <c r="AY61" i="13" s="1"/>
  <c r="BB28" i="18"/>
  <c r="BB55" i="18" s="1"/>
  <c r="BB35" i="20"/>
  <c r="BB62" i="20" s="1"/>
  <c r="AG29" i="18"/>
  <c r="AG56" i="18" s="1"/>
  <c r="BB27" i="20"/>
  <c r="BB54" i="20" s="1"/>
  <c r="AG27" i="19"/>
  <c r="AG54" i="19" s="1"/>
  <c r="AY24" i="18"/>
  <c r="BB41" i="20"/>
  <c r="BB68" i="20" s="1"/>
  <c r="AP41" i="18"/>
  <c r="AP68" i="18" s="1"/>
  <c r="AP33" i="20"/>
  <c r="AP60" i="20" s="1"/>
  <c r="AG44" i="20"/>
  <c r="AG71" i="20" s="1"/>
  <c r="AN27" i="18"/>
  <c r="AN54" i="18" s="1"/>
  <c r="AH29" i="18"/>
  <c r="AH56" i="18" s="1"/>
  <c r="AP24" i="18"/>
  <c r="AN24" i="20"/>
  <c r="AG38" i="20"/>
  <c r="AG65" i="20" s="1"/>
  <c r="BB29" i="13"/>
  <c r="BB56" i="13" s="1"/>
  <c r="AG24" i="13"/>
  <c r="BA38" i="18"/>
  <c r="BA65" i="18" s="1"/>
  <c r="AY26" i="13"/>
  <c r="AY53" i="13" s="1"/>
  <c r="AO39" i="18"/>
  <c r="AO66" i="18" s="1"/>
  <c r="AY35" i="18"/>
  <c r="AY62" i="18" s="1"/>
  <c r="AS30" i="20"/>
  <c r="AS57" i="20" s="1"/>
  <c r="AY25" i="18"/>
  <c r="AY52" i="18" s="1"/>
  <c r="AM24" i="18"/>
  <c r="AY24" i="13"/>
  <c r="U57" i="11"/>
  <c r="AM28" i="19"/>
  <c r="AM55" i="19" s="1"/>
  <c r="AM26" i="13"/>
  <c r="AM53" i="13" s="1"/>
  <c r="AY26" i="19"/>
  <c r="AY53" i="19" s="1"/>
  <c r="AG30" i="13"/>
  <c r="AG57" i="13" s="1"/>
  <c r="AY38" i="20"/>
  <c r="AY65" i="20" s="1"/>
  <c r="AN30" i="18"/>
  <c r="AN57" i="18" s="1"/>
  <c r="BB44" i="13"/>
  <c r="BB71" i="13" s="1"/>
  <c r="AP41" i="13"/>
  <c r="AP68" i="13" s="1"/>
  <c r="AD58" i="11"/>
  <c r="AM26" i="18"/>
  <c r="AM53" i="18" s="1"/>
  <c r="X57" i="11"/>
  <c r="AP39" i="20"/>
  <c r="AP66" i="20" s="1"/>
  <c r="AM41" i="18"/>
  <c r="AM68" i="18" s="1"/>
  <c r="AM38" i="13"/>
  <c r="AM65" i="13" s="1"/>
  <c r="AD57" i="11"/>
  <c r="AN31" i="19"/>
  <c r="AN58" i="19" s="1"/>
  <c r="BA26" i="20"/>
  <c r="BA53" i="20" s="1"/>
  <c r="AO28" i="18"/>
  <c r="AO55" i="18" s="1"/>
  <c r="AN38" i="18"/>
  <c r="AN65" i="18" s="1"/>
  <c r="AM43" i="19"/>
  <c r="AM70" i="19" s="1"/>
  <c r="AO24" i="18"/>
  <c r="AM29" i="18"/>
  <c r="AM56" i="18" s="1"/>
  <c r="AS26" i="18"/>
  <c r="AS53" i="18" s="1"/>
  <c r="AP32" i="20"/>
  <c r="AP59" i="20" s="1"/>
  <c r="AG26" i="20"/>
  <c r="AG53" i="20" s="1"/>
  <c r="BA33" i="20"/>
  <c r="BA60" i="20" s="1"/>
  <c r="AP38" i="18"/>
  <c r="AP65" i="18" s="1"/>
  <c r="AO44" i="18"/>
  <c r="AO71" i="18" s="1"/>
  <c r="AG27" i="20"/>
  <c r="AG54" i="20" s="1"/>
  <c r="AP36" i="13"/>
  <c r="AP63" i="13" s="1"/>
  <c r="AO38" i="20"/>
  <c r="AO65" i="20" s="1"/>
  <c r="AO24" i="20"/>
  <c r="AM42" i="18"/>
  <c r="AM69" i="18" s="1"/>
  <c r="AY32" i="18"/>
  <c r="AY59" i="18" s="1"/>
  <c r="AG31" i="13"/>
  <c r="AG58" i="13" s="1"/>
  <c r="AM30" i="18"/>
  <c r="AM57" i="18" s="1"/>
  <c r="AM42" i="19"/>
  <c r="AM69" i="19" s="1"/>
  <c r="AO43" i="13"/>
  <c r="AO70" i="13" s="1"/>
  <c r="AS31" i="20"/>
  <c r="AS58" i="20" s="1"/>
  <c r="AG37" i="20"/>
  <c r="AG64" i="20" s="1"/>
  <c r="AP24" i="20"/>
  <c r="AO40" i="18"/>
  <c r="AO67" i="18" s="1"/>
  <c r="BB41" i="13"/>
  <c r="BB68" i="13" s="1"/>
  <c r="AG39" i="18"/>
  <c r="AG66" i="18" s="1"/>
  <c r="BA24" i="20"/>
  <c r="AP44" i="20"/>
  <c r="AP71" i="20" s="1"/>
  <c r="AY35" i="19"/>
  <c r="AY62" i="19" s="1"/>
  <c r="BA44" i="13"/>
  <c r="BA71" i="13" s="1"/>
  <c r="AG29" i="20"/>
  <c r="AG56" i="20" s="1"/>
  <c r="AP24" i="13"/>
  <c r="T58" i="11"/>
  <c r="BB28" i="13"/>
  <c r="BB55" i="13" s="1"/>
  <c r="AM33" i="18"/>
  <c r="AM60" i="18" s="1"/>
  <c r="BA27" i="20"/>
  <c r="BA54" i="20" s="1"/>
  <c r="BB26" i="18"/>
  <c r="BB53" i="18" s="1"/>
  <c r="BA42" i="20"/>
  <c r="BA69" i="20" s="1"/>
  <c r="BA36" i="18"/>
  <c r="BA63" i="18" s="1"/>
  <c r="AS39" i="19"/>
  <c r="AS66" i="19" s="1"/>
  <c r="BA34" i="18"/>
  <c r="BA61" i="18" s="1"/>
  <c r="BB26" i="13"/>
  <c r="BB53" i="13" s="1"/>
  <c r="AY41" i="20"/>
  <c r="AY68" i="20" s="1"/>
  <c r="AS26" i="20"/>
  <c r="AS53" i="20" s="1"/>
  <c r="AG33" i="19"/>
  <c r="AG60" i="19" s="1"/>
  <c r="AP41" i="20"/>
  <c r="AP68" i="20" s="1"/>
  <c r="AG28" i="13"/>
  <c r="AG55" i="13" s="1"/>
  <c r="BB29" i="20"/>
  <c r="BB56" i="20" s="1"/>
  <c r="AG33" i="20"/>
  <c r="AG60" i="20" s="1"/>
  <c r="BB27" i="13"/>
  <c r="BB54" i="13" s="1"/>
  <c r="AY43" i="20"/>
  <c r="AY70" i="20" s="1"/>
  <c r="AY42" i="18"/>
  <c r="AY69" i="18" s="1"/>
  <c r="AY30" i="20"/>
  <c r="AY57" i="20" s="1"/>
  <c r="AY28" i="13"/>
  <c r="AY55" i="13" s="1"/>
  <c r="AM32" i="19"/>
  <c r="AM59" i="19" s="1"/>
  <c r="AM39" i="19"/>
  <c r="AM66" i="19" s="1"/>
  <c r="BB42" i="20"/>
  <c r="BB69" i="20" s="1"/>
  <c r="AG38" i="13"/>
  <c r="AG65" i="13" s="1"/>
  <c r="AY27" i="19"/>
  <c r="AY54" i="19" s="1"/>
  <c r="AN37" i="18"/>
  <c r="AN64" i="18" s="1"/>
  <c r="AP43" i="13"/>
  <c r="AP70" i="13" s="1"/>
  <c r="AO40" i="13"/>
  <c r="AO67" i="13" s="1"/>
  <c r="AP31" i="20"/>
  <c r="AP58" i="20" s="1"/>
  <c r="AH26" i="19"/>
  <c r="AH53" i="19" s="1"/>
  <c r="BB25" i="18"/>
  <c r="BB52" i="18" s="1"/>
  <c r="AN41" i="19"/>
  <c r="AN68" i="19" s="1"/>
  <c r="BA37" i="13"/>
  <c r="BA64" i="13" s="1"/>
  <c r="BA37" i="20"/>
  <c r="BA64" i="20" s="1"/>
  <c r="AN36" i="19"/>
  <c r="AN63" i="19" s="1"/>
  <c r="BA42" i="18"/>
  <c r="BA69" i="18" s="1"/>
  <c r="BA24" i="18"/>
  <c r="AO32" i="20"/>
  <c r="AO59" i="20" s="1"/>
  <c r="AN24" i="18"/>
  <c r="AG34" i="19"/>
  <c r="AG61" i="19" s="1"/>
  <c r="AM26" i="19"/>
  <c r="AM53" i="19" s="1"/>
  <c r="AS38" i="13"/>
  <c r="AS65" i="13" s="1"/>
  <c r="AS33" i="13"/>
  <c r="AS60" i="13" s="1"/>
  <c r="AO33" i="20"/>
  <c r="AO60" i="20" s="1"/>
  <c r="AP33" i="18"/>
  <c r="AP60" i="18" s="1"/>
  <c r="BA27" i="18"/>
  <c r="BA54" i="18" s="1"/>
  <c r="BB27" i="18"/>
  <c r="BB54" i="18" s="1"/>
  <c r="BB36" i="13"/>
  <c r="BB63" i="13" s="1"/>
  <c r="AY29" i="19"/>
  <c r="AY56" i="19" s="1"/>
  <c r="AG35" i="18"/>
  <c r="AG62" i="18" s="1"/>
  <c r="AP27" i="18"/>
  <c r="AP54" i="18" s="1"/>
  <c r="AG43" i="20"/>
  <c r="AG70" i="20" s="1"/>
  <c r="AP40" i="18"/>
  <c r="AP67" i="18" s="1"/>
  <c r="AO43" i="18"/>
  <c r="AO70" i="18" s="1"/>
  <c r="AM41" i="13"/>
  <c r="AM68" i="13" s="1"/>
  <c r="AM33" i="19"/>
  <c r="AM60" i="19" s="1"/>
  <c r="AY43" i="13"/>
  <c r="AY70" i="13" s="1"/>
  <c r="AP35" i="20"/>
  <c r="AP62" i="20" s="1"/>
  <c r="AO39" i="13"/>
  <c r="AO66" i="13" s="1"/>
  <c r="AN27" i="19"/>
  <c r="AN54" i="19" s="1"/>
  <c r="AO29" i="18"/>
  <c r="AO56" i="18" s="1"/>
  <c r="AO27" i="18"/>
  <c r="AO54" i="18" s="1"/>
  <c r="AO38" i="18"/>
  <c r="AO65" i="18" s="1"/>
  <c r="AO44" i="13"/>
  <c r="AO71" i="13" s="1"/>
  <c r="AG35" i="20"/>
  <c r="AG62" i="20" s="1"/>
  <c r="BA30" i="20"/>
  <c r="BA57" i="20" s="1"/>
  <c r="AY33" i="20"/>
  <c r="AY60" i="20" s="1"/>
  <c r="AP26" i="20"/>
  <c r="AP53" i="20" s="1"/>
  <c r="AP35" i="18"/>
  <c r="AP62" i="18" s="1"/>
  <c r="AM44" i="18"/>
  <c r="AM71" i="18" s="1"/>
  <c r="BA36" i="13"/>
  <c r="BA63" i="13" s="1"/>
  <c r="AM24" i="19"/>
  <c r="AG41" i="19"/>
  <c r="AG68" i="19" s="1"/>
  <c r="AO30" i="18"/>
  <c r="AO57" i="18" s="1"/>
  <c r="AN43" i="19"/>
  <c r="AN70" i="19" s="1"/>
  <c r="BA37" i="18"/>
  <c r="BA64" i="18" s="1"/>
  <c r="BA39" i="20"/>
  <c r="BA66" i="20" s="1"/>
  <c r="AO34" i="13"/>
  <c r="AO61" i="13" s="1"/>
  <c r="AS32" i="20"/>
  <c r="AS59" i="20" s="1"/>
  <c r="AS30" i="19"/>
  <c r="AS57" i="19" s="1"/>
  <c r="AM43" i="18"/>
  <c r="AM70" i="18" s="1"/>
  <c r="AP43" i="18"/>
  <c r="AP70" i="18" s="1"/>
  <c r="AG41" i="18"/>
  <c r="AG68" i="18" s="1"/>
  <c r="K42" i="4"/>
  <c r="AN30" i="19"/>
  <c r="AN57" i="19" s="1"/>
  <c r="AY34" i="20"/>
  <c r="AY61" i="20" s="1"/>
  <c r="BB31" i="18"/>
  <c r="BB58" i="18" s="1"/>
  <c r="AM28" i="13"/>
  <c r="AM55" i="13" s="1"/>
  <c r="AM33" i="13"/>
  <c r="AM60" i="13" s="1"/>
  <c r="AM41" i="19"/>
  <c r="AM68" i="19" s="1"/>
  <c r="AY36" i="13"/>
  <c r="AY63" i="13" s="1"/>
  <c r="AM28" i="18"/>
  <c r="AM55" i="18" s="1"/>
  <c r="AP39" i="18"/>
  <c r="AP66" i="18" s="1"/>
  <c r="BB44" i="20"/>
  <c r="BB71" i="20" s="1"/>
  <c r="AG44" i="19"/>
  <c r="AG71" i="19" s="1"/>
  <c r="BA44" i="20"/>
  <c r="BA71" i="20" s="1"/>
  <c r="AG35" i="13"/>
  <c r="AG62" i="13" s="1"/>
  <c r="AP29" i="20"/>
  <c r="AP56" i="20" s="1"/>
  <c r="AP30" i="18"/>
  <c r="AP57" i="18" s="1"/>
  <c r="AN44" i="18"/>
  <c r="AN71" i="18" s="1"/>
  <c r="AY30" i="13"/>
  <c r="AY57" i="13" s="1"/>
  <c r="AN36" i="18"/>
  <c r="AN63" i="18" s="1"/>
  <c r="AY37" i="13"/>
  <c r="AY64" i="13" s="1"/>
  <c r="BB34" i="20"/>
  <c r="BB61" i="20" s="1"/>
  <c r="AY44" i="20"/>
  <c r="AY71" i="20" s="1"/>
  <c r="BB36" i="20"/>
  <c r="BB63" i="20" s="1"/>
  <c r="AS34" i="19"/>
  <c r="AS61" i="19" s="1"/>
  <c r="BA43" i="20"/>
  <c r="BA70" i="20" s="1"/>
  <c r="AP34" i="13"/>
  <c r="AP61" i="13" s="1"/>
  <c r="X58" i="11"/>
  <c r="AY40" i="18"/>
  <c r="AY67" i="18" s="1"/>
  <c r="AO34" i="18"/>
  <c r="AO61" i="18" s="1"/>
  <c r="BB24" i="20"/>
  <c r="AS37" i="13"/>
  <c r="AS64" i="13" s="1"/>
  <c r="AO25" i="20"/>
  <c r="AO52" i="20" s="1"/>
  <c r="AY40" i="13"/>
  <c r="AY67" i="13" s="1"/>
  <c r="AO27" i="13"/>
  <c r="AO54" i="13" s="1"/>
  <c r="AP37" i="13"/>
  <c r="AP64" i="13" s="1"/>
  <c r="AP28" i="18"/>
  <c r="AP55" i="18" s="1"/>
  <c r="AP34" i="18"/>
  <c r="AP61" i="18" s="1"/>
  <c r="AO36" i="18"/>
  <c r="AO63" i="18" s="1"/>
  <c r="BB40" i="18"/>
  <c r="BB67" i="18" s="1"/>
  <c r="AP27" i="20"/>
  <c r="AP54" i="20" s="1"/>
  <c r="AY43" i="18"/>
  <c r="AY70" i="18" s="1"/>
  <c r="AO41" i="18"/>
  <c r="AO68" i="18" s="1"/>
  <c r="AN31" i="18"/>
  <c r="AN58" i="18" s="1"/>
  <c r="AM31" i="18"/>
  <c r="AM58" i="18" s="1"/>
  <c r="AP30" i="13"/>
  <c r="AP57" i="13" s="1"/>
  <c r="AB58" i="11"/>
  <c r="AM27" i="19"/>
  <c r="AM54" i="19" s="1"/>
  <c r="AG25" i="20"/>
  <c r="AG52" i="20" s="1"/>
  <c r="AG40" i="19"/>
  <c r="AG67" i="19" s="1"/>
  <c r="AP27" i="13"/>
  <c r="AP54" i="13" s="1"/>
  <c r="AY28" i="19"/>
  <c r="AY55" i="19" s="1"/>
  <c r="BA35" i="20"/>
  <c r="BA62" i="20" s="1"/>
  <c r="BB44" i="18"/>
  <c r="BB71" i="18" s="1"/>
  <c r="AS33" i="20"/>
  <c r="AS60" i="20" s="1"/>
  <c r="AP36" i="18"/>
  <c r="AP63" i="18" s="1"/>
  <c r="AN43" i="18"/>
  <c r="AN70" i="18" s="1"/>
  <c r="AS35" i="19"/>
  <c r="AS62" i="19" s="1"/>
  <c r="AM40" i="19"/>
  <c r="AM67" i="19" s="1"/>
  <c r="AM35" i="13"/>
  <c r="AM62" i="13" s="1"/>
  <c r="BA26" i="18"/>
  <c r="BA53" i="18" s="1"/>
  <c r="AN42" i="19"/>
  <c r="AN69" i="19" s="1"/>
  <c r="AN37" i="19"/>
  <c r="AN64" i="19" s="1"/>
  <c r="BA25" i="18"/>
  <c r="BA52" i="18" s="1"/>
  <c r="AS44" i="19"/>
  <c r="AS71" i="19" s="1"/>
  <c r="AN32" i="18"/>
  <c r="AN59" i="18" s="1"/>
  <c r="AN39" i="19"/>
  <c r="AN66" i="19" s="1"/>
  <c r="AO37" i="18"/>
  <c r="AO64" i="18" s="1"/>
  <c r="BA41" i="18"/>
  <c r="BA68" i="18" s="1"/>
  <c r="AG42" i="19"/>
  <c r="AG69" i="19" s="1"/>
  <c r="AY30" i="19"/>
  <c r="AY57" i="19" s="1"/>
  <c r="AO33" i="13"/>
  <c r="AO60" i="13" s="1"/>
  <c r="BB38" i="18"/>
  <c r="BB65" i="18" s="1"/>
  <c r="AY40" i="20"/>
  <c r="AY67" i="20" s="1"/>
  <c r="V57" i="11"/>
  <c r="BB38" i="13"/>
  <c r="BB65" i="13" s="1"/>
  <c r="AG33" i="13"/>
  <c r="AG60" i="13" s="1"/>
  <c r="AY38" i="18"/>
  <c r="AY65" i="18" s="1"/>
  <c r="AG24" i="19"/>
  <c r="AS29" i="19"/>
  <c r="AS56" i="19" s="1"/>
  <c r="BB30" i="18"/>
  <c r="BB57" i="18" s="1"/>
  <c r="AG43" i="13"/>
  <c r="AG70" i="13" s="1"/>
  <c r="AG36" i="18"/>
  <c r="AG63" i="18" s="1"/>
  <c r="BA38" i="20"/>
  <c r="BA65" i="20" s="1"/>
  <c r="BB33" i="20"/>
  <c r="BB60" i="20" s="1"/>
  <c r="BA29" i="20"/>
  <c r="BA56" i="20" s="1"/>
  <c r="AG32" i="18"/>
  <c r="AG59" i="18" s="1"/>
  <c r="AP26" i="13"/>
  <c r="AP53" i="13" s="1"/>
  <c r="BB35" i="13"/>
  <c r="BB62" i="13" s="1"/>
  <c r="AP39" i="13"/>
  <c r="AP66" i="13" s="1"/>
  <c r="AP35" i="13"/>
  <c r="AP62" i="13" s="1"/>
  <c r="AM38" i="19"/>
  <c r="AM65" i="19" s="1"/>
  <c r="W58" i="11"/>
  <c r="AO37" i="20"/>
  <c r="AO64" i="20" s="1"/>
  <c r="BA30" i="13"/>
  <c r="BA57" i="13" s="1"/>
  <c r="AS31" i="19"/>
  <c r="AS58" i="19" s="1"/>
  <c r="AG39" i="19"/>
  <c r="AG66" i="19" s="1"/>
  <c r="AG43" i="19"/>
  <c r="AG70" i="19" s="1"/>
  <c r="AY44" i="18"/>
  <c r="AY71" i="18" s="1"/>
  <c r="AY37" i="20"/>
  <c r="AY64" i="20" s="1"/>
  <c r="AP25" i="20"/>
  <c r="AP52" i="20" s="1"/>
  <c r="AG41" i="13"/>
  <c r="AG68" i="13" s="1"/>
  <c r="AP29" i="13"/>
  <c r="AP56" i="13" s="1"/>
  <c r="AY36" i="18"/>
  <c r="AY63" i="18" s="1"/>
  <c r="AO30" i="20"/>
  <c r="AO57" i="20" s="1"/>
  <c r="AG28" i="18"/>
  <c r="AG55" i="18" s="1"/>
  <c r="AY41" i="13"/>
  <c r="AY68" i="13" s="1"/>
  <c r="AP42" i="18"/>
  <c r="AP69" i="18" s="1"/>
  <c r="AM35" i="18"/>
  <c r="AM62" i="18" s="1"/>
  <c r="AG40" i="20"/>
  <c r="AG67" i="20" s="1"/>
  <c r="AM34" i="19"/>
  <c r="AM61" i="19" s="1"/>
  <c r="AY33" i="19"/>
  <c r="AY60" i="19" s="1"/>
  <c r="AP37" i="20"/>
  <c r="AP64" i="20" s="1"/>
  <c r="AY29" i="20"/>
  <c r="AY56" i="20" s="1"/>
  <c r="AN38" i="19"/>
  <c r="AN65" i="19" s="1"/>
  <c r="AY28" i="18"/>
  <c r="AY55" i="18" s="1"/>
  <c r="AY44" i="19"/>
  <c r="AY71" i="19" s="1"/>
  <c r="AM27" i="13"/>
  <c r="AM54" i="13" s="1"/>
  <c r="AM34" i="13"/>
  <c r="AM61" i="13" s="1"/>
  <c r="AN34" i="19"/>
  <c r="AN61" i="19" s="1"/>
  <c r="AN29" i="19"/>
  <c r="AN56" i="19" s="1"/>
  <c r="AG26" i="13"/>
  <c r="AG53" i="13" s="1"/>
  <c r="AO29" i="13"/>
  <c r="AO56" i="13" s="1"/>
  <c r="BA27" i="13"/>
  <c r="BA54" i="13" s="1"/>
  <c r="AS29" i="18"/>
  <c r="AS56" i="18" s="1"/>
  <c r="BB37" i="18"/>
  <c r="BB64" i="18" s="1"/>
  <c r="AY24" i="19"/>
  <c r="AC58" i="11"/>
  <c r="BB32" i="13"/>
  <c r="BB59" i="13" s="1"/>
  <c r="AP34" i="20"/>
  <c r="AP61" i="20" s="1"/>
  <c r="AN27" i="13"/>
  <c r="AN54" i="13" s="1"/>
  <c r="AS31" i="18"/>
  <c r="AS58" i="18" s="1"/>
  <c r="BA30" i="18"/>
  <c r="BA57" i="18" s="1"/>
  <c r="BB43" i="13"/>
  <c r="BB70" i="13" s="1"/>
  <c r="AG38" i="18"/>
  <c r="AG65" i="18" s="1"/>
  <c r="AO35" i="20"/>
  <c r="AO62" i="20" s="1"/>
  <c r="AY39" i="13"/>
  <c r="AY66" i="13" s="1"/>
  <c r="AH37" i="19"/>
  <c r="AH64" i="19" s="1"/>
  <c r="BB28" i="20"/>
  <c r="BB55" i="20" s="1"/>
  <c r="AO34" i="20"/>
  <c r="AO61" i="20" s="1"/>
  <c r="AY42" i="19"/>
  <c r="AY69" i="19" s="1"/>
  <c r="AM37" i="19"/>
  <c r="AM64" i="19" s="1"/>
  <c r="BB33" i="18"/>
  <c r="BB60" i="18" s="1"/>
  <c r="AY37" i="18"/>
  <c r="AY64" i="18" s="1"/>
  <c r="AY34" i="18"/>
  <c r="AY61" i="18" s="1"/>
  <c r="BB38" i="20"/>
  <c r="BB65" i="20" s="1"/>
  <c r="AM36" i="13"/>
  <c r="AM63" i="13" s="1"/>
  <c r="AM25" i="18"/>
  <c r="AM52" i="18" s="1"/>
  <c r="AY29" i="18"/>
  <c r="AY56" i="18" s="1"/>
  <c r="AS30" i="18"/>
  <c r="AS57" i="18" s="1"/>
  <c r="AP38" i="13"/>
  <c r="AP65" i="13" s="1"/>
  <c r="BA43" i="18"/>
  <c r="BA70" i="18" s="1"/>
  <c r="AM32" i="18"/>
  <c r="AM59" i="18" s="1"/>
  <c r="AP43" i="20"/>
  <c r="AP70" i="20" s="1"/>
  <c r="AN42" i="18"/>
  <c r="AN69" i="18" s="1"/>
  <c r="AA58" i="11"/>
  <c r="AM30" i="13"/>
  <c r="AM57" i="13" s="1"/>
  <c r="AY39" i="19"/>
  <c r="AY66" i="19" s="1"/>
  <c r="AM40" i="13"/>
  <c r="AM67" i="13" s="1"/>
  <c r="AY33" i="18"/>
  <c r="AY60" i="18" s="1"/>
  <c r="BB35" i="18"/>
  <c r="BB62" i="18" s="1"/>
  <c r="BA39" i="18"/>
  <c r="BA66" i="18" s="1"/>
  <c r="BB36" i="18"/>
  <c r="BB63" i="18" s="1"/>
  <c r="BB30" i="20"/>
  <c r="BB57" i="20" s="1"/>
  <c r="AG31" i="18"/>
  <c r="AG58" i="18" s="1"/>
  <c r="AN28" i="19"/>
  <c r="AN55" i="19" s="1"/>
  <c r="BA40" i="20"/>
  <c r="BA67" i="20" s="1"/>
  <c r="AY36" i="19"/>
  <c r="AY63" i="19" s="1"/>
  <c r="AS32" i="13"/>
  <c r="AS59" i="13" s="1"/>
  <c r="AN35" i="18"/>
  <c r="AN62" i="18" s="1"/>
  <c r="AO26" i="13"/>
  <c r="AO53" i="13" s="1"/>
  <c r="AN28" i="18"/>
  <c r="AN55" i="18" s="1"/>
  <c r="AO28" i="20"/>
  <c r="AO55" i="20" s="1"/>
  <c r="AO28" i="13"/>
  <c r="AO55" i="13" s="1"/>
  <c r="AY39" i="18"/>
  <c r="AY66" i="18" s="1"/>
  <c r="AS29" i="20"/>
  <c r="AS56" i="20" s="1"/>
  <c r="AS24" i="18"/>
  <c r="AO36" i="20"/>
  <c r="AO63" i="20" s="1"/>
  <c r="AY41" i="18"/>
  <c r="AY68" i="18" s="1"/>
  <c r="AM36" i="19"/>
  <c r="AM63" i="19" s="1"/>
  <c r="AS34" i="18"/>
  <c r="AS61" i="18" s="1"/>
  <c r="AG37" i="13"/>
  <c r="AG64" i="13" s="1"/>
  <c r="AY31" i="19"/>
  <c r="AY58" i="19" s="1"/>
  <c r="BA40" i="18"/>
  <c r="BA67" i="18" s="1"/>
  <c r="BA32" i="20"/>
  <c r="BA59" i="20" s="1"/>
  <c r="AG37" i="18"/>
  <c r="AG64" i="18" s="1"/>
  <c r="AN40" i="19"/>
  <c r="AN67" i="19" s="1"/>
  <c r="AM29" i="13"/>
  <c r="AM56" i="13" s="1"/>
  <c r="BB24" i="13"/>
  <c r="BA28" i="20"/>
  <c r="BA55" i="20" s="1"/>
  <c r="AO26" i="18"/>
  <c r="AO53" i="18" s="1"/>
  <c r="AG30" i="19"/>
  <c r="AG57" i="19" s="1"/>
  <c r="AY34" i="19"/>
  <c r="AY61" i="19" s="1"/>
  <c r="AO32" i="13"/>
  <c r="AO59" i="13" s="1"/>
  <c r="AO41" i="13"/>
  <c r="AO68" i="13" s="1"/>
  <c r="AP44" i="13"/>
  <c r="AP71" i="13" s="1"/>
  <c r="AO32" i="18"/>
  <c r="AO59" i="18" s="1"/>
  <c r="BA44" i="18"/>
  <c r="BA71" i="18" s="1"/>
  <c r="AM43" i="13"/>
  <c r="AM70" i="13" s="1"/>
  <c r="AG44" i="13"/>
  <c r="AG71" i="13" s="1"/>
  <c r="AS42" i="13"/>
  <c r="AS69" i="13" s="1"/>
  <c r="BB40" i="13"/>
  <c r="BB67" i="13" s="1"/>
  <c r="AY32" i="20"/>
  <c r="AY59" i="20" s="1"/>
  <c r="BB40" i="20"/>
  <c r="BB67" i="20" s="1"/>
  <c r="AG43" i="18"/>
  <c r="AG70" i="18" s="1"/>
  <c r="BA24" i="13"/>
  <c r="AY29" i="13"/>
  <c r="AY56" i="13" s="1"/>
  <c r="AP31" i="18"/>
  <c r="AP58" i="18" s="1"/>
  <c r="AC57" i="11"/>
  <c r="AP42" i="20"/>
  <c r="AP69" i="20" s="1"/>
  <c r="AY31" i="18"/>
  <c r="AY58" i="18" s="1"/>
  <c r="BA33" i="18"/>
  <c r="BA60" i="18" s="1"/>
  <c r="AN25" i="18"/>
  <c r="AN52" i="18" s="1"/>
  <c r="AO37" i="13"/>
  <c r="AO64" i="13" s="1"/>
  <c r="AN41" i="18"/>
  <c r="AN68" i="18" s="1"/>
  <c r="AM44" i="13"/>
  <c r="AM71" i="13" s="1"/>
  <c r="BB43" i="18"/>
  <c r="BB70" i="18" s="1"/>
  <c r="AS37" i="19"/>
  <c r="AS64" i="19" s="1"/>
  <c r="AG25" i="19"/>
  <c r="AG52" i="19" s="1"/>
  <c r="AY25" i="13"/>
  <c r="AY52" i="13" s="1"/>
  <c r="AO31" i="20"/>
  <c r="AO58" i="20" s="1"/>
  <c r="AY32" i="19"/>
  <c r="AY59" i="19" s="1"/>
  <c r="AY38" i="13"/>
  <c r="AY65" i="13" s="1"/>
  <c r="AN33" i="18"/>
  <c r="AN60" i="18" s="1"/>
  <c r="BB37" i="20"/>
  <c r="BB64" i="20" s="1"/>
  <c r="BA31" i="18"/>
  <c r="BA58" i="18" s="1"/>
  <c r="BA29" i="18"/>
  <c r="BA56" i="18" s="1"/>
  <c r="BB39" i="13"/>
  <c r="BB66" i="13" s="1"/>
  <c r="AY27" i="20"/>
  <c r="AY54" i="20" s="1"/>
  <c r="AP31" i="13"/>
  <c r="AP58" i="13" s="1"/>
  <c r="AG25" i="13"/>
  <c r="AG52" i="13" s="1"/>
  <c r="BA34" i="20"/>
  <c r="BA61" i="20" s="1"/>
  <c r="AY28" i="20"/>
  <c r="AY55" i="20" s="1"/>
  <c r="BB39" i="20"/>
  <c r="BB66" i="20" s="1"/>
  <c r="AH35" i="20"/>
  <c r="AH62" i="20" s="1"/>
  <c r="AO42" i="20"/>
  <c r="AO69" i="20" s="1"/>
  <c r="AG24" i="20"/>
  <c r="AG32" i="20"/>
  <c r="AG59" i="20" s="1"/>
  <c r="AP32" i="18"/>
  <c r="AP59" i="18" s="1"/>
  <c r="AS30" i="13"/>
  <c r="AS57" i="13" s="1"/>
  <c r="AG25" i="18"/>
  <c r="AG52" i="18" s="1"/>
  <c r="AN33" i="19"/>
  <c r="AN60" i="19" s="1"/>
  <c r="AM30" i="19"/>
  <c r="AM57" i="19" s="1"/>
  <c r="AG31" i="20"/>
  <c r="AG58" i="20" s="1"/>
  <c r="AY31" i="13"/>
  <c r="AY58" i="13" s="1"/>
  <c r="AO40" i="20"/>
  <c r="AO67" i="20" s="1"/>
  <c r="AM25" i="13"/>
  <c r="AM52" i="13" s="1"/>
  <c r="AG36" i="20"/>
  <c r="AG63" i="20" s="1"/>
  <c r="AY41" i="19"/>
  <c r="AY68" i="19" s="1"/>
  <c r="BB30" i="13"/>
  <c r="BB57" i="13" s="1"/>
  <c r="AP38" i="20"/>
  <c r="AP65" i="20" s="1"/>
  <c r="BB42" i="13"/>
  <c r="BB69" i="13" s="1"/>
  <c r="BA35" i="13"/>
  <c r="BA62" i="13" s="1"/>
  <c r="AN26" i="19"/>
  <c r="AN53" i="19" s="1"/>
  <c r="AS29" i="13"/>
  <c r="AS56" i="13" s="1"/>
  <c r="AN39" i="18"/>
  <c r="AN66" i="18" s="1"/>
  <c r="AY42" i="13"/>
  <c r="AY69" i="13" s="1"/>
  <c r="BA38" i="13"/>
  <c r="BA65" i="13" s="1"/>
  <c r="AH32" i="19"/>
  <c r="AH59" i="19" s="1"/>
  <c r="AY25" i="19"/>
  <c r="AY52" i="19" s="1"/>
  <c r="BB42" i="18"/>
  <c r="BB69" i="18" s="1"/>
  <c r="AM37" i="13"/>
  <c r="AM64" i="13" s="1"/>
  <c r="AG40" i="13"/>
  <c r="AG67" i="13" s="1"/>
  <c r="AO30" i="13"/>
  <c r="AO57" i="13" s="1"/>
  <c r="AP29" i="18"/>
  <c r="AP56" i="18" s="1"/>
  <c r="AM36" i="18"/>
  <c r="AM63" i="18" s="1"/>
  <c r="AY35" i="13"/>
  <c r="AY62" i="13" s="1"/>
  <c r="AS32" i="18"/>
  <c r="AS59" i="18" s="1"/>
  <c r="AS35" i="18"/>
  <c r="AS62" i="18" s="1"/>
  <c r="AN35" i="19"/>
  <c r="AN62" i="19" s="1"/>
  <c r="AN24" i="19"/>
  <c r="AM40" i="18"/>
  <c r="AM67" i="18" s="1"/>
  <c r="AP30" i="20"/>
  <c r="AP57" i="20" s="1"/>
  <c r="AO42" i="18"/>
  <c r="AO69" i="18" s="1"/>
  <c r="BB34" i="13"/>
  <c r="BB61" i="13" s="1"/>
  <c r="BB29" i="18"/>
  <c r="BB56" i="18" s="1"/>
  <c r="AG30" i="18"/>
  <c r="AG57" i="18" s="1"/>
  <c r="AM27" i="18"/>
  <c r="AM54" i="18" s="1"/>
  <c r="AN34" i="18"/>
  <c r="AN61" i="18" s="1"/>
  <c r="AG28" i="19"/>
  <c r="AG55" i="19" s="1"/>
  <c r="AM32" i="13"/>
  <c r="AM59" i="13" s="1"/>
  <c r="U58" i="11"/>
  <c r="AS32" i="19"/>
  <c r="AS59" i="19" s="1"/>
  <c r="AS31" i="13"/>
  <c r="AS58" i="13" s="1"/>
  <c r="AO35" i="18"/>
  <c r="AO62" i="18" s="1"/>
  <c r="BA25" i="20"/>
  <c r="BA52" i="20" s="1"/>
  <c r="BB43" i="20"/>
  <c r="BB70" i="20" s="1"/>
  <c r="AG36" i="13"/>
  <c r="AG63" i="13" s="1"/>
  <c r="M42" i="4"/>
  <c r="AY31" i="20"/>
  <c r="AY58" i="20" s="1"/>
  <c r="AY44" i="13"/>
  <c r="AY71" i="13" s="1"/>
  <c r="AG32" i="13"/>
  <c r="AG59" i="13" s="1"/>
  <c r="AM39" i="13"/>
  <c r="AM66" i="13" s="1"/>
  <c r="AP32" i="13"/>
  <c r="AP59" i="13" s="1"/>
  <c r="AH31" i="18"/>
  <c r="AH58" i="18" s="1"/>
  <c r="BB31" i="20"/>
  <c r="BB58" i="20" s="1"/>
  <c r="Y57" i="11"/>
  <c r="BB34" i="18"/>
  <c r="BB61" i="18" s="1"/>
  <c r="AP26" i="18"/>
  <c r="AP53" i="18" s="1"/>
  <c r="BA32" i="18"/>
  <c r="BA59" i="18" s="1"/>
  <c r="AG42" i="20"/>
  <c r="AG69" i="20" s="1"/>
  <c r="AA57" i="11"/>
  <c r="AO33" i="18"/>
  <c r="AO60" i="18" s="1"/>
  <c r="AO27" i="20"/>
  <c r="AO54" i="20" s="1"/>
  <c r="AO26" i="20"/>
  <c r="AO53" i="20" s="1"/>
  <c r="AY27" i="18"/>
  <c r="AY54" i="18" s="1"/>
  <c r="AM31" i="13"/>
  <c r="AM58" i="13" s="1"/>
  <c r="AY25" i="20"/>
  <c r="AY52" i="20" s="1"/>
  <c r="W57" i="11"/>
  <c r="AY35" i="20"/>
  <c r="AY62" i="20" s="1"/>
  <c r="AM39" i="18"/>
  <c r="AM66" i="18" s="1"/>
  <c r="AY26" i="20"/>
  <c r="AY53" i="20" s="1"/>
  <c r="AM31" i="19"/>
  <c r="AM58" i="19" s="1"/>
  <c r="AG28" i="20"/>
  <c r="AG55" i="20" s="1"/>
  <c r="BA31" i="20"/>
  <c r="BA58" i="20" s="1"/>
  <c r="AS34" i="20"/>
  <c r="AS61" i="20" s="1"/>
  <c r="AG27" i="18"/>
  <c r="AG54" i="18" s="1"/>
  <c r="AP25" i="18"/>
  <c r="AP52" i="18" s="1"/>
  <c r="AO25" i="18"/>
  <c r="AO52" i="18" s="1"/>
  <c r="AH30" i="18"/>
  <c r="AH57" i="18" s="1"/>
  <c r="AP40" i="20"/>
  <c r="AP67" i="20" s="1"/>
  <c r="AO35" i="13"/>
  <c r="AO62" i="13" s="1"/>
  <c r="AP37" i="18"/>
  <c r="AP64" i="18" s="1"/>
  <c r="AP44" i="18"/>
  <c r="AP71" i="18" s="1"/>
  <c r="AG40" i="18"/>
  <c r="AG67" i="18" s="1"/>
  <c r="AH34" i="19"/>
  <c r="AH61" i="19" s="1"/>
  <c r="AO43" i="20"/>
  <c r="AO70" i="20" s="1"/>
  <c r="AY42" i="20"/>
  <c r="AY69" i="20" s="1"/>
  <c r="AN32" i="19"/>
  <c r="AN59" i="19" s="1"/>
  <c r="AP40" i="13"/>
  <c r="AP67" i="13" s="1"/>
  <c r="AO31" i="18"/>
  <c r="AO58" i="18" s="1"/>
  <c r="AY27" i="13"/>
  <c r="AY54" i="13" s="1"/>
  <c r="AY30" i="18"/>
  <c r="AY57" i="18" s="1"/>
  <c r="AY43" i="19"/>
  <c r="AY70" i="19" s="1"/>
  <c r="AO39" i="20"/>
  <c r="AO66" i="20" s="1"/>
  <c r="BA36" i="20"/>
  <c r="BA63" i="20" s="1"/>
  <c r="AN26" i="18"/>
  <c r="AN53" i="18" s="1"/>
  <c r="BB37" i="13"/>
  <c r="BB64" i="13" s="1"/>
  <c r="AY26" i="18"/>
  <c r="AY53" i="18" s="1"/>
  <c r="AG34" i="20"/>
  <c r="AG61" i="20" s="1"/>
  <c r="BB41" i="18"/>
  <c r="BB68" i="18" s="1"/>
  <c r="AN25" i="19"/>
  <c r="AN52" i="19" s="1"/>
  <c r="AS26" i="13"/>
  <c r="AS53" i="13" s="1"/>
  <c r="AY39" i="20"/>
  <c r="AY66" i="20" s="1"/>
  <c r="AN29" i="18"/>
  <c r="AN56" i="18" s="1"/>
  <c r="AP33" i="13"/>
  <c r="AP60" i="13" s="1"/>
  <c r="BB26" i="20"/>
  <c r="BB53" i="20" s="1"/>
  <c r="AM25" i="19"/>
  <c r="AM52" i="19" s="1"/>
  <c r="BB31" i="13"/>
  <c r="BB58" i="13" s="1"/>
  <c r="AS33" i="18"/>
  <c r="AS60" i="18" s="1"/>
  <c r="AM35" i="19"/>
  <c r="AM62" i="19" s="1"/>
  <c r="AO38" i="13"/>
  <c r="AO65" i="13" s="1"/>
  <c r="BB25" i="20"/>
  <c r="BB52" i="20" s="1"/>
  <c r="BB32" i="18"/>
  <c r="BB59" i="18" s="1"/>
  <c r="AS37" i="20"/>
  <c r="AS64" i="20" s="1"/>
  <c r="AO29" i="20"/>
  <c r="AO56" i="20" s="1"/>
  <c r="AP36" i="20"/>
  <c r="AP63" i="20" s="1"/>
  <c r="AY36" i="20"/>
  <c r="AY63" i="20" s="1"/>
  <c r="AG34" i="18"/>
  <c r="AG61" i="18" s="1"/>
  <c r="AN44" i="19"/>
  <c r="AN71" i="19" s="1"/>
  <c r="AS34" i="13"/>
  <c r="AS61" i="13" s="1"/>
  <c r="AY33" i="13"/>
  <c r="AY60" i="13" s="1"/>
  <c r="AG41" i="20"/>
  <c r="AG68" i="20" s="1"/>
  <c r="AM37" i="18"/>
  <c r="AM64" i="18" s="1"/>
  <c r="BA28" i="18"/>
  <c r="BA55" i="18" s="1"/>
  <c r="AY37" i="19"/>
  <c r="AY64" i="19" s="1"/>
  <c r="AS35" i="20"/>
  <c r="AS62" i="20" s="1"/>
  <c r="BB33" i="13"/>
  <c r="BB60" i="13" s="1"/>
  <c r="AS37" i="18"/>
  <c r="AS64" i="18" s="1"/>
  <c r="AY38" i="19"/>
  <c r="AY65" i="19" s="1"/>
  <c r="AG34" i="13"/>
  <c r="AG61" i="13" s="1"/>
  <c r="BB25" i="13"/>
  <c r="BB52" i="13" s="1"/>
  <c r="AO31" i="13"/>
  <c r="AO58" i="13" s="1"/>
  <c r="AP25" i="13"/>
  <c r="AP52" i="13" s="1"/>
  <c r="AO41" i="20"/>
  <c r="AO68" i="20" s="1"/>
  <c r="AG29" i="19"/>
  <c r="AG56" i="19" s="1"/>
  <c r="AM38" i="18"/>
  <c r="AM65" i="18" s="1"/>
  <c r="AM44" i="19"/>
  <c r="AM71" i="19" s="1"/>
  <c r="AO42" i="13"/>
  <c r="AO69" i="13" s="1"/>
  <c r="AY24" i="20"/>
  <c r="AN40" i="18"/>
  <c r="AN67" i="18" s="1"/>
  <c r="L42" i="4"/>
  <c r="AS35" i="13"/>
  <c r="AS62" i="13" s="1"/>
  <c r="AZ28" i="19"/>
  <c r="AZ55" i="19" s="1"/>
  <c r="AZ42" i="13"/>
  <c r="AZ69" i="13" s="1"/>
  <c r="AH39" i="18"/>
  <c r="AH66" i="18" s="1"/>
  <c r="AT41" i="19"/>
  <c r="AT68" i="19" s="1"/>
  <c r="AS36" i="20"/>
  <c r="AS63" i="20" s="1"/>
  <c r="AU39" i="13"/>
  <c r="AU66" i="13" s="1"/>
  <c r="AH34" i="18"/>
  <c r="AH61" i="18" s="1"/>
  <c r="AU31" i="18"/>
  <c r="AU58" i="18" s="1"/>
  <c r="AS27" i="18"/>
  <c r="AS54" i="18" s="1"/>
  <c r="AZ24" i="19"/>
  <c r="AH26" i="13"/>
  <c r="AH53" i="13" s="1"/>
  <c r="AZ27" i="13"/>
  <c r="AZ54" i="13" s="1"/>
  <c r="AZ31" i="18"/>
  <c r="AZ58" i="18" s="1"/>
  <c r="AS25" i="18"/>
  <c r="AS52" i="18" s="1"/>
  <c r="AN41" i="13"/>
  <c r="AN68" i="13" s="1"/>
  <c r="AN40" i="13"/>
  <c r="AN67" i="13" s="1"/>
  <c r="AS41" i="19"/>
  <c r="AS68" i="19" s="1"/>
  <c r="AH37" i="20"/>
  <c r="AH64" i="20" s="1"/>
  <c r="AU40" i="18"/>
  <c r="AU67" i="18" s="1"/>
  <c r="AP28" i="13"/>
  <c r="AP55" i="13" s="1"/>
  <c r="AH26" i="18"/>
  <c r="AH53" i="18" s="1"/>
  <c r="AH29" i="20"/>
  <c r="AH56" i="20" s="1"/>
  <c r="AZ41" i="19"/>
  <c r="AZ68" i="19" s="1"/>
  <c r="AH34" i="13"/>
  <c r="AH61" i="13" s="1"/>
  <c r="AU36" i="13"/>
  <c r="AU63" i="13" s="1"/>
  <c r="AU33" i="20"/>
  <c r="AU60" i="20" s="1"/>
  <c r="AH24" i="18"/>
  <c r="AT34" i="13"/>
  <c r="AT61" i="13" s="1"/>
  <c r="AZ39" i="20"/>
  <c r="AZ66" i="20" s="1"/>
  <c r="AN39" i="13"/>
  <c r="AN66" i="13" s="1"/>
  <c r="AZ38" i="20"/>
  <c r="AZ65" i="20" s="1"/>
  <c r="AS42" i="20"/>
  <c r="AS69" i="20" s="1"/>
  <c r="AB57" i="11"/>
  <c r="AN34" i="13"/>
  <c r="AN61" i="13" s="1"/>
  <c r="AH31" i="19"/>
  <c r="AH58" i="19" s="1"/>
  <c r="AS39" i="20"/>
  <c r="AS66" i="20" s="1"/>
  <c r="BA40" i="13"/>
  <c r="BA67" i="13" s="1"/>
  <c r="AH33" i="13"/>
  <c r="AH60" i="13" s="1"/>
  <c r="AT28" i="19"/>
  <c r="AT55" i="19" s="1"/>
  <c r="AS43" i="13"/>
  <c r="AS70" i="13" s="1"/>
  <c r="AT35" i="19"/>
  <c r="AT62" i="19" s="1"/>
  <c r="AH27" i="19"/>
  <c r="AH54" i="19" s="1"/>
  <c r="AH35" i="18"/>
  <c r="AH62" i="18" s="1"/>
  <c r="AN29" i="20"/>
  <c r="AN56" i="20" s="1"/>
  <c r="AT43" i="20"/>
  <c r="AT70" i="20" s="1"/>
  <c r="AZ34" i="13"/>
  <c r="AZ61" i="13" s="1"/>
  <c r="BA29" i="13"/>
  <c r="BA56" i="13" s="1"/>
  <c r="AH30" i="20"/>
  <c r="AH57" i="20" s="1"/>
  <c r="AZ32" i="18"/>
  <c r="AZ59" i="18" s="1"/>
  <c r="AN36" i="13"/>
  <c r="AN63" i="13" s="1"/>
  <c r="BA34" i="13"/>
  <c r="BA61" i="13" s="1"/>
  <c r="AT40" i="13"/>
  <c r="AT67" i="13" s="1"/>
  <c r="AS25" i="20"/>
  <c r="AS52" i="20" s="1"/>
  <c r="AS41" i="20"/>
  <c r="AS68" i="20" s="1"/>
  <c r="AH24" i="13"/>
  <c r="AN35" i="20"/>
  <c r="AN62" i="20" s="1"/>
  <c r="AU32" i="18"/>
  <c r="AU59" i="18" s="1"/>
  <c r="AS27" i="13"/>
  <c r="AS54" i="13" s="1"/>
  <c r="AZ28" i="13"/>
  <c r="AZ55" i="13" s="1"/>
  <c r="BA33" i="13"/>
  <c r="BA60" i="13" s="1"/>
  <c r="AZ29" i="13"/>
  <c r="AZ56" i="13" s="1"/>
  <c r="AZ41" i="18"/>
  <c r="AZ68" i="18" s="1"/>
  <c r="AH37" i="13"/>
  <c r="AH64" i="13" s="1"/>
  <c r="AN26" i="13"/>
  <c r="AN53" i="13" s="1"/>
  <c r="BA43" i="13"/>
  <c r="BA70" i="13" s="1"/>
  <c r="AT26" i="19"/>
  <c r="AT53" i="19" s="1"/>
  <c r="AZ35" i="20"/>
  <c r="AZ62" i="20" s="1"/>
  <c r="AS36" i="18"/>
  <c r="AS63" i="18" s="1"/>
  <c r="AS44" i="13"/>
  <c r="AS71" i="13" s="1"/>
  <c r="AH29" i="19"/>
  <c r="AH56" i="19" s="1"/>
  <c r="AZ37" i="20"/>
  <c r="AZ64" i="20" s="1"/>
  <c r="AZ28" i="18"/>
  <c r="AZ55" i="18" s="1"/>
  <c r="AN39" i="20"/>
  <c r="AN66" i="20" s="1"/>
  <c r="AH33" i="19"/>
  <c r="AH60" i="19" s="1"/>
  <c r="AS40" i="20"/>
  <c r="AS67" i="20" s="1"/>
  <c r="AZ43" i="19"/>
  <c r="AZ70" i="19" s="1"/>
  <c r="AS40" i="13"/>
  <c r="AS67" i="13" s="1"/>
  <c r="AZ34" i="18"/>
  <c r="AZ61" i="18" s="1"/>
  <c r="AH38" i="13"/>
  <c r="AH65" i="13" s="1"/>
  <c r="AN35" i="13"/>
  <c r="AN62" i="13" s="1"/>
  <c r="AH26" i="20"/>
  <c r="AH53" i="20" s="1"/>
  <c r="AN32" i="13"/>
  <c r="AN59" i="13" s="1"/>
  <c r="AZ24" i="20"/>
  <c r="AH38" i="19"/>
  <c r="AH65" i="19" s="1"/>
  <c r="AO25" i="13"/>
  <c r="AO52" i="13" s="1"/>
  <c r="AZ25" i="13"/>
  <c r="AZ52" i="13" s="1"/>
  <c r="AN30" i="13"/>
  <c r="AN57" i="13" s="1"/>
  <c r="Y58" i="11"/>
  <c r="AH39" i="20"/>
  <c r="AH66" i="20" s="1"/>
  <c r="AZ40" i="19"/>
  <c r="AZ67" i="19" s="1"/>
  <c r="AS28" i="18"/>
  <c r="AS55" i="18" s="1"/>
  <c r="AT30" i="20"/>
  <c r="AT57" i="20" s="1"/>
  <c r="AZ38" i="18"/>
  <c r="AZ65" i="18" s="1"/>
  <c r="AS40" i="18"/>
  <c r="AS67" i="18" s="1"/>
  <c r="BB24" i="18"/>
  <c r="AZ26" i="18"/>
  <c r="AZ53" i="18" s="1"/>
  <c r="N43" i="4"/>
  <c r="AU27" i="13"/>
  <c r="AU54" i="13" s="1"/>
  <c r="AN28" i="20"/>
  <c r="AN55" i="20" s="1"/>
  <c r="AH27" i="13"/>
  <c r="AH54" i="13" s="1"/>
  <c r="AH39" i="13"/>
  <c r="AH66" i="13" s="1"/>
  <c r="BA42" i="13"/>
  <c r="BA69" i="13" s="1"/>
  <c r="AZ30" i="13"/>
  <c r="AZ57" i="13" s="1"/>
  <c r="AZ30" i="18"/>
  <c r="AZ57" i="18" s="1"/>
  <c r="AT32" i="13"/>
  <c r="AT59" i="13" s="1"/>
  <c r="AS43" i="20"/>
  <c r="AS70" i="20" s="1"/>
  <c r="BA41" i="13"/>
  <c r="BA68" i="13" s="1"/>
  <c r="AS42" i="18"/>
  <c r="AS69" i="18" s="1"/>
  <c r="AZ25" i="18"/>
  <c r="AZ52" i="18" s="1"/>
  <c r="AZ27" i="19"/>
  <c r="AZ54" i="19" s="1"/>
  <c r="M43" i="4"/>
  <c r="AH27" i="20"/>
  <c r="AH54" i="20" s="1"/>
  <c r="AZ38" i="13"/>
  <c r="AZ65" i="13" s="1"/>
  <c r="AZ40" i="20"/>
  <c r="AZ67" i="20" s="1"/>
  <c r="AH24" i="20"/>
  <c r="AN42" i="13"/>
  <c r="AN69" i="13" s="1"/>
  <c r="AZ26" i="20"/>
  <c r="AZ53" i="20" s="1"/>
  <c r="AZ35" i="13"/>
  <c r="AZ62" i="13" s="1"/>
  <c r="AZ31" i="13"/>
  <c r="AZ58" i="13" s="1"/>
  <c r="AZ29" i="19"/>
  <c r="AZ56" i="19" s="1"/>
  <c r="AZ31" i="19"/>
  <c r="AZ58" i="19" s="1"/>
  <c r="AN37" i="13"/>
  <c r="AN64" i="13" s="1"/>
  <c r="AN33" i="13"/>
  <c r="AN60" i="13" s="1"/>
  <c r="AH44" i="13"/>
  <c r="AH71" i="13" s="1"/>
  <c r="AH38" i="18"/>
  <c r="AH65" i="18" s="1"/>
  <c r="AN30" i="20"/>
  <c r="AN57" i="20" s="1"/>
  <c r="AZ31" i="20"/>
  <c r="AZ58" i="20" s="1"/>
  <c r="AN37" i="20"/>
  <c r="AN64" i="20" s="1"/>
  <c r="AH32" i="18"/>
  <c r="AH59" i="18" s="1"/>
  <c r="BA32" i="13"/>
  <c r="BA59" i="13" s="1"/>
  <c r="AS36" i="19"/>
  <c r="AS63" i="19" s="1"/>
  <c r="AS24" i="19"/>
  <c r="AT32" i="18"/>
  <c r="AT59" i="18" s="1"/>
  <c r="BA28" i="13"/>
  <c r="BA55" i="13" s="1"/>
  <c r="AZ40" i="13"/>
  <c r="AZ67" i="13" s="1"/>
  <c r="AZ24" i="13"/>
  <c r="AZ26" i="19"/>
  <c r="AZ53" i="19" s="1"/>
  <c r="AN31" i="13"/>
  <c r="AN58" i="13" s="1"/>
  <c r="AZ44" i="13"/>
  <c r="AZ71" i="13" s="1"/>
  <c r="AN43" i="20"/>
  <c r="AN70" i="20" s="1"/>
  <c r="AN44" i="20"/>
  <c r="AN71" i="20" s="1"/>
  <c r="AT37" i="18"/>
  <c r="AT64" i="18" s="1"/>
  <c r="L43" i="4"/>
  <c r="AS38" i="19"/>
  <c r="AS65" i="19" s="1"/>
  <c r="AS24" i="13"/>
  <c r="AS42" i="19"/>
  <c r="AS69" i="19" s="1"/>
  <c r="AZ43" i="13"/>
  <c r="AZ70" i="13" s="1"/>
  <c r="AN38" i="20"/>
  <c r="AN65" i="20" s="1"/>
  <c r="AH44" i="20"/>
  <c r="AH71" i="20" s="1"/>
  <c r="AS36" i="13"/>
  <c r="AS63" i="13" s="1"/>
  <c r="AZ44" i="19"/>
  <c r="AZ71" i="19" s="1"/>
  <c r="AZ25" i="19"/>
  <c r="AZ52" i="19" s="1"/>
  <c r="AZ29" i="18"/>
  <c r="AZ56" i="18" s="1"/>
  <c r="AZ30" i="20"/>
  <c r="AZ57" i="20" s="1"/>
  <c r="AU42" i="13"/>
  <c r="AU69" i="13" s="1"/>
  <c r="AH31" i="13"/>
  <c r="AH58" i="13" s="1"/>
  <c r="AN43" i="13"/>
  <c r="AN70" i="13" s="1"/>
  <c r="AH27" i="18"/>
  <c r="AH54" i="18" s="1"/>
  <c r="AU37" i="20"/>
  <c r="AU64" i="20" s="1"/>
  <c r="AZ30" i="19"/>
  <c r="AZ57" i="19" s="1"/>
  <c r="AZ39" i="13"/>
  <c r="AZ66" i="13" s="1"/>
  <c r="AZ35" i="19"/>
  <c r="AZ62" i="19" s="1"/>
  <c r="AZ37" i="13"/>
  <c r="AZ64" i="13" s="1"/>
  <c r="AZ42" i="20"/>
  <c r="AZ69" i="20" s="1"/>
  <c r="AU43" i="19"/>
  <c r="AU70" i="19" s="1"/>
  <c r="AZ28" i="20"/>
  <c r="AZ55" i="20" s="1"/>
  <c r="AN31" i="20"/>
  <c r="AN58" i="20" s="1"/>
  <c r="AT32" i="19"/>
  <c r="AT59" i="19" s="1"/>
  <c r="AS25" i="13"/>
  <c r="AS52" i="13" s="1"/>
  <c r="AS43" i="18"/>
  <c r="AS70" i="18" s="1"/>
  <c r="AZ24" i="18"/>
  <c r="AN32" i="20"/>
  <c r="AN59" i="20" s="1"/>
  <c r="AS25" i="19"/>
  <c r="AS52" i="19" s="1"/>
  <c r="AH29" i="13"/>
  <c r="AH56" i="13" s="1"/>
  <c r="AT31" i="13"/>
  <c r="AT58" i="13" s="1"/>
  <c r="AZ27" i="20"/>
  <c r="AZ54" i="20" s="1"/>
  <c r="AZ32" i="20"/>
  <c r="AZ59" i="20" s="1"/>
  <c r="K43" i="4"/>
  <c r="AN26" i="20"/>
  <c r="AN53" i="20" s="1"/>
  <c r="AZ36" i="19"/>
  <c r="AZ63" i="19" s="1"/>
  <c r="AS28" i="13"/>
  <c r="AS55" i="13" s="1"/>
  <c r="AZ39" i="18"/>
  <c r="AZ66" i="18" s="1"/>
  <c r="AT25" i="19"/>
  <c r="AT52" i="19" s="1"/>
  <c r="AH24" i="19"/>
  <c r="BA39" i="13"/>
  <c r="BA66" i="13" s="1"/>
  <c r="AZ43" i="18"/>
  <c r="AZ70" i="18" s="1"/>
  <c r="AH39" i="19"/>
  <c r="AH66" i="19" s="1"/>
  <c r="BA25" i="13"/>
  <c r="BA52" i="13" s="1"/>
  <c r="AH37" i="18"/>
  <c r="AH64" i="18" s="1"/>
  <c r="AN28" i="13"/>
  <c r="AN55" i="13" s="1"/>
  <c r="BA26" i="13"/>
  <c r="BA53" i="13" s="1"/>
  <c r="AT32" i="20"/>
  <c r="AT59" i="20" s="1"/>
  <c r="AU34" i="19"/>
  <c r="AU61" i="19" s="1"/>
  <c r="AH32" i="13"/>
  <c r="AH59" i="13" s="1"/>
  <c r="AZ39" i="19"/>
  <c r="AZ66" i="19" s="1"/>
  <c r="AS41" i="18"/>
  <c r="AS68" i="18" s="1"/>
  <c r="AN40" i="20"/>
  <c r="AN67" i="20" s="1"/>
  <c r="AH44" i="19"/>
  <c r="AH71" i="19" s="1"/>
  <c r="AN29" i="13"/>
  <c r="AN56" i="13" s="1"/>
  <c r="AT35" i="13"/>
  <c r="AT62" i="13" s="1"/>
  <c r="AN44" i="13"/>
  <c r="AN71" i="13" s="1"/>
  <c r="AS44" i="20"/>
  <c r="AS71" i="20" s="1"/>
  <c r="AZ44" i="20"/>
  <c r="AZ71" i="20" s="1"/>
  <c r="AN42" i="20"/>
  <c r="AN69" i="20" s="1"/>
  <c r="AH30" i="13"/>
  <c r="AH57" i="13" s="1"/>
  <c r="AZ42" i="19"/>
  <c r="AZ69" i="19" s="1"/>
  <c r="AS39" i="18"/>
  <c r="AS66" i="18" s="1"/>
  <c r="AH28" i="19"/>
  <c r="AH55" i="19" s="1"/>
  <c r="AU27" i="19"/>
  <c r="AU54" i="19" s="1"/>
  <c r="AI27" i="18"/>
  <c r="AI54" i="18" s="1"/>
  <c r="AT25" i="18"/>
  <c r="AT52" i="18" s="1"/>
  <c r="AH25" i="18"/>
  <c r="AH52" i="18" s="1"/>
  <c r="AU27" i="20"/>
  <c r="AU54" i="20" s="1"/>
  <c r="AI39" i="19"/>
  <c r="AI66" i="19" s="1"/>
  <c r="AH25" i="19"/>
  <c r="AH52" i="19" s="1"/>
  <c r="AU34" i="18"/>
  <c r="AU61" i="18" s="1"/>
  <c r="AT43" i="13"/>
  <c r="AT70" i="13" s="1"/>
  <c r="AI28" i="19"/>
  <c r="AI55" i="19" s="1"/>
  <c r="AT43" i="19"/>
  <c r="AT70" i="19" s="1"/>
  <c r="AT27" i="13"/>
  <c r="AT54" i="13" s="1"/>
  <c r="AI32" i="13"/>
  <c r="AI59" i="13" s="1"/>
  <c r="AI38" i="20"/>
  <c r="AI65" i="20" s="1"/>
  <c r="AU30" i="19"/>
  <c r="AU57" i="19" s="1"/>
  <c r="AI42" i="20"/>
  <c r="AI69" i="20" s="1"/>
  <c r="AU36" i="20"/>
  <c r="AU63" i="20" s="1"/>
  <c r="X59" i="11"/>
  <c r="AH41" i="19"/>
  <c r="AH68" i="19" s="1"/>
  <c r="AI44" i="20"/>
  <c r="AI71" i="20" s="1"/>
  <c r="AT37" i="19"/>
  <c r="AT64" i="19" s="1"/>
  <c r="AD59" i="11"/>
  <c r="AI36" i="18"/>
  <c r="AI63" i="18" s="1"/>
  <c r="W59" i="11"/>
  <c r="AI31" i="20"/>
  <c r="AI58" i="20" s="1"/>
  <c r="AI34" i="19"/>
  <c r="AI61" i="19" s="1"/>
  <c r="AT29" i="18"/>
  <c r="AT56" i="18" s="1"/>
  <c r="AH31" i="20"/>
  <c r="AH58" i="20" s="1"/>
  <c r="AZ42" i="18"/>
  <c r="AZ69" i="18" s="1"/>
  <c r="AS39" i="13"/>
  <c r="AS66" i="13" s="1"/>
  <c r="AU24" i="13"/>
  <c r="AZ37" i="19"/>
  <c r="AZ64" i="19" s="1"/>
  <c r="AS28" i="19"/>
  <c r="AS55" i="19" s="1"/>
  <c r="AZ40" i="18"/>
  <c r="AZ67" i="18" s="1"/>
  <c r="AN38" i="13"/>
  <c r="AN65" i="13" s="1"/>
  <c r="AS41" i="13"/>
  <c r="AS68" i="13" s="1"/>
  <c r="AZ34" i="20"/>
  <c r="AZ61" i="20" s="1"/>
  <c r="AN41" i="20"/>
  <c r="AN68" i="20" s="1"/>
  <c r="AZ32" i="13"/>
  <c r="AZ59" i="13" s="1"/>
  <c r="AZ35" i="18"/>
  <c r="AZ62" i="18" s="1"/>
  <c r="AZ37" i="18"/>
  <c r="AZ64" i="18" s="1"/>
  <c r="AT35" i="18"/>
  <c r="AT62" i="18" s="1"/>
  <c r="AN36" i="20"/>
  <c r="AN63" i="20" s="1"/>
  <c r="AS38" i="18"/>
  <c r="AS65" i="18" s="1"/>
  <c r="AI25" i="13"/>
  <c r="AI52" i="13" s="1"/>
  <c r="AI31" i="13"/>
  <c r="AI58" i="13" s="1"/>
  <c r="AB59" i="11"/>
  <c r="AU31" i="13"/>
  <c r="AU58" i="13" s="1"/>
  <c r="AT38" i="18"/>
  <c r="AT65" i="18" s="1"/>
  <c r="AT31" i="18"/>
  <c r="AT58" i="18" s="1"/>
  <c r="AU43" i="13"/>
  <c r="AU70" i="13" s="1"/>
  <c r="AH28" i="13"/>
  <c r="AH55" i="13" s="1"/>
  <c r="AU38" i="19"/>
  <c r="AU65" i="19" s="1"/>
  <c r="AT39" i="13"/>
  <c r="AT66" i="13" s="1"/>
  <c r="AU25" i="20"/>
  <c r="AU52" i="20" s="1"/>
  <c r="AT30" i="13"/>
  <c r="AT57" i="13" s="1"/>
  <c r="AI43" i="20"/>
  <c r="AI70" i="20" s="1"/>
  <c r="AT36" i="13"/>
  <c r="AT63" i="13" s="1"/>
  <c r="AI38" i="19"/>
  <c r="AI65" i="19" s="1"/>
  <c r="AU37" i="18"/>
  <c r="AU64" i="18" s="1"/>
  <c r="AT38" i="20"/>
  <c r="AT65" i="20" s="1"/>
  <c r="AU42" i="19"/>
  <c r="AU69" i="19" s="1"/>
  <c r="AU29" i="19"/>
  <c r="AU56" i="19" s="1"/>
  <c r="AI39" i="18"/>
  <c r="AI66" i="18" s="1"/>
  <c r="AH43" i="20"/>
  <c r="AH70" i="20" s="1"/>
  <c r="AN25" i="13"/>
  <c r="AN52" i="13" s="1"/>
  <c r="AZ38" i="19"/>
  <c r="AZ65" i="19" s="1"/>
  <c r="AZ33" i="20"/>
  <c r="AZ60" i="20" s="1"/>
  <c r="AT41" i="20"/>
  <c r="AT68" i="20" s="1"/>
  <c r="AI25" i="18"/>
  <c r="AI52" i="18" s="1"/>
  <c r="AU32" i="13"/>
  <c r="AU59" i="13" s="1"/>
  <c r="AT37" i="13"/>
  <c r="AT64" i="13" s="1"/>
  <c r="AT33" i="13"/>
  <c r="AT60" i="13" s="1"/>
  <c r="AI41" i="18"/>
  <c r="AI68" i="18" s="1"/>
  <c r="AT24" i="20"/>
  <c r="AI26" i="19"/>
  <c r="AI53" i="19" s="1"/>
  <c r="AT24" i="13"/>
  <c r="AT26" i="13"/>
  <c r="AT53" i="13" s="1"/>
  <c r="AT33" i="19"/>
  <c r="AT60" i="19" s="1"/>
  <c r="AT36" i="20"/>
  <c r="AT63" i="20" s="1"/>
  <c r="AI43" i="13"/>
  <c r="AI70" i="13" s="1"/>
  <c r="AU24" i="19"/>
  <c r="AT44" i="19"/>
  <c r="AT71" i="19" s="1"/>
  <c r="T60" i="11"/>
  <c r="AI34" i="18"/>
  <c r="AI61" i="18" s="1"/>
  <c r="AU31" i="19"/>
  <c r="AU58" i="19" s="1"/>
  <c r="AU30" i="13"/>
  <c r="AU57" i="13" s="1"/>
  <c r="AI32" i="19"/>
  <c r="AI59" i="19" s="1"/>
  <c r="AI26" i="18"/>
  <c r="AI53" i="18" s="1"/>
  <c r="AC59" i="11"/>
  <c r="AH30" i="19"/>
  <c r="AH57" i="19" s="1"/>
  <c r="AN27" i="20"/>
  <c r="AN54" i="20" s="1"/>
  <c r="AH32" i="20"/>
  <c r="AH59" i="20" s="1"/>
  <c r="AS40" i="19"/>
  <c r="AS67" i="19" s="1"/>
  <c r="AU41" i="18"/>
  <c r="AU68" i="18" s="1"/>
  <c r="AH38" i="20"/>
  <c r="AH65" i="20" s="1"/>
  <c r="AS24" i="20"/>
  <c r="AU44" i="20"/>
  <c r="AU71" i="20" s="1"/>
  <c r="AZ44" i="18"/>
  <c r="AZ71" i="18" s="1"/>
  <c r="AZ36" i="13"/>
  <c r="AZ63" i="13" s="1"/>
  <c r="AZ32" i="19"/>
  <c r="AZ59" i="19" s="1"/>
  <c r="AZ41" i="13"/>
  <c r="AZ68" i="13" s="1"/>
  <c r="AZ41" i="20"/>
  <c r="AZ68" i="20" s="1"/>
  <c r="AN24" i="13"/>
  <c r="AZ33" i="13"/>
  <c r="AZ60" i="13" s="1"/>
  <c r="AZ25" i="20"/>
  <c r="AZ52" i="20" s="1"/>
  <c r="AU40" i="20"/>
  <c r="AU67" i="20" s="1"/>
  <c r="AT44" i="18"/>
  <c r="AT71" i="18" s="1"/>
  <c r="AT41" i="18"/>
  <c r="AT68" i="18" s="1"/>
  <c r="AH40" i="20"/>
  <c r="AH67" i="20" s="1"/>
  <c r="AU25" i="13"/>
  <c r="AU52" i="13" s="1"/>
  <c r="AI29" i="13"/>
  <c r="AI56" i="13" s="1"/>
  <c r="AT44" i="20"/>
  <c r="AT71" i="20" s="1"/>
  <c r="AC60" i="11"/>
  <c r="AI35" i="19"/>
  <c r="AI62" i="19" s="1"/>
  <c r="AI40" i="19"/>
  <c r="AI67" i="19" s="1"/>
  <c r="AI35" i="13"/>
  <c r="AI62" i="13" s="1"/>
  <c r="AH41" i="13"/>
  <c r="AH68" i="13" s="1"/>
  <c r="AU29" i="20"/>
  <c r="AU56" i="20" s="1"/>
  <c r="AU27" i="18"/>
  <c r="AU54" i="18" s="1"/>
  <c r="AU24" i="20"/>
  <c r="AU37" i="13"/>
  <c r="AU64" i="13" s="1"/>
  <c r="AT27" i="20"/>
  <c r="AT54" i="20" s="1"/>
  <c r="AU31" i="20"/>
  <c r="AU58" i="20" s="1"/>
  <c r="AZ27" i="18"/>
  <c r="AZ54" i="18" s="1"/>
  <c r="AU25" i="18"/>
  <c r="AU52" i="18" s="1"/>
  <c r="AZ29" i="20"/>
  <c r="AZ56" i="20" s="1"/>
  <c r="AS38" i="20"/>
  <c r="AS65" i="20" s="1"/>
  <c r="AT25" i="20"/>
  <c r="AT52" i="20" s="1"/>
  <c r="AT34" i="19"/>
  <c r="AT61" i="19" s="1"/>
  <c r="AT36" i="18"/>
  <c r="AT63" i="18" s="1"/>
  <c r="AT26" i="20"/>
  <c r="AT53" i="20" s="1"/>
  <c r="AH28" i="18"/>
  <c r="AH55" i="18" s="1"/>
  <c r="AH42" i="19"/>
  <c r="AH69" i="19" s="1"/>
  <c r="AU32" i="20"/>
  <c r="AU59" i="20" s="1"/>
  <c r="AT24" i="19"/>
  <c r="AT39" i="19"/>
  <c r="AT66" i="19" s="1"/>
  <c r="AU35" i="18"/>
  <c r="AU62" i="18" s="1"/>
  <c r="AT34" i="20"/>
  <c r="AT61" i="20" s="1"/>
  <c r="N44" i="4"/>
  <c r="AI29" i="18"/>
  <c r="AI56" i="18" s="1"/>
  <c r="Y59" i="11"/>
  <c r="AU25" i="19"/>
  <c r="AU52" i="19" s="1"/>
  <c r="AI33" i="20"/>
  <c r="AI60" i="20" s="1"/>
  <c r="AU42" i="18"/>
  <c r="AU69" i="18" s="1"/>
  <c r="AT30" i="19"/>
  <c r="AT57" i="19" s="1"/>
  <c r="AI28" i="13"/>
  <c r="AI55" i="13" s="1"/>
  <c r="AI29" i="20"/>
  <c r="AI56" i="20" s="1"/>
  <c r="AH40" i="19"/>
  <c r="AH67" i="19" s="1"/>
  <c r="AI27" i="20"/>
  <c r="AI54" i="20" s="1"/>
  <c r="AI38" i="13"/>
  <c r="AI65" i="13" s="1"/>
  <c r="AI29" i="19"/>
  <c r="AI56" i="19" s="1"/>
  <c r="AI28" i="20"/>
  <c r="AI55" i="20" s="1"/>
  <c r="AZ33" i="18"/>
  <c r="AZ60" i="18" s="1"/>
  <c r="AU26" i="18"/>
  <c r="AU53" i="18" s="1"/>
  <c r="AN33" i="20"/>
  <c r="AN60" i="20" s="1"/>
  <c r="AH44" i="18"/>
  <c r="AH71" i="18" s="1"/>
  <c r="AS28" i="20"/>
  <c r="AS55" i="20" s="1"/>
  <c r="T59" i="11"/>
  <c r="AZ26" i="13"/>
  <c r="AZ53" i="13" s="1"/>
  <c r="AH35" i="19"/>
  <c r="AH62" i="19" s="1"/>
  <c r="AU28" i="18"/>
  <c r="AU55" i="18" s="1"/>
  <c r="AH35" i="13"/>
  <c r="AH62" i="13" s="1"/>
  <c r="AT35" i="20"/>
  <c r="AT62" i="20" s="1"/>
  <c r="BA31" i="13"/>
  <c r="BA58" i="13" s="1"/>
  <c r="AU38" i="20"/>
  <c r="AU65" i="20" s="1"/>
  <c r="AZ34" i="19"/>
  <c r="AZ61" i="19" s="1"/>
  <c r="AS43" i="19"/>
  <c r="AS70" i="19" s="1"/>
  <c r="AZ33" i="19"/>
  <c r="AZ60" i="19" s="1"/>
  <c r="AH34" i="20"/>
  <c r="AH61" i="20" s="1"/>
  <c r="AZ43" i="20"/>
  <c r="AZ70" i="20" s="1"/>
  <c r="AN34" i="20"/>
  <c r="AN61" i="20" s="1"/>
  <c r="AI32" i="20"/>
  <c r="AI59" i="20" s="1"/>
  <c r="AI43" i="18"/>
  <c r="AI70" i="18" s="1"/>
  <c r="AT33" i="20"/>
  <c r="AT60" i="20" s="1"/>
  <c r="AU28" i="13"/>
  <c r="AU55" i="13" s="1"/>
  <c r="AU41" i="19"/>
  <c r="AU68" i="19" s="1"/>
  <c r="AI40" i="18"/>
  <c r="AI67" i="18" s="1"/>
  <c r="AT38" i="13"/>
  <c r="AT65" i="13" s="1"/>
  <c r="AT40" i="18"/>
  <c r="AT67" i="18" s="1"/>
  <c r="AH36" i="18"/>
  <c r="AH63" i="18" s="1"/>
  <c r="AI35" i="20"/>
  <c r="AI62" i="20" s="1"/>
  <c r="AH43" i="18"/>
  <c r="AH70" i="18" s="1"/>
  <c r="Y60" i="11"/>
  <c r="AI30" i="19"/>
  <c r="AI57" i="19" s="1"/>
  <c r="AI41" i="19"/>
  <c r="AI68" i="19" s="1"/>
  <c r="AU43" i="18"/>
  <c r="AU70" i="18" s="1"/>
  <c r="AH40" i="18"/>
  <c r="AH67" i="18" s="1"/>
  <c r="AU33" i="18"/>
  <c r="AU60" i="18" s="1"/>
  <c r="AI37" i="19"/>
  <c r="AI64" i="19" s="1"/>
  <c r="AI24" i="19"/>
  <c r="AZ36" i="20"/>
  <c r="AZ63" i="20" s="1"/>
  <c r="AN25" i="20"/>
  <c r="AN52" i="20" s="1"/>
  <c r="AT36" i="19"/>
  <c r="AT63" i="19" s="1"/>
  <c r="AT33" i="18"/>
  <c r="AT60" i="18" s="1"/>
  <c r="AI26" i="13"/>
  <c r="AI53" i="13" s="1"/>
  <c r="AU41" i="20"/>
  <c r="AU68" i="20" s="1"/>
  <c r="AH33" i="18"/>
  <c r="AH60" i="18" s="1"/>
  <c r="AS27" i="19"/>
  <c r="AS54" i="19" s="1"/>
  <c r="AZ36" i="18"/>
  <c r="AZ63" i="18" s="1"/>
  <c r="AU29" i="18"/>
  <c r="AU56" i="18" s="1"/>
  <c r="AT24" i="18"/>
  <c r="AI37" i="20"/>
  <c r="AI64" i="20" s="1"/>
  <c r="AA59" i="11"/>
  <c r="AU40" i="13"/>
  <c r="AU67" i="13" s="1"/>
  <c r="AT27" i="18"/>
  <c r="AT54" i="18" s="1"/>
  <c r="AI33" i="13"/>
  <c r="AI60" i="13" s="1"/>
  <c r="L44" i="4"/>
  <c r="AT28" i="18"/>
  <c r="AT55" i="18" s="1"/>
  <c r="AU28" i="20"/>
  <c r="AU55" i="20" s="1"/>
  <c r="AI41" i="20"/>
  <c r="AI68" i="20" s="1"/>
  <c r="AT31" i="19"/>
  <c r="AT58" i="19" s="1"/>
  <c r="AT29" i="13"/>
  <c r="AT56" i="13" s="1"/>
  <c r="AI31" i="19"/>
  <c r="AI58" i="19" s="1"/>
  <c r="AU35" i="19"/>
  <c r="AU62" i="19" s="1"/>
  <c r="AU26" i="13"/>
  <c r="AU53" i="13" s="1"/>
  <c r="AT26" i="18"/>
  <c r="AT53" i="18" s="1"/>
  <c r="AT41" i="13"/>
  <c r="AT68" i="13" s="1"/>
  <c r="AT42" i="20"/>
  <c r="AT69" i="20" s="1"/>
  <c r="AU44" i="18"/>
  <c r="AU71" i="18" s="1"/>
  <c r="AH43" i="19"/>
  <c r="AH70" i="19" s="1"/>
  <c r="AU34" i="20"/>
  <c r="AU61" i="20" s="1"/>
  <c r="AU39" i="20"/>
  <c r="AU66" i="20" s="1"/>
  <c r="AT25" i="13"/>
  <c r="AT52" i="13" s="1"/>
  <c r="AU35" i="20"/>
  <c r="AU62" i="20" s="1"/>
  <c r="AT42" i="13"/>
  <c r="AT69" i="13" s="1"/>
  <c r="AI35" i="18"/>
  <c r="AI62" i="18" s="1"/>
  <c r="AU29" i="13"/>
  <c r="AU56" i="13" s="1"/>
  <c r="AU38" i="13"/>
  <c r="AU65" i="13" s="1"/>
  <c r="AU33" i="19"/>
  <c r="AU60" i="19" s="1"/>
  <c r="AI30" i="13"/>
  <c r="AI57" i="13" s="1"/>
  <c r="AU26" i="20"/>
  <c r="AU53" i="20" s="1"/>
  <c r="K45" i="4"/>
  <c r="AI39" i="20"/>
  <c r="AI66" i="20" s="1"/>
  <c r="AT44" i="13"/>
  <c r="AT71" i="13" s="1"/>
  <c r="AH41" i="18"/>
  <c r="AH68" i="18" s="1"/>
  <c r="AS44" i="18"/>
  <c r="AS71" i="18" s="1"/>
  <c r="AU42" i="20"/>
  <c r="AU69" i="20" s="1"/>
  <c r="AI33" i="19"/>
  <c r="AI60" i="19" s="1"/>
  <c r="AT42" i="18"/>
  <c r="AT69" i="18" s="1"/>
  <c r="AU38" i="18"/>
  <c r="AU65" i="18" s="1"/>
  <c r="AT40" i="20"/>
  <c r="AT67" i="20" s="1"/>
  <c r="AT28" i="13"/>
  <c r="AT55" i="13" s="1"/>
  <c r="AA60" i="11"/>
  <c r="AT42" i="19"/>
  <c r="AT69" i="19" s="1"/>
  <c r="AU41" i="13"/>
  <c r="AU68" i="13" s="1"/>
  <c r="AH42" i="20"/>
  <c r="AH69" i="20" s="1"/>
  <c r="AI40" i="20"/>
  <c r="AI67" i="20" s="1"/>
  <c r="AI27" i="19"/>
  <c r="AI54" i="19" s="1"/>
  <c r="AT39" i="18"/>
  <c r="AT66" i="18" s="1"/>
  <c r="AT29" i="20"/>
  <c r="AT56" i="20" s="1"/>
  <c r="AT29" i="19"/>
  <c r="AT56" i="19" s="1"/>
  <c r="AH36" i="19"/>
  <c r="AH63" i="19" s="1"/>
  <c r="AH42" i="18"/>
  <c r="AH69" i="18" s="1"/>
  <c r="AH25" i="20"/>
  <c r="AH52" i="20" s="1"/>
  <c r="AU39" i="19"/>
  <c r="AU66" i="19" s="1"/>
  <c r="AI27" i="13"/>
  <c r="AI54" i="13" s="1"/>
  <c r="AU36" i="19"/>
  <c r="AU63" i="19" s="1"/>
  <c r="AI31" i="18"/>
  <c r="AI58" i="18" s="1"/>
  <c r="U59" i="11"/>
  <c r="AU44" i="19"/>
  <c r="AU71" i="19" s="1"/>
  <c r="AI40" i="13"/>
  <c r="AI67" i="13" s="1"/>
  <c r="V59" i="11"/>
  <c r="K44" i="4"/>
  <c r="AI44" i="18"/>
  <c r="AI71" i="18" s="1"/>
  <c r="AU35" i="13"/>
  <c r="AU62" i="13" s="1"/>
  <c r="AU30" i="20"/>
  <c r="AU57" i="20" s="1"/>
  <c r="AI36" i="19"/>
  <c r="AI63" i="19" s="1"/>
  <c r="AH28" i="20"/>
  <c r="AH55" i="20" s="1"/>
  <c r="AI41" i="13"/>
  <c r="AI68" i="13" s="1"/>
  <c r="AI24" i="13"/>
  <c r="AI33" i="18"/>
  <c r="AI60" i="18" s="1"/>
  <c r="AU40" i="19"/>
  <c r="AU67" i="19" s="1"/>
  <c r="AB60" i="11"/>
  <c r="AT34" i="18"/>
  <c r="AT61" i="18" s="1"/>
  <c r="AU32" i="19"/>
  <c r="AU59" i="19" s="1"/>
  <c r="AU36" i="18"/>
  <c r="AU63" i="18" s="1"/>
  <c r="AT27" i="19"/>
  <c r="AT54" i="19" s="1"/>
  <c r="AI44" i="13"/>
  <c r="AI71" i="13" s="1"/>
  <c r="AU39" i="18"/>
  <c r="AU66" i="18" s="1"/>
  <c r="AT30" i="18"/>
  <c r="AT57" i="18" s="1"/>
  <c r="AI37" i="18"/>
  <c r="AI64" i="18" s="1"/>
  <c r="AI30" i="18"/>
  <c r="AI57" i="18" s="1"/>
  <c r="AU34" i="13"/>
  <c r="AU61" i="13" s="1"/>
  <c r="AU43" i="20"/>
  <c r="AU70" i="20" s="1"/>
  <c r="AH43" i="13"/>
  <c r="AH70" i="13" s="1"/>
  <c r="AU37" i="19"/>
  <c r="AU64" i="19" s="1"/>
  <c r="AH41" i="20"/>
  <c r="AH68" i="20" s="1"/>
  <c r="AT37" i="20"/>
  <c r="AT64" i="20" s="1"/>
  <c r="AI38" i="18"/>
  <c r="AI65" i="18" s="1"/>
  <c r="AH25" i="13"/>
  <c r="AH52" i="13" s="1"/>
  <c r="AH36" i="20"/>
  <c r="AH63" i="20" s="1"/>
  <c r="AI43" i="19"/>
  <c r="AI70" i="19" s="1"/>
  <c r="AD61" i="11"/>
  <c r="AI34" i="20"/>
  <c r="AI61" i="20" s="1"/>
  <c r="AI42" i="19"/>
  <c r="AI69" i="19" s="1"/>
  <c r="U60" i="11"/>
  <c r="AI26" i="20"/>
  <c r="AI53" i="20" s="1"/>
  <c r="AI28" i="18"/>
  <c r="AI55" i="18" s="1"/>
  <c r="AI39" i="13"/>
  <c r="AI66" i="13" s="1"/>
  <c r="AI42" i="18"/>
  <c r="AI69" i="18" s="1"/>
  <c r="U62" i="11"/>
  <c r="M44" i="4"/>
  <c r="M47" i="4"/>
  <c r="N46" i="4"/>
  <c r="Y61" i="11"/>
  <c r="W61" i="11"/>
  <c r="AU26" i="19"/>
  <c r="AU53" i="19" s="1"/>
  <c r="AU24" i="18"/>
  <c r="AD60" i="11"/>
  <c r="AT40" i="19"/>
  <c r="AT67" i="19" s="1"/>
  <c r="AI25" i="19"/>
  <c r="AI52" i="19" s="1"/>
  <c r="AU28" i="19"/>
  <c r="AU55" i="19" s="1"/>
  <c r="AT39" i="20"/>
  <c r="AT66" i="20" s="1"/>
  <c r="AI34" i="13"/>
  <c r="AI61" i="13" s="1"/>
  <c r="AA61" i="11"/>
  <c r="AI42" i="13"/>
  <c r="AI69" i="13" s="1"/>
  <c r="AI37" i="13"/>
  <c r="AI64" i="13" s="1"/>
  <c r="W60" i="11"/>
  <c r="AI25" i="20"/>
  <c r="AI52" i="20" s="1"/>
  <c r="L45" i="4"/>
  <c r="AT43" i="18"/>
  <c r="AT70" i="18" s="1"/>
  <c r="AT31" i="20"/>
  <c r="AT58" i="20" s="1"/>
  <c r="AT28" i="20"/>
  <c r="AT55" i="20" s="1"/>
  <c r="AI36" i="20"/>
  <c r="AI63" i="20" s="1"/>
  <c r="N45" i="4"/>
  <c r="T62" i="11"/>
  <c r="AI36" i="13"/>
  <c r="AI63" i="13" s="1"/>
  <c r="AT38" i="19"/>
  <c r="AT65" i="19" s="1"/>
  <c r="AI44" i="19"/>
  <c r="AI71" i="19" s="1"/>
  <c r="AD62" i="11"/>
  <c r="AI32" i="18"/>
  <c r="AI59" i="18" s="1"/>
  <c r="L46" i="4"/>
  <c r="AU33" i="13"/>
  <c r="AU60" i="13" s="1"/>
  <c r="AU30" i="18"/>
  <c r="AU57" i="18" s="1"/>
  <c r="V60" i="11"/>
  <c r="AI24" i="20"/>
  <c r="AI24" i="18"/>
  <c r="AU44" i="13"/>
  <c r="AU71" i="13" s="1"/>
  <c r="AH40" i="13"/>
  <c r="AH67" i="13" s="1"/>
  <c r="AH42" i="13"/>
  <c r="AH69" i="13" s="1"/>
  <c r="M45" i="4"/>
  <c r="V62" i="11"/>
  <c r="X60" i="11"/>
  <c r="AB61" i="11"/>
  <c r="T61" i="11"/>
  <c r="V61" i="11"/>
  <c r="AC61" i="11"/>
  <c r="AH36" i="13"/>
  <c r="AH63" i="13" s="1"/>
  <c r="AI30" i="20"/>
  <c r="AI57" i="20" s="1"/>
  <c r="W62" i="11"/>
  <c r="M46" i="4"/>
  <c r="K47" i="4"/>
  <c r="K46" i="4"/>
  <c r="AC63" i="11"/>
  <c r="W63" i="11"/>
  <c r="X63" i="11"/>
  <c r="L48" i="4"/>
  <c r="U63" i="11"/>
  <c r="AA62" i="11"/>
  <c r="V63" i="11"/>
  <c r="M48" i="4"/>
  <c r="T63" i="11"/>
  <c r="AB62" i="11"/>
  <c r="X61" i="11"/>
  <c r="U61" i="11"/>
  <c r="X64" i="11"/>
  <c r="AC64" i="11"/>
  <c r="Y62" i="11"/>
  <c r="L47" i="4"/>
  <c r="AA63" i="11"/>
  <c r="X62" i="11"/>
  <c r="AB64" i="11"/>
  <c r="AC62" i="11"/>
  <c r="N47" i="4"/>
  <c r="M50" i="4"/>
  <c r="N49" i="4"/>
  <c r="AC65" i="11"/>
  <c r="T64" i="11"/>
  <c r="V64" i="11"/>
  <c r="AD64" i="11"/>
  <c r="L49" i="4"/>
  <c r="Y63" i="11"/>
  <c r="U64" i="11"/>
  <c r="N48" i="4"/>
  <c r="AA64" i="11"/>
  <c r="Y64" i="11"/>
  <c r="K49" i="4"/>
  <c r="AD63" i="11"/>
  <c r="AB63" i="11"/>
  <c r="W64" i="11"/>
  <c r="K48" i="4"/>
  <c r="AD65" i="11"/>
  <c r="W65" i="11"/>
  <c r="M49" i="4"/>
  <c r="AD66" i="11"/>
  <c r="V65" i="11"/>
  <c r="W66" i="11"/>
  <c r="Y65" i="11"/>
  <c r="T66" i="11"/>
  <c r="AC66" i="11"/>
  <c r="AB66" i="11"/>
  <c r="AB65" i="11"/>
  <c r="N50" i="4"/>
  <c r="T65" i="11"/>
  <c r="Y66" i="11"/>
  <c r="L50" i="4"/>
  <c r="K50" i="4"/>
  <c r="X65" i="11"/>
  <c r="U65" i="11"/>
  <c r="U66" i="11"/>
  <c r="N51" i="4"/>
  <c r="AA65" i="11"/>
  <c r="M51" i="4"/>
  <c r="K51" i="4"/>
  <c r="L57" i="4"/>
  <c r="L52" i="4"/>
  <c r="L51" i="4"/>
  <c r="N52" i="4"/>
  <c r="M52" i="4"/>
  <c r="K52" i="4"/>
  <c r="L58" i="4"/>
  <c r="U67" i="11"/>
  <c r="AD69" i="11"/>
  <c r="AA69" i="11"/>
  <c r="M56" i="4"/>
  <c r="W70" i="11"/>
  <c r="Y70" i="11"/>
  <c r="AC70" i="11"/>
  <c r="AD67" i="11"/>
  <c r="V67" i="11"/>
  <c r="N54" i="4"/>
  <c r="AB68" i="11"/>
  <c r="AD70" i="11"/>
  <c r="U68" i="11"/>
  <c r="T68" i="11"/>
  <c r="W68" i="11"/>
  <c r="N57" i="4"/>
  <c r="M58" i="4"/>
  <c r="V68" i="11"/>
  <c r="T70" i="11"/>
  <c r="AB70" i="11"/>
  <c r="N55" i="4"/>
  <c r="K57" i="4"/>
  <c r="L53" i="4"/>
  <c r="X69" i="11"/>
  <c r="AC67" i="11"/>
  <c r="X66" i="11"/>
  <c r="V66" i="11"/>
  <c r="AB67" i="11"/>
  <c r="AA67" i="11"/>
  <c r="AC68" i="11"/>
  <c r="V70" i="11"/>
  <c r="T67" i="11"/>
  <c r="M54" i="4"/>
  <c r="L55" i="4"/>
  <c r="K59" i="4"/>
  <c r="L59" i="4"/>
  <c r="M59" i="4"/>
  <c r="N59" i="4"/>
  <c r="AA32" i="18"/>
  <c r="AA59" i="18" s="1"/>
  <c r="AB44" i="20"/>
  <c r="AB71" i="20" s="1"/>
  <c r="AC31" i="20"/>
  <c r="AC58" i="20" s="1"/>
  <c r="BK30" i="19"/>
  <c r="BK57" i="19" s="1"/>
  <c r="AA29" i="13"/>
  <c r="AA56" i="13" s="1"/>
  <c r="BK42" i="18"/>
  <c r="BK69" i="18" s="1"/>
  <c r="BW34" i="18"/>
  <c r="BW61" i="18" s="1"/>
  <c r="O41" i="13"/>
  <c r="O68" i="13" s="1"/>
  <c r="BZ25" i="20"/>
  <c r="BZ52" i="20" s="1"/>
  <c r="O38" i="13"/>
  <c r="O65" i="13" s="1"/>
  <c r="AC43" i="20"/>
  <c r="AC70" i="20" s="1"/>
  <c r="O39" i="19"/>
  <c r="O66" i="19" s="1"/>
  <c r="BN39" i="20"/>
  <c r="BN66" i="20" s="1"/>
  <c r="AD30" i="20"/>
  <c r="AD57" i="20" s="1"/>
  <c r="BW30" i="18"/>
  <c r="BW57" i="18" s="1"/>
  <c r="BX30" i="20"/>
  <c r="BX57" i="20" s="1"/>
  <c r="BN33" i="20"/>
  <c r="AA30" i="19"/>
  <c r="AA57" i="19" s="1"/>
  <c r="BW32" i="13"/>
  <c r="BW59" i="13" s="1"/>
  <c r="BW33" i="18"/>
  <c r="BW60" i="18" s="1"/>
  <c r="AD35" i="20"/>
  <c r="AD62" i="20" s="1"/>
  <c r="BK38" i="13"/>
  <c r="BK65" i="13" s="1"/>
  <c r="BK35" i="13"/>
  <c r="BK62" i="13" s="1"/>
  <c r="BW34" i="13"/>
  <c r="BW61" i="13" s="1"/>
  <c r="AA42" i="13"/>
  <c r="AA69" i="13" s="1"/>
  <c r="BZ39" i="20"/>
  <c r="BZ66" i="20" s="1"/>
  <c r="BZ33" i="20"/>
  <c r="BZ60" i="20" s="1"/>
  <c r="BW32" i="18"/>
  <c r="BW59" i="18" s="1"/>
  <c r="BN34" i="20"/>
  <c r="BW27" i="13"/>
  <c r="BW54" i="13" s="1"/>
  <c r="BZ34" i="20"/>
  <c r="BZ61" i="20" s="1"/>
  <c r="O42" i="13"/>
  <c r="O69" i="13" s="1"/>
  <c r="AA29" i="18"/>
  <c r="AA56" i="18" s="1"/>
  <c r="O31" i="13"/>
  <c r="O58" i="13" s="1"/>
  <c r="O24" i="13"/>
  <c r="BK38" i="19"/>
  <c r="BK65" i="19" s="1"/>
  <c r="BW24" i="13"/>
  <c r="O28" i="13"/>
  <c r="O55" i="13" s="1"/>
  <c r="BK34" i="19"/>
  <c r="BK61" i="19" s="1"/>
  <c r="AA44" i="20"/>
  <c r="AA71" i="20" s="1"/>
  <c r="BW33" i="20"/>
  <c r="BW60" i="20" s="1"/>
  <c r="BY30" i="20"/>
  <c r="BY57" i="20" s="1"/>
  <c r="BK31" i="18"/>
  <c r="BK58" i="18" s="1"/>
  <c r="O38" i="18"/>
  <c r="O65" i="18" s="1"/>
  <c r="BZ40" i="20"/>
  <c r="BZ67" i="20" s="1"/>
  <c r="AA31" i="18"/>
  <c r="AA58" i="18" s="1"/>
  <c r="BW37" i="20"/>
  <c r="BW64" i="20" s="1"/>
  <c r="AD28" i="20"/>
  <c r="AD55" i="20" s="1"/>
  <c r="O39" i="13"/>
  <c r="O66" i="13" s="1"/>
  <c r="BW41" i="19"/>
  <c r="BW68" i="19" s="1"/>
  <c r="BZ36" i="20"/>
  <c r="BZ63" i="20" s="1"/>
  <c r="BW41" i="18"/>
  <c r="BW68" i="18" s="1"/>
  <c r="BW33" i="13"/>
  <c r="BW60" i="13" s="1"/>
  <c r="O35" i="13"/>
  <c r="O62" i="13" s="1"/>
  <c r="BW35" i="19"/>
  <c r="BW62" i="19" s="1"/>
  <c r="AA44" i="18"/>
  <c r="AA71" i="18" s="1"/>
  <c r="BW42" i="13"/>
  <c r="BW69" i="13" s="1"/>
  <c r="AD32" i="20"/>
  <c r="AD59" i="20" s="1"/>
  <c r="BK29" i="18"/>
  <c r="BK56" i="18" s="1"/>
  <c r="BK31" i="19"/>
  <c r="BK58" i="19" s="1"/>
  <c r="AA39" i="13"/>
  <c r="AA66" i="13" s="1"/>
  <c r="BW31" i="19"/>
  <c r="BW58" i="19" s="1"/>
  <c r="O26" i="18"/>
  <c r="O53" i="18" s="1"/>
  <c r="BK34" i="13"/>
  <c r="BK61" i="13" s="1"/>
  <c r="BK41" i="13"/>
  <c r="BK68" i="13" s="1"/>
  <c r="AA39" i="20"/>
  <c r="AA66" i="20" s="1"/>
  <c r="BM35" i="20"/>
  <c r="BZ42" i="20"/>
  <c r="BZ69" i="20" s="1"/>
  <c r="BY43" i="20"/>
  <c r="BY70" i="20" s="1"/>
  <c r="O29" i="13"/>
  <c r="O56" i="13" s="1"/>
  <c r="O25" i="18"/>
  <c r="O52" i="18" s="1"/>
  <c r="AD26" i="20"/>
  <c r="AD53" i="20" s="1"/>
  <c r="BY38" i="20"/>
  <c r="BY65" i="20" s="1"/>
  <c r="AD37" i="20"/>
  <c r="AD64" i="20" s="1"/>
  <c r="BK38" i="18"/>
  <c r="BK65" i="18" s="1"/>
  <c r="BX32" i="20"/>
  <c r="BX59" i="20" s="1"/>
  <c r="BW44" i="19"/>
  <c r="BW71" i="19" s="1"/>
  <c r="BK39" i="19"/>
  <c r="BK66" i="19" s="1"/>
  <c r="AA37" i="19"/>
  <c r="AA64" i="19" s="1"/>
  <c r="BK44" i="18"/>
  <c r="BK71" i="18" s="1"/>
  <c r="AA33" i="19"/>
  <c r="AA60" i="19" s="1"/>
  <c r="O37" i="19"/>
  <c r="O64" i="19" s="1"/>
  <c r="O35" i="18"/>
  <c r="O62" i="18" s="1"/>
  <c r="BK37" i="18"/>
  <c r="BK64" i="18" s="1"/>
  <c r="AD24" i="20"/>
  <c r="AA27" i="13"/>
  <c r="AA54" i="13" s="1"/>
  <c r="O25" i="19"/>
  <c r="O52" i="19" s="1"/>
  <c r="BW44" i="18"/>
  <c r="BW71" i="18" s="1"/>
  <c r="BZ43" i="20"/>
  <c r="BZ70" i="20" s="1"/>
  <c r="BK41" i="18"/>
  <c r="BK68" i="18" s="1"/>
  <c r="BW33" i="19"/>
  <c r="BW60" i="19" s="1"/>
  <c r="BZ28" i="20"/>
  <c r="BZ55" i="20" s="1"/>
  <c r="AA44" i="13"/>
  <c r="AA71" i="13" s="1"/>
  <c r="BW28" i="19"/>
  <c r="BW55" i="19" s="1"/>
  <c r="O34" i="19"/>
  <c r="O61" i="19" s="1"/>
  <c r="BN40" i="20"/>
  <c r="O27" i="18"/>
  <c r="O54" i="18" s="1"/>
  <c r="BW44" i="13"/>
  <c r="BW71" i="13" s="1"/>
  <c r="BK33" i="19"/>
  <c r="BK60" i="19" s="1"/>
  <c r="BW24" i="19"/>
  <c r="AA43" i="13"/>
  <c r="AA70" i="13" s="1"/>
  <c r="BK39" i="13"/>
  <c r="BK66" i="13" s="1"/>
  <c r="O40" i="13"/>
  <c r="O67" i="13" s="1"/>
  <c r="BW36" i="13"/>
  <c r="BW63" i="13" s="1"/>
  <c r="O43" i="18"/>
  <c r="O70" i="18" s="1"/>
  <c r="AA42" i="18"/>
  <c r="AA69" i="18" s="1"/>
  <c r="AA30" i="13"/>
  <c r="AA57" i="13" s="1"/>
  <c r="O33" i="18"/>
  <c r="O60" i="18" s="1"/>
  <c r="BK32" i="18"/>
  <c r="BK59" i="18" s="1"/>
  <c r="BK28" i="18"/>
  <c r="BK55" i="18" s="1"/>
  <c r="AA28" i="18"/>
  <c r="AA55" i="18" s="1"/>
  <c r="O39" i="18"/>
  <c r="O66" i="18" s="1"/>
  <c r="BK36" i="13"/>
  <c r="BK63" i="13" s="1"/>
  <c r="O26" i="19"/>
  <c r="O53" i="19" s="1"/>
  <c r="AA26" i="13"/>
  <c r="AA53" i="13" s="1"/>
  <c r="BW26" i="20"/>
  <c r="BW53" i="20" s="1"/>
  <c r="BW38" i="18"/>
  <c r="BW65" i="18" s="1"/>
  <c r="AA25" i="13"/>
  <c r="AA52" i="13" s="1"/>
  <c r="AC25" i="20"/>
  <c r="AC52" i="20" s="1"/>
  <c r="AA39" i="19"/>
  <c r="AA66" i="19" s="1"/>
  <c r="BN37" i="20"/>
  <c r="O41" i="18"/>
  <c r="O68" i="18" s="1"/>
  <c r="O27" i="13"/>
  <c r="O54" i="13" s="1"/>
  <c r="O30" i="19"/>
  <c r="O57" i="19" s="1"/>
  <c r="O30" i="18"/>
  <c r="O57" i="18" s="1"/>
  <c r="AA40" i="18"/>
  <c r="AA67" i="18" s="1"/>
  <c r="O24" i="18"/>
  <c r="AD40" i="20"/>
  <c r="AD67" i="20" s="1"/>
  <c r="AA24" i="18"/>
  <c r="BM39" i="20"/>
  <c r="BX27" i="20"/>
  <c r="BX54" i="20" s="1"/>
  <c r="BZ37" i="20"/>
  <c r="BZ64" i="20" s="1"/>
  <c r="BW40" i="19"/>
  <c r="BW67" i="19" s="1"/>
  <c r="BW31" i="13"/>
  <c r="BW58" i="13" s="1"/>
  <c r="BZ38" i="20"/>
  <c r="BZ65" i="20" s="1"/>
  <c r="AD31" i="20"/>
  <c r="AD58" i="20" s="1"/>
  <c r="BX26" i="20"/>
  <c r="BX53" i="20" s="1"/>
  <c r="AA42" i="19"/>
  <c r="AA69" i="19" s="1"/>
  <c r="BK30" i="13"/>
  <c r="BK57" i="13" s="1"/>
  <c r="BW29" i="19"/>
  <c r="BW56" i="19" s="1"/>
  <c r="AC29" i="20"/>
  <c r="AC56" i="20" s="1"/>
  <c r="BW39" i="18"/>
  <c r="BW66" i="18" s="1"/>
  <c r="BZ32" i="20"/>
  <c r="BZ59" i="20" s="1"/>
  <c r="AB41" i="20"/>
  <c r="AB68" i="20" s="1"/>
  <c r="BK36" i="19"/>
  <c r="BK63" i="19" s="1"/>
  <c r="BK43" i="13"/>
  <c r="BK70" i="13" s="1"/>
  <c r="O41" i="19"/>
  <c r="O68" i="19" s="1"/>
  <c r="O27" i="19"/>
  <c r="O54" i="19" s="1"/>
  <c r="AA37" i="18"/>
  <c r="AA64" i="18" s="1"/>
  <c r="BX39" i="20"/>
  <c r="BX66" i="20" s="1"/>
  <c r="BK32" i="13"/>
  <c r="BK59" i="13" s="1"/>
  <c r="BK25" i="18"/>
  <c r="BK52" i="18" s="1"/>
  <c r="AA36" i="13"/>
  <c r="AA63" i="13" s="1"/>
  <c r="BW31" i="18"/>
  <c r="BW58" i="18" s="1"/>
  <c r="BL39" i="20"/>
  <c r="O43" i="13"/>
  <c r="O70" i="13" s="1"/>
  <c r="O30" i="13"/>
  <c r="O57" i="13" s="1"/>
  <c r="BM43" i="20"/>
  <c r="BW43" i="13"/>
  <c r="BW70" i="13" s="1"/>
  <c r="AA26" i="18"/>
  <c r="AA53" i="18" s="1"/>
  <c r="BY42" i="20"/>
  <c r="BY69" i="20" s="1"/>
  <c r="BW25" i="19"/>
  <c r="BW52" i="19" s="1"/>
  <c r="BK40" i="19"/>
  <c r="BK67" i="19" s="1"/>
  <c r="BW43" i="18"/>
  <c r="BW70" i="18" s="1"/>
  <c r="O33" i="13"/>
  <c r="O60" i="13" s="1"/>
  <c r="O29" i="19"/>
  <c r="O56" i="19" s="1"/>
  <c r="BK42" i="13"/>
  <c r="BK69" i="13" s="1"/>
  <c r="AA43" i="18"/>
  <c r="AA70" i="18" s="1"/>
  <c r="BZ41" i="20"/>
  <c r="BZ68" i="20" s="1"/>
  <c r="AA35" i="19"/>
  <c r="AA62" i="19" s="1"/>
  <c r="BK24" i="13"/>
  <c r="BZ26" i="20"/>
  <c r="BZ53" i="20" s="1"/>
  <c r="BW28" i="13"/>
  <c r="BW55" i="13" s="1"/>
  <c r="O36" i="18"/>
  <c r="O63" i="18" s="1"/>
  <c r="BN35" i="20"/>
  <c r="BN62" i="20" s="1"/>
  <c r="O43" i="19"/>
  <c r="O70" i="19" s="1"/>
  <c r="BK37" i="13"/>
  <c r="BK64" i="13" s="1"/>
  <c r="BN38" i="20"/>
  <c r="AA41" i="19"/>
  <c r="AA68" i="19" s="1"/>
  <c r="BN30" i="20"/>
  <c r="AA25" i="18"/>
  <c r="AA52" i="18" s="1"/>
  <c r="AA28" i="13"/>
  <c r="AA55" i="13" s="1"/>
  <c r="BK35" i="18"/>
  <c r="BK62" i="18" s="1"/>
  <c r="O42" i="18"/>
  <c r="O69" i="18" s="1"/>
  <c r="O33" i="19"/>
  <c r="O60" i="19" s="1"/>
  <c r="AD39" i="20"/>
  <c r="AD66" i="20" s="1"/>
  <c r="O32" i="13"/>
  <c r="O59" i="13" s="1"/>
  <c r="BW38" i="19"/>
  <c r="BW65" i="19" s="1"/>
  <c r="AA38" i="18"/>
  <c r="AA65" i="18" s="1"/>
  <c r="BK36" i="18"/>
  <c r="BK63" i="18" s="1"/>
  <c r="AA33" i="20"/>
  <c r="AA60" i="20" s="1"/>
  <c r="BK27" i="13"/>
  <c r="BK54" i="13" s="1"/>
  <c r="BX29" i="20"/>
  <c r="BX56" i="20" s="1"/>
  <c r="O44" i="18"/>
  <c r="O71" i="18" s="1"/>
  <c r="BY27" i="20"/>
  <c r="BY54" i="20" s="1"/>
  <c r="BW40" i="13"/>
  <c r="BW67" i="13" s="1"/>
  <c r="AA34" i="19"/>
  <c r="AA61" i="19" s="1"/>
  <c r="BK37" i="19"/>
  <c r="BK64" i="19" s="1"/>
  <c r="BW36" i="18"/>
  <c r="BW63" i="18" s="1"/>
  <c r="BW39" i="19"/>
  <c r="BW66" i="19" s="1"/>
  <c r="BK39" i="18"/>
  <c r="BK66" i="18" s="1"/>
  <c r="BK26" i="18"/>
  <c r="BK53" i="18" s="1"/>
  <c r="O44" i="19"/>
  <c r="O71" i="19" s="1"/>
  <c r="AA40" i="19"/>
  <c r="AA67" i="19" s="1"/>
  <c r="BW37" i="13"/>
  <c r="BW64" i="13" s="1"/>
  <c r="BN25" i="20"/>
  <c r="BN36" i="20"/>
  <c r="BK43" i="19"/>
  <c r="BK70" i="19" s="1"/>
  <c r="BN24" i="20"/>
  <c r="BN51" i="20" s="1"/>
  <c r="AA41" i="13"/>
  <c r="AA68" i="13" s="1"/>
  <c r="BW41" i="13"/>
  <c r="BW68" i="13" s="1"/>
  <c r="BW32" i="20"/>
  <c r="BW59" i="20" s="1"/>
  <c r="AA32" i="19"/>
  <c r="AA59" i="19" s="1"/>
  <c r="BK34" i="18"/>
  <c r="BK61" i="18" s="1"/>
  <c r="O37" i="13"/>
  <c r="O64" i="13" s="1"/>
  <c r="O40" i="18"/>
  <c r="O67" i="18" s="1"/>
  <c r="BW43" i="19"/>
  <c r="BW70" i="19" s="1"/>
  <c r="BW26" i="13"/>
  <c r="BW53" i="13" s="1"/>
  <c r="O32" i="19"/>
  <c r="O59" i="19" s="1"/>
  <c r="BK31" i="13"/>
  <c r="BK58" i="13" s="1"/>
  <c r="BN31" i="20"/>
  <c r="BN58" i="20" s="1"/>
  <c r="AA27" i="18"/>
  <c r="AA54" i="18" s="1"/>
  <c r="BY39" i="20"/>
  <c r="BY66" i="20" s="1"/>
  <c r="O34" i="18"/>
  <c r="O61" i="18" s="1"/>
  <c r="BK29" i="13"/>
  <c r="BK56" i="13" s="1"/>
  <c r="BX41" i="20"/>
  <c r="BX68" i="20" s="1"/>
  <c r="BW25" i="13"/>
  <c r="BW52" i="13" s="1"/>
  <c r="AA24" i="13"/>
  <c r="BW36" i="19"/>
  <c r="BW63" i="19" s="1"/>
  <c r="AC27" i="20"/>
  <c r="AC54" i="20" s="1"/>
  <c r="BN42" i="20"/>
  <c r="AA33" i="18"/>
  <c r="AA60" i="18" s="1"/>
  <c r="AD36" i="20"/>
  <c r="AD63" i="20" s="1"/>
  <c r="BN26" i="20"/>
  <c r="BK26" i="13"/>
  <c r="BK53" i="13" s="1"/>
  <c r="BK28" i="13"/>
  <c r="BK55" i="13" s="1"/>
  <c r="O40" i="19"/>
  <c r="O67" i="19" s="1"/>
  <c r="BZ30" i="20"/>
  <c r="BZ57" i="20" s="1"/>
  <c r="AD25" i="20"/>
  <c r="AD52" i="20" s="1"/>
  <c r="AA35" i="13"/>
  <c r="AA62" i="13" s="1"/>
  <c r="O36" i="19"/>
  <c r="O63" i="19" s="1"/>
  <c r="BK43" i="18"/>
  <c r="BK70" i="18" s="1"/>
  <c r="AA44" i="19"/>
  <c r="AA71" i="19" s="1"/>
  <c r="O25" i="13"/>
  <c r="O52" i="13" s="1"/>
  <c r="BW29" i="13"/>
  <c r="BW56" i="13" s="1"/>
  <c r="AA38" i="13"/>
  <c r="AA65" i="13" s="1"/>
  <c r="AD34" i="20"/>
  <c r="AD61" i="20" s="1"/>
  <c r="BW42" i="19"/>
  <c r="BW69" i="19" s="1"/>
  <c r="AD33" i="20"/>
  <c r="AD60" i="20" s="1"/>
  <c r="AA37" i="13"/>
  <c r="AA64" i="13" s="1"/>
  <c r="BW30" i="19"/>
  <c r="BW57" i="19" s="1"/>
  <c r="BZ29" i="20"/>
  <c r="BZ56" i="20" s="1"/>
  <c r="O26" i="13"/>
  <c r="O53" i="13" s="1"/>
  <c r="BK33" i="18"/>
  <c r="BK60" i="18" s="1"/>
  <c r="AD41" i="20"/>
  <c r="AD68" i="20" s="1"/>
  <c r="BY41" i="20"/>
  <c r="BY68" i="20" s="1"/>
  <c r="O29" i="18"/>
  <c r="O56" i="18" s="1"/>
  <c r="O28" i="18"/>
  <c r="O55" i="18" s="1"/>
  <c r="BN28" i="20"/>
  <c r="AA38" i="19"/>
  <c r="AA65" i="19" s="1"/>
  <c r="BK42" i="19"/>
  <c r="BK69" i="19" s="1"/>
  <c r="BY31" i="20"/>
  <c r="BY58" i="20" s="1"/>
  <c r="BK33" i="13"/>
  <c r="BK60" i="13" s="1"/>
  <c r="BZ24" i="20"/>
  <c r="BN44" i="20"/>
  <c r="AD43" i="20"/>
  <c r="AD70" i="20" s="1"/>
  <c r="AC35" i="20"/>
  <c r="AC62" i="20" s="1"/>
  <c r="BW40" i="18"/>
  <c r="BW67" i="18" s="1"/>
  <c r="AD44" i="20"/>
  <c r="AD71" i="20" s="1"/>
  <c r="AA34" i="18"/>
  <c r="AA61" i="18" s="1"/>
  <c r="BN43" i="20"/>
  <c r="BN70" i="20" s="1"/>
  <c r="BK25" i="13"/>
  <c r="BK52" i="13" s="1"/>
  <c r="O37" i="18"/>
  <c r="O64" i="18" s="1"/>
  <c r="BW34" i="19"/>
  <c r="BW61" i="19" s="1"/>
  <c r="BW37" i="18"/>
  <c r="BW64" i="18" s="1"/>
  <c r="BZ31" i="20"/>
  <c r="BZ58" i="20" s="1"/>
  <c r="O28" i="19"/>
  <c r="O55" i="19" s="1"/>
  <c r="O34" i="13"/>
  <c r="O61" i="13" s="1"/>
  <c r="AA41" i="20"/>
  <c r="AA68" i="20" s="1"/>
  <c r="BW32" i="19"/>
  <c r="BW59" i="19" s="1"/>
  <c r="BM31" i="20"/>
  <c r="O32" i="18"/>
  <c r="O59" i="18" s="1"/>
  <c r="O42" i="19"/>
  <c r="O69" i="19" s="1"/>
  <c r="BN29" i="20"/>
  <c r="BW35" i="18"/>
  <c r="BW62" i="18" s="1"/>
  <c r="AB42" i="20"/>
  <c r="AB69" i="20" s="1"/>
  <c r="AA31" i="19"/>
  <c r="AA58" i="19" s="1"/>
  <c r="O31" i="19"/>
  <c r="O58" i="19" s="1"/>
  <c r="O44" i="13"/>
  <c r="O71" i="13" s="1"/>
  <c r="BK40" i="18"/>
  <c r="BK67" i="18" s="1"/>
  <c r="BM27" i="20"/>
  <c r="BZ44" i="20"/>
  <c r="BZ71" i="20" s="1"/>
  <c r="AD42" i="20"/>
  <c r="AD69" i="20" s="1"/>
  <c r="AA36" i="19"/>
  <c r="AA63" i="19" s="1"/>
  <c r="BW30" i="13"/>
  <c r="BW57" i="13" s="1"/>
  <c r="AA41" i="18"/>
  <c r="AA68" i="18" s="1"/>
  <c r="AA26" i="20"/>
  <c r="AA53" i="20" s="1"/>
  <c r="AB27" i="20"/>
  <c r="AB54" i="20" s="1"/>
  <c r="BK30" i="18"/>
  <c r="BK57" i="18" s="1"/>
  <c r="BW39" i="13"/>
  <c r="BW66" i="13" s="1"/>
  <c r="BK24" i="18"/>
  <c r="BW26" i="19"/>
  <c r="BW53" i="19" s="1"/>
  <c r="BY24" i="20"/>
  <c r="BW42" i="18"/>
  <c r="BW69" i="18" s="1"/>
  <c r="O35" i="19"/>
  <c r="O62" i="19" s="1"/>
  <c r="BK32" i="19"/>
  <c r="BK59" i="19" s="1"/>
  <c r="AA39" i="18"/>
  <c r="AA66" i="18" s="1"/>
  <c r="AC39" i="20"/>
  <c r="AC66" i="20" s="1"/>
  <c r="AA43" i="19"/>
  <c r="AA70" i="19" s="1"/>
  <c r="AA34" i="13"/>
  <c r="AA61" i="13" s="1"/>
  <c r="BK40" i="13"/>
  <c r="BK67" i="13" s="1"/>
  <c r="O31" i="18"/>
  <c r="O58" i="18" s="1"/>
  <c r="BK44" i="13"/>
  <c r="BK71" i="13" s="1"/>
  <c r="AA36" i="18"/>
  <c r="AA63" i="18" s="1"/>
  <c r="BM24" i="20"/>
  <c r="BZ35" i="20"/>
  <c r="BZ62" i="20" s="1"/>
  <c r="AA31" i="13"/>
  <c r="AA58" i="13" s="1"/>
  <c r="O36" i="13"/>
  <c r="O63" i="13" s="1"/>
  <c r="BN32" i="20"/>
  <c r="AC34" i="20"/>
  <c r="AC61" i="20" s="1"/>
  <c r="AD38" i="20"/>
  <c r="AD65" i="20" s="1"/>
  <c r="BW27" i="19"/>
  <c r="BW54" i="19" s="1"/>
  <c r="BW35" i="13"/>
  <c r="BW62" i="13" s="1"/>
  <c r="AA30" i="18"/>
  <c r="AA57" i="18" s="1"/>
  <c r="BW38" i="13"/>
  <c r="BW65" i="13" s="1"/>
  <c r="BY29" i="19"/>
  <c r="BY56" i="19" s="1"/>
  <c r="BW25" i="20"/>
  <c r="BW52" i="20" s="1"/>
  <c r="BM37" i="13"/>
  <c r="BM64" i="13" s="1"/>
  <c r="BX44" i="20"/>
  <c r="BX71" i="20" s="1"/>
  <c r="BX43" i="18"/>
  <c r="BX70" i="18" s="1"/>
  <c r="AB24" i="18"/>
  <c r="AD41" i="13"/>
  <c r="AD68" i="13" s="1"/>
  <c r="R26" i="18"/>
  <c r="R53" i="18" s="1"/>
  <c r="BL37" i="20"/>
  <c r="BL64" i="20" s="1"/>
  <c r="BZ28" i="18"/>
  <c r="BZ55" i="18" s="1"/>
  <c r="AD38" i="18"/>
  <c r="AD65" i="18" s="1"/>
  <c r="AB35" i="13"/>
  <c r="AB62" i="13" s="1"/>
  <c r="BK27" i="18"/>
  <c r="BK54" i="18" s="1"/>
  <c r="BW36" i="20"/>
  <c r="BW63" i="20" s="1"/>
  <c r="AB24" i="13"/>
  <c r="BZ26" i="18"/>
  <c r="BZ53" i="18" s="1"/>
  <c r="AC37" i="20"/>
  <c r="AC64" i="20" s="1"/>
  <c r="P37" i="18"/>
  <c r="P64" i="18" s="1"/>
  <c r="BL41" i="18"/>
  <c r="BL68" i="18" s="1"/>
  <c r="BK41" i="20"/>
  <c r="BK68" i="20" s="1"/>
  <c r="BN31" i="13"/>
  <c r="BN58" i="13" s="1"/>
  <c r="R29" i="18"/>
  <c r="R56" i="18" s="1"/>
  <c r="BX30" i="13"/>
  <c r="BX57" i="13" s="1"/>
  <c r="BZ41" i="18"/>
  <c r="BZ68" i="18" s="1"/>
  <c r="BN44" i="13"/>
  <c r="BN71" i="13" s="1"/>
  <c r="BY25" i="13"/>
  <c r="BY52" i="13" s="1"/>
  <c r="AB43" i="13"/>
  <c r="AB70" i="13" s="1"/>
  <c r="AA38" i="20"/>
  <c r="AA65" i="20" s="1"/>
  <c r="BK39" i="20"/>
  <c r="BK66" i="20" s="1"/>
  <c r="BY38" i="18"/>
  <c r="BY65" i="18" s="1"/>
  <c r="BY44" i="18"/>
  <c r="BY71" i="18" s="1"/>
  <c r="AB38" i="13"/>
  <c r="AB65" i="13" s="1"/>
  <c r="BM29" i="20"/>
  <c r="BK34" i="20"/>
  <c r="BK61" i="20" s="1"/>
  <c r="BM35" i="18"/>
  <c r="BM62" i="18" s="1"/>
  <c r="BZ37" i="18"/>
  <c r="BZ64" i="18" s="1"/>
  <c r="AD29" i="20"/>
  <c r="AD56" i="20" s="1"/>
  <c r="AA35" i="18"/>
  <c r="AA62" i="18" s="1"/>
  <c r="AB40" i="20"/>
  <c r="AB67" i="20" s="1"/>
  <c r="AC30" i="13"/>
  <c r="AC57" i="13" s="1"/>
  <c r="BL30" i="18"/>
  <c r="BL57" i="18" s="1"/>
  <c r="BL25" i="13"/>
  <c r="BL52" i="13" s="1"/>
  <c r="AB25" i="18"/>
  <c r="AB52" i="18" s="1"/>
  <c r="BM39" i="13"/>
  <c r="BM66" i="13" s="1"/>
  <c r="BM36" i="13"/>
  <c r="BM63" i="13" s="1"/>
  <c r="BL40" i="20"/>
  <c r="BL67" i="20" s="1"/>
  <c r="BM41" i="13"/>
  <c r="BM68" i="13" s="1"/>
  <c r="BY31" i="18"/>
  <c r="BY58" i="18" s="1"/>
  <c r="AC27" i="18"/>
  <c r="AC54" i="18" s="1"/>
  <c r="AB32" i="13"/>
  <c r="AB59" i="13" s="1"/>
  <c r="O31" i="20"/>
  <c r="O58" i="20" s="1"/>
  <c r="BM34" i="13"/>
  <c r="BM61" i="13" s="1"/>
  <c r="Q32" i="18"/>
  <c r="Q59" i="18" s="1"/>
  <c r="BX33" i="20"/>
  <c r="BX60" i="20" s="1"/>
  <c r="AD32" i="13"/>
  <c r="AD59" i="13" s="1"/>
  <c r="AD25" i="18"/>
  <c r="AD52" i="18" s="1"/>
  <c r="AA27" i="20"/>
  <c r="AA54" i="20" s="1"/>
  <c r="AA40" i="13"/>
  <c r="AA67" i="13" s="1"/>
  <c r="BY35" i="20"/>
  <c r="BY62" i="20" s="1"/>
  <c r="AB33" i="18"/>
  <c r="AB60" i="18" s="1"/>
  <c r="AB26" i="20"/>
  <c r="AB53" i="20" s="1"/>
  <c r="BN38" i="18"/>
  <c r="BN65" i="18" s="1"/>
  <c r="AC33" i="13"/>
  <c r="AC60" i="13" s="1"/>
  <c r="R37" i="18"/>
  <c r="R64" i="18" s="1"/>
  <c r="AD36" i="18"/>
  <c r="AD63" i="18" s="1"/>
  <c r="BY36" i="13"/>
  <c r="BY63" i="13" s="1"/>
  <c r="BX43" i="20"/>
  <c r="BX70" i="20" s="1"/>
  <c r="BL27" i="20"/>
  <c r="BN42" i="18"/>
  <c r="BN69" i="18" s="1"/>
  <c r="AB39" i="18"/>
  <c r="AB66" i="18" s="1"/>
  <c r="Q40" i="18"/>
  <c r="BM34" i="20"/>
  <c r="BY31" i="13"/>
  <c r="BY58" i="13" s="1"/>
  <c r="BZ37" i="13"/>
  <c r="BZ64" i="13" s="1"/>
  <c r="BX41" i="18"/>
  <c r="BX68" i="18" s="1"/>
  <c r="P24" i="18"/>
  <c r="BL31" i="13"/>
  <c r="BL58" i="13" s="1"/>
  <c r="BN34" i="18"/>
  <c r="BN61" i="18" s="1"/>
  <c r="BM43" i="13"/>
  <c r="BM70" i="13" s="1"/>
  <c r="BY42" i="18"/>
  <c r="BY69" i="18" s="1"/>
  <c r="O38" i="19"/>
  <c r="O65" i="19" s="1"/>
  <c r="AC25" i="18"/>
  <c r="AC52" i="18" s="1"/>
  <c r="BX34" i="13"/>
  <c r="BX61" i="13" s="1"/>
  <c r="AD39" i="13"/>
  <c r="AD66" i="13" s="1"/>
  <c r="BX34" i="18"/>
  <c r="BX31" i="18"/>
  <c r="BX58" i="18" s="1"/>
  <c r="AC36" i="20"/>
  <c r="AC63" i="20" s="1"/>
  <c r="AD30" i="18"/>
  <c r="AD57" i="18" s="1"/>
  <c r="BN26" i="13"/>
  <c r="BN53" i="13" s="1"/>
  <c r="BM38" i="13"/>
  <c r="BM65" i="13" s="1"/>
  <c r="BZ24" i="18"/>
  <c r="BK43" i="20"/>
  <c r="BK70" i="20" s="1"/>
  <c r="BW44" i="20"/>
  <c r="BW71" i="20" s="1"/>
  <c r="BX35" i="13"/>
  <c r="BX62" i="13" s="1"/>
  <c r="BN25" i="18"/>
  <c r="BN52" i="18" s="1"/>
  <c r="BN36" i="13"/>
  <c r="BN63" i="13" s="1"/>
  <c r="AC38" i="13"/>
  <c r="AC65" i="13" s="1"/>
  <c r="O44" i="20"/>
  <c r="O71" i="20" s="1"/>
  <c r="O34" i="20"/>
  <c r="O61" i="20" s="1"/>
  <c r="AB35" i="20"/>
  <c r="AB62" i="20" s="1"/>
  <c r="BY27" i="13"/>
  <c r="BY54" i="13" s="1"/>
  <c r="AC32" i="18"/>
  <c r="AC59" i="18" s="1"/>
  <c r="BW43" i="20"/>
  <c r="BW70" i="20" s="1"/>
  <c r="AD41" i="18"/>
  <c r="AD68" i="18" s="1"/>
  <c r="BM33" i="20"/>
  <c r="Q41" i="18"/>
  <c r="Q68" i="18" s="1"/>
  <c r="BZ27" i="20"/>
  <c r="BZ54" i="20" s="1"/>
  <c r="BY44" i="13"/>
  <c r="BY71" i="13" s="1"/>
  <c r="BM33" i="18"/>
  <c r="BM60" i="18" s="1"/>
  <c r="BL29" i="20"/>
  <c r="AA28" i="20"/>
  <c r="AA55" i="20" s="1"/>
  <c r="AD33" i="13"/>
  <c r="AD60" i="13" s="1"/>
  <c r="AB27" i="13"/>
  <c r="AB54" i="13" s="1"/>
  <c r="AA31" i="20"/>
  <c r="AA58" i="20" s="1"/>
  <c r="BL39" i="13"/>
  <c r="BL66" i="13" s="1"/>
  <c r="AC41" i="20"/>
  <c r="AC68" i="20" s="1"/>
  <c r="BK32" i="20"/>
  <c r="BK59" i="20" s="1"/>
  <c r="AB24" i="20"/>
  <c r="AC24" i="13"/>
  <c r="AB25" i="13"/>
  <c r="AB52" i="13" s="1"/>
  <c r="O25" i="20"/>
  <c r="O52" i="20" s="1"/>
  <c r="BZ40" i="18"/>
  <c r="BZ67" i="18" s="1"/>
  <c r="BZ35" i="13"/>
  <c r="BZ62" i="13" s="1"/>
  <c r="BX40" i="13"/>
  <c r="BX67" i="13" s="1"/>
  <c r="BL42" i="18"/>
  <c r="BL69" i="18" s="1"/>
  <c r="BX25" i="13"/>
  <c r="BX52" i="13" s="1"/>
  <c r="BM36" i="18"/>
  <c r="BM63" i="18" s="1"/>
  <c r="AB30" i="13"/>
  <c r="AB57" i="13" s="1"/>
  <c r="R36" i="18"/>
  <c r="R63" i="18" s="1"/>
  <c r="BX32" i="18"/>
  <c r="BX59" i="18" s="1"/>
  <c r="BK31" i="20"/>
  <c r="BK58" i="20" s="1"/>
  <c r="Q31" i="18"/>
  <c r="Q58" i="18" s="1"/>
  <c r="P41" i="18"/>
  <c r="P68" i="18" s="1"/>
  <c r="BY33" i="20"/>
  <c r="BY60" i="20" s="1"/>
  <c r="BY36" i="20"/>
  <c r="BY63" i="20" s="1"/>
  <c r="BL27" i="13"/>
  <c r="BL54" i="13" s="1"/>
  <c r="BM31" i="18"/>
  <c r="BM58" i="18" s="1"/>
  <c r="AB42" i="18"/>
  <c r="AB69" i="18" s="1"/>
  <c r="BZ34" i="13"/>
  <c r="BZ61" i="13" s="1"/>
  <c r="BX36" i="13"/>
  <c r="BX63" i="13" s="1"/>
  <c r="BX28" i="18"/>
  <c r="AA36" i="20"/>
  <c r="AA63" i="20" s="1"/>
  <c r="AB35" i="18"/>
  <c r="AB62" i="18" s="1"/>
  <c r="BN27" i="13"/>
  <c r="BN54" i="13" s="1"/>
  <c r="BY28" i="20"/>
  <c r="BY55" i="20" s="1"/>
  <c r="BY43" i="18"/>
  <c r="BY70" i="18" s="1"/>
  <c r="R40" i="18"/>
  <c r="R67" i="18" s="1"/>
  <c r="AB42" i="13"/>
  <c r="AB69" i="13" s="1"/>
  <c r="BM30" i="18"/>
  <c r="BM57" i="18" s="1"/>
  <c r="BM25" i="13"/>
  <c r="BM52" i="13" s="1"/>
  <c r="R34" i="18"/>
  <c r="P44" i="18"/>
  <c r="P71" i="18" s="1"/>
  <c r="BX25" i="18"/>
  <c r="BL44" i="13"/>
  <c r="BL71" i="13" s="1"/>
  <c r="AB25" i="20"/>
  <c r="AB52" i="20" s="1"/>
  <c r="BZ32" i="18"/>
  <c r="BZ59" i="18" s="1"/>
  <c r="Q35" i="18"/>
  <c r="Q62" i="18" s="1"/>
  <c r="BY30" i="13"/>
  <c r="BY57" i="13" s="1"/>
  <c r="BL31" i="20"/>
  <c r="BL25" i="18"/>
  <c r="BL52" i="18" s="1"/>
  <c r="BN41" i="20"/>
  <c r="AC44" i="18"/>
  <c r="AC71" i="18" s="1"/>
  <c r="Q33" i="18"/>
  <c r="Q60" i="18" s="1"/>
  <c r="P31" i="18"/>
  <c r="P58" i="18" s="1"/>
  <c r="BX40" i="20"/>
  <c r="BX67" i="20" s="1"/>
  <c r="BM24" i="18"/>
  <c r="AB39" i="13"/>
  <c r="AB66" i="13" s="1"/>
  <c r="AA28" i="19"/>
  <c r="AA55" i="19" s="1"/>
  <c r="BX28" i="20"/>
  <c r="BX55" i="20" s="1"/>
  <c r="AD37" i="18"/>
  <c r="AD64" i="18" s="1"/>
  <c r="AB27" i="18"/>
  <c r="AB54" i="18" s="1"/>
  <c r="AB36" i="13"/>
  <c r="AB63" i="13" s="1"/>
  <c r="AD42" i="18"/>
  <c r="AD69" i="18" s="1"/>
  <c r="AC29" i="18"/>
  <c r="AC56" i="18" s="1"/>
  <c r="BY43" i="13"/>
  <c r="BY70" i="13" s="1"/>
  <c r="BM28" i="13"/>
  <c r="BM55" i="13" s="1"/>
  <c r="BM25" i="18"/>
  <c r="BM52" i="18" s="1"/>
  <c r="BY37" i="20"/>
  <c r="BY64" i="20" s="1"/>
  <c r="BL32" i="18"/>
  <c r="BL59" i="18" s="1"/>
  <c r="R42" i="18"/>
  <c r="R69" i="18" s="1"/>
  <c r="BM28" i="18"/>
  <c r="BM55" i="18" s="1"/>
  <c r="BZ44" i="13"/>
  <c r="BZ71" i="13" s="1"/>
  <c r="BW37" i="19"/>
  <c r="BW64" i="19" s="1"/>
  <c r="AA32" i="13"/>
  <c r="AA59" i="13" s="1"/>
  <c r="BL34" i="20"/>
  <c r="BL61" i="20" s="1"/>
  <c r="BL42" i="13"/>
  <c r="BL69" i="13" s="1"/>
  <c r="P32" i="18"/>
  <c r="P59" i="18" s="1"/>
  <c r="AC44" i="20"/>
  <c r="AC71" i="20" s="1"/>
  <c r="BZ33" i="13"/>
  <c r="BZ60" i="13" s="1"/>
  <c r="BL26" i="20"/>
  <c r="AC31" i="18"/>
  <c r="AC58" i="18" s="1"/>
  <c r="BX44" i="13"/>
  <c r="BX71" i="13" s="1"/>
  <c r="AB38" i="20"/>
  <c r="AB65" i="20" s="1"/>
  <c r="P36" i="18"/>
  <c r="P63" i="18" s="1"/>
  <c r="BN30" i="18"/>
  <c r="BN57" i="18" s="1"/>
  <c r="BN28" i="13"/>
  <c r="BN55" i="13" s="1"/>
  <c r="AB33" i="13"/>
  <c r="AB60" i="13" s="1"/>
  <c r="AD44" i="18"/>
  <c r="AD71" i="18" s="1"/>
  <c r="AB26" i="13"/>
  <c r="AB53" i="13" s="1"/>
  <c r="BL40" i="18"/>
  <c r="BL67" i="18" s="1"/>
  <c r="R33" i="18"/>
  <c r="R60" i="18" s="1"/>
  <c r="AD25" i="13"/>
  <c r="AD52" i="13" s="1"/>
  <c r="O40" i="20"/>
  <c r="O67" i="20" s="1"/>
  <c r="BW39" i="20"/>
  <c r="BW66" i="20" s="1"/>
  <c r="BX31" i="20"/>
  <c r="BX58" i="20" s="1"/>
  <c r="O26" i="20"/>
  <c r="O53" i="20" s="1"/>
  <c r="AB30" i="20"/>
  <c r="AB57" i="20" s="1"/>
  <c r="P27" i="18"/>
  <c r="BK44" i="19"/>
  <c r="BK71" i="19" s="1"/>
  <c r="AC28" i="13"/>
  <c r="AC55" i="13" s="1"/>
  <c r="AA34" i="20"/>
  <c r="AA61" i="20" s="1"/>
  <c r="BM26" i="13"/>
  <c r="BM53" i="13" s="1"/>
  <c r="P28" i="18"/>
  <c r="P55" i="18" s="1"/>
  <c r="AA37" i="20"/>
  <c r="AA64" i="20" s="1"/>
  <c r="O42" i="20"/>
  <c r="O69" i="20" s="1"/>
  <c r="BZ25" i="13"/>
  <c r="BZ52" i="13" s="1"/>
  <c r="BN30" i="13"/>
  <c r="BN57" i="13" s="1"/>
  <c r="R32" i="18"/>
  <c r="R59" i="18" s="1"/>
  <c r="AC33" i="18"/>
  <c r="AC60" i="18" s="1"/>
  <c r="BM42" i="13"/>
  <c r="BM69" i="13" s="1"/>
  <c r="BM32" i="20"/>
  <c r="AB31" i="18"/>
  <c r="AB58" i="18" s="1"/>
  <c r="AC34" i="13"/>
  <c r="AC61" i="13" s="1"/>
  <c r="BL36" i="18"/>
  <c r="BL63" i="18" s="1"/>
  <c r="BL37" i="18"/>
  <c r="BL64" i="18" s="1"/>
  <c r="AD27" i="20"/>
  <c r="AD54" i="20" s="1"/>
  <c r="BL26" i="13"/>
  <c r="BL53" i="13" s="1"/>
  <c r="BX29" i="18"/>
  <c r="AD26" i="18"/>
  <c r="AD53" i="18" s="1"/>
  <c r="AA24" i="19"/>
  <c r="BY35" i="18"/>
  <c r="BY62" i="18" s="1"/>
  <c r="Q39" i="18"/>
  <c r="Q66" i="18" s="1"/>
  <c r="BY40" i="18"/>
  <c r="BY67" i="18" s="1"/>
  <c r="BX37" i="18"/>
  <c r="BX64" i="18" s="1"/>
  <c r="BK35" i="20"/>
  <c r="BK62" i="20" s="1"/>
  <c r="BY28" i="13"/>
  <c r="BY55" i="13" s="1"/>
  <c r="AB44" i="13"/>
  <c r="AB71" i="13" s="1"/>
  <c r="BL25" i="20"/>
  <c r="BZ43" i="18"/>
  <c r="BZ70" i="18" s="1"/>
  <c r="AC40" i="20"/>
  <c r="AC67" i="20" s="1"/>
  <c r="BN39" i="13"/>
  <c r="BN66" i="13" s="1"/>
  <c r="BY41" i="13"/>
  <c r="BY68" i="13" s="1"/>
  <c r="BM43" i="18"/>
  <c r="BM70" i="18" s="1"/>
  <c r="AB40" i="13"/>
  <c r="AB67" i="13" s="1"/>
  <c r="O39" i="20"/>
  <c r="O66" i="20" s="1"/>
  <c r="BM34" i="18"/>
  <c r="BM61" i="18" s="1"/>
  <c r="BW28" i="20"/>
  <c r="BW55" i="20" s="1"/>
  <c r="BY33" i="13"/>
  <c r="BY60" i="13" s="1"/>
  <c r="BM26" i="18"/>
  <c r="BM53" i="18" s="1"/>
  <c r="BY32" i="20"/>
  <c r="BY59" i="20" s="1"/>
  <c r="AB39" i="20"/>
  <c r="AB66" i="20" s="1"/>
  <c r="BX33" i="18"/>
  <c r="BX60" i="18" s="1"/>
  <c r="AC42" i="20"/>
  <c r="AC69" i="20" s="1"/>
  <c r="AA42" i="20"/>
  <c r="AA69" i="20" s="1"/>
  <c r="BZ44" i="18"/>
  <c r="BZ71" i="18" s="1"/>
  <c r="O35" i="20"/>
  <c r="O62" i="20" s="1"/>
  <c r="AC30" i="18"/>
  <c r="AC57" i="18" s="1"/>
  <c r="BY29" i="13"/>
  <c r="BY56" i="13" s="1"/>
  <c r="BX40" i="18"/>
  <c r="BX67" i="18" s="1"/>
  <c r="BM36" i="20"/>
  <c r="BL30" i="20"/>
  <c r="BL57" i="20" s="1"/>
  <c r="BW31" i="20"/>
  <c r="BW58" i="20" s="1"/>
  <c r="AA35" i="20"/>
  <c r="AA62" i="20" s="1"/>
  <c r="BX32" i="13"/>
  <c r="BX59" i="13" s="1"/>
  <c r="O32" i="20"/>
  <c r="O59" i="20" s="1"/>
  <c r="BX29" i="13"/>
  <c r="BX56" i="13" s="1"/>
  <c r="BY40" i="20"/>
  <c r="BY67" i="20" s="1"/>
  <c r="AB26" i="18"/>
  <c r="AB53" i="18" s="1"/>
  <c r="BL43" i="13"/>
  <c r="BL70" i="13" s="1"/>
  <c r="AB36" i="18"/>
  <c r="AB63" i="18" s="1"/>
  <c r="AB28" i="20"/>
  <c r="AB55" i="20" s="1"/>
  <c r="BL29" i="18"/>
  <c r="BL56" i="18" s="1"/>
  <c r="O38" i="20"/>
  <c r="O65" i="20" s="1"/>
  <c r="BZ31" i="13"/>
  <c r="BZ58" i="13" s="1"/>
  <c r="BL44" i="18"/>
  <c r="BL71" i="18" s="1"/>
  <c r="AC29" i="13"/>
  <c r="AC56" i="13" s="1"/>
  <c r="P25" i="18"/>
  <c r="P52" i="18" s="1"/>
  <c r="AD31" i="18"/>
  <c r="AD58" i="18" s="1"/>
  <c r="BZ27" i="13"/>
  <c r="BZ54" i="13" s="1"/>
  <c r="AB41" i="13"/>
  <c r="AB68" i="13" s="1"/>
  <c r="AD27" i="18"/>
  <c r="AD54" i="18" s="1"/>
  <c r="BW38" i="20"/>
  <c r="BW65" i="20" s="1"/>
  <c r="AD37" i="13"/>
  <c r="AD64" i="13" s="1"/>
  <c r="BY34" i="18"/>
  <c r="BL35" i="13"/>
  <c r="BL62" i="13" s="1"/>
  <c r="AB38" i="18"/>
  <c r="AB65" i="18" s="1"/>
  <c r="AA32" i="20"/>
  <c r="AA59" i="20" s="1"/>
  <c r="BY35" i="13"/>
  <c r="BY62" i="13" s="1"/>
  <c r="BL28" i="20"/>
  <c r="BW40" i="20"/>
  <c r="BW67" i="20" s="1"/>
  <c r="BM32" i="13"/>
  <c r="BM59" i="13" s="1"/>
  <c r="AB32" i="18"/>
  <c r="AB59" i="18" s="1"/>
  <c r="AC42" i="18"/>
  <c r="AC69" i="18" s="1"/>
  <c r="AC43" i="13"/>
  <c r="AC70" i="13" s="1"/>
  <c r="BZ42" i="18"/>
  <c r="BZ69" i="18" s="1"/>
  <c r="BX38" i="20"/>
  <c r="BX65" i="20" s="1"/>
  <c r="BX28" i="13"/>
  <c r="BX55" i="13" s="1"/>
  <c r="BL24" i="13"/>
  <c r="BM42" i="20"/>
  <c r="BX42" i="13"/>
  <c r="BX69" i="13" s="1"/>
  <c r="AC34" i="18"/>
  <c r="AC61" i="18" s="1"/>
  <c r="AD35" i="18"/>
  <c r="AD62" i="18" s="1"/>
  <c r="R39" i="18"/>
  <c r="R66" i="18" s="1"/>
  <c r="AD34" i="13"/>
  <c r="AD61" i="13" s="1"/>
  <c r="BL39" i="18"/>
  <c r="BL66" i="18" s="1"/>
  <c r="P39" i="18"/>
  <c r="P66" i="18" s="1"/>
  <c r="BY41" i="18"/>
  <c r="BY68" i="18" s="1"/>
  <c r="R28" i="18"/>
  <c r="R55" i="18" s="1"/>
  <c r="BX26" i="13"/>
  <c r="BX53" i="13" s="1"/>
  <c r="BM28" i="20"/>
  <c r="BX36" i="20"/>
  <c r="BX63" i="20" s="1"/>
  <c r="BW35" i="20"/>
  <c r="BW62" i="20" s="1"/>
  <c r="BY24" i="13"/>
  <c r="BN28" i="18"/>
  <c r="BN55" i="18" s="1"/>
  <c r="AC26" i="20"/>
  <c r="AC53" i="20" s="1"/>
  <c r="BZ36" i="18"/>
  <c r="AB28" i="18"/>
  <c r="AB55" i="18" s="1"/>
  <c r="AA33" i="13"/>
  <c r="AA60" i="13" s="1"/>
  <c r="AC24" i="20"/>
  <c r="AB34" i="13"/>
  <c r="AB61" i="13" s="1"/>
  <c r="BN41" i="18"/>
  <c r="BN68" i="18" s="1"/>
  <c r="BX24" i="20"/>
  <c r="BN31" i="18"/>
  <c r="BN58" i="18" s="1"/>
  <c r="BN37" i="18"/>
  <c r="BN64" i="18" s="1"/>
  <c r="AB33" i="20"/>
  <c r="AB60" i="20" s="1"/>
  <c r="Q29" i="18"/>
  <c r="Q56" i="18" s="1"/>
  <c r="BM25" i="20"/>
  <c r="BM27" i="13"/>
  <c r="BM54" i="13" s="1"/>
  <c r="BX30" i="18"/>
  <c r="BX57" i="18" s="1"/>
  <c r="BN43" i="13"/>
  <c r="BN70" i="13" s="1"/>
  <c r="R31" i="18"/>
  <c r="R58" i="18" s="1"/>
  <c r="AD24" i="13"/>
  <c r="BZ31" i="18"/>
  <c r="BZ58" i="18" s="1"/>
  <c r="AD27" i="13"/>
  <c r="AD54" i="13" s="1"/>
  <c r="BL34" i="13"/>
  <c r="BL61" i="13" s="1"/>
  <c r="R24" i="18"/>
  <c r="BK36" i="20"/>
  <c r="BK63" i="20" s="1"/>
  <c r="BN36" i="18"/>
  <c r="BN63" i="18" s="1"/>
  <c r="BY34" i="20"/>
  <c r="BY61" i="20" s="1"/>
  <c r="BN42" i="13"/>
  <c r="BN69" i="13" s="1"/>
  <c r="R27" i="18"/>
  <c r="R54" i="18" s="1"/>
  <c r="BL31" i="18"/>
  <c r="BL58" i="18" s="1"/>
  <c r="BZ32" i="13"/>
  <c r="BZ59" i="13" s="1"/>
  <c r="AC26" i="13"/>
  <c r="AC53" i="13" s="1"/>
  <c r="Q36" i="18"/>
  <c r="Q63" i="18" s="1"/>
  <c r="O28" i="20"/>
  <c r="O55" i="20" s="1"/>
  <c r="BW27" i="20"/>
  <c r="BW54" i="20" s="1"/>
  <c r="AB31" i="20"/>
  <c r="AB58" i="20" s="1"/>
  <c r="BK41" i="19"/>
  <c r="BK68" i="19" s="1"/>
  <c r="R44" i="18"/>
  <c r="R71" i="18" s="1"/>
  <c r="AC30" i="20"/>
  <c r="AC57" i="20" s="1"/>
  <c r="BX38" i="13"/>
  <c r="BX65" i="13" s="1"/>
  <c r="BM32" i="18"/>
  <c r="BM59" i="18" s="1"/>
  <c r="BN35" i="13"/>
  <c r="BN62" i="13" s="1"/>
  <c r="AD34" i="18"/>
  <c r="AD61" i="18" s="1"/>
  <c r="O41" i="20"/>
  <c r="O68" i="20" s="1"/>
  <c r="BL34" i="18"/>
  <c r="BL61" i="18" s="1"/>
  <c r="BM29" i="18"/>
  <c r="BM56" i="18" s="1"/>
  <c r="BK44" i="20"/>
  <c r="BK71" i="20" s="1"/>
  <c r="BM30" i="13"/>
  <c r="BM57" i="13" s="1"/>
  <c r="BY30" i="18"/>
  <c r="BY57" i="18" s="1"/>
  <c r="BX24" i="13"/>
  <c r="Q43" i="18"/>
  <c r="Q70" i="18" s="1"/>
  <c r="BY26" i="18"/>
  <c r="BY53" i="18" s="1"/>
  <c r="BN33" i="13"/>
  <c r="BN60" i="13" s="1"/>
  <c r="R43" i="18"/>
  <c r="R70" i="18" s="1"/>
  <c r="AD24" i="18"/>
  <c r="BX42" i="18"/>
  <c r="BX69" i="18" s="1"/>
  <c r="R38" i="18"/>
  <c r="R65" i="18" s="1"/>
  <c r="BL36" i="13"/>
  <c r="BL63" i="13" s="1"/>
  <c r="AC35" i="18"/>
  <c r="AC62" i="18" s="1"/>
  <c r="BL38" i="18"/>
  <c r="BL65" i="18" s="1"/>
  <c r="AD26" i="13"/>
  <c r="AD53" i="13" s="1"/>
  <c r="BZ39" i="13"/>
  <c r="BZ66" i="13" s="1"/>
  <c r="BY36" i="18"/>
  <c r="Q44" i="18"/>
  <c r="Q71" i="18" s="1"/>
  <c r="AC32" i="20"/>
  <c r="AC59" i="20" s="1"/>
  <c r="BL38" i="13"/>
  <c r="BL65" i="13" s="1"/>
  <c r="AC33" i="20"/>
  <c r="AC60" i="20" s="1"/>
  <c r="AD32" i="18"/>
  <c r="AD59" i="18" s="1"/>
  <c r="AD33" i="18"/>
  <c r="AD60" i="18" s="1"/>
  <c r="Q37" i="18"/>
  <c r="Q64" i="18" s="1"/>
  <c r="BX26" i="18"/>
  <c r="BZ29" i="13"/>
  <c r="BZ56" i="13" s="1"/>
  <c r="BZ39" i="18"/>
  <c r="BZ25" i="18"/>
  <c r="BZ52" i="18" s="1"/>
  <c r="BZ30" i="13"/>
  <c r="BZ57" i="13" s="1"/>
  <c r="BN29" i="18"/>
  <c r="BN56" i="18" s="1"/>
  <c r="BN40" i="13"/>
  <c r="BN67" i="13" s="1"/>
  <c r="AC37" i="13"/>
  <c r="AC64" i="13" s="1"/>
  <c r="BY29" i="20"/>
  <c r="BY56" i="20" s="1"/>
  <c r="BY37" i="18"/>
  <c r="BY64" i="18" s="1"/>
  <c r="BY26" i="20"/>
  <c r="BY53" i="20" s="1"/>
  <c r="AB29" i="18"/>
  <c r="AB56" i="18" s="1"/>
  <c r="AD36" i="13"/>
  <c r="AD63" i="13" s="1"/>
  <c r="BN27" i="18"/>
  <c r="BN54" i="18" s="1"/>
  <c r="AD40" i="18"/>
  <c r="AD67" i="18" s="1"/>
  <c r="AA25" i="19"/>
  <c r="AA52" i="19" s="1"/>
  <c r="BL42" i="20"/>
  <c r="BL69" i="20" s="1"/>
  <c r="AC36" i="13"/>
  <c r="AC63" i="13" s="1"/>
  <c r="BX27" i="18"/>
  <c r="BY40" i="13"/>
  <c r="BY67" i="13" s="1"/>
  <c r="BY29" i="18"/>
  <c r="BY56" i="18" s="1"/>
  <c r="O36" i="20"/>
  <c r="O63" i="20" s="1"/>
  <c r="BZ34" i="18"/>
  <c r="BZ61" i="18" s="1"/>
  <c r="AD28" i="18"/>
  <c r="AD55" i="18" s="1"/>
  <c r="BY26" i="13"/>
  <c r="BY53" i="13" s="1"/>
  <c r="AC42" i="13"/>
  <c r="AC69" i="13" s="1"/>
  <c r="BK40" i="20"/>
  <c r="BK67" i="20" s="1"/>
  <c r="BN26" i="18"/>
  <c r="BN53" i="18" s="1"/>
  <c r="O24" i="20"/>
  <c r="AB37" i="18"/>
  <c r="AB64" i="18" s="1"/>
  <c r="BM37" i="18"/>
  <c r="BM64" i="18" s="1"/>
  <c r="P35" i="18"/>
  <c r="P62" i="18" s="1"/>
  <c r="AA40" i="20"/>
  <c r="AA67" i="20" s="1"/>
  <c r="BZ42" i="13"/>
  <c r="BZ69" i="13" s="1"/>
  <c r="BN27" i="20"/>
  <c r="BM44" i="13"/>
  <c r="BM71" i="13" s="1"/>
  <c r="BZ33" i="18"/>
  <c r="BW29" i="20"/>
  <c r="BW56" i="20" s="1"/>
  <c r="BM44" i="18"/>
  <c r="BM71" i="18" s="1"/>
  <c r="AD28" i="13"/>
  <c r="AD55" i="13" s="1"/>
  <c r="BL33" i="18"/>
  <c r="BL60" i="18" s="1"/>
  <c r="BM41" i="20"/>
  <c r="BM38" i="18"/>
  <c r="BM65" i="18" s="1"/>
  <c r="BL33" i="13"/>
  <c r="BL60" i="13" s="1"/>
  <c r="BN24" i="13"/>
  <c r="BX24" i="18"/>
  <c r="AC39" i="18"/>
  <c r="AC66" i="18" s="1"/>
  <c r="BZ26" i="13"/>
  <c r="BZ53" i="13" s="1"/>
  <c r="BM37" i="20"/>
  <c r="BY39" i="13"/>
  <c r="BY66" i="13" s="1"/>
  <c r="P42" i="18"/>
  <c r="BN32" i="13"/>
  <c r="BN59" i="13" s="1"/>
  <c r="BZ29" i="18"/>
  <c r="BZ56" i="18" s="1"/>
  <c r="BM35" i="13"/>
  <c r="BM62" i="13" s="1"/>
  <c r="BL27" i="18"/>
  <c r="BL54" i="18" s="1"/>
  <c r="BX36" i="18"/>
  <c r="BX63" i="18" s="1"/>
  <c r="BM24" i="13"/>
  <c r="AD39" i="18"/>
  <c r="AD66" i="18" s="1"/>
  <c r="P43" i="18"/>
  <c r="P70" i="18" s="1"/>
  <c r="AA29" i="19"/>
  <c r="AA56" i="19" s="1"/>
  <c r="O24" i="19"/>
  <c r="AB28" i="13"/>
  <c r="AB55" i="13" s="1"/>
  <c r="BZ40" i="13"/>
  <c r="BZ67" i="13" s="1"/>
  <c r="BL32" i="20"/>
  <c r="BL59" i="20" s="1"/>
  <c r="Q28" i="18"/>
  <c r="Q55" i="18" s="1"/>
  <c r="AD42" i="13"/>
  <c r="AD69" i="13" s="1"/>
  <c r="BX37" i="20"/>
  <c r="BX64" i="20" s="1"/>
  <c r="BL26" i="18"/>
  <c r="BL53" i="18" s="1"/>
  <c r="BY38" i="13"/>
  <c r="BY65" i="13" s="1"/>
  <c r="BL43" i="18"/>
  <c r="BL70" i="18" s="1"/>
  <c r="BX41" i="13"/>
  <c r="BX68" i="13" s="1"/>
  <c r="Q26" i="18"/>
  <c r="Q53" i="18" s="1"/>
  <c r="AC24" i="18"/>
  <c r="AC27" i="13"/>
  <c r="AC54" i="13" s="1"/>
  <c r="BY25" i="20"/>
  <c r="BY52" i="20" s="1"/>
  <c r="AD38" i="13"/>
  <c r="AD65" i="13" s="1"/>
  <c r="BY24" i="18"/>
  <c r="BN37" i="13"/>
  <c r="BN64" i="13" s="1"/>
  <c r="BM27" i="18"/>
  <c r="BM54" i="18" s="1"/>
  <c r="BY39" i="18"/>
  <c r="AB36" i="20"/>
  <c r="AB63" i="20" s="1"/>
  <c r="BN32" i="18"/>
  <c r="BN59" i="18" s="1"/>
  <c r="BY37" i="13"/>
  <c r="BY64" i="13" s="1"/>
  <c r="AB44" i="18"/>
  <c r="AB71" i="18" s="1"/>
  <c r="BL36" i="20"/>
  <c r="BZ38" i="13"/>
  <c r="BZ65" i="13" s="1"/>
  <c r="BK30" i="20"/>
  <c r="BK57" i="20" s="1"/>
  <c r="BY28" i="18"/>
  <c r="BY55" i="18" s="1"/>
  <c r="BK35" i="19"/>
  <c r="BK62" i="19" s="1"/>
  <c r="AA29" i="20"/>
  <c r="AA56" i="20" s="1"/>
  <c r="AC36" i="18"/>
  <c r="AC63" i="18" s="1"/>
  <c r="BX43" i="13"/>
  <c r="BX70" i="13" s="1"/>
  <c r="BM40" i="13"/>
  <c r="BM67" i="13" s="1"/>
  <c r="BX35" i="18"/>
  <c r="BX62" i="18" s="1"/>
  <c r="AB30" i="18"/>
  <c r="AB57" i="18" s="1"/>
  <c r="AD29" i="13"/>
  <c r="AD56" i="13" s="1"/>
  <c r="AD29" i="18"/>
  <c r="AD56" i="18" s="1"/>
  <c r="AB29" i="20"/>
  <c r="AB56" i="20" s="1"/>
  <c r="BX37" i="13"/>
  <c r="BX64" i="13" s="1"/>
  <c r="AC43" i="18"/>
  <c r="AC70" i="18" s="1"/>
  <c r="BM41" i="18"/>
  <c r="BM68" i="18" s="1"/>
  <c r="BL30" i="13"/>
  <c r="BL57" i="13" s="1"/>
  <c r="BY32" i="18"/>
  <c r="BY59" i="18" s="1"/>
  <c r="BM44" i="20"/>
  <c r="BN24" i="18"/>
  <c r="AC32" i="13"/>
  <c r="AC59" i="13" s="1"/>
  <c r="BN25" i="13"/>
  <c r="BN52" i="13" s="1"/>
  <c r="AD44" i="13"/>
  <c r="AD71" i="13" s="1"/>
  <c r="AB29" i="13"/>
  <c r="AB56" i="13" s="1"/>
  <c r="P40" i="18"/>
  <c r="AD30" i="13"/>
  <c r="AD57" i="13" s="1"/>
  <c r="BX39" i="18"/>
  <c r="BX66" i="18" s="1"/>
  <c r="AC40" i="13"/>
  <c r="AC67" i="13" s="1"/>
  <c r="AC39" i="13"/>
  <c r="AC66" i="13" s="1"/>
  <c r="BZ30" i="19"/>
  <c r="BZ57" i="19" s="1"/>
  <c r="AC41" i="13"/>
  <c r="AC68" i="13" s="1"/>
  <c r="BL43" i="20"/>
  <c r="AC26" i="18"/>
  <c r="AC53" i="18" s="1"/>
  <c r="BW34" i="20"/>
  <c r="BW61" i="20" s="1"/>
  <c r="BY33" i="18"/>
  <c r="BY34" i="13"/>
  <c r="BY61" i="13" s="1"/>
  <c r="BM42" i="18"/>
  <c r="BM69" i="18" s="1"/>
  <c r="O37" i="20"/>
  <c r="O64" i="20" s="1"/>
  <c r="BZ38" i="18"/>
  <c r="BZ65" i="18" s="1"/>
  <c r="BZ36" i="13"/>
  <c r="BZ63" i="13" s="1"/>
  <c r="BX42" i="20"/>
  <c r="BX69" i="20" s="1"/>
  <c r="BY44" i="20"/>
  <c r="BY71" i="20" s="1"/>
  <c r="AC40" i="18"/>
  <c r="AC67" i="18" s="1"/>
  <c r="P34" i="18"/>
  <c r="P61" i="18" s="1"/>
  <c r="BN44" i="18"/>
  <c r="BN71" i="18" s="1"/>
  <c r="BM29" i="13"/>
  <c r="BM56" i="13" s="1"/>
  <c r="BN34" i="13"/>
  <c r="BN61" i="13" s="1"/>
  <c r="BL28" i="18"/>
  <c r="BL55" i="18" s="1"/>
  <c r="BL37" i="13"/>
  <c r="BL64" i="13" s="1"/>
  <c r="R35" i="18"/>
  <c r="R62" i="18" s="1"/>
  <c r="O33" i="20"/>
  <c r="O60" i="20" s="1"/>
  <c r="BL24" i="20"/>
  <c r="P38" i="18"/>
  <c r="P65" i="18" s="1"/>
  <c r="AD35" i="13"/>
  <c r="AD62" i="13" s="1"/>
  <c r="AB34" i="18"/>
  <c r="AB61" i="18" s="1"/>
  <c r="BN29" i="13"/>
  <c r="BN56" i="13" s="1"/>
  <c r="AB43" i="20"/>
  <c r="AB70" i="20" s="1"/>
  <c r="BM40" i="18"/>
  <c r="BM67" i="18" s="1"/>
  <c r="BY32" i="13"/>
  <c r="BY59" i="13" s="1"/>
  <c r="Q34" i="18"/>
  <c r="BM31" i="13"/>
  <c r="BM58" i="13" s="1"/>
  <c r="BX25" i="20"/>
  <c r="BX52" i="20" s="1"/>
  <c r="AD31" i="13"/>
  <c r="AD58" i="13" s="1"/>
  <c r="BX35" i="20"/>
  <c r="BX62" i="20" s="1"/>
  <c r="BK42" i="20"/>
  <c r="BK69" i="20" s="1"/>
  <c r="BM40" i="20"/>
  <c r="P29" i="18"/>
  <c r="P56" i="18" s="1"/>
  <c r="AB41" i="18"/>
  <c r="AB68" i="18" s="1"/>
  <c r="BZ43" i="13"/>
  <c r="BZ70" i="13" s="1"/>
  <c r="Q30" i="18"/>
  <c r="Q57" i="18" s="1"/>
  <c r="BZ35" i="18"/>
  <c r="BZ62" i="18" s="1"/>
  <c r="AC41" i="18"/>
  <c r="AC68" i="18" s="1"/>
  <c r="P26" i="18"/>
  <c r="P53" i="18" s="1"/>
  <c r="BM26" i="20"/>
  <c r="AA26" i="19"/>
  <c r="AA53" i="19" s="1"/>
  <c r="AA24" i="20"/>
  <c r="AB40" i="18"/>
  <c r="AB67" i="18" s="1"/>
  <c r="BM28" i="19"/>
  <c r="BM55" i="19" s="1"/>
  <c r="AD39" i="19"/>
  <c r="AD66" i="19" s="1"/>
  <c r="P35" i="20"/>
  <c r="P62" i="20" s="1"/>
  <c r="R34" i="19"/>
  <c r="R61" i="19" s="1"/>
  <c r="BZ36" i="19"/>
  <c r="BZ63" i="19" s="1"/>
  <c r="BY40" i="19"/>
  <c r="BY67" i="19" s="1"/>
  <c r="R26" i="20"/>
  <c r="R53" i="20" s="1"/>
  <c r="Q28" i="20"/>
  <c r="Q55" i="20" s="1"/>
  <c r="AB37" i="20"/>
  <c r="AB64" i="20" s="1"/>
  <c r="R28" i="20"/>
  <c r="R55" i="20" s="1"/>
  <c r="R41" i="18"/>
  <c r="R68" i="18" s="1"/>
  <c r="BM37" i="19"/>
  <c r="BM64" i="19" s="1"/>
  <c r="AC38" i="20"/>
  <c r="AC65" i="20" s="1"/>
  <c r="AD43" i="18"/>
  <c r="AD70" i="18" s="1"/>
  <c r="BZ24" i="19"/>
  <c r="AC43" i="19"/>
  <c r="AC70" i="19" s="1"/>
  <c r="AD35" i="19"/>
  <c r="AD62" i="19" s="1"/>
  <c r="Q44" i="19"/>
  <c r="Q71" i="19" s="1"/>
  <c r="BM25" i="19"/>
  <c r="BM52" i="19" s="1"/>
  <c r="Q25" i="19"/>
  <c r="Q52" i="19" s="1"/>
  <c r="R40" i="19"/>
  <c r="R67" i="19" s="1"/>
  <c r="BL29" i="13"/>
  <c r="BL56" i="13" s="1"/>
  <c r="BN42" i="19"/>
  <c r="BN69" i="19" s="1"/>
  <c r="R28" i="19"/>
  <c r="R55" i="19" s="1"/>
  <c r="AA30" i="20"/>
  <c r="AA57" i="20" s="1"/>
  <c r="BK29" i="20"/>
  <c r="BZ35" i="19"/>
  <c r="BZ62" i="19" s="1"/>
  <c r="BK33" i="20"/>
  <c r="BK60" i="20" s="1"/>
  <c r="R35" i="19"/>
  <c r="R62" i="19" s="1"/>
  <c r="BY27" i="19"/>
  <c r="BY54" i="19" s="1"/>
  <c r="AC44" i="19"/>
  <c r="AC71" i="19" s="1"/>
  <c r="Q31" i="20"/>
  <c r="Q58" i="20" s="1"/>
  <c r="AB34" i="20"/>
  <c r="AB61" i="20" s="1"/>
  <c r="Q36" i="19"/>
  <c r="Q63" i="19" s="1"/>
  <c r="P42" i="20"/>
  <c r="P69" i="20" s="1"/>
  <c r="BM39" i="19"/>
  <c r="BM66" i="19" s="1"/>
  <c r="BZ28" i="19"/>
  <c r="BZ55" i="19" s="1"/>
  <c r="BY33" i="19"/>
  <c r="BY60" i="19" s="1"/>
  <c r="Q38" i="18"/>
  <c r="Q65" i="18" s="1"/>
  <c r="AB31" i="13"/>
  <c r="AB58" i="13" s="1"/>
  <c r="R30" i="19"/>
  <c r="R57" i="19" s="1"/>
  <c r="AC25" i="19"/>
  <c r="AC52" i="19" s="1"/>
  <c r="BZ25" i="19"/>
  <c r="BZ52" i="19" s="1"/>
  <c r="BL35" i="18"/>
  <c r="BL62" i="18" s="1"/>
  <c r="BL40" i="13"/>
  <c r="BL67" i="13" s="1"/>
  <c r="BN39" i="19"/>
  <c r="BN66" i="19" s="1"/>
  <c r="BM38" i="19"/>
  <c r="BM65" i="19" s="1"/>
  <c r="Q27" i="18"/>
  <c r="BY37" i="19"/>
  <c r="BY64" i="19" s="1"/>
  <c r="R25" i="19"/>
  <c r="R52" i="19" s="1"/>
  <c r="R29" i="19"/>
  <c r="R56" i="19" s="1"/>
  <c r="R41" i="19"/>
  <c r="R68" i="19" s="1"/>
  <c r="BX31" i="13"/>
  <c r="BX58" i="13" s="1"/>
  <c r="BX34" i="20"/>
  <c r="BX61" i="20" s="1"/>
  <c r="Q34" i="19"/>
  <c r="Q61" i="19" s="1"/>
  <c r="BN33" i="19"/>
  <c r="BN60" i="19" s="1"/>
  <c r="BY38" i="19"/>
  <c r="BY65" i="19" s="1"/>
  <c r="BN41" i="13"/>
  <c r="BN68" i="13" s="1"/>
  <c r="BL44" i="20"/>
  <c r="Q43" i="19"/>
  <c r="Q70" i="19" s="1"/>
  <c r="P44" i="20"/>
  <c r="P71" i="20" s="1"/>
  <c r="AC37" i="19"/>
  <c r="AC64" i="19" s="1"/>
  <c r="BN25" i="19"/>
  <c r="BN52" i="19" s="1"/>
  <c r="BZ40" i="19"/>
  <c r="BZ67" i="19" s="1"/>
  <c r="BK29" i="19"/>
  <c r="BK56" i="19" s="1"/>
  <c r="R33" i="20"/>
  <c r="R60" i="20" s="1"/>
  <c r="AD33" i="19"/>
  <c r="AD60" i="19" s="1"/>
  <c r="AD43" i="13"/>
  <c r="AD70" i="13" s="1"/>
  <c r="Q25" i="18"/>
  <c r="Q52" i="18" s="1"/>
  <c r="Q39" i="19"/>
  <c r="Q66" i="19" s="1"/>
  <c r="BN32" i="19"/>
  <c r="BN59" i="19" s="1"/>
  <c r="BM43" i="19"/>
  <c r="BM70" i="19" s="1"/>
  <c r="BM42" i="19"/>
  <c r="BM69" i="19" s="1"/>
  <c r="BK27" i="20"/>
  <c r="BZ26" i="19"/>
  <c r="BZ53" i="19" s="1"/>
  <c r="BW30" i="20"/>
  <c r="BW57" i="20" s="1"/>
  <c r="Q34" i="20"/>
  <c r="Q61" i="20" s="1"/>
  <c r="P33" i="20"/>
  <c r="P60" i="20" s="1"/>
  <c r="BN40" i="19"/>
  <c r="BN67" i="19" s="1"/>
  <c r="P28" i="20"/>
  <c r="P55" i="20" s="1"/>
  <c r="BZ39" i="19"/>
  <c r="BZ66" i="19" s="1"/>
  <c r="AC25" i="13"/>
  <c r="AC52" i="13" s="1"/>
  <c r="BL41" i="20"/>
  <c r="BL68" i="20" s="1"/>
  <c r="BM29" i="19"/>
  <c r="BM56" i="19" s="1"/>
  <c r="AC40" i="19"/>
  <c r="AC67" i="19" s="1"/>
  <c r="AD25" i="19"/>
  <c r="AD52" i="19" s="1"/>
  <c r="R26" i="19"/>
  <c r="R53" i="19" s="1"/>
  <c r="R30" i="20"/>
  <c r="R57" i="20" s="1"/>
  <c r="AD40" i="13"/>
  <c r="AD67" i="13" s="1"/>
  <c r="BN35" i="18"/>
  <c r="BN62" i="18" s="1"/>
  <c r="BZ41" i="19"/>
  <c r="BZ68" i="19" s="1"/>
  <c r="BM41" i="19"/>
  <c r="BM68" i="19" s="1"/>
  <c r="AD38" i="19"/>
  <c r="AD65" i="19" s="1"/>
  <c r="BL33" i="20"/>
  <c r="BL60" i="20" s="1"/>
  <c r="BZ41" i="13"/>
  <c r="BZ68" i="13" s="1"/>
  <c r="AD43" i="19"/>
  <c r="AD70" i="19" s="1"/>
  <c r="BM34" i="19"/>
  <c r="BM61" i="19" s="1"/>
  <c r="BL32" i="13"/>
  <c r="BL59" i="13" s="1"/>
  <c r="AC27" i="19"/>
  <c r="AC54" i="19" s="1"/>
  <c r="BL35" i="20"/>
  <c r="AC31" i="13"/>
  <c r="AC58" i="13" s="1"/>
  <c r="BM33" i="19"/>
  <c r="BM60" i="19" s="1"/>
  <c r="Q44" i="20"/>
  <c r="Q71" i="20" s="1"/>
  <c r="R34" i="20"/>
  <c r="R61" i="20" s="1"/>
  <c r="Q43" i="20"/>
  <c r="Q70" i="20" s="1"/>
  <c r="BZ27" i="18"/>
  <c r="BZ54" i="18" s="1"/>
  <c r="R30" i="18"/>
  <c r="R57" i="18" s="1"/>
  <c r="AC31" i="19"/>
  <c r="AC58" i="19" s="1"/>
  <c r="BZ38" i="19"/>
  <c r="BZ65" i="19" s="1"/>
  <c r="R42" i="19"/>
  <c r="R69" i="19" s="1"/>
  <c r="BX44" i="18"/>
  <c r="BX71" i="18" s="1"/>
  <c r="AD32" i="19"/>
  <c r="AD59" i="19" s="1"/>
  <c r="Q38" i="19"/>
  <c r="Q65" i="19" s="1"/>
  <c r="Q24" i="18"/>
  <c r="BN43" i="19"/>
  <c r="BN70" i="19" s="1"/>
  <c r="AA27" i="19"/>
  <c r="AA54" i="19" s="1"/>
  <c r="AC28" i="19"/>
  <c r="AC55" i="19" s="1"/>
  <c r="P32" i="20"/>
  <c r="P59" i="20" s="1"/>
  <c r="AC30" i="19"/>
  <c r="AC57" i="19" s="1"/>
  <c r="BK27" i="19"/>
  <c r="BK54" i="19" s="1"/>
  <c r="AC32" i="19"/>
  <c r="AC59" i="19" s="1"/>
  <c r="R33" i="19"/>
  <c r="R60" i="19" s="1"/>
  <c r="Q24" i="19"/>
  <c r="R32" i="19"/>
  <c r="R59" i="19" s="1"/>
  <c r="R32" i="20"/>
  <c r="R59" i="20" s="1"/>
  <c r="BX33" i="13"/>
  <c r="BX60" i="13" s="1"/>
  <c r="BY31" i="19"/>
  <c r="BY58" i="19" s="1"/>
  <c r="AD30" i="19"/>
  <c r="AD57" i="19" s="1"/>
  <c r="P37" i="20"/>
  <c r="P64" i="20" s="1"/>
  <c r="O43" i="20"/>
  <c r="O70" i="20" s="1"/>
  <c r="BM33" i="13"/>
  <c r="BM60" i="13" s="1"/>
  <c r="BK24" i="19"/>
  <c r="Q42" i="19"/>
  <c r="Q69" i="19" s="1"/>
  <c r="BZ28" i="13"/>
  <c r="BZ55" i="13" s="1"/>
  <c r="Q27" i="19"/>
  <c r="Q54" i="19" s="1"/>
  <c r="AD36" i="19"/>
  <c r="AD63" i="19" s="1"/>
  <c r="AB43" i="18"/>
  <c r="AB70" i="18" s="1"/>
  <c r="BZ24" i="13"/>
  <c r="AD44" i="19"/>
  <c r="AD71" i="19" s="1"/>
  <c r="BN38" i="19"/>
  <c r="BN65" i="19" s="1"/>
  <c r="BZ29" i="19"/>
  <c r="BZ56" i="19" s="1"/>
  <c r="R31" i="20"/>
  <c r="R58" i="20" s="1"/>
  <c r="BN40" i="18"/>
  <c r="BN67" i="18" s="1"/>
  <c r="BX27" i="13"/>
  <c r="BX54" i="13" s="1"/>
  <c r="AD26" i="19"/>
  <c r="AD53" i="19" s="1"/>
  <c r="Q27" i="20"/>
  <c r="AC29" i="19"/>
  <c r="AC56" i="19" s="1"/>
  <c r="BN37" i="19"/>
  <c r="BN64" i="19" s="1"/>
  <c r="AC28" i="18"/>
  <c r="AC55" i="18" s="1"/>
  <c r="BY34" i="19"/>
  <c r="BY61" i="19" s="1"/>
  <c r="BN31" i="19"/>
  <c r="BN58" i="19" s="1"/>
  <c r="Q25" i="20"/>
  <c r="Q52" i="20" s="1"/>
  <c r="BW24" i="20"/>
  <c r="Q42" i="18"/>
  <c r="BN30" i="19"/>
  <c r="BN57" i="19" s="1"/>
  <c r="R29" i="20"/>
  <c r="R56" i="20" s="1"/>
  <c r="AC44" i="13"/>
  <c r="AC71" i="13" s="1"/>
  <c r="Q26" i="19"/>
  <c r="Q53" i="19" s="1"/>
  <c r="R44" i="20"/>
  <c r="R71" i="20" s="1"/>
  <c r="R37" i="19"/>
  <c r="R64" i="19" s="1"/>
  <c r="AC36" i="19"/>
  <c r="AC63" i="19" s="1"/>
  <c r="BM30" i="20"/>
  <c r="BY36" i="19"/>
  <c r="BY63" i="19" s="1"/>
  <c r="Q38" i="20"/>
  <c r="Q65" i="20" s="1"/>
  <c r="BN38" i="13"/>
  <c r="BN65" i="13" s="1"/>
  <c r="BY27" i="18"/>
  <c r="BY54" i="18" s="1"/>
  <c r="BL24" i="18"/>
  <c r="BY32" i="19"/>
  <c r="BY59" i="19" s="1"/>
  <c r="AD24" i="19"/>
  <c r="AD34" i="19"/>
  <c r="AD61" i="19" s="1"/>
  <c r="BY28" i="19"/>
  <c r="BY55" i="19" s="1"/>
  <c r="BZ44" i="19"/>
  <c r="BZ71" i="19" s="1"/>
  <c r="P38" i="20"/>
  <c r="P65" i="20" s="1"/>
  <c r="AC34" i="19"/>
  <c r="AC61" i="19" s="1"/>
  <c r="BM36" i="19"/>
  <c r="BM63" i="19" s="1"/>
  <c r="R44" i="19"/>
  <c r="R71" i="19" s="1"/>
  <c r="Q32" i="19"/>
  <c r="Q59" i="19" s="1"/>
  <c r="R24" i="20"/>
  <c r="BZ31" i="19"/>
  <c r="BZ58" i="19" s="1"/>
  <c r="BW41" i="20"/>
  <c r="BW68" i="20" s="1"/>
  <c r="R42" i="20"/>
  <c r="R69" i="20" s="1"/>
  <c r="R27" i="19"/>
  <c r="R54" i="19" s="1"/>
  <c r="R38" i="20"/>
  <c r="R65" i="20" s="1"/>
  <c r="AC35" i="13"/>
  <c r="AC62" i="13" s="1"/>
  <c r="P29" i="20"/>
  <c r="P56" i="20" s="1"/>
  <c r="BL37" i="19"/>
  <c r="BL64" i="19" s="1"/>
  <c r="BK25" i="19"/>
  <c r="BK52" i="19" s="1"/>
  <c r="P39" i="20"/>
  <c r="P66" i="20" s="1"/>
  <c r="Q33" i="20"/>
  <c r="Q60" i="20" s="1"/>
  <c r="AD42" i="19"/>
  <c r="AD69" i="19" s="1"/>
  <c r="BZ27" i="19"/>
  <c r="BZ54" i="19" s="1"/>
  <c r="P30" i="20"/>
  <c r="P57" i="20" s="1"/>
  <c r="BN27" i="19"/>
  <c r="BN54" i="19" s="1"/>
  <c r="O27" i="20"/>
  <c r="O54" i="20" s="1"/>
  <c r="P33" i="18"/>
  <c r="P60" i="18" s="1"/>
  <c r="BN33" i="18"/>
  <c r="BN60" i="18" s="1"/>
  <c r="BN26" i="19"/>
  <c r="BN53" i="19" s="1"/>
  <c r="AA25" i="20"/>
  <c r="AA52" i="20" s="1"/>
  <c r="BY42" i="13"/>
  <c r="BY69" i="13" s="1"/>
  <c r="BY41" i="19"/>
  <c r="BY68" i="19" s="1"/>
  <c r="BY30" i="19"/>
  <c r="BY57" i="19" s="1"/>
  <c r="BM38" i="20"/>
  <c r="R39" i="20"/>
  <c r="R66" i="20" s="1"/>
  <c r="R36" i="19"/>
  <c r="R63" i="19" s="1"/>
  <c r="O30" i="20"/>
  <c r="O57" i="20" s="1"/>
  <c r="Q32" i="20"/>
  <c r="Q59" i="20" s="1"/>
  <c r="BY35" i="19"/>
  <c r="BY62" i="19" s="1"/>
  <c r="R24" i="19"/>
  <c r="Q33" i="19"/>
  <c r="Q60" i="19" s="1"/>
  <c r="Q35" i="20"/>
  <c r="Q62" i="20" s="1"/>
  <c r="BN39" i="18"/>
  <c r="BN66" i="18" s="1"/>
  <c r="BK37" i="20"/>
  <c r="BK64" i="20" s="1"/>
  <c r="AD28" i="19"/>
  <c r="AD55" i="19" s="1"/>
  <c r="BM40" i="19"/>
  <c r="BM67" i="19" s="1"/>
  <c r="Q36" i="20"/>
  <c r="Q63" i="20" s="1"/>
  <c r="BN43" i="18"/>
  <c r="BN70" i="18" s="1"/>
  <c r="BM39" i="18"/>
  <c r="BM66" i="18" s="1"/>
  <c r="AC28" i="20"/>
  <c r="AC55" i="20" s="1"/>
  <c r="Q35" i="19"/>
  <c r="Q62" i="19" s="1"/>
  <c r="BY42" i="19"/>
  <c r="BY69" i="19" s="1"/>
  <c r="BM27" i="19"/>
  <c r="BM54" i="19" s="1"/>
  <c r="R27" i="20"/>
  <c r="R54" i="20" s="1"/>
  <c r="O29" i="20"/>
  <c r="O56" i="20" s="1"/>
  <c r="AC37" i="18"/>
  <c r="AC64" i="18" s="1"/>
  <c r="BN24" i="19"/>
  <c r="Q42" i="20"/>
  <c r="Q69" i="20" s="1"/>
  <c r="BM35" i="19"/>
  <c r="BM62" i="19" s="1"/>
  <c r="Q37" i="19"/>
  <c r="Q64" i="19" s="1"/>
  <c r="P25" i="20"/>
  <c r="P52" i="20" s="1"/>
  <c r="Q26" i="20"/>
  <c r="Q53" i="20" s="1"/>
  <c r="BM31" i="19"/>
  <c r="BM58" i="19" s="1"/>
  <c r="AD37" i="19"/>
  <c r="AD64" i="19" s="1"/>
  <c r="BL41" i="13"/>
  <c r="BL68" i="13" s="1"/>
  <c r="BK28" i="20"/>
  <c r="AC38" i="19"/>
  <c r="AC65" i="19" s="1"/>
  <c r="BK38" i="20"/>
  <c r="BK65" i="20" s="1"/>
  <c r="BY24" i="19"/>
  <c r="BM30" i="19"/>
  <c r="BM57" i="19" s="1"/>
  <c r="P34" i="20"/>
  <c r="P61" i="20" s="1"/>
  <c r="AB37" i="13"/>
  <c r="AB64" i="13" s="1"/>
  <c r="Q29" i="19"/>
  <c r="Q56" i="19" s="1"/>
  <c r="BY26" i="19"/>
  <c r="BY53" i="19" s="1"/>
  <c r="R37" i="20"/>
  <c r="R64" i="20" s="1"/>
  <c r="BL38" i="20"/>
  <c r="BL65" i="20" s="1"/>
  <c r="Q40" i="20"/>
  <c r="Q67" i="20" s="1"/>
  <c r="AC41" i="19"/>
  <c r="AC68" i="19" s="1"/>
  <c r="AC38" i="18"/>
  <c r="AC65" i="18" s="1"/>
  <c r="Q31" i="19"/>
  <c r="Q58" i="19" s="1"/>
  <c r="AC24" i="19"/>
  <c r="AB32" i="20"/>
  <c r="AB59" i="20" s="1"/>
  <c r="BX38" i="18"/>
  <c r="BX65" i="18" s="1"/>
  <c r="BN28" i="19"/>
  <c r="BN55" i="19" s="1"/>
  <c r="Q24" i="20"/>
  <c r="BX39" i="13"/>
  <c r="BX66" i="13" s="1"/>
  <c r="BW42" i="20"/>
  <c r="BW69" i="20" s="1"/>
  <c r="R35" i="20"/>
  <c r="R62" i="20" s="1"/>
  <c r="Q40" i="19"/>
  <c r="Q67" i="19" s="1"/>
  <c r="AC35" i="19"/>
  <c r="AC62" i="19" s="1"/>
  <c r="AC39" i="19"/>
  <c r="AC66" i="19" s="1"/>
  <c r="BZ30" i="18"/>
  <c r="BZ57" i="18" s="1"/>
  <c r="BM32" i="19"/>
  <c r="BM59" i="19" s="1"/>
  <c r="R38" i="19"/>
  <c r="R65" i="19" s="1"/>
  <c r="R25" i="18"/>
  <c r="R52" i="18" s="1"/>
  <c r="P30" i="18"/>
  <c r="P57" i="18" s="1"/>
  <c r="AA43" i="20"/>
  <c r="AA70" i="20" s="1"/>
  <c r="BY43" i="19"/>
  <c r="BY70" i="19" s="1"/>
  <c r="BZ32" i="19"/>
  <c r="BZ59" i="19" s="1"/>
  <c r="P24" i="20"/>
  <c r="BY25" i="18"/>
  <c r="BY52" i="18" s="1"/>
  <c r="BM24" i="19"/>
  <c r="R43" i="20"/>
  <c r="R70" i="20" s="1"/>
  <c r="BL28" i="13"/>
  <c r="BL55" i="13" s="1"/>
  <c r="BK25" i="20"/>
  <c r="AB34" i="19"/>
  <c r="AB61" i="19" s="1"/>
  <c r="P27" i="20"/>
  <c r="BW26" i="18"/>
  <c r="AB43" i="19"/>
  <c r="AB70" i="19" s="1"/>
  <c r="R43" i="19"/>
  <c r="R70" i="19" s="1"/>
  <c r="AD29" i="19"/>
  <c r="AD56" i="19" s="1"/>
  <c r="BN34" i="19"/>
  <c r="BN61" i="19" s="1"/>
  <c r="Q29" i="20"/>
  <c r="Q56" i="20" s="1"/>
  <c r="BY44" i="19"/>
  <c r="BY71" i="19" s="1"/>
  <c r="BX30" i="19"/>
  <c r="BX57" i="19" s="1"/>
  <c r="BX39" i="19"/>
  <c r="BX66" i="19" s="1"/>
  <c r="P40" i="19"/>
  <c r="P67" i="19" s="1"/>
  <c r="R36" i="20"/>
  <c r="R63" i="20" s="1"/>
  <c r="BZ37" i="19"/>
  <c r="BZ64" i="19" s="1"/>
  <c r="P24" i="19"/>
  <c r="P40" i="20"/>
  <c r="P67" i="20" s="1"/>
  <c r="P27" i="19"/>
  <c r="P54" i="19" s="1"/>
  <c r="AB37" i="19"/>
  <c r="AB64" i="19" s="1"/>
  <c r="AB36" i="19"/>
  <c r="AB63" i="19" s="1"/>
  <c r="AC42" i="19"/>
  <c r="AC69" i="19" s="1"/>
  <c r="BK24" i="20"/>
  <c r="P35" i="19"/>
  <c r="P62" i="19" s="1"/>
  <c r="BK26" i="19"/>
  <c r="BK53" i="19" s="1"/>
  <c r="R41" i="20"/>
  <c r="R68" i="20" s="1"/>
  <c r="P26" i="20"/>
  <c r="P53" i="20" s="1"/>
  <c r="R39" i="19"/>
  <c r="R66" i="19" s="1"/>
  <c r="P41" i="20"/>
  <c r="P68" i="20" s="1"/>
  <c r="BL26" i="19"/>
  <c r="BL53" i="19" s="1"/>
  <c r="BW24" i="18"/>
  <c r="BX24" i="19"/>
  <c r="BL34" i="19"/>
  <c r="BL61" i="19" s="1"/>
  <c r="Q30" i="19"/>
  <c r="Q57" i="19" s="1"/>
  <c r="P26" i="19"/>
  <c r="P53" i="19" s="1"/>
  <c r="BL40" i="19"/>
  <c r="BL67" i="19" s="1"/>
  <c r="P28" i="19"/>
  <c r="P55" i="19" s="1"/>
  <c r="BL38" i="19"/>
  <c r="BL65" i="19" s="1"/>
  <c r="R31" i="19"/>
  <c r="R58" i="19" s="1"/>
  <c r="P34" i="19"/>
  <c r="P61" i="19" s="1"/>
  <c r="P32" i="19"/>
  <c r="P59" i="19" s="1"/>
  <c r="BL27" i="19"/>
  <c r="BL54" i="19" s="1"/>
  <c r="AB27" i="19"/>
  <c r="AB54" i="19" s="1"/>
  <c r="P43" i="20"/>
  <c r="P70" i="20" s="1"/>
  <c r="BL29" i="19"/>
  <c r="BL56" i="19" s="1"/>
  <c r="AB24" i="19"/>
  <c r="BX43" i="19"/>
  <c r="BX70" i="19" s="1"/>
  <c r="Q41" i="20"/>
  <c r="Q68" i="20" s="1"/>
  <c r="P31" i="20"/>
  <c r="P58" i="20" s="1"/>
  <c r="BN29" i="19"/>
  <c r="BN56" i="19" s="1"/>
  <c r="AB28" i="19"/>
  <c r="AB55" i="19" s="1"/>
  <c r="BK28" i="19"/>
  <c r="BK55" i="19" s="1"/>
  <c r="BN35" i="19"/>
  <c r="BN62" i="19" s="1"/>
  <c r="BZ42" i="19"/>
  <c r="BZ69" i="19" s="1"/>
  <c r="P39" i="19"/>
  <c r="P66" i="19" s="1"/>
  <c r="BK26" i="20"/>
  <c r="AB26" i="19"/>
  <c r="AB53" i="19" s="1"/>
  <c r="Q28" i="19"/>
  <c r="Q55" i="19" s="1"/>
  <c r="AC26" i="19"/>
  <c r="AC53" i="19" s="1"/>
  <c r="BX35" i="19"/>
  <c r="BX62" i="19" s="1"/>
  <c r="BL33" i="19"/>
  <c r="BL60" i="19" s="1"/>
  <c r="P37" i="19"/>
  <c r="P64" i="19" s="1"/>
  <c r="BX36" i="19"/>
  <c r="BX63" i="19" s="1"/>
  <c r="BL43" i="19"/>
  <c r="BL70" i="19" s="1"/>
  <c r="BZ33" i="19"/>
  <c r="BZ60" i="19" s="1"/>
  <c r="R40" i="20"/>
  <c r="R67" i="20" s="1"/>
  <c r="BY39" i="19"/>
  <c r="BY66" i="19" s="1"/>
  <c r="P30" i="19"/>
  <c r="P57" i="19" s="1"/>
  <c r="AD27" i="19"/>
  <c r="AD54" i="19" s="1"/>
  <c r="P29" i="19"/>
  <c r="P56" i="19" s="1"/>
  <c r="P41" i="19"/>
  <c r="P68" i="19" s="1"/>
  <c r="BX28" i="19"/>
  <c r="BX55" i="19" s="1"/>
  <c r="BL25" i="19"/>
  <c r="BL52" i="19" s="1"/>
  <c r="BW29" i="18"/>
  <c r="BN44" i="19"/>
  <c r="BN71" i="19" s="1"/>
  <c r="BX37" i="19"/>
  <c r="BX64" i="19" s="1"/>
  <c r="BM26" i="19"/>
  <c r="BM53" i="19" s="1"/>
  <c r="R25" i="20"/>
  <c r="R52" i="20" s="1"/>
  <c r="BN41" i="19"/>
  <c r="BN68" i="19" s="1"/>
  <c r="AD31" i="19"/>
  <c r="AD58" i="19" s="1"/>
  <c r="BN36" i="19"/>
  <c r="BN63" i="19" s="1"/>
  <c r="AB25" i="19"/>
  <c r="AB52" i="19" s="1"/>
  <c r="AD41" i="19"/>
  <c r="AD68" i="19" s="1"/>
  <c r="Q30" i="20"/>
  <c r="Q57" i="20" s="1"/>
  <c r="BX27" i="19"/>
  <c r="BX54" i="19" s="1"/>
  <c r="BZ43" i="19"/>
  <c r="BZ70" i="19" s="1"/>
  <c r="AB40" i="19"/>
  <c r="AB67" i="19" s="1"/>
  <c r="Q37" i="20"/>
  <c r="Q64" i="20" s="1"/>
  <c r="P36" i="20"/>
  <c r="P63" i="20" s="1"/>
  <c r="P33" i="19"/>
  <c r="P60" i="19" s="1"/>
  <c r="BX44" i="19"/>
  <c r="BX71" i="19" s="1"/>
  <c r="BZ34" i="19"/>
  <c r="BZ61" i="19" s="1"/>
  <c r="BY25" i="19"/>
  <c r="BY52" i="19" s="1"/>
  <c r="Q39" i="20"/>
  <c r="Q66" i="20" s="1"/>
  <c r="Q41" i="19"/>
  <c r="Q68" i="19" s="1"/>
  <c r="BX25" i="19"/>
  <c r="BX52" i="19" s="1"/>
  <c r="AD40" i="19"/>
  <c r="AD67" i="19" s="1"/>
  <c r="AB31" i="19"/>
  <c r="AB58" i="19" s="1"/>
  <c r="AC33" i="19"/>
  <c r="AC60" i="19" s="1"/>
  <c r="AB38" i="19"/>
  <c r="AB65" i="19" s="1"/>
  <c r="P38" i="19"/>
  <c r="P65" i="19" s="1"/>
  <c r="BX33" i="19"/>
  <c r="BX60" i="19" s="1"/>
  <c r="BX42" i="19"/>
  <c r="BX69" i="19" s="1"/>
  <c r="BL30" i="19"/>
  <c r="BL57" i="19" s="1"/>
  <c r="BX41" i="19"/>
  <c r="BX68" i="19" s="1"/>
  <c r="BW27" i="18"/>
  <c r="AB33" i="19"/>
  <c r="AB60" i="19" s="1"/>
  <c r="BL44" i="19"/>
  <c r="BL71" i="19" s="1"/>
  <c r="P42" i="19"/>
  <c r="P69" i="19" s="1"/>
  <c r="BL35" i="19"/>
  <c r="BL62" i="19" s="1"/>
  <c r="AB41" i="19"/>
  <c r="AB68" i="19" s="1"/>
  <c r="AB30" i="19"/>
  <c r="AB57" i="19" s="1"/>
  <c r="BM44" i="19"/>
  <c r="BM71" i="19" s="1"/>
  <c r="BX40" i="19"/>
  <c r="BX67" i="19" s="1"/>
  <c r="BX32" i="19"/>
  <c r="BX59" i="19" s="1"/>
  <c r="P36" i="19"/>
  <c r="P63" i="19" s="1"/>
  <c r="BL36" i="19"/>
  <c r="BL63" i="19" s="1"/>
  <c r="AB44" i="19"/>
  <c r="AB71" i="19" s="1"/>
  <c r="AB29" i="19"/>
  <c r="AB56" i="19" s="1"/>
  <c r="BL24" i="19"/>
  <c r="P31" i="19"/>
  <c r="P58" i="19" s="1"/>
  <c r="BX38" i="19"/>
  <c r="BX65" i="19" s="1"/>
  <c r="BX31" i="19"/>
  <c r="BX58" i="19" s="1"/>
  <c r="P25" i="19"/>
  <c r="P52" i="19" s="1"/>
  <c r="BW25" i="18"/>
  <c r="AB39" i="19"/>
  <c r="AB66" i="19" s="1"/>
  <c r="BX34" i="19"/>
  <c r="BX61" i="19" s="1"/>
  <c r="BX26" i="19"/>
  <c r="BX53" i="19" s="1"/>
  <c r="BX29" i="19"/>
  <c r="BX56" i="19" s="1"/>
  <c r="BL42" i="19"/>
  <c r="BL69" i="19" s="1"/>
  <c r="BL32" i="19"/>
  <c r="BL59" i="19" s="1"/>
  <c r="BL39" i="19"/>
  <c r="BL66" i="19" s="1"/>
  <c r="BW28" i="18"/>
  <c r="P44" i="19"/>
  <c r="P71" i="19" s="1"/>
  <c r="BL28" i="19"/>
  <c r="BL55" i="19" s="1"/>
  <c r="P43" i="19"/>
  <c r="P70" i="19" s="1"/>
  <c r="BL31" i="19"/>
  <c r="BL58" i="19" s="1"/>
  <c r="BL41" i="19"/>
  <c r="BL68" i="19" s="1"/>
  <c r="AB32" i="19"/>
  <c r="AB59" i="19" s="1"/>
  <c r="AB42" i="19"/>
  <c r="AB69" i="19" s="1"/>
  <c r="AB35" i="19"/>
  <c r="AB62" i="19" s="1"/>
  <c r="J58" i="4"/>
  <c r="M43" i="13"/>
  <c r="M70" i="13" s="1"/>
  <c r="BI43" i="20"/>
  <c r="V26" i="9"/>
  <c r="Y43" i="20"/>
  <c r="X25" i="9"/>
  <c r="P56" i="4"/>
  <c r="P52" i="4"/>
  <c r="I58" i="4"/>
  <c r="O56" i="4"/>
  <c r="H57" i="4"/>
  <c r="G35" i="4"/>
  <c r="R58" i="4"/>
  <c r="G54" i="4"/>
  <c r="Q58" i="4"/>
  <c r="O52" i="4"/>
  <c r="O58" i="4"/>
  <c r="P55" i="4"/>
  <c r="P58" i="4"/>
  <c r="I57" i="4"/>
  <c r="Q56" i="4"/>
  <c r="O53" i="4"/>
  <c r="J56" i="4"/>
  <c r="P53" i="4"/>
  <c r="I55" i="4"/>
  <c r="G58" i="4"/>
  <c r="H55" i="4"/>
  <c r="I56" i="4"/>
  <c r="Q55" i="4"/>
  <c r="R55" i="4"/>
  <c r="Q53" i="4"/>
  <c r="H42" i="18"/>
  <c r="H69" i="18" s="1"/>
  <c r="H40" i="20"/>
  <c r="H67" i="20" s="1"/>
  <c r="U42" i="13"/>
  <c r="S30" i="18"/>
  <c r="BO35" i="13"/>
  <c r="J42" i="20"/>
  <c r="J69" i="20" s="1"/>
  <c r="BO34" i="13"/>
  <c r="I26" i="18"/>
  <c r="I53" i="18" s="1"/>
  <c r="I26" i="20"/>
  <c r="I53" i="20" s="1"/>
  <c r="I42" i="19"/>
  <c r="I69" i="19" s="1"/>
  <c r="H26" i="13"/>
  <c r="H53" i="13" s="1"/>
  <c r="K37" i="13"/>
  <c r="K64" i="13" s="1"/>
  <c r="AG54" i="11"/>
  <c r="BD41" i="13"/>
  <c r="I28" i="19"/>
  <c r="I55" i="19" s="1"/>
  <c r="BO35" i="20"/>
  <c r="U41" i="18"/>
  <c r="BU41" i="20"/>
  <c r="L41" i="19"/>
  <c r="L68" i="19" s="1"/>
  <c r="AO70" i="11"/>
  <c r="AI59" i="11"/>
  <c r="BO39" i="19"/>
  <c r="AN58" i="11"/>
  <c r="K33" i="13"/>
  <c r="K60" i="13" s="1"/>
  <c r="M34" i="19"/>
  <c r="M61" i="19" s="1"/>
  <c r="S39" i="13"/>
  <c r="AM69" i="11"/>
  <c r="BU35" i="19"/>
  <c r="S28" i="20"/>
  <c r="BI27" i="19"/>
  <c r="H40" i="13"/>
  <c r="H67" i="13" s="1"/>
  <c r="AP58" i="11"/>
  <c r="M26" i="20"/>
  <c r="M53" i="20" s="1"/>
  <c r="BU43" i="18"/>
  <c r="W31" i="19"/>
  <c r="BE27" i="19"/>
  <c r="Y34" i="13"/>
  <c r="W31" i="20"/>
  <c r="BI34" i="13"/>
  <c r="W43" i="20"/>
  <c r="R42" i="13"/>
  <c r="X41" i="13"/>
  <c r="P38" i="13"/>
  <c r="BE30" i="13"/>
  <c r="AK63" i="11"/>
  <c r="BO25" i="18"/>
  <c r="BO30" i="18"/>
  <c r="AM68" i="11"/>
  <c r="BE32" i="18"/>
  <c r="AP68" i="11"/>
  <c r="BO31" i="13"/>
  <c r="BE37" i="20"/>
  <c r="K35" i="18"/>
  <c r="K62" i="18" s="1"/>
  <c r="BI35" i="19"/>
  <c r="L50" i="11"/>
  <c r="I69" i="11"/>
  <c r="S36" i="13"/>
  <c r="W42" i="13"/>
  <c r="H30" i="20"/>
  <c r="H57" i="20" s="1"/>
  <c r="BO31" i="20"/>
  <c r="L35" i="19"/>
  <c r="L62" i="19" s="1"/>
  <c r="M41" i="20"/>
  <c r="M68" i="20" s="1"/>
  <c r="S25" i="19"/>
  <c r="M61" i="11"/>
  <c r="BD26" i="18"/>
  <c r="I29" i="13"/>
  <c r="I56" i="13" s="1"/>
  <c r="AN57" i="11"/>
  <c r="H43" i="19"/>
  <c r="H70" i="19" s="1"/>
  <c r="BI39" i="19"/>
  <c r="J52" i="11"/>
  <c r="U38" i="18"/>
  <c r="BO29" i="13"/>
  <c r="K25" i="20"/>
  <c r="K52" i="20" s="1"/>
  <c r="M51" i="11"/>
  <c r="AP51" i="11"/>
  <c r="L37" i="19"/>
  <c r="L64" i="19" s="1"/>
  <c r="BO25" i="20"/>
  <c r="H37" i="20"/>
  <c r="H64" i="20" s="1"/>
  <c r="I25" i="20"/>
  <c r="I52" i="20" s="1"/>
  <c r="P52" i="11"/>
  <c r="X44" i="13"/>
  <c r="BD34" i="18"/>
  <c r="S43" i="13"/>
  <c r="U39" i="20"/>
  <c r="L58" i="11"/>
  <c r="AF66" i="11"/>
  <c r="AK56" i="11"/>
  <c r="H39" i="19"/>
  <c r="H66" i="19" s="1"/>
  <c r="BO31" i="18"/>
  <c r="L68" i="11"/>
  <c r="BD39" i="19"/>
  <c r="AP60" i="11"/>
  <c r="I26" i="13"/>
  <c r="I53" i="13" s="1"/>
  <c r="Q57" i="11"/>
  <c r="BD32" i="13"/>
  <c r="H50" i="11"/>
  <c r="BD36" i="18"/>
  <c r="AJ56" i="11"/>
  <c r="BD29" i="13"/>
  <c r="BI25" i="13"/>
  <c r="P50" i="11"/>
  <c r="AO57" i="11"/>
  <c r="M40" i="18"/>
  <c r="M67" i="18" s="1"/>
  <c r="H39" i="13"/>
  <c r="H66" i="13" s="1"/>
  <c r="Y40" i="20"/>
  <c r="M28" i="18"/>
  <c r="M55" i="18" s="1"/>
  <c r="H35" i="19"/>
  <c r="H62" i="19" s="1"/>
  <c r="BI31" i="20"/>
  <c r="BE32" i="13"/>
  <c r="BE59" i="13" s="1"/>
  <c r="L61" i="11"/>
  <c r="W36" i="19"/>
  <c r="W30" i="19"/>
  <c r="M39" i="13"/>
  <c r="M66" i="13" s="1"/>
  <c r="M31" i="18"/>
  <c r="M58" i="18" s="1"/>
  <c r="W28" i="18"/>
  <c r="R38" i="13"/>
  <c r="I29" i="19"/>
  <c r="I56" i="19" s="1"/>
  <c r="BO38" i="20"/>
  <c r="U44" i="20"/>
  <c r="I24" i="20"/>
  <c r="BD36" i="20"/>
  <c r="BD32" i="18"/>
  <c r="BD59" i="18" s="1"/>
  <c r="BE28" i="19"/>
  <c r="H52" i="11"/>
  <c r="AN51" i="11"/>
  <c r="AK51" i="11"/>
  <c r="AH70" i="11"/>
  <c r="L70" i="11"/>
  <c r="H26" i="19"/>
  <c r="H53" i="19" s="1"/>
  <c r="AP63" i="11"/>
  <c r="BD44" i="20"/>
  <c r="BD43" i="19"/>
  <c r="AM62" i="11"/>
  <c r="AI54" i="11"/>
  <c r="AM70" i="11"/>
  <c r="AN67" i="11"/>
  <c r="S29" i="20"/>
  <c r="U36" i="20"/>
  <c r="L33" i="18"/>
  <c r="L60" i="18" s="1"/>
  <c r="K68" i="11"/>
  <c r="BD28" i="18"/>
  <c r="BO26" i="18"/>
  <c r="W44" i="19"/>
  <c r="K52" i="11"/>
  <c r="BU39" i="20"/>
  <c r="BI40" i="18"/>
  <c r="I39" i="19"/>
  <c r="I66" i="19" s="1"/>
  <c r="I50" i="11"/>
  <c r="P35" i="13"/>
  <c r="L40" i="19"/>
  <c r="L67" i="19" s="1"/>
  <c r="I43" i="19"/>
  <c r="I70" i="19" s="1"/>
  <c r="BI42" i="13"/>
  <c r="X43" i="13"/>
  <c r="BE29" i="20"/>
  <c r="BO37" i="13"/>
  <c r="I44" i="19"/>
  <c r="I71" i="19" s="1"/>
  <c r="AF58" i="11"/>
  <c r="J38" i="20"/>
  <c r="J65" i="20" s="1"/>
  <c r="R52" i="11"/>
  <c r="H28" i="18"/>
  <c r="H55" i="18" s="1"/>
  <c r="BE30" i="18"/>
  <c r="Y35" i="20"/>
  <c r="AF61" i="11"/>
  <c r="BO24" i="20"/>
  <c r="AM57" i="11"/>
  <c r="H38" i="18"/>
  <c r="H65" i="18" s="1"/>
  <c r="BD24" i="18"/>
  <c r="I63" i="11"/>
  <c r="BD33" i="13"/>
  <c r="BD60" i="13" s="1"/>
  <c r="BO25" i="13"/>
  <c r="BO52" i="13" s="1"/>
  <c r="U31" i="18"/>
  <c r="S43" i="19"/>
  <c r="L53" i="11"/>
  <c r="S35" i="13"/>
  <c r="Y25" i="19"/>
  <c r="I32" i="18"/>
  <c r="I59" i="18" s="1"/>
  <c r="H24" i="20"/>
  <c r="BO30" i="13"/>
  <c r="S27" i="19"/>
  <c r="Q31" i="13"/>
  <c r="H38" i="13"/>
  <c r="H65" i="13" s="1"/>
  <c r="BD30" i="13"/>
  <c r="BI33" i="13"/>
  <c r="BI39" i="13"/>
  <c r="BI29" i="19"/>
  <c r="K35" i="20"/>
  <c r="K62" i="20" s="1"/>
  <c r="W41" i="20"/>
  <c r="K41" i="18"/>
  <c r="K68" i="18" s="1"/>
  <c r="AM59" i="11"/>
  <c r="M40" i="13"/>
  <c r="M67" i="13" s="1"/>
  <c r="I40" i="20"/>
  <c r="I67" i="20" s="1"/>
  <c r="BO39" i="20"/>
  <c r="O58" i="11"/>
  <c r="H29" i="19"/>
  <c r="H56" i="19" s="1"/>
  <c r="BE39" i="19"/>
  <c r="U36" i="18"/>
  <c r="U32" i="13"/>
  <c r="U59" i="13" s="1"/>
  <c r="AP66" i="11"/>
  <c r="BD42" i="13"/>
  <c r="BD69" i="13" s="1"/>
  <c r="BD37" i="19"/>
  <c r="S29" i="13"/>
  <c r="M70" i="11"/>
  <c r="S26" i="19"/>
  <c r="S53" i="19" s="1"/>
  <c r="I36" i="20"/>
  <c r="I63" i="20" s="1"/>
  <c r="BD26" i="13"/>
  <c r="AP59" i="11"/>
  <c r="BO38" i="18"/>
  <c r="BO33" i="13"/>
  <c r="AJ57" i="11"/>
  <c r="R53" i="11"/>
  <c r="BD36" i="13"/>
  <c r="I27" i="20"/>
  <c r="I54" i="20" s="1"/>
  <c r="H27" i="18"/>
  <c r="H54" i="18" s="1"/>
  <c r="U34" i="13"/>
  <c r="M42" i="13"/>
  <c r="M69" i="13" s="1"/>
  <c r="W29" i="20"/>
  <c r="Y24" i="18"/>
  <c r="K27" i="18"/>
  <c r="K54" i="18" s="1"/>
  <c r="Q30" i="13"/>
  <c r="BU39" i="13"/>
  <c r="BU34" i="13"/>
  <c r="K42" i="19"/>
  <c r="K69" i="19" s="1"/>
  <c r="M25" i="18"/>
  <c r="M52" i="18" s="1"/>
  <c r="V34" i="20"/>
  <c r="I43" i="13"/>
  <c r="I70" i="13" s="1"/>
  <c r="BI42" i="20"/>
  <c r="BE26" i="18"/>
  <c r="BE53" i="18" s="1"/>
  <c r="I30" i="19"/>
  <c r="I57" i="19" s="1"/>
  <c r="V44" i="20"/>
  <c r="V71" i="20" s="1"/>
  <c r="S35" i="19"/>
  <c r="S36" i="18"/>
  <c r="S63" i="18" s="1"/>
  <c r="AO56" i="11"/>
  <c r="U27" i="18"/>
  <c r="S31" i="19"/>
  <c r="S58" i="19" s="1"/>
  <c r="AF69" i="11"/>
  <c r="Q68" i="11"/>
  <c r="AK58" i="11"/>
  <c r="AI62" i="11"/>
  <c r="AG67" i="11"/>
  <c r="BO26" i="13"/>
  <c r="R65" i="11"/>
  <c r="M32" i="20"/>
  <c r="M59" i="20" s="1"/>
  <c r="BD41" i="20"/>
  <c r="BD40" i="13"/>
  <c r="BD67" i="13" s="1"/>
  <c r="H29" i="18"/>
  <c r="H56" i="18" s="1"/>
  <c r="P62" i="11"/>
  <c r="AJ68" i="11"/>
  <c r="Y39" i="19"/>
  <c r="BE41" i="19"/>
  <c r="AO59" i="11"/>
  <c r="S41" i="20"/>
  <c r="H59" i="11"/>
  <c r="H41" i="18"/>
  <c r="H68" i="18" s="1"/>
  <c r="H29" i="20"/>
  <c r="H56" i="20" s="1"/>
  <c r="U27" i="20"/>
  <c r="K70" i="11"/>
  <c r="I38" i="20"/>
  <c r="I65" i="20" s="1"/>
  <c r="I24" i="13"/>
  <c r="X31" i="19"/>
  <c r="X58" i="19" s="1"/>
  <c r="U34" i="20"/>
  <c r="Y34" i="20"/>
  <c r="BU38" i="20"/>
  <c r="V40" i="20"/>
  <c r="BU36" i="18"/>
  <c r="BI35" i="20"/>
  <c r="BU31" i="18"/>
  <c r="L43" i="19"/>
  <c r="L70" i="19" s="1"/>
  <c r="K30" i="18"/>
  <c r="K57" i="18" s="1"/>
  <c r="BE42" i="20"/>
  <c r="AK55" i="11"/>
  <c r="AF59" i="11"/>
  <c r="BO32" i="18"/>
  <c r="I53" i="11"/>
  <c r="H67" i="11"/>
  <c r="I31" i="20"/>
  <c r="I58" i="20" s="1"/>
  <c r="AM53" i="11"/>
  <c r="K65" i="11"/>
  <c r="S42" i="18"/>
  <c r="Q58" i="11"/>
  <c r="K27" i="20"/>
  <c r="K54" i="20" s="1"/>
  <c r="R57" i="11"/>
  <c r="AN59" i="11"/>
  <c r="H29" i="13"/>
  <c r="H56" i="13" s="1"/>
  <c r="AO63" i="11"/>
  <c r="U40" i="18"/>
  <c r="U38" i="19"/>
  <c r="U65" i="19" s="1"/>
  <c r="AM65" i="11"/>
  <c r="AK52" i="11"/>
  <c r="AI60" i="11"/>
  <c r="R39" i="13"/>
  <c r="M30" i="19"/>
  <c r="M57" i="19" s="1"/>
  <c r="H42" i="20"/>
  <c r="H69" i="20" s="1"/>
  <c r="S40" i="20"/>
  <c r="Y37" i="13"/>
  <c r="P69" i="11"/>
  <c r="BO42" i="13"/>
  <c r="Q52" i="11"/>
  <c r="P59" i="11"/>
  <c r="O67" i="11"/>
  <c r="O55" i="11"/>
  <c r="K50" i="11"/>
  <c r="AN50" i="11"/>
  <c r="BU31" i="20"/>
  <c r="U24" i="20"/>
  <c r="J51" i="11"/>
  <c r="AF60" i="11"/>
  <c r="Q56" i="11"/>
  <c r="M41" i="19"/>
  <c r="M68" i="19" s="1"/>
  <c r="S24" i="18"/>
  <c r="P42" i="13"/>
  <c r="P69" i="13" s="1"/>
  <c r="M53" i="11"/>
  <c r="BD42" i="19"/>
  <c r="BE43" i="13"/>
  <c r="BD35" i="13"/>
  <c r="W42" i="19"/>
  <c r="AO52" i="11"/>
  <c r="BO28" i="19"/>
  <c r="AJ55" i="11"/>
  <c r="I35" i="18"/>
  <c r="I62" i="18" s="1"/>
  <c r="BO25" i="19"/>
  <c r="K36" i="19"/>
  <c r="K63" i="19" s="1"/>
  <c r="X42" i="13"/>
  <c r="X69" i="13" s="1"/>
  <c r="H34" i="19"/>
  <c r="H61" i="19" s="1"/>
  <c r="L36" i="19"/>
  <c r="L63" i="19" s="1"/>
  <c r="AH61" i="11"/>
  <c r="H37" i="19"/>
  <c r="H64" i="19" s="1"/>
  <c r="H30" i="19"/>
  <c r="H57" i="19" s="1"/>
  <c r="M59" i="11"/>
  <c r="I37" i="20"/>
  <c r="I64" i="20" s="1"/>
  <c r="K33" i="19"/>
  <c r="K60" i="19" s="1"/>
  <c r="BE31" i="13"/>
  <c r="I39" i="20"/>
  <c r="I66" i="20" s="1"/>
  <c r="M24" i="20"/>
  <c r="AN53" i="11"/>
  <c r="H65" i="11"/>
  <c r="BE34" i="18"/>
  <c r="BE61" i="18" s="1"/>
  <c r="Y39" i="18"/>
  <c r="Y66" i="18" s="1"/>
  <c r="AO69" i="11"/>
  <c r="M39" i="19"/>
  <c r="M66" i="19" s="1"/>
  <c r="BU39" i="19"/>
  <c r="M29" i="19"/>
  <c r="M56" i="19" s="1"/>
  <c r="I39" i="18"/>
  <c r="I66" i="18" s="1"/>
  <c r="BI29" i="20"/>
  <c r="W38" i="18"/>
  <c r="P25" i="13"/>
  <c r="AO64" i="11"/>
  <c r="AO65" i="11"/>
  <c r="S38" i="20"/>
  <c r="J67" i="11"/>
  <c r="S36" i="20"/>
  <c r="BD37" i="20"/>
  <c r="BD64" i="20" s="1"/>
  <c r="BO29" i="18"/>
  <c r="BO56" i="18" s="1"/>
  <c r="L54" i="11"/>
  <c r="O54" i="11"/>
  <c r="BO27" i="19"/>
  <c r="BO54" i="19" s="1"/>
  <c r="Q67" i="11"/>
  <c r="AH65" i="11"/>
  <c r="AI53" i="11"/>
  <c r="S36" i="19"/>
  <c r="S63" i="19" s="1"/>
  <c r="AK64" i="11"/>
  <c r="S30" i="13"/>
  <c r="P61" i="11"/>
  <c r="I66" i="11"/>
  <c r="K39" i="20"/>
  <c r="K66" i="20" s="1"/>
  <c r="BO38" i="13"/>
  <c r="BO65" i="13" s="1"/>
  <c r="AK54" i="11"/>
  <c r="I41" i="13"/>
  <c r="I68" i="13" s="1"/>
  <c r="H70" i="11"/>
  <c r="BD44" i="19"/>
  <c r="BD71" i="19" s="1"/>
  <c r="W39" i="20"/>
  <c r="BE28" i="13"/>
  <c r="M55" i="11"/>
  <c r="R51" i="11"/>
  <c r="R43" i="13"/>
  <c r="BI30" i="20"/>
  <c r="AN60" i="11"/>
  <c r="K34" i="13"/>
  <c r="K61" i="13" s="1"/>
  <c r="BI24" i="18"/>
  <c r="X38" i="19"/>
  <c r="I59" i="11"/>
  <c r="H26" i="18"/>
  <c r="H53" i="18" s="1"/>
  <c r="BO36" i="20"/>
  <c r="BO63" i="20" s="1"/>
  <c r="J55" i="11"/>
  <c r="S34" i="18"/>
  <c r="O65" i="11"/>
  <c r="J63" i="11"/>
  <c r="BO39" i="13"/>
  <c r="AI67" i="11"/>
  <c r="S29" i="19"/>
  <c r="S56" i="19" s="1"/>
  <c r="J34" i="20"/>
  <c r="J61" i="20" s="1"/>
  <c r="BD39" i="13"/>
  <c r="BD66" i="13" s="1"/>
  <c r="I44" i="13"/>
  <c r="I71" i="13" s="1"/>
  <c r="K26" i="20"/>
  <c r="K53" i="20" s="1"/>
  <c r="BU42" i="19"/>
  <c r="BO36" i="19"/>
  <c r="I67" i="11"/>
  <c r="AH50" i="11"/>
  <c r="BO42" i="18"/>
  <c r="AG50" i="11"/>
  <c r="BO27" i="18"/>
  <c r="BD34" i="20"/>
  <c r="BU30" i="18"/>
  <c r="Y35" i="19"/>
  <c r="Y38" i="19"/>
  <c r="S28" i="19"/>
  <c r="BE43" i="19"/>
  <c r="BE70" i="19" s="1"/>
  <c r="I39" i="13"/>
  <c r="I66" i="13" s="1"/>
  <c r="K25" i="13"/>
  <c r="K52" i="13" s="1"/>
  <c r="M33" i="13"/>
  <c r="M60" i="13" s="1"/>
  <c r="O69" i="11"/>
  <c r="AP67" i="11"/>
  <c r="Y26" i="13"/>
  <c r="U38" i="20"/>
  <c r="I42" i="20"/>
  <c r="I69" i="20" s="1"/>
  <c r="S37" i="19"/>
  <c r="U28" i="13"/>
  <c r="U55" i="13" s="1"/>
  <c r="AF65" i="11"/>
  <c r="AP70" i="11"/>
  <c r="BD33" i="20"/>
  <c r="S31" i="18"/>
  <c r="S58" i="18" s="1"/>
  <c r="AG55" i="11"/>
  <c r="O68" i="11"/>
  <c r="BO41" i="20"/>
  <c r="BO68" i="20" s="1"/>
  <c r="M30" i="18"/>
  <c r="M57" i="18" s="1"/>
  <c r="W37" i="18"/>
  <c r="AI58" i="11"/>
  <c r="H25" i="18"/>
  <c r="H52" i="18" s="1"/>
  <c r="BO39" i="18"/>
  <c r="S39" i="20"/>
  <c r="S66" i="20" s="1"/>
  <c r="U33" i="20"/>
  <c r="U60" i="20" s="1"/>
  <c r="AK69" i="11"/>
  <c r="Q41" i="13"/>
  <c r="BD27" i="19"/>
  <c r="H30" i="18"/>
  <c r="H57" i="18" s="1"/>
  <c r="M34" i="18"/>
  <c r="M61" i="18" s="1"/>
  <c r="L32" i="19"/>
  <c r="L59" i="19" s="1"/>
  <c r="Y33" i="13"/>
  <c r="H38" i="20"/>
  <c r="H65" i="20" s="1"/>
  <c r="I30" i="13"/>
  <c r="I57" i="13" s="1"/>
  <c r="K31" i="19"/>
  <c r="K58" i="19" s="1"/>
  <c r="K37" i="18"/>
  <c r="K64" i="18" s="1"/>
  <c r="AP50" i="11"/>
  <c r="I34" i="18"/>
  <c r="I61" i="18" s="1"/>
  <c r="BI33" i="18"/>
  <c r="K66" i="11"/>
  <c r="Y32" i="20"/>
  <c r="AJ65" i="11"/>
  <c r="AH55" i="11"/>
  <c r="Y33" i="19"/>
  <c r="Y34" i="18"/>
  <c r="M39" i="18"/>
  <c r="M66" i="18" s="1"/>
  <c r="M27" i="20"/>
  <c r="M54" i="20" s="1"/>
  <c r="V35" i="20"/>
  <c r="BU28" i="20"/>
  <c r="BU33" i="13"/>
  <c r="W24" i="19"/>
  <c r="BI28" i="19"/>
  <c r="Y33" i="20"/>
  <c r="M24" i="18"/>
  <c r="L44" i="13"/>
  <c r="L71" i="13" s="1"/>
  <c r="BI37" i="19"/>
  <c r="BI29" i="13"/>
  <c r="Y27" i="20"/>
  <c r="U24" i="13"/>
  <c r="AM67" i="11"/>
  <c r="S26" i="18"/>
  <c r="I55" i="11"/>
  <c r="AI63" i="11"/>
  <c r="M62" i="11"/>
  <c r="BE30" i="20"/>
  <c r="H25" i="19"/>
  <c r="H52" i="19" s="1"/>
  <c r="AP56" i="11"/>
  <c r="Q54" i="11"/>
  <c r="I29" i="20"/>
  <c r="I56" i="20" s="1"/>
  <c r="S40" i="18"/>
  <c r="BD43" i="13"/>
  <c r="AP52" i="11"/>
  <c r="BO40" i="19"/>
  <c r="J28" i="20"/>
  <c r="J55" i="20" s="1"/>
  <c r="AI51" i="11"/>
  <c r="U28" i="18"/>
  <c r="W38" i="20"/>
  <c r="S30" i="20"/>
  <c r="P66" i="11"/>
  <c r="AG62" i="11"/>
  <c r="Y25" i="18"/>
  <c r="BO33" i="19"/>
  <c r="U44" i="18"/>
  <c r="K42" i="13"/>
  <c r="K69" i="13" s="1"/>
  <c r="I25" i="13"/>
  <c r="I52" i="13" s="1"/>
  <c r="I30" i="20"/>
  <c r="I57" i="20" s="1"/>
  <c r="U24" i="18"/>
  <c r="K35" i="13"/>
  <c r="K62" i="13" s="1"/>
  <c r="BI24" i="20"/>
  <c r="AM63" i="11"/>
  <c r="L38" i="13"/>
  <c r="L65" i="13" s="1"/>
  <c r="L42" i="19"/>
  <c r="L69" i="19" s="1"/>
  <c r="P32" i="13"/>
  <c r="M41" i="18"/>
  <c r="M68" i="18" s="1"/>
  <c r="X33" i="19"/>
  <c r="W39" i="18"/>
  <c r="BE33" i="13"/>
  <c r="BE60" i="13" s="1"/>
  <c r="I25" i="19"/>
  <c r="I52" i="19" s="1"/>
  <c r="P70" i="11"/>
  <c r="BE37" i="19"/>
  <c r="BE64" i="19" s="1"/>
  <c r="M31" i="20"/>
  <c r="M58" i="20" s="1"/>
  <c r="BD37" i="18"/>
  <c r="W33" i="20"/>
  <c r="BE33" i="19"/>
  <c r="M38" i="18"/>
  <c r="M65" i="18" s="1"/>
  <c r="BU33" i="19"/>
  <c r="BI36" i="18"/>
  <c r="H33" i="13"/>
  <c r="H60" i="13" s="1"/>
  <c r="I37" i="18"/>
  <c r="I64" i="18" s="1"/>
  <c r="BI41" i="18"/>
  <c r="S29" i="18"/>
  <c r="M56" i="11"/>
  <c r="BD34" i="13"/>
  <c r="L24" i="19"/>
  <c r="M36" i="13"/>
  <c r="M63" i="13" s="1"/>
  <c r="P37" i="13"/>
  <c r="O57" i="11"/>
  <c r="AG65" i="11"/>
  <c r="R50" i="11"/>
  <c r="H32" i="13"/>
  <c r="H59" i="13" s="1"/>
  <c r="AJ61" i="11"/>
  <c r="S42" i="19"/>
  <c r="L69" i="11"/>
  <c r="AM50" i="11"/>
  <c r="J64" i="11"/>
  <c r="K43" i="13"/>
  <c r="K70" i="13" s="1"/>
  <c r="BD39" i="18"/>
  <c r="AI61" i="11"/>
  <c r="M35" i="20"/>
  <c r="M62" i="20" s="1"/>
  <c r="L29" i="19"/>
  <c r="L56" i="19" s="1"/>
  <c r="L26" i="13"/>
  <c r="L53" i="13" s="1"/>
  <c r="K44" i="13"/>
  <c r="K71" i="13" s="1"/>
  <c r="AJ54" i="11"/>
  <c r="L44" i="19"/>
  <c r="L71" i="19" s="1"/>
  <c r="BD25" i="18"/>
  <c r="BD52" i="18" s="1"/>
  <c r="BE36" i="18"/>
  <c r="BE63" i="18" s="1"/>
  <c r="I40" i="18"/>
  <c r="I67" i="18" s="1"/>
  <c r="U29" i="20"/>
  <c r="H41" i="13"/>
  <c r="H68" i="13" s="1"/>
  <c r="BD27" i="20"/>
  <c r="L51" i="11"/>
  <c r="S27" i="13"/>
  <c r="AO60" i="11"/>
  <c r="K56" i="11"/>
  <c r="BU40" i="13"/>
  <c r="AI64" i="11"/>
  <c r="S33" i="18"/>
  <c r="AI50" i="11"/>
  <c r="AF64" i="11"/>
  <c r="I35" i="20"/>
  <c r="I62" i="20" s="1"/>
  <c r="AG63" i="11"/>
  <c r="K37" i="20"/>
  <c r="K64" i="20" s="1"/>
  <c r="W31" i="18"/>
  <c r="U30" i="19"/>
  <c r="U57" i="19" s="1"/>
  <c r="L34" i="19"/>
  <c r="L61" i="19" s="1"/>
  <c r="M41" i="13"/>
  <c r="M68" i="13" s="1"/>
  <c r="BI31" i="13"/>
  <c r="W30" i="18"/>
  <c r="BU34" i="20"/>
  <c r="W37" i="20"/>
  <c r="BI41" i="13"/>
  <c r="V41" i="20"/>
  <c r="BE27" i="18"/>
  <c r="BU27" i="18"/>
  <c r="H27" i="19"/>
  <c r="H54" i="19" s="1"/>
  <c r="M37" i="20"/>
  <c r="M64" i="20" s="1"/>
  <c r="W43" i="18"/>
  <c r="BU32" i="20"/>
  <c r="W40" i="18"/>
  <c r="Y36" i="13"/>
  <c r="Y63" i="13" s="1"/>
  <c r="Y28" i="18"/>
  <c r="H24" i="13"/>
  <c r="BO27" i="13"/>
  <c r="M63" i="11"/>
  <c r="Y33" i="18"/>
  <c r="AM64" i="11"/>
  <c r="L55" i="11"/>
  <c r="K60" i="11"/>
  <c r="H26" i="20"/>
  <c r="H53" i="20" s="1"/>
  <c r="BO34" i="20"/>
  <c r="BO61" i="20" s="1"/>
  <c r="J27" i="20"/>
  <c r="J54" i="20" s="1"/>
  <c r="I29" i="18"/>
  <c r="I56" i="18" s="1"/>
  <c r="AN54" i="11"/>
  <c r="M57" i="11"/>
  <c r="P67" i="11"/>
  <c r="Q53" i="11"/>
  <c r="BD31" i="19"/>
  <c r="BD58" i="19" s="1"/>
  <c r="BE38" i="19"/>
  <c r="BE65" i="19" s="1"/>
  <c r="BO41" i="18"/>
  <c r="BO68" i="18" s="1"/>
  <c r="H40" i="19"/>
  <c r="H67" i="19" s="1"/>
  <c r="BD35" i="19"/>
  <c r="K61" i="11"/>
  <c r="W44" i="13"/>
  <c r="BE41" i="20"/>
  <c r="BE68" i="20" s="1"/>
  <c r="U35" i="20"/>
  <c r="U62" i="20" s="1"/>
  <c r="V42" i="20"/>
  <c r="V38" i="20"/>
  <c r="V65" i="20" s="1"/>
  <c r="AG66" i="11"/>
  <c r="R30" i="13"/>
  <c r="R57" i="13" s="1"/>
  <c r="BD38" i="19"/>
  <c r="AK60" i="11"/>
  <c r="Y40" i="18"/>
  <c r="U29" i="18"/>
  <c r="U56" i="18" s="1"/>
  <c r="BU35" i="13"/>
  <c r="L38" i="19"/>
  <c r="L65" i="19" s="1"/>
  <c r="J68" i="11"/>
  <c r="W33" i="19"/>
  <c r="M39" i="20"/>
  <c r="M66" i="20" s="1"/>
  <c r="J31" i="20"/>
  <c r="J58" i="20" s="1"/>
  <c r="V43" i="20"/>
  <c r="R31" i="13"/>
  <c r="R58" i="13" s="1"/>
  <c r="U30" i="18"/>
  <c r="BD35" i="20"/>
  <c r="U26" i="18"/>
  <c r="U53" i="18" s="1"/>
  <c r="H35" i="20"/>
  <c r="H62" i="20" s="1"/>
  <c r="S37" i="18"/>
  <c r="AI66" i="11"/>
  <c r="J41" i="20"/>
  <c r="J68" i="20" s="1"/>
  <c r="AP69" i="11"/>
  <c r="I38" i="18"/>
  <c r="I65" i="18" s="1"/>
  <c r="S42" i="13"/>
  <c r="S69" i="13" s="1"/>
  <c r="U42" i="20"/>
  <c r="BO33" i="20"/>
  <c r="K33" i="20"/>
  <c r="K60" i="20" s="1"/>
  <c r="S35" i="18"/>
  <c r="S62" i="18" s="1"/>
  <c r="U32" i="19"/>
  <c r="U59" i="19" s="1"/>
  <c r="I37" i="19"/>
  <c r="I64" i="19" s="1"/>
  <c r="BD25" i="13"/>
  <c r="H31" i="20"/>
  <c r="H58" i="20" s="1"/>
  <c r="P55" i="11"/>
  <c r="V33" i="20"/>
  <c r="V60" i="20" s="1"/>
  <c r="H32" i="20"/>
  <c r="H59" i="20" s="1"/>
  <c r="L35" i="13"/>
  <c r="L62" i="13" s="1"/>
  <c r="P51" i="11"/>
  <c r="AF63" i="11"/>
  <c r="K57" i="11"/>
  <c r="AG61" i="11"/>
  <c r="W42" i="20"/>
  <c r="W69" i="20" s="1"/>
  <c r="K38" i="13"/>
  <c r="K65" i="13" s="1"/>
  <c r="W39" i="13"/>
  <c r="L31" i="19"/>
  <c r="L58" i="19" s="1"/>
  <c r="Q69" i="11"/>
  <c r="O66" i="11"/>
  <c r="AG68" i="11"/>
  <c r="Y29" i="20"/>
  <c r="W24" i="18"/>
  <c r="AF52" i="11"/>
  <c r="S24" i="20"/>
  <c r="M35" i="19"/>
  <c r="M62" i="19" s="1"/>
  <c r="AG53" i="11"/>
  <c r="L34" i="13"/>
  <c r="L61" i="13" s="1"/>
  <c r="S32" i="18"/>
  <c r="S27" i="18"/>
  <c r="S54" i="18" s="1"/>
  <c r="BD31" i="18"/>
  <c r="BD58" i="18" s="1"/>
  <c r="S25" i="18"/>
  <c r="BE40" i="13"/>
  <c r="BE67" i="13" s="1"/>
  <c r="I44" i="18"/>
  <c r="I71" i="18" s="1"/>
  <c r="BI25" i="19"/>
  <c r="U32" i="18"/>
  <c r="BD31" i="20"/>
  <c r="BD58" i="20" s="1"/>
  <c r="J43" i="20"/>
  <c r="J70" i="20" s="1"/>
  <c r="H36" i="13"/>
  <c r="H63" i="13" s="1"/>
  <c r="S44" i="13"/>
  <c r="AF51" i="11"/>
  <c r="R34" i="13"/>
  <c r="S26" i="13"/>
  <c r="BO28" i="13"/>
  <c r="AJ58" i="11"/>
  <c r="BD28" i="20"/>
  <c r="BU36" i="13"/>
  <c r="H51" i="11"/>
  <c r="Y41" i="18"/>
  <c r="Y68" i="18" s="1"/>
  <c r="AJ63" i="11"/>
  <c r="BE44" i="13"/>
  <c r="O50" i="11"/>
  <c r="Y39" i="20"/>
  <c r="Y66" i="20" s="1"/>
  <c r="P27" i="13"/>
  <c r="I40" i="13"/>
  <c r="I67" i="13" s="1"/>
  <c r="J32" i="20"/>
  <c r="J59" i="20" s="1"/>
  <c r="Y31" i="13"/>
  <c r="Y29" i="18"/>
  <c r="Y36" i="18"/>
  <c r="BU30" i="20"/>
  <c r="BU43" i="19"/>
  <c r="V36" i="20"/>
  <c r="V63" i="20" s="1"/>
  <c r="W25" i="18"/>
  <c r="U36" i="13"/>
  <c r="U63" i="13" s="1"/>
  <c r="U31" i="13"/>
  <c r="U58" i="13" s="1"/>
  <c r="BI36" i="13"/>
  <c r="L33" i="19"/>
  <c r="L60" i="19" s="1"/>
  <c r="BU35" i="20"/>
  <c r="Q34" i="13"/>
  <c r="BU29" i="20"/>
  <c r="M27" i="13"/>
  <c r="M54" i="13" s="1"/>
  <c r="M38" i="13"/>
  <c r="M65" i="13" s="1"/>
  <c r="BI25" i="20"/>
  <c r="Y42" i="19"/>
  <c r="Y69" i="19" s="1"/>
  <c r="BE25" i="13"/>
  <c r="BE52" i="13" s="1"/>
  <c r="BU37" i="13"/>
  <c r="J42" i="13"/>
  <c r="J69" i="13" s="1"/>
  <c r="W26" i="18"/>
  <c r="M25" i="19"/>
  <c r="M52" i="19" s="1"/>
  <c r="U26" i="13"/>
  <c r="U53" i="13" s="1"/>
  <c r="P39" i="13"/>
  <c r="BU26" i="13"/>
  <c r="AG59" i="11"/>
  <c r="L42" i="13"/>
  <c r="L69" i="13" s="1"/>
  <c r="BD32" i="20"/>
  <c r="BD59" i="20" s="1"/>
  <c r="AN56" i="11"/>
  <c r="H43" i="18"/>
  <c r="H70" i="18" s="1"/>
  <c r="I54" i="11"/>
  <c r="S38" i="19"/>
  <c r="S65" i="19" s="1"/>
  <c r="AG56" i="11"/>
  <c r="K41" i="13"/>
  <c r="K68" i="13" s="1"/>
  <c r="BD26" i="19"/>
  <c r="S41" i="13"/>
  <c r="U25" i="18"/>
  <c r="U52" i="18" s="1"/>
  <c r="S32" i="20"/>
  <c r="S59" i="20" s="1"/>
  <c r="AO67" i="11"/>
  <c r="AH67" i="11"/>
  <c r="AN68" i="11"/>
  <c r="BO31" i="19"/>
  <c r="K38" i="20"/>
  <c r="K65" i="20" s="1"/>
  <c r="BD27" i="13"/>
  <c r="S43" i="20"/>
  <c r="K58" i="11"/>
  <c r="BD29" i="19"/>
  <c r="W27" i="13"/>
  <c r="H41" i="20"/>
  <c r="H68" i="20" s="1"/>
  <c r="I57" i="11"/>
  <c r="P34" i="13"/>
  <c r="BE31" i="20"/>
  <c r="I35" i="19"/>
  <c r="I62" i="19" s="1"/>
  <c r="BI35" i="18"/>
  <c r="R62" i="11"/>
  <c r="BI38" i="19"/>
  <c r="BU24" i="19"/>
  <c r="W32" i="18"/>
  <c r="BU28" i="13"/>
  <c r="BU24" i="13"/>
  <c r="P30" i="13"/>
  <c r="BE41" i="18"/>
  <c r="BU31" i="13"/>
  <c r="M27" i="18"/>
  <c r="M54" i="18" s="1"/>
  <c r="W36" i="18"/>
  <c r="X28" i="13"/>
  <c r="M50" i="11"/>
  <c r="AF54" i="11"/>
  <c r="BO34" i="18"/>
  <c r="AF53" i="11"/>
  <c r="BO32" i="20"/>
  <c r="BO59" i="20" s="1"/>
  <c r="BD40" i="19"/>
  <c r="BD67" i="19" s="1"/>
  <c r="Q50" i="11"/>
  <c r="BO28" i="20"/>
  <c r="H63" i="11"/>
  <c r="AI52" i="11"/>
  <c r="BE38" i="18"/>
  <c r="J44" i="20"/>
  <c r="J71" i="20" s="1"/>
  <c r="AM52" i="11"/>
  <c r="H35" i="13"/>
  <c r="H62" i="13" s="1"/>
  <c r="BO33" i="18"/>
  <c r="R66" i="11"/>
  <c r="V37" i="20"/>
  <c r="R28" i="13"/>
  <c r="K41" i="20"/>
  <c r="K68" i="20" s="1"/>
  <c r="I51" i="11"/>
  <c r="BU35" i="18"/>
  <c r="K28" i="20"/>
  <c r="K55" i="20" s="1"/>
  <c r="AO58" i="11"/>
  <c r="H58" i="11"/>
  <c r="U43" i="20"/>
  <c r="U70" i="20" s="1"/>
  <c r="K25" i="19"/>
  <c r="K52" i="19" s="1"/>
  <c r="Q61" i="11"/>
  <c r="H33" i="20"/>
  <c r="H60" i="20" s="1"/>
  <c r="H32" i="19"/>
  <c r="H59" i="19" s="1"/>
  <c r="AN52" i="11"/>
  <c r="BI42" i="18"/>
  <c r="AF68" i="11"/>
  <c r="R64" i="11"/>
  <c r="AH64" i="11"/>
  <c r="I43" i="20"/>
  <c r="I70" i="20" s="1"/>
  <c r="AJ69" i="11"/>
  <c r="BI31" i="19"/>
  <c r="S44" i="19"/>
  <c r="S71" i="19" s="1"/>
  <c r="I65" i="11"/>
  <c r="J70" i="11"/>
  <c r="AG60" i="11"/>
  <c r="BI40" i="19"/>
  <c r="P64" i="11"/>
  <c r="K27" i="13"/>
  <c r="K54" i="13" s="1"/>
  <c r="Y32" i="13"/>
  <c r="Y59" i="13" s="1"/>
  <c r="BI37" i="20"/>
  <c r="X28" i="19"/>
  <c r="K28" i="13"/>
  <c r="K55" i="13" s="1"/>
  <c r="K29" i="20"/>
  <c r="K56" i="20" s="1"/>
  <c r="Q35" i="13"/>
  <c r="Q62" i="13" s="1"/>
  <c r="X32" i="13"/>
  <c r="Y41" i="19"/>
  <c r="Y68" i="19" s="1"/>
  <c r="R24" i="13"/>
  <c r="BU27" i="20"/>
  <c r="BU42" i="20"/>
  <c r="AJ60" i="11"/>
  <c r="M37" i="19"/>
  <c r="M64" i="19" s="1"/>
  <c r="BI32" i="20"/>
  <c r="K29" i="18"/>
  <c r="K56" i="18" s="1"/>
  <c r="BI27" i="20"/>
  <c r="M28" i="20"/>
  <c r="M55" i="20" s="1"/>
  <c r="R59" i="11"/>
  <c r="H33" i="18"/>
  <c r="H60" i="18" s="1"/>
  <c r="BD42" i="20"/>
  <c r="BD69" i="20" s="1"/>
  <c r="BO36" i="18"/>
  <c r="U43" i="13"/>
  <c r="U31" i="20"/>
  <c r="U58" i="20" s="1"/>
  <c r="I42" i="18"/>
  <c r="I69" i="18" s="1"/>
  <c r="BO29" i="19"/>
  <c r="H42" i="19"/>
  <c r="H69" i="19" s="1"/>
  <c r="BD43" i="20"/>
  <c r="U33" i="18"/>
  <c r="K24" i="19"/>
  <c r="Q60" i="11"/>
  <c r="S38" i="18"/>
  <c r="S65" i="18" s="1"/>
  <c r="I43" i="18"/>
  <c r="I70" i="18" s="1"/>
  <c r="AI69" i="11"/>
  <c r="BU43" i="13"/>
  <c r="J54" i="11"/>
  <c r="BD26" i="20"/>
  <c r="BD53" i="20" s="1"/>
  <c r="BO37" i="18"/>
  <c r="BO32" i="13"/>
  <c r="BO59" i="13" s="1"/>
  <c r="AO54" i="11"/>
  <c r="M40" i="19"/>
  <c r="M67" i="19" s="1"/>
  <c r="X37" i="19"/>
  <c r="BU33" i="20"/>
  <c r="W34" i="19"/>
  <c r="S39" i="19"/>
  <c r="S66" i="19" s="1"/>
  <c r="BE34" i="20"/>
  <c r="BE61" i="20" s="1"/>
  <c r="K44" i="19"/>
  <c r="K71" i="19" s="1"/>
  <c r="Y31" i="19"/>
  <c r="Y58" i="19" s="1"/>
  <c r="U39" i="13"/>
  <c r="U66" i="13" s="1"/>
  <c r="BI36" i="19"/>
  <c r="Y41" i="13"/>
  <c r="Y68" i="13" s="1"/>
  <c r="BE24" i="13"/>
  <c r="S30" i="19"/>
  <c r="S57" i="19" s="1"/>
  <c r="AO55" i="11"/>
  <c r="H62" i="11"/>
  <c r="K62" i="11"/>
  <c r="H34" i="13"/>
  <c r="H61" i="13" s="1"/>
  <c r="BQ25" i="18"/>
  <c r="L60" i="11"/>
  <c r="H39" i="20"/>
  <c r="H66" i="20" s="1"/>
  <c r="BO30" i="19"/>
  <c r="I33" i="18"/>
  <c r="I60" i="18" s="1"/>
  <c r="H36" i="19"/>
  <c r="H63" i="19" s="1"/>
  <c r="AH68" i="11"/>
  <c r="I41" i="18"/>
  <c r="I68" i="18" s="1"/>
  <c r="W41" i="13"/>
  <c r="BE25" i="19"/>
  <c r="K53" i="11"/>
  <c r="AM66" i="11"/>
  <c r="M67" i="11"/>
  <c r="BO24" i="13"/>
  <c r="P58" i="11"/>
  <c r="BU36" i="19"/>
  <c r="H24" i="18"/>
  <c r="S40" i="19"/>
  <c r="S67" i="19" s="1"/>
  <c r="AP57" i="11"/>
  <c r="AF70" i="11"/>
  <c r="H55" i="11"/>
  <c r="K59" i="11"/>
  <c r="J36" i="20"/>
  <c r="J63" i="20" s="1"/>
  <c r="M36" i="18"/>
  <c r="M63" i="18" s="1"/>
  <c r="BI41" i="19"/>
  <c r="BI40" i="20"/>
  <c r="Y38" i="20"/>
  <c r="AH58" i="11"/>
  <c r="I31" i="18"/>
  <c r="I58" i="18" s="1"/>
  <c r="BO40" i="13"/>
  <c r="Q36" i="13"/>
  <c r="H24" i="19"/>
  <c r="J25" i="20"/>
  <c r="J52" i="20" s="1"/>
  <c r="X43" i="19"/>
  <c r="X70" i="19" s="1"/>
  <c r="H31" i="13"/>
  <c r="H58" i="13" s="1"/>
  <c r="Q65" i="11"/>
  <c r="AP64" i="11"/>
  <c r="H43" i="13"/>
  <c r="H70" i="13" s="1"/>
  <c r="AG70" i="11"/>
  <c r="U40" i="20"/>
  <c r="U67" i="20" s="1"/>
  <c r="AG52" i="11"/>
  <c r="AJ67" i="11"/>
  <c r="BD29" i="18"/>
  <c r="BD56" i="18" s="1"/>
  <c r="BD25" i="20"/>
  <c r="BD52" i="20" s="1"/>
  <c r="K38" i="19"/>
  <c r="K65" i="19" s="1"/>
  <c r="Q37" i="13"/>
  <c r="Q64" i="13" s="1"/>
  <c r="Y28" i="20"/>
  <c r="K30" i="13"/>
  <c r="K57" i="13" s="1"/>
  <c r="S39" i="18"/>
  <c r="S66" i="18" s="1"/>
  <c r="W32" i="19"/>
  <c r="W59" i="19" s="1"/>
  <c r="BI28" i="20"/>
  <c r="BE37" i="18"/>
  <c r="BE64" i="18" s="1"/>
  <c r="BE29" i="19"/>
  <c r="BI35" i="13"/>
  <c r="X41" i="19"/>
  <c r="Q39" i="13"/>
  <c r="Q66" i="13" s="1"/>
  <c r="BO42" i="20"/>
  <c r="BO69" i="20" s="1"/>
  <c r="BE43" i="20"/>
  <c r="BE70" i="20" s="1"/>
  <c r="O64" i="11"/>
  <c r="BU25" i="18"/>
  <c r="X40" i="19"/>
  <c r="W33" i="13"/>
  <c r="P63" i="11"/>
  <c r="Q28" i="13"/>
  <c r="Q55" i="13" s="1"/>
  <c r="BU24" i="18"/>
  <c r="L27" i="19"/>
  <c r="L54" i="19" s="1"/>
  <c r="M42" i="18"/>
  <c r="M69" i="18" s="1"/>
  <c r="K43" i="19"/>
  <c r="K70" i="19" s="1"/>
  <c r="BU37" i="19"/>
  <c r="P60" i="11"/>
  <c r="BU40" i="18"/>
  <c r="BI37" i="18"/>
  <c r="P28" i="13"/>
  <c r="P55" i="13" s="1"/>
  <c r="BE39" i="20"/>
  <c r="M28" i="19"/>
  <c r="M55" i="19" s="1"/>
  <c r="J26" i="20"/>
  <c r="J53" i="20" s="1"/>
  <c r="L25" i="13"/>
  <c r="L52" i="13" s="1"/>
  <c r="X32" i="20"/>
  <c r="X44" i="19"/>
  <c r="X71" i="19" s="1"/>
  <c r="H56" i="11"/>
  <c r="I38" i="19"/>
  <c r="I65" i="19" s="1"/>
  <c r="W27" i="18"/>
  <c r="S28" i="18"/>
  <c r="M54" i="11"/>
  <c r="H35" i="18"/>
  <c r="H62" i="18" s="1"/>
  <c r="AK67" i="11"/>
  <c r="BO26" i="19"/>
  <c r="R60" i="11"/>
  <c r="S32" i="19"/>
  <c r="S59" i="19" s="1"/>
  <c r="U41" i="20"/>
  <c r="BD30" i="19"/>
  <c r="M29" i="18"/>
  <c r="M56" i="18" s="1"/>
  <c r="BE44" i="20"/>
  <c r="BE71" i="20" s="1"/>
  <c r="H44" i="20"/>
  <c r="H71" i="20" s="1"/>
  <c r="J60" i="11"/>
  <c r="X27" i="19"/>
  <c r="X54" i="19" s="1"/>
  <c r="U26" i="19"/>
  <c r="U53" i="19" s="1"/>
  <c r="H34" i="18"/>
  <c r="H61" i="18" s="1"/>
  <c r="BO37" i="19"/>
  <c r="BO30" i="20"/>
  <c r="AI68" i="11"/>
  <c r="I68" i="11"/>
  <c r="L66" i="11"/>
  <c r="H41" i="19"/>
  <c r="H68" i="19" s="1"/>
  <c r="I70" i="11"/>
  <c r="O63" i="11"/>
  <c r="U32" i="20"/>
  <c r="U59" i="20" s="1"/>
  <c r="BU31" i="19"/>
  <c r="BU32" i="13"/>
  <c r="Y38" i="13"/>
  <c r="O61" i="11"/>
  <c r="K39" i="19"/>
  <c r="K66" i="19" s="1"/>
  <c r="K36" i="18"/>
  <c r="K63" i="18" s="1"/>
  <c r="BE38" i="20"/>
  <c r="O56" i="11"/>
  <c r="BE36" i="19"/>
  <c r="I37" i="13"/>
  <c r="I64" i="13" s="1"/>
  <c r="I27" i="13"/>
  <c r="I54" i="13" s="1"/>
  <c r="M26" i="18"/>
  <c r="M53" i="18" s="1"/>
  <c r="BU39" i="18"/>
  <c r="BU36" i="20"/>
  <c r="BE40" i="18"/>
  <c r="U33" i="13"/>
  <c r="U60" i="13" s="1"/>
  <c r="AJ64" i="11"/>
  <c r="U26" i="20"/>
  <c r="W35" i="20"/>
  <c r="BO24" i="18"/>
  <c r="BD38" i="18"/>
  <c r="S34" i="20"/>
  <c r="AM61" i="11"/>
  <c r="L59" i="11"/>
  <c r="J29" i="20"/>
  <c r="J56" i="20" s="1"/>
  <c r="J58" i="11"/>
  <c r="BU41" i="19"/>
  <c r="BO36" i="13"/>
  <c r="P56" i="11"/>
  <c r="O70" i="11"/>
  <c r="AO68" i="11"/>
  <c r="BD39" i="20"/>
  <c r="AG58" i="11"/>
  <c r="M66" i="11"/>
  <c r="K51" i="11"/>
  <c r="J59" i="11"/>
  <c r="K36" i="20"/>
  <c r="K63" i="20" s="1"/>
  <c r="P57" i="11"/>
  <c r="Q59" i="11"/>
  <c r="AO66" i="11"/>
  <c r="BE40" i="20"/>
  <c r="S41" i="18"/>
  <c r="J50" i="11"/>
  <c r="L64" i="11"/>
  <c r="U39" i="18"/>
  <c r="I60" i="11"/>
  <c r="K34" i="20"/>
  <c r="K61" i="20" s="1"/>
  <c r="BD27" i="18"/>
  <c r="BD54" i="18" s="1"/>
  <c r="S37" i="13"/>
  <c r="H39" i="18"/>
  <c r="H66" i="18" s="1"/>
  <c r="J56" i="11"/>
  <c r="Q32" i="13"/>
  <c r="Q59" i="13" s="1"/>
  <c r="BO40" i="18"/>
  <c r="U30" i="20"/>
  <c r="U57" i="20" s="1"/>
  <c r="BU26" i="19"/>
  <c r="BD32" i="19"/>
  <c r="BU41" i="18"/>
  <c r="BI29" i="18"/>
  <c r="P65" i="11"/>
  <c r="AH57" i="11"/>
  <c r="Y34" i="19"/>
  <c r="Y42" i="20"/>
  <c r="W44" i="18"/>
  <c r="R68" i="11"/>
  <c r="AK66" i="11"/>
  <c r="J30" i="20"/>
  <c r="J57" i="20" s="1"/>
  <c r="I32" i="20"/>
  <c r="I59" i="20" s="1"/>
  <c r="K37" i="19"/>
  <c r="K64" i="19" s="1"/>
  <c r="I62" i="11"/>
  <c r="W28" i="13"/>
  <c r="H60" i="11"/>
  <c r="L37" i="13"/>
  <c r="L64" i="13" s="1"/>
  <c r="BD30" i="18"/>
  <c r="BD57" i="18" s="1"/>
  <c r="M42" i="20"/>
  <c r="M69" i="20" s="1"/>
  <c r="BE44" i="19"/>
  <c r="BE71" i="19" s="1"/>
  <c r="BU28" i="19"/>
  <c r="BI38" i="20"/>
  <c r="AK70" i="11"/>
  <c r="BO29" i="20"/>
  <c r="BE41" i="13"/>
  <c r="BE68" i="13" s="1"/>
  <c r="H37" i="13"/>
  <c r="H64" i="13" s="1"/>
  <c r="S35" i="20"/>
  <c r="AG51" i="11"/>
  <c r="S24" i="13"/>
  <c r="BD38" i="20"/>
  <c r="BD65" i="20" s="1"/>
  <c r="J57" i="11"/>
  <c r="M58" i="11"/>
  <c r="BD34" i="19"/>
  <c r="BD61" i="19" s="1"/>
  <c r="S31" i="20"/>
  <c r="S58" i="20" s="1"/>
  <c r="Y36" i="19"/>
  <c r="Y63" i="19" s="1"/>
  <c r="M24" i="19"/>
  <c r="I33" i="13"/>
  <c r="I60" i="13" s="1"/>
  <c r="H36" i="18"/>
  <c r="H63" i="18" s="1"/>
  <c r="Q63" i="11"/>
  <c r="J33" i="20"/>
  <c r="J60" i="20" s="1"/>
  <c r="AH66" i="11"/>
  <c r="R61" i="11"/>
  <c r="AM56" i="11"/>
  <c r="AM51" i="11"/>
  <c r="AO50" i="11"/>
  <c r="W43" i="13"/>
  <c r="I31" i="13"/>
  <c r="I58" i="13" s="1"/>
  <c r="AN70" i="11"/>
  <c r="U30" i="13"/>
  <c r="BI26" i="19"/>
  <c r="Y42" i="18"/>
  <c r="Q33" i="13"/>
  <c r="W26" i="13"/>
  <c r="M32" i="19"/>
  <c r="M59" i="19" s="1"/>
  <c r="Y30" i="20"/>
  <c r="L40" i="13"/>
  <c r="L67" i="13" s="1"/>
  <c r="O62" i="11"/>
  <c r="U36" i="19"/>
  <c r="U63" i="19" s="1"/>
  <c r="S33" i="13"/>
  <c r="S60" i="13" s="1"/>
  <c r="H66" i="11"/>
  <c r="AJ52" i="11"/>
  <c r="AK50" i="11"/>
  <c r="AI70" i="11"/>
  <c r="BD40" i="18"/>
  <c r="BD67" i="18" s="1"/>
  <c r="AO53" i="11"/>
  <c r="O53" i="11"/>
  <c r="H44" i="13"/>
  <c r="H71" i="13" s="1"/>
  <c r="S26" i="20"/>
  <c r="S53" i="20" s="1"/>
  <c r="J61" i="11"/>
  <c r="BD44" i="18"/>
  <c r="BD71" i="18" s="1"/>
  <c r="I56" i="11"/>
  <c r="W35" i="19"/>
  <c r="AH52" i="11"/>
  <c r="H61" i="11"/>
  <c r="BO28" i="18"/>
  <c r="Q51" i="11"/>
  <c r="H31" i="19"/>
  <c r="H58" i="19" s="1"/>
  <c r="AP65" i="11"/>
  <c r="K67" i="11"/>
  <c r="Q55" i="11"/>
  <c r="M38" i="20"/>
  <c r="M65" i="20" s="1"/>
  <c r="W31" i="13"/>
  <c r="BE27" i="20"/>
  <c r="BE54" i="20" s="1"/>
  <c r="R70" i="11"/>
  <c r="K38" i="18"/>
  <c r="K65" i="18" s="1"/>
  <c r="P31" i="13"/>
  <c r="BO41" i="19"/>
  <c r="K36" i="13"/>
  <c r="K63" i="13" s="1"/>
  <c r="W37" i="19"/>
  <c r="W64" i="19" s="1"/>
  <c r="J62" i="11"/>
  <c r="BD24" i="19"/>
  <c r="AJ59" i="11"/>
  <c r="BD41" i="18"/>
  <c r="BD68" i="18" s="1"/>
  <c r="W41" i="19"/>
  <c r="Q62" i="11"/>
  <c r="AH59" i="11"/>
  <c r="S42" i="20"/>
  <c r="S69" i="20" s="1"/>
  <c r="I64" i="11"/>
  <c r="AH56" i="11"/>
  <c r="S40" i="13"/>
  <c r="BO37" i="20"/>
  <c r="BE37" i="13"/>
  <c r="BE39" i="18"/>
  <c r="BE66" i="18" s="1"/>
  <c r="Q66" i="11"/>
  <c r="BD33" i="19"/>
  <c r="BD60" i="19" s="1"/>
  <c r="I41" i="19"/>
  <c r="I68" i="19" s="1"/>
  <c r="M40" i="20"/>
  <c r="M67" i="20" s="1"/>
  <c r="K69" i="11"/>
  <c r="H28" i="20"/>
  <c r="H55" i="20" s="1"/>
  <c r="M64" i="11"/>
  <c r="AF57" i="11"/>
  <c r="K24" i="20"/>
  <c r="S33" i="20"/>
  <c r="S60" i="20" s="1"/>
  <c r="U28" i="20"/>
  <c r="U55" i="20" s="1"/>
  <c r="J66" i="11"/>
  <c r="W32" i="20"/>
  <c r="L57" i="11"/>
  <c r="V39" i="20"/>
  <c r="V66" i="20" s="1"/>
  <c r="M37" i="18"/>
  <c r="M64" i="18" s="1"/>
  <c r="W25" i="13"/>
  <c r="V24" i="20"/>
  <c r="R54" i="11"/>
  <c r="L31" i="13"/>
  <c r="L58" i="13" s="1"/>
  <c r="I28" i="13"/>
  <c r="I55" i="13" s="1"/>
  <c r="L41" i="13"/>
  <c r="L68" i="13" s="1"/>
  <c r="U37" i="19"/>
  <c r="U64" i="19" s="1"/>
  <c r="AK59" i="11"/>
  <c r="W24" i="20"/>
  <c r="BU38" i="13"/>
  <c r="BE24" i="19"/>
  <c r="U43" i="19"/>
  <c r="U70" i="19" s="1"/>
  <c r="Q42" i="13"/>
  <c r="Q69" i="13" s="1"/>
  <c r="M60" i="11"/>
  <c r="W40" i="20"/>
  <c r="W67" i="20" s="1"/>
  <c r="R32" i="13"/>
  <c r="R59" i="13" s="1"/>
  <c r="BU32" i="18"/>
  <c r="W24" i="13"/>
  <c r="Y30" i="19"/>
  <c r="BU25" i="19"/>
  <c r="X32" i="19"/>
  <c r="X59" i="19" s="1"/>
  <c r="J65" i="11"/>
  <c r="U33" i="19"/>
  <c r="U60" i="19" s="1"/>
  <c r="BE32" i="20"/>
  <c r="K41" i="19"/>
  <c r="K68" i="19" s="1"/>
  <c r="BE35" i="20"/>
  <c r="J24" i="19"/>
  <c r="BU30" i="13"/>
  <c r="Y26" i="18"/>
  <c r="Y53" i="18" s="1"/>
  <c r="BI24" i="13"/>
  <c r="L39" i="19"/>
  <c r="L66" i="19" s="1"/>
  <c r="M34" i="20"/>
  <c r="M61" i="20" s="1"/>
  <c r="Y37" i="18"/>
  <c r="Y64" i="18" s="1"/>
  <c r="H64" i="11"/>
  <c r="BI30" i="19"/>
  <c r="L36" i="13"/>
  <c r="L63" i="13" s="1"/>
  <c r="BI41" i="20"/>
  <c r="O51" i="11"/>
  <c r="K54" i="11"/>
  <c r="K40" i="20"/>
  <c r="K67" i="20" s="1"/>
  <c r="BO26" i="20"/>
  <c r="S24" i="19"/>
  <c r="Y38" i="18"/>
  <c r="M68" i="11"/>
  <c r="BD31" i="13"/>
  <c r="BD58" i="13" s="1"/>
  <c r="R33" i="13"/>
  <c r="R60" i="13" s="1"/>
  <c r="S38" i="13"/>
  <c r="S65" i="13" s="1"/>
  <c r="U35" i="18"/>
  <c r="AI65" i="11"/>
  <c r="S34" i="13"/>
  <c r="S61" i="13" s="1"/>
  <c r="I24" i="18"/>
  <c r="S27" i="20"/>
  <c r="S54" i="20" s="1"/>
  <c r="H44" i="18"/>
  <c r="H71" i="18" s="1"/>
  <c r="BD44" i="13"/>
  <c r="BD71" i="13" s="1"/>
  <c r="BO40" i="20"/>
  <c r="BO67" i="20" s="1"/>
  <c r="AK61" i="11"/>
  <c r="H38" i="19"/>
  <c r="H65" i="19" s="1"/>
  <c r="AH53" i="11"/>
  <c r="U39" i="19"/>
  <c r="K40" i="19"/>
  <c r="K67" i="19" s="1"/>
  <c r="P24" i="13"/>
  <c r="BE25" i="18"/>
  <c r="BE52" i="18" s="1"/>
  <c r="BU29" i="18"/>
  <c r="AF50" i="11"/>
  <c r="BU38" i="18"/>
  <c r="W40" i="13"/>
  <c r="K24" i="13"/>
  <c r="U37" i="13"/>
  <c r="U64" i="13" s="1"/>
  <c r="AG57" i="11"/>
  <c r="P53" i="11"/>
  <c r="L28" i="13"/>
  <c r="L55" i="13" s="1"/>
  <c r="I33" i="20"/>
  <c r="I60" i="20" s="1"/>
  <c r="H27" i="20"/>
  <c r="H54" i="20" s="1"/>
  <c r="BO35" i="19"/>
  <c r="BO62" i="19" s="1"/>
  <c r="H28" i="19"/>
  <c r="H55" i="19" s="1"/>
  <c r="I41" i="20"/>
  <c r="I68" i="20" s="1"/>
  <c r="AP53" i="11"/>
  <c r="AJ66" i="11"/>
  <c r="BO38" i="19"/>
  <c r="BO65" i="19" s="1"/>
  <c r="K31" i="20"/>
  <c r="K58" i="20" s="1"/>
  <c r="S25" i="13"/>
  <c r="AJ53" i="11"/>
  <c r="BD30" i="20"/>
  <c r="BD57" i="20" s="1"/>
  <c r="H53" i="11"/>
  <c r="BU29" i="19"/>
  <c r="S44" i="20"/>
  <c r="S71" i="20" s="1"/>
  <c r="U37" i="20"/>
  <c r="R37" i="13"/>
  <c r="R64" i="13" s="1"/>
  <c r="BU41" i="13"/>
  <c r="W34" i="20"/>
  <c r="W61" i="20" s="1"/>
  <c r="AN63" i="11"/>
  <c r="S43" i="18"/>
  <c r="H28" i="13"/>
  <c r="H55" i="13" s="1"/>
  <c r="H25" i="13"/>
  <c r="H52" i="13" s="1"/>
  <c r="Y39" i="13"/>
  <c r="Y66" i="13" s="1"/>
  <c r="I28" i="18"/>
  <c r="I55" i="18" s="1"/>
  <c r="BD28" i="13"/>
  <c r="V29" i="20"/>
  <c r="V56" i="20" s="1"/>
  <c r="W43" i="19"/>
  <c r="K33" i="18"/>
  <c r="K60" i="18" s="1"/>
  <c r="U25" i="13"/>
  <c r="U52" i="13" s="1"/>
  <c r="M27" i="19"/>
  <c r="M54" i="19" s="1"/>
  <c r="S41" i="19"/>
  <c r="S68" i="19" s="1"/>
  <c r="BD24" i="13"/>
  <c r="R58" i="11"/>
  <c r="BD38" i="13"/>
  <c r="BE40" i="19"/>
  <c r="U44" i="13"/>
  <c r="U71" i="13" s="1"/>
  <c r="BD28" i="19"/>
  <c r="BD55" i="19" s="1"/>
  <c r="BD42" i="18"/>
  <c r="BD69" i="18" s="1"/>
  <c r="X40" i="13"/>
  <c r="X67" i="13" s="1"/>
  <c r="H30" i="13"/>
  <c r="H57" i="13" s="1"/>
  <c r="BO24" i="19"/>
  <c r="S37" i="20"/>
  <c r="S64" i="20" s="1"/>
  <c r="X39" i="13"/>
  <c r="X66" i="13" s="1"/>
  <c r="J53" i="11"/>
  <c r="BD35" i="18"/>
  <c r="BD62" i="18" s="1"/>
  <c r="BI36" i="20"/>
  <c r="H34" i="20"/>
  <c r="H61" i="20" s="1"/>
  <c r="H44" i="19"/>
  <c r="H71" i="19" s="1"/>
  <c r="M52" i="11"/>
  <c r="BE43" i="18"/>
  <c r="U25" i="20"/>
  <c r="BO34" i="19"/>
  <c r="BD33" i="18"/>
  <c r="BO41" i="13"/>
  <c r="W36" i="13"/>
  <c r="M30" i="20"/>
  <c r="M57" i="20" s="1"/>
  <c r="R44" i="13"/>
  <c r="BU32" i="19"/>
  <c r="I34" i="20"/>
  <c r="I61" i="20" s="1"/>
  <c r="K44" i="18"/>
  <c r="K71" i="18" s="1"/>
  <c r="Y24" i="19"/>
  <c r="Y32" i="18"/>
  <c r="K39" i="13"/>
  <c r="K66" i="13" s="1"/>
  <c r="I40" i="19"/>
  <c r="I67" i="19" s="1"/>
  <c r="M35" i="13"/>
  <c r="M62" i="13" s="1"/>
  <c r="X35" i="13"/>
  <c r="U40" i="13"/>
  <c r="U67" i="13" s="1"/>
  <c r="J35" i="20"/>
  <c r="J62" i="20" s="1"/>
  <c r="AP62" i="11"/>
  <c r="K26" i="19"/>
  <c r="K53" i="19" s="1"/>
  <c r="S28" i="13"/>
  <c r="S55" i="13" s="1"/>
  <c r="H37" i="18"/>
  <c r="H64" i="18" s="1"/>
  <c r="S25" i="20"/>
  <c r="S52" i="20" s="1"/>
  <c r="Y37" i="19"/>
  <c r="Y64" i="19" s="1"/>
  <c r="BD43" i="18"/>
  <c r="BD70" i="18" s="1"/>
  <c r="K32" i="20"/>
  <c r="K59" i="20" s="1"/>
  <c r="K30" i="20"/>
  <c r="K57" i="20" s="1"/>
  <c r="AI57" i="11"/>
  <c r="AK57" i="11"/>
  <c r="BD25" i="19"/>
  <c r="BD24" i="20"/>
  <c r="H40" i="18"/>
  <c r="H67" i="18" s="1"/>
  <c r="BO32" i="19"/>
  <c r="BO59" i="19" s="1"/>
  <c r="P54" i="11"/>
  <c r="W42" i="18"/>
  <c r="I42" i="13"/>
  <c r="I69" i="13" s="1"/>
  <c r="U43" i="18"/>
  <c r="BD29" i="20"/>
  <c r="S33" i="19"/>
  <c r="S60" i="19" s="1"/>
  <c r="AG69" i="11"/>
  <c r="R56" i="11"/>
  <c r="AH63" i="11"/>
  <c r="U29" i="13"/>
  <c r="U56" i="13" s="1"/>
  <c r="BI39" i="20"/>
  <c r="R67" i="11"/>
  <c r="M65" i="11"/>
  <c r="AK65" i="11"/>
  <c r="X29" i="13"/>
  <c r="X56" i="13" s="1"/>
  <c r="I34" i="13"/>
  <c r="I61" i="13" s="1"/>
  <c r="BI34" i="18"/>
  <c r="M42" i="19"/>
  <c r="M69" i="19" s="1"/>
  <c r="AO51" i="11"/>
  <c r="AN62" i="11"/>
  <c r="M36" i="19"/>
  <c r="M63" i="19" s="1"/>
  <c r="BI28" i="18"/>
  <c r="BI26" i="20"/>
  <c r="Y28" i="13"/>
  <c r="Y55" i="13" s="1"/>
  <c r="K34" i="19"/>
  <c r="K61" i="19" s="1"/>
  <c r="I58" i="11"/>
  <c r="S44" i="18"/>
  <c r="S71" i="18" s="1"/>
  <c r="I36" i="18"/>
  <c r="I63" i="18" s="1"/>
  <c r="Y40" i="13"/>
  <c r="K40" i="13"/>
  <c r="K67" i="13" s="1"/>
  <c r="H25" i="20"/>
  <c r="H52" i="20" s="1"/>
  <c r="AP54" i="11"/>
  <c r="BO42" i="19"/>
  <c r="BO35" i="18"/>
  <c r="AH69" i="11"/>
  <c r="AH62" i="11"/>
  <c r="BO27" i="20"/>
  <c r="BO54" i="20" s="1"/>
  <c r="U35" i="13"/>
  <c r="U62" i="13" s="1"/>
  <c r="AO61" i="11"/>
  <c r="X31" i="13"/>
  <c r="X58" i="13" s="1"/>
  <c r="L43" i="13"/>
  <c r="L70" i="13" s="1"/>
  <c r="K32" i="19"/>
  <c r="K59" i="19" s="1"/>
  <c r="W44" i="20"/>
  <c r="W71" i="20" s="1"/>
  <c r="R69" i="11"/>
  <c r="AG64" i="11"/>
  <c r="BU40" i="19"/>
  <c r="AN61" i="11"/>
  <c r="AN65" i="11"/>
  <c r="W40" i="19"/>
  <c r="W67" i="19" s="1"/>
  <c r="H69" i="11"/>
  <c r="S32" i="13"/>
  <c r="S59" i="13" s="1"/>
  <c r="L63" i="11"/>
  <c r="BD37" i="13"/>
  <c r="BD64" i="13" s="1"/>
  <c r="I52" i="11"/>
  <c r="W34" i="13"/>
  <c r="Y31" i="20"/>
  <c r="Y58" i="20" s="1"/>
  <c r="AM60" i="11"/>
  <c r="L30" i="13"/>
  <c r="L57" i="13" s="1"/>
  <c r="AF62" i="11"/>
  <c r="H32" i="18"/>
  <c r="H59" i="18" s="1"/>
  <c r="M31" i="13"/>
  <c r="M58" i="13" s="1"/>
  <c r="AJ70" i="11"/>
  <c r="W37" i="13"/>
  <c r="I30" i="18"/>
  <c r="I57" i="18" s="1"/>
  <c r="BE26" i="13"/>
  <c r="BE53" i="13" s="1"/>
  <c r="AF67" i="11"/>
  <c r="AI55" i="11"/>
  <c r="S31" i="13"/>
  <c r="S58" i="13" s="1"/>
  <c r="AP55" i="11"/>
  <c r="S34" i="19"/>
  <c r="AF55" i="11"/>
  <c r="BD41" i="19"/>
  <c r="BD68" i="19" s="1"/>
  <c r="R35" i="13"/>
  <c r="R62" i="13" s="1"/>
  <c r="K43" i="20"/>
  <c r="K70" i="20" s="1"/>
  <c r="BE24" i="20"/>
  <c r="H36" i="20"/>
  <c r="H63" i="20" s="1"/>
  <c r="AJ50" i="11"/>
  <c r="AN55" i="11"/>
  <c r="M32" i="13"/>
  <c r="M59" i="13" s="1"/>
  <c r="Y35" i="18"/>
  <c r="H31" i="18"/>
  <c r="H58" i="18" s="1"/>
  <c r="AN66" i="11"/>
  <c r="H42" i="13"/>
  <c r="H69" i="13" s="1"/>
  <c r="AO62" i="11"/>
  <c r="W36" i="20"/>
  <c r="W63" i="20" s="1"/>
  <c r="I25" i="18"/>
  <c r="I52" i="18" s="1"/>
  <c r="K44" i="20"/>
  <c r="K71" i="20" s="1"/>
  <c r="U31" i="19"/>
  <c r="U58" i="19" s="1"/>
  <c r="X26" i="19"/>
  <c r="BE42" i="19"/>
  <c r="BE69" i="19" s="1"/>
  <c r="I38" i="13"/>
  <c r="I65" i="13" s="1"/>
  <c r="BI24" i="19"/>
  <c r="BI30" i="18"/>
  <c r="J40" i="20"/>
  <c r="J67" i="20" s="1"/>
  <c r="K31" i="18"/>
  <c r="K58" i="18" s="1"/>
  <c r="W39" i="19"/>
  <c r="L56" i="11"/>
  <c r="P29" i="13"/>
  <c r="K26" i="18"/>
  <c r="K53" i="18" s="1"/>
  <c r="P68" i="11"/>
  <c r="U38" i="13"/>
  <c r="BU43" i="20"/>
  <c r="BI32" i="18"/>
  <c r="I27" i="18"/>
  <c r="I54" i="18" s="1"/>
  <c r="Q40" i="13"/>
  <c r="Q67" i="13" s="1"/>
  <c r="Y36" i="20"/>
  <c r="Y63" i="20" s="1"/>
  <c r="BD36" i="19"/>
  <c r="H33" i="19"/>
  <c r="H60" i="19" s="1"/>
  <c r="K39" i="18"/>
  <c r="K66" i="18" s="1"/>
  <c r="U42" i="18"/>
  <c r="U69" i="18" s="1"/>
  <c r="X33" i="13"/>
  <c r="X60" i="13" s="1"/>
  <c r="Q29" i="13"/>
  <c r="Q56" i="13" s="1"/>
  <c r="W30" i="13"/>
  <c r="V25" i="20"/>
  <c r="BI25" i="18"/>
  <c r="L67" i="11"/>
  <c r="M36" i="20"/>
  <c r="M63" i="20" s="1"/>
  <c r="BE31" i="19"/>
  <c r="AH54" i="11"/>
  <c r="I61" i="11"/>
  <c r="Q38" i="13"/>
  <c r="Q65" i="13" s="1"/>
  <c r="L25" i="19"/>
  <c r="L52" i="19" s="1"/>
  <c r="BE35" i="19"/>
  <c r="BU38" i="19"/>
  <c r="Y42" i="13"/>
  <c r="Y69" i="13" s="1"/>
  <c r="M30" i="13"/>
  <c r="M57" i="13" s="1"/>
  <c r="I32" i="19"/>
  <c r="I59" i="19" s="1"/>
  <c r="L29" i="13"/>
  <c r="L56" i="13" s="1"/>
  <c r="U37" i="18"/>
  <c r="U64" i="18" s="1"/>
  <c r="M26" i="19"/>
  <c r="M53" i="19" s="1"/>
  <c r="L65" i="11"/>
  <c r="P41" i="13"/>
  <c r="P68" i="13" s="1"/>
  <c r="BI33" i="20"/>
  <c r="L28" i="19"/>
  <c r="L55" i="19" s="1"/>
  <c r="L26" i="19"/>
  <c r="L53" i="19" s="1"/>
  <c r="X24" i="13"/>
  <c r="J69" i="11"/>
  <c r="W30" i="20"/>
  <c r="AN69" i="11"/>
  <c r="M26" i="13"/>
  <c r="M53" i="13" s="1"/>
  <c r="X38" i="13"/>
  <c r="AM54" i="11"/>
  <c r="BI31" i="18"/>
  <c r="L39" i="13"/>
  <c r="L66" i="13" s="1"/>
  <c r="AM55" i="11"/>
  <c r="AF56" i="11"/>
  <c r="V27" i="20"/>
  <c r="V54" i="20" s="1"/>
  <c r="X24" i="19"/>
  <c r="BI27" i="18"/>
  <c r="W28" i="20"/>
  <c r="R25" i="13"/>
  <c r="BI38" i="13"/>
  <c r="BE36" i="20"/>
  <c r="BE63" i="20" s="1"/>
  <c r="K64" i="11"/>
  <c r="P40" i="13"/>
  <c r="P67" i="13" s="1"/>
  <c r="Q25" i="13"/>
  <c r="Q52" i="13" s="1"/>
  <c r="BE39" i="13"/>
  <c r="BE66" i="13" s="1"/>
  <c r="W29" i="18"/>
  <c r="U44" i="19"/>
  <c r="U71" i="19" s="1"/>
  <c r="Y37" i="20"/>
  <c r="BE34" i="19"/>
  <c r="BE61" i="19" s="1"/>
  <c r="R41" i="13"/>
  <c r="R68" i="13" s="1"/>
  <c r="BI33" i="19"/>
  <c r="BE27" i="13"/>
  <c r="BE54" i="13" s="1"/>
  <c r="R26" i="13"/>
  <c r="R53" i="13" s="1"/>
  <c r="BE29" i="13"/>
  <c r="BE56" i="13" s="1"/>
  <c r="X27" i="13"/>
  <c r="X54" i="13" s="1"/>
  <c r="BE26" i="20"/>
  <c r="BE53" i="20" s="1"/>
  <c r="X30" i="13"/>
  <c r="X57" i="13" s="1"/>
  <c r="J39" i="20"/>
  <c r="J66" i="20" s="1"/>
  <c r="H27" i="13"/>
  <c r="H54" i="13" s="1"/>
  <c r="BI40" i="13"/>
  <c r="AP61" i="11"/>
  <c r="K40" i="18"/>
  <c r="K67" i="18" s="1"/>
  <c r="L33" i="13"/>
  <c r="L60" i="13" s="1"/>
  <c r="BI30" i="13"/>
  <c r="Y25" i="20"/>
  <c r="J26" i="18"/>
  <c r="J53" i="18" s="1"/>
  <c r="BE36" i="13"/>
  <c r="BE63" i="13" s="1"/>
  <c r="BE33" i="20"/>
  <c r="BE38" i="13"/>
  <c r="BE65" i="13" s="1"/>
  <c r="Q64" i="11"/>
  <c r="X25" i="19"/>
  <c r="U41" i="13"/>
  <c r="U68" i="13" s="1"/>
  <c r="Q26" i="13"/>
  <c r="Y43" i="13"/>
  <c r="Y70" i="13" s="1"/>
  <c r="AJ62" i="11"/>
  <c r="AH60" i="11"/>
  <c r="U42" i="19"/>
  <c r="U69" i="19" s="1"/>
  <c r="M69" i="11"/>
  <c r="Q27" i="13"/>
  <c r="Q54" i="13" s="1"/>
  <c r="AJ51" i="11"/>
  <c r="W27" i="19"/>
  <c r="K28" i="18"/>
  <c r="K55" i="18" s="1"/>
  <c r="K63" i="11"/>
  <c r="V31" i="20"/>
  <c r="V58" i="20" s="1"/>
  <c r="Y41" i="20"/>
  <c r="Y68" i="20" s="1"/>
  <c r="V26" i="20"/>
  <c r="V53" i="20" s="1"/>
  <c r="U27" i="13"/>
  <c r="BI28" i="13"/>
  <c r="BU42" i="18"/>
  <c r="AN64" i="11"/>
  <c r="BU27" i="13"/>
  <c r="W25" i="20"/>
  <c r="W52" i="20" s="1"/>
  <c r="I27" i="19"/>
  <c r="I54" i="19" s="1"/>
  <c r="Y25" i="13"/>
  <c r="Y52" i="13" s="1"/>
  <c r="R40" i="13"/>
  <c r="R67" i="13" s="1"/>
  <c r="K42" i="18"/>
  <c r="K69" i="18" s="1"/>
  <c r="Y27" i="13"/>
  <c r="Y54" i="13" s="1"/>
  <c r="AM58" i="11"/>
  <c r="Y40" i="19"/>
  <c r="Y67" i="19" s="1"/>
  <c r="W32" i="13"/>
  <c r="K31" i="13"/>
  <c r="K58" i="13" s="1"/>
  <c r="M28" i="13"/>
  <c r="M55" i="13" s="1"/>
  <c r="BI38" i="18"/>
  <c r="K24" i="18"/>
  <c r="I34" i="19"/>
  <c r="I61" i="19" s="1"/>
  <c r="K34" i="18"/>
  <c r="K61" i="18" s="1"/>
  <c r="Y26" i="20"/>
  <c r="Y53" i="20" s="1"/>
  <c r="BU29" i="13"/>
  <c r="AK62" i="11"/>
  <c r="I26" i="19"/>
  <c r="I53" i="19" s="1"/>
  <c r="BI34" i="20"/>
  <c r="I24" i="19"/>
  <c r="U34" i="19"/>
  <c r="U61" i="19" s="1"/>
  <c r="X26" i="13"/>
  <c r="X53" i="13" s="1"/>
  <c r="M35" i="18"/>
  <c r="M62" i="18" s="1"/>
  <c r="I35" i="13"/>
  <c r="I62" i="13" s="1"/>
  <c r="W41" i="18"/>
  <c r="R55" i="11"/>
  <c r="J24" i="20"/>
  <c r="M38" i="19"/>
  <c r="M65" i="19" s="1"/>
  <c r="J37" i="20"/>
  <c r="J64" i="20" s="1"/>
  <c r="L27" i="13"/>
  <c r="L54" i="13" s="1"/>
  <c r="Y32" i="19"/>
  <c r="M33" i="19"/>
  <c r="M60" i="19" s="1"/>
  <c r="W38" i="13"/>
  <c r="BI26" i="18"/>
  <c r="Y24" i="13"/>
  <c r="M31" i="19"/>
  <c r="M58" i="19" s="1"/>
  <c r="BD40" i="20"/>
  <c r="X37" i="13"/>
  <c r="X64" i="13" s="1"/>
  <c r="K32" i="13"/>
  <c r="K59" i="13" s="1"/>
  <c r="K35" i="19"/>
  <c r="K62" i="19" s="1"/>
  <c r="BE24" i="18"/>
  <c r="BU42" i="13"/>
  <c r="BU30" i="19"/>
  <c r="BI34" i="19"/>
  <c r="BI61" i="19" s="1"/>
  <c r="U35" i="19"/>
  <c r="U62" i="19" s="1"/>
  <c r="I31" i="19"/>
  <c r="I58" i="19" s="1"/>
  <c r="BU27" i="19"/>
  <c r="BU37" i="18"/>
  <c r="X35" i="19"/>
  <c r="X62" i="19" s="1"/>
  <c r="R27" i="13"/>
  <c r="R54" i="13" s="1"/>
  <c r="Y27" i="19"/>
  <c r="Y54" i="19" s="1"/>
  <c r="P33" i="13"/>
  <c r="P60" i="13" s="1"/>
  <c r="V28" i="20"/>
  <c r="V55" i="20" s="1"/>
  <c r="K55" i="11"/>
  <c r="V32" i="20"/>
  <c r="W29" i="13"/>
  <c r="L32" i="13"/>
  <c r="L59" i="13" s="1"/>
  <c r="X34" i="13"/>
  <c r="X61" i="13" s="1"/>
  <c r="M33" i="18"/>
  <c r="M60" i="18" s="1"/>
  <c r="H54" i="11"/>
  <c r="AK53" i="11"/>
  <c r="H68" i="11"/>
  <c r="O59" i="11"/>
  <c r="BE28" i="20"/>
  <c r="BE55" i="20" s="1"/>
  <c r="BI37" i="13"/>
  <c r="X36" i="19"/>
  <c r="X63" i="19" s="1"/>
  <c r="X42" i="19"/>
  <c r="X69" i="19" s="1"/>
  <c r="BI39" i="18"/>
  <c r="X36" i="13"/>
  <c r="X63" i="13" s="1"/>
  <c r="P26" i="13"/>
  <c r="P53" i="13" s="1"/>
  <c r="W35" i="18"/>
  <c r="BU33" i="18"/>
  <c r="Y29" i="19"/>
  <c r="Y56" i="19" s="1"/>
  <c r="R29" i="13"/>
  <c r="K29" i="13"/>
  <c r="K56" i="13" s="1"/>
  <c r="L62" i="11"/>
  <c r="BU26" i="20"/>
  <c r="W26" i="19"/>
  <c r="I32" i="13"/>
  <c r="I59" i="13" s="1"/>
  <c r="BI26" i="13"/>
  <c r="Y27" i="18"/>
  <c r="Y54" i="18" s="1"/>
  <c r="W26" i="20"/>
  <c r="I33" i="19"/>
  <c r="I60" i="19" s="1"/>
  <c r="W34" i="18"/>
  <c r="BE34" i="13"/>
  <c r="BE61" i="13" s="1"/>
  <c r="H43" i="20"/>
  <c r="H70" i="20" s="1"/>
  <c r="O60" i="11"/>
  <c r="K30" i="19"/>
  <c r="K57" i="19" s="1"/>
  <c r="U40" i="19"/>
  <c r="U67" i="19" s="1"/>
  <c r="U41" i="19"/>
  <c r="U68" i="19" s="1"/>
  <c r="U27" i="19"/>
  <c r="U54" i="19" s="1"/>
  <c r="BI32" i="19"/>
  <c r="V30" i="20"/>
  <c r="V57" i="20" s="1"/>
  <c r="Y35" i="13"/>
  <c r="Y62" i="13" s="1"/>
  <c r="BE35" i="13"/>
  <c r="BE62" i="13" s="1"/>
  <c r="K26" i="13"/>
  <c r="K53" i="13" s="1"/>
  <c r="M29" i="13"/>
  <c r="M56" i="13" s="1"/>
  <c r="BU26" i="18"/>
  <c r="U34" i="18"/>
  <c r="U61" i="18" s="1"/>
  <c r="BE42" i="18"/>
  <c r="BE69" i="18" s="1"/>
  <c r="H57" i="11"/>
  <c r="BU40" i="20"/>
  <c r="L24" i="13"/>
  <c r="W35" i="13"/>
  <c r="W62" i="13" s="1"/>
  <c r="W27" i="20"/>
  <c r="W54" i="20" s="1"/>
  <c r="I28" i="20"/>
  <c r="I55" i="20" s="1"/>
  <c r="L30" i="19"/>
  <c r="L57" i="19" s="1"/>
  <c r="BI42" i="19"/>
  <c r="BE28" i="18"/>
  <c r="BE55" i="18" s="1"/>
  <c r="U29" i="19"/>
  <c r="K28" i="19"/>
  <c r="K55" i="19" s="1"/>
  <c r="I44" i="20"/>
  <c r="I71" i="20" s="1"/>
  <c r="BU25" i="20"/>
  <c r="O52" i="11"/>
  <c r="AK68" i="11"/>
  <c r="X39" i="19"/>
  <c r="BU25" i="13"/>
  <c r="Y29" i="13"/>
  <c r="Y56" i="13" s="1"/>
  <c r="W28" i="19"/>
  <c r="K25" i="18"/>
  <c r="K52" i="18" s="1"/>
  <c r="M32" i="18"/>
  <c r="M59" i="18" s="1"/>
  <c r="BE33" i="18"/>
  <c r="BE60" i="18" s="1"/>
  <c r="K29" i="19"/>
  <c r="K56" i="19" s="1"/>
  <c r="Q24" i="13"/>
  <c r="U25" i="19"/>
  <c r="U52" i="19" s="1"/>
  <c r="BE42" i="13"/>
  <c r="BE69" i="13" s="1"/>
  <c r="M37" i="13"/>
  <c r="M64" i="13" s="1"/>
  <c r="W33" i="18"/>
  <c r="Q70" i="11"/>
  <c r="BE29" i="18"/>
  <c r="BE56" i="18" s="1"/>
  <c r="M24" i="13"/>
  <c r="G41" i="4"/>
  <c r="M25" i="13"/>
  <c r="M52" i="13" s="1"/>
  <c r="W29" i="19"/>
  <c r="W56" i="19" s="1"/>
  <c r="M33" i="20"/>
  <c r="M60" i="20" s="1"/>
  <c r="BE30" i="19"/>
  <c r="K43" i="18"/>
  <c r="K70" i="18" s="1"/>
  <c r="I36" i="13"/>
  <c r="I63" i="13" s="1"/>
  <c r="R63" i="11"/>
  <c r="M25" i="20"/>
  <c r="M52" i="20" s="1"/>
  <c r="BU34" i="19"/>
  <c r="I36" i="19"/>
  <c r="I63" i="19" s="1"/>
  <c r="BI32" i="13"/>
  <c r="AH51" i="11"/>
  <c r="Y30" i="13"/>
  <c r="Y57" i="13" s="1"/>
  <c r="M29" i="20"/>
  <c r="M56" i="20" s="1"/>
  <c r="W38" i="19"/>
  <c r="BU34" i="18"/>
  <c r="BE25" i="20"/>
  <c r="BE52" i="20" s="1"/>
  <c r="Y28" i="19"/>
  <c r="P36" i="13"/>
  <c r="P63" i="13" s="1"/>
  <c r="W25" i="19"/>
  <c r="Y31" i="18"/>
  <c r="R36" i="13"/>
  <c r="R63" i="13" s="1"/>
  <c r="K27" i="19"/>
  <c r="K54" i="19" s="1"/>
  <c r="X34" i="19"/>
  <c r="X61" i="19" s="1"/>
  <c r="BE26" i="19"/>
  <c r="BE53" i="19" s="1"/>
  <c r="M34" i="13"/>
  <c r="M61" i="13" s="1"/>
  <c r="AI56" i="11"/>
  <c r="U24" i="19"/>
  <c r="BU28" i="18"/>
  <c r="Y24" i="20"/>
  <c r="Y26" i="19"/>
  <c r="K32" i="18"/>
  <c r="K59" i="18" s="1"/>
  <c r="X30" i="19"/>
  <c r="X57" i="19" s="1"/>
  <c r="Y30" i="18"/>
  <c r="BU37" i="20"/>
  <c r="BI27" i="13"/>
  <c r="K42" i="20"/>
  <c r="K69" i="20" s="1"/>
  <c r="BE44" i="18"/>
  <c r="BE71" i="18" s="1"/>
  <c r="X25" i="13"/>
  <c r="X52" i="13" s="1"/>
  <c r="U28" i="19"/>
  <c r="U55" i="19" s="1"/>
  <c r="BE31" i="18"/>
  <c r="BE58" i="18" s="1"/>
  <c r="X29" i="19"/>
  <c r="BE35" i="18"/>
  <c r="BE62" i="18" s="1"/>
  <c r="BE32" i="19"/>
  <c r="BE59" i="19" s="1"/>
  <c r="BU24" i="20"/>
  <c r="V41" i="13"/>
  <c r="J34" i="18"/>
  <c r="J61" i="18" s="1"/>
  <c r="BH35" i="13"/>
  <c r="BH62" i="13" s="1"/>
  <c r="BQ26" i="13"/>
  <c r="BQ53" i="13" s="1"/>
  <c r="X25" i="20"/>
  <c r="X52" i="20" s="1"/>
  <c r="BH40" i="19"/>
  <c r="BG30" i="13"/>
  <c r="BH37" i="18"/>
  <c r="BF30" i="13"/>
  <c r="BF57" i="13" s="1"/>
  <c r="J39" i="19"/>
  <c r="J66" i="19" s="1"/>
  <c r="BG31" i="13"/>
  <c r="X37" i="20"/>
  <c r="X64" i="20" s="1"/>
  <c r="BF32" i="20"/>
  <c r="BF59" i="20" s="1"/>
  <c r="J36" i="13"/>
  <c r="J63" i="13" s="1"/>
  <c r="J38" i="13"/>
  <c r="J65" i="13" s="1"/>
  <c r="X33" i="20"/>
  <c r="X60" i="20" s="1"/>
  <c r="BF24" i="18"/>
  <c r="BF28" i="13"/>
  <c r="BF55" i="13" s="1"/>
  <c r="BF26" i="20"/>
  <c r="BF53" i="20" s="1"/>
  <c r="BH27" i="19"/>
  <c r="BH39" i="19"/>
  <c r="BG30" i="19"/>
  <c r="BF32" i="13"/>
  <c r="BF59" i="13" s="1"/>
  <c r="V33" i="13"/>
  <c r="V60" i="13" s="1"/>
  <c r="BF27" i="18"/>
  <c r="BF54" i="18" s="1"/>
  <c r="BG36" i="19"/>
  <c r="J31" i="18"/>
  <c r="J58" i="18" s="1"/>
  <c r="BG40" i="19"/>
  <c r="BG35" i="13"/>
  <c r="V25" i="18"/>
  <c r="V52" i="18" s="1"/>
  <c r="BG29" i="18"/>
  <c r="X38" i="18"/>
  <c r="X65" i="18" s="1"/>
  <c r="X38" i="20"/>
  <c r="X65" i="20" s="1"/>
  <c r="J39" i="18"/>
  <c r="J66" i="18" s="1"/>
  <c r="BG44" i="13"/>
  <c r="J27" i="19"/>
  <c r="J54" i="19" s="1"/>
  <c r="L32" i="20"/>
  <c r="L59" i="20" s="1"/>
  <c r="V27" i="19"/>
  <c r="V54" i="19" s="1"/>
  <c r="BG38" i="13"/>
  <c r="V44" i="19"/>
  <c r="V71" i="19" s="1"/>
  <c r="BQ36" i="20"/>
  <c r="BQ63" i="20" s="1"/>
  <c r="BH26" i="18"/>
  <c r="J41" i="13"/>
  <c r="J68" i="13" s="1"/>
  <c r="BF26" i="18"/>
  <c r="BF53" i="18" s="1"/>
  <c r="J34" i="13"/>
  <c r="J61" i="13" s="1"/>
  <c r="BF37" i="18"/>
  <c r="BF64" i="18" s="1"/>
  <c r="X44" i="20"/>
  <c r="V27" i="13"/>
  <c r="V54" i="13" s="1"/>
  <c r="BQ41" i="13"/>
  <c r="BQ68" i="13" s="1"/>
  <c r="BG37" i="13"/>
  <c r="BH38" i="13"/>
  <c r="BF37" i="20"/>
  <c r="BF64" i="20" s="1"/>
  <c r="BQ34" i="13"/>
  <c r="BQ61" i="13" s="1"/>
  <c r="X36" i="20"/>
  <c r="X63" i="20" s="1"/>
  <c r="BH40" i="18"/>
  <c r="J26" i="13"/>
  <c r="J53" i="13" s="1"/>
  <c r="BG43" i="18"/>
  <c r="BG43" i="19"/>
  <c r="BH27" i="13"/>
  <c r="V32" i="13"/>
  <c r="V59" i="13" s="1"/>
  <c r="BH36" i="20"/>
  <c r="BH35" i="20"/>
  <c r="BF34" i="13"/>
  <c r="BF61" i="13" s="1"/>
  <c r="V37" i="18"/>
  <c r="BH30" i="13"/>
  <c r="BF43" i="13"/>
  <c r="BF70" i="13" s="1"/>
  <c r="X29" i="18"/>
  <c r="BQ35" i="13"/>
  <c r="BQ62" i="13" s="1"/>
  <c r="J29" i="19"/>
  <c r="J56" i="19" s="1"/>
  <c r="BF31" i="20"/>
  <c r="BF58" i="20" s="1"/>
  <c r="L26" i="18"/>
  <c r="L53" i="18" s="1"/>
  <c r="J24" i="13"/>
  <c r="BQ28" i="20"/>
  <c r="BQ55" i="20" s="1"/>
  <c r="X44" i="18"/>
  <c r="X71" i="18" s="1"/>
  <c r="J27" i="13"/>
  <c r="J54" i="13" s="1"/>
  <c r="J32" i="13"/>
  <c r="J59" i="13" s="1"/>
  <c r="BQ44" i="13"/>
  <c r="BQ71" i="13" s="1"/>
  <c r="BQ37" i="20"/>
  <c r="BQ64" i="20" s="1"/>
  <c r="L32" i="18"/>
  <c r="L59" i="18" s="1"/>
  <c r="BF33" i="20"/>
  <c r="BF60" i="20" s="1"/>
  <c r="BF26" i="19"/>
  <c r="J40" i="18"/>
  <c r="J67" i="18" s="1"/>
  <c r="BG33" i="13"/>
  <c r="BF28" i="19"/>
  <c r="BF55" i="19" s="1"/>
  <c r="BQ31" i="13"/>
  <c r="BQ58" i="13" s="1"/>
  <c r="J30" i="18"/>
  <c r="J57" i="18" s="1"/>
  <c r="V24" i="19"/>
  <c r="V40" i="19"/>
  <c r="BQ39" i="13"/>
  <c r="BQ66" i="13" s="1"/>
  <c r="BF36" i="19"/>
  <c r="BF63" i="19" s="1"/>
  <c r="BG32" i="18"/>
  <c r="V36" i="13"/>
  <c r="V63" i="13" s="1"/>
  <c r="BQ31" i="20"/>
  <c r="BQ58" i="20" s="1"/>
  <c r="BG28" i="13"/>
  <c r="BG55" i="13" s="1"/>
  <c r="BG41" i="18"/>
  <c r="BF28" i="20"/>
  <c r="BF55" i="20" s="1"/>
  <c r="J25" i="19"/>
  <c r="J52" i="19" s="1"/>
  <c r="L29" i="20"/>
  <c r="L56" i="20" s="1"/>
  <c r="V25" i="13"/>
  <c r="V52" i="13" s="1"/>
  <c r="X25" i="18"/>
  <c r="X52" i="18" s="1"/>
  <c r="V24" i="13"/>
  <c r="BF35" i="13"/>
  <c r="BF62" i="13" s="1"/>
  <c r="BH33" i="18"/>
  <c r="BG27" i="18"/>
  <c r="BF37" i="13"/>
  <c r="BF64" i="13" s="1"/>
  <c r="BG28" i="18"/>
  <c r="BG35" i="20"/>
  <c r="V30" i="18"/>
  <c r="V57" i="18" s="1"/>
  <c r="BG24" i="19"/>
  <c r="BG39" i="19"/>
  <c r="L28" i="18"/>
  <c r="L55" i="18" s="1"/>
  <c r="BF44" i="13"/>
  <c r="BF71" i="13" s="1"/>
  <c r="BF25" i="20"/>
  <c r="BF52" i="20" s="1"/>
  <c r="BH31" i="18"/>
  <c r="BH32" i="18"/>
  <c r="X36" i="18"/>
  <c r="X63" i="18" s="1"/>
  <c r="X24" i="20"/>
  <c r="BG38" i="18"/>
  <c r="BH34" i="19"/>
  <c r="BF24" i="20"/>
  <c r="BQ34" i="19"/>
  <c r="BQ61" i="19" s="1"/>
  <c r="BH33" i="13"/>
  <c r="L37" i="20"/>
  <c r="L64" i="20" s="1"/>
  <c r="L31" i="20"/>
  <c r="L58" i="20" s="1"/>
  <c r="BF42" i="13"/>
  <c r="J28" i="18"/>
  <c r="J55" i="18" s="1"/>
  <c r="BH38" i="18"/>
  <c r="BH26" i="13"/>
  <c r="BH42" i="13"/>
  <c r="BH42" i="18"/>
  <c r="BH34" i="18"/>
  <c r="BH38" i="19"/>
  <c r="J39" i="13"/>
  <c r="J66" i="13" s="1"/>
  <c r="BQ36" i="13"/>
  <c r="BQ63" i="13" s="1"/>
  <c r="V28" i="18"/>
  <c r="V55" i="18" s="1"/>
  <c r="X40" i="18"/>
  <c r="X67" i="18" s="1"/>
  <c r="BG34" i="19"/>
  <c r="X31" i="18"/>
  <c r="X58" i="18" s="1"/>
  <c r="X35" i="20"/>
  <c r="X62" i="20" s="1"/>
  <c r="BQ34" i="20"/>
  <c r="BQ61" i="20" s="1"/>
  <c r="BG44" i="18"/>
  <c r="L34" i="18"/>
  <c r="L61" i="18" s="1"/>
  <c r="BG27" i="19"/>
  <c r="J33" i="13"/>
  <c r="J60" i="13" s="1"/>
  <c r="BH32" i="13"/>
  <c r="BQ28" i="18"/>
  <c r="BQ55" i="18" s="1"/>
  <c r="BQ29" i="19"/>
  <c r="BQ56" i="19" s="1"/>
  <c r="BF25" i="13"/>
  <c r="BF52" i="13" s="1"/>
  <c r="BQ26" i="18"/>
  <c r="BQ53" i="18" s="1"/>
  <c r="BG28" i="19"/>
  <c r="BH28" i="18"/>
  <c r="BG37" i="20"/>
  <c r="X27" i="18"/>
  <c r="X54" i="18" s="1"/>
  <c r="BQ28" i="13"/>
  <c r="BQ55" i="13" s="1"/>
  <c r="V30" i="19"/>
  <c r="V57" i="19" s="1"/>
  <c r="BQ31" i="18"/>
  <c r="BQ58" i="18" s="1"/>
  <c r="V40" i="18"/>
  <c r="V67" i="18" s="1"/>
  <c r="BQ38" i="13"/>
  <c r="BQ65" i="13" s="1"/>
  <c r="BH42" i="19"/>
  <c r="J41" i="19"/>
  <c r="J68" i="19" s="1"/>
  <c r="BH44" i="20"/>
  <c r="BG25" i="13"/>
  <c r="BG41" i="20"/>
  <c r="BQ32" i="19"/>
  <c r="BQ59" i="19" s="1"/>
  <c r="BQ25" i="20"/>
  <c r="BQ52" i="20" s="1"/>
  <c r="BQ42" i="20"/>
  <c r="X29" i="20"/>
  <c r="X56" i="20" s="1"/>
  <c r="BH37" i="13"/>
  <c r="BF40" i="19"/>
  <c r="BF67" i="19" s="1"/>
  <c r="BQ39" i="20"/>
  <c r="BQ66" i="20" s="1"/>
  <c r="BQ43" i="19"/>
  <c r="BQ70" i="19" s="1"/>
  <c r="BH36" i="19"/>
  <c r="BG32" i="13"/>
  <c r="BG59" i="13" s="1"/>
  <c r="BF36" i="20"/>
  <c r="BF63" i="20" s="1"/>
  <c r="BH35" i="18"/>
  <c r="BG34" i="13"/>
  <c r="BG61" i="13" s="1"/>
  <c r="BQ44" i="19"/>
  <c r="BQ71" i="19" s="1"/>
  <c r="BH41" i="18"/>
  <c r="BQ37" i="18"/>
  <c r="BQ64" i="18" s="1"/>
  <c r="X31" i="20"/>
  <c r="X58" i="20" s="1"/>
  <c r="V34" i="19"/>
  <c r="V61" i="19" s="1"/>
  <c r="BG42" i="20"/>
  <c r="X43" i="18"/>
  <c r="X70" i="18" s="1"/>
  <c r="BF35" i="20"/>
  <c r="BF62" i="20" s="1"/>
  <c r="X34" i="20"/>
  <c r="X61" i="20" s="1"/>
  <c r="BF40" i="18"/>
  <c r="BF67" i="18" s="1"/>
  <c r="BQ26" i="19"/>
  <c r="BG39" i="20"/>
  <c r="V38" i="13"/>
  <c r="V65" i="13" s="1"/>
  <c r="J40" i="13"/>
  <c r="J67" i="13" s="1"/>
  <c r="BH37" i="19"/>
  <c r="BH27" i="18"/>
  <c r="BH54" i="18" s="1"/>
  <c r="BQ42" i="13"/>
  <c r="BQ69" i="13" s="1"/>
  <c r="BG26" i="13"/>
  <c r="BF31" i="18"/>
  <c r="BF58" i="18" s="1"/>
  <c r="BH25" i="20"/>
  <c r="BG37" i="19"/>
  <c r="J37" i="18"/>
  <c r="J64" i="18" s="1"/>
  <c r="BG24" i="18"/>
  <c r="BF44" i="19"/>
  <c r="BF71" i="19" s="1"/>
  <c r="BH26" i="19"/>
  <c r="BQ40" i="18"/>
  <c r="BQ67" i="18" s="1"/>
  <c r="L42" i="20"/>
  <c r="L69" i="20" s="1"/>
  <c r="BH25" i="13"/>
  <c r="BH52" i="13" s="1"/>
  <c r="BG34" i="18"/>
  <c r="BG36" i="18"/>
  <c r="BF34" i="18"/>
  <c r="BF61" i="18" s="1"/>
  <c r="L35" i="20"/>
  <c r="L62" i="20" s="1"/>
  <c r="V42" i="18"/>
  <c r="BQ39" i="19"/>
  <c r="BQ66" i="19" s="1"/>
  <c r="BQ40" i="19"/>
  <c r="BQ67" i="19" s="1"/>
  <c r="BG40" i="13"/>
  <c r="BG29" i="19"/>
  <c r="BQ43" i="13"/>
  <c r="BQ70" i="13" s="1"/>
  <c r="BH36" i="13"/>
  <c r="BG43" i="20"/>
  <c r="BH37" i="20"/>
  <c r="BH64" i="20" s="1"/>
  <c r="J33" i="18"/>
  <c r="J60" i="18" s="1"/>
  <c r="BG41" i="13"/>
  <c r="V41" i="18"/>
  <c r="V68" i="18" s="1"/>
  <c r="BH39" i="13"/>
  <c r="V29" i="13"/>
  <c r="V56" i="13" s="1"/>
  <c r="BF29" i="19"/>
  <c r="BF56" i="19" s="1"/>
  <c r="L36" i="18"/>
  <c r="L63" i="18" s="1"/>
  <c r="BF24" i="19"/>
  <c r="BH43" i="20"/>
  <c r="J44" i="13"/>
  <c r="J71" i="13" s="1"/>
  <c r="BG31" i="20"/>
  <c r="BG26" i="20"/>
  <c r="BF37" i="19"/>
  <c r="BF64" i="19" s="1"/>
  <c r="BG30" i="20"/>
  <c r="BG44" i="20"/>
  <c r="BH44" i="18"/>
  <c r="BH71" i="18" s="1"/>
  <c r="BG33" i="20"/>
  <c r="BG60" i="20" s="1"/>
  <c r="BQ41" i="19"/>
  <c r="L24" i="20"/>
  <c r="BG40" i="20"/>
  <c r="BH29" i="13"/>
  <c r="V26" i="18"/>
  <c r="V53" i="18" s="1"/>
  <c r="BF44" i="18"/>
  <c r="X33" i="18"/>
  <c r="X60" i="18" s="1"/>
  <c r="V25" i="19"/>
  <c r="V52" i="19" s="1"/>
  <c r="X26" i="20"/>
  <c r="X53" i="20" s="1"/>
  <c r="L27" i="18"/>
  <c r="L54" i="18" s="1"/>
  <c r="V29" i="18"/>
  <c r="V56" i="18" s="1"/>
  <c r="BG35" i="18"/>
  <c r="BF27" i="20"/>
  <c r="BF54" i="20" s="1"/>
  <c r="V38" i="18"/>
  <c r="V65" i="18" s="1"/>
  <c r="BQ41" i="20"/>
  <c r="BQ68" i="20" s="1"/>
  <c r="BG38" i="19"/>
  <c r="BQ35" i="20"/>
  <c r="BQ62" i="20" s="1"/>
  <c r="BH25" i="18"/>
  <c r="X39" i="20"/>
  <c r="X66" i="20" s="1"/>
  <c r="L41" i="20"/>
  <c r="L68" i="20" s="1"/>
  <c r="X26" i="18"/>
  <c r="X53" i="18" s="1"/>
  <c r="BQ24" i="18"/>
  <c r="X42" i="18"/>
  <c r="X69" i="18" s="1"/>
  <c r="J43" i="19"/>
  <c r="J70" i="19" s="1"/>
  <c r="BH33" i="19"/>
  <c r="BQ25" i="19"/>
  <c r="L40" i="18"/>
  <c r="L67" i="18" s="1"/>
  <c r="BF33" i="13"/>
  <c r="BF60" i="13" s="1"/>
  <c r="BF28" i="18"/>
  <c r="L29" i="18"/>
  <c r="L56" i="18" s="1"/>
  <c r="BG40" i="18"/>
  <c r="BG67" i="18" s="1"/>
  <c r="BQ29" i="13"/>
  <c r="BQ56" i="13" s="1"/>
  <c r="BH24" i="13"/>
  <c r="BH39" i="18"/>
  <c r="BG41" i="19"/>
  <c r="J41" i="4"/>
  <c r="BH28" i="19"/>
  <c r="BH24" i="18"/>
  <c r="BF30" i="20"/>
  <c r="BF57" i="20" s="1"/>
  <c r="BQ33" i="13"/>
  <c r="BQ60" i="13" s="1"/>
  <c r="BF41" i="13"/>
  <c r="BF68" i="13" s="1"/>
  <c r="BF25" i="18"/>
  <c r="J41" i="18"/>
  <c r="J68" i="18" s="1"/>
  <c r="BF30" i="18"/>
  <c r="BF57" i="18" s="1"/>
  <c r="BQ36" i="18"/>
  <c r="BF42" i="20"/>
  <c r="BF69" i="20" s="1"/>
  <c r="L25" i="18"/>
  <c r="L52" i="18" s="1"/>
  <c r="BQ27" i="18"/>
  <c r="BQ54" i="18" s="1"/>
  <c r="J25" i="18"/>
  <c r="J52" i="18" s="1"/>
  <c r="L36" i="20"/>
  <c r="L63" i="20" s="1"/>
  <c r="L28" i="20"/>
  <c r="L55" i="20" s="1"/>
  <c r="BF24" i="13"/>
  <c r="V35" i="18"/>
  <c r="V62" i="18" s="1"/>
  <c r="BF29" i="18"/>
  <c r="BQ44" i="20"/>
  <c r="BQ71" i="20" s="1"/>
  <c r="BQ36" i="19"/>
  <c r="BQ63" i="19" s="1"/>
  <c r="V39" i="13"/>
  <c r="V66" i="13" s="1"/>
  <c r="V33" i="19"/>
  <c r="V60" i="19" s="1"/>
  <c r="J31" i="19"/>
  <c r="J58" i="19" s="1"/>
  <c r="J32" i="19"/>
  <c r="J59" i="19" s="1"/>
  <c r="V24" i="18"/>
  <c r="BG24" i="20"/>
  <c r="BH41" i="19"/>
  <c r="BQ32" i="20"/>
  <c r="BQ59" i="20" s="1"/>
  <c r="BF31" i="13"/>
  <c r="BF58" i="13" s="1"/>
  <c r="BG29" i="20"/>
  <c r="J25" i="13"/>
  <c r="J52" i="13" s="1"/>
  <c r="L26" i="20"/>
  <c r="L53" i="20" s="1"/>
  <c r="BG42" i="13"/>
  <c r="BG69" i="13" s="1"/>
  <c r="BG26" i="19"/>
  <c r="BG36" i="20"/>
  <c r="BG63" i="20" s="1"/>
  <c r="BQ29" i="20"/>
  <c r="BQ56" i="20" s="1"/>
  <c r="BQ30" i="13"/>
  <c r="V31" i="18"/>
  <c r="V58" i="18" s="1"/>
  <c r="BF33" i="19"/>
  <c r="BF60" i="19" s="1"/>
  <c r="BG25" i="18"/>
  <c r="V36" i="19"/>
  <c r="V63" i="19" s="1"/>
  <c r="BH31" i="20"/>
  <c r="BQ33" i="19"/>
  <c r="BQ60" i="19" s="1"/>
  <c r="BG24" i="13"/>
  <c r="L38" i="18"/>
  <c r="L65" i="18" s="1"/>
  <c r="BG34" i="20"/>
  <c r="BH30" i="19"/>
  <c r="BH35" i="19"/>
  <c r="BF41" i="19"/>
  <c r="BF68" i="19" s="1"/>
  <c r="V37" i="19"/>
  <c r="BF35" i="19"/>
  <c r="BF62" i="19" s="1"/>
  <c r="J36" i="18"/>
  <c r="J63" i="18" s="1"/>
  <c r="BF39" i="19"/>
  <c r="BF66" i="19" s="1"/>
  <c r="BQ37" i="13"/>
  <c r="BQ64" i="13" s="1"/>
  <c r="BF26" i="13"/>
  <c r="BF53" i="13" s="1"/>
  <c r="J38" i="18"/>
  <c r="J65" i="18" s="1"/>
  <c r="BG26" i="18"/>
  <c r="J30" i="19"/>
  <c r="J57" i="19" s="1"/>
  <c r="J36" i="19"/>
  <c r="J63" i="19" s="1"/>
  <c r="V40" i="13"/>
  <c r="V67" i="13" s="1"/>
  <c r="J27" i="18"/>
  <c r="J54" i="18" s="1"/>
  <c r="BG42" i="18"/>
  <c r="V38" i="19"/>
  <c r="V65" i="19" s="1"/>
  <c r="BH24" i="20"/>
  <c r="V43" i="19"/>
  <c r="V70" i="19" s="1"/>
  <c r="BH44" i="19"/>
  <c r="BG43" i="13"/>
  <c r="BG70" i="13" s="1"/>
  <c r="J33" i="19"/>
  <c r="J60" i="19" s="1"/>
  <c r="J37" i="13"/>
  <c r="J64" i="13" s="1"/>
  <c r="V35" i="13"/>
  <c r="V62" i="13" s="1"/>
  <c r="BQ35" i="18"/>
  <c r="BQ62" i="18" s="1"/>
  <c r="BQ42" i="18"/>
  <c r="BQ69" i="18" s="1"/>
  <c r="BG28" i="20"/>
  <c r="BG42" i="19"/>
  <c r="BF38" i="13"/>
  <c r="BF65" i="13" s="1"/>
  <c r="J32" i="18"/>
  <c r="J59" i="18" s="1"/>
  <c r="BG31" i="18"/>
  <c r="BF36" i="13"/>
  <c r="BF63" i="13" s="1"/>
  <c r="V44" i="18"/>
  <c r="V71" i="18" s="1"/>
  <c r="BF40" i="13"/>
  <c r="BF67" i="13" s="1"/>
  <c r="V33" i="18"/>
  <c r="V60" i="18" s="1"/>
  <c r="BG25" i="19"/>
  <c r="BQ31" i="19"/>
  <c r="BQ58" i="19" s="1"/>
  <c r="V43" i="13"/>
  <c r="V70" i="13" s="1"/>
  <c r="BG32" i="19"/>
  <c r="BF30" i="19"/>
  <c r="BH29" i="19"/>
  <c r="BH56" i="19" s="1"/>
  <c r="BH42" i="20"/>
  <c r="BH69" i="20" s="1"/>
  <c r="BQ28" i="19"/>
  <c r="BQ55" i="19" s="1"/>
  <c r="BQ30" i="19"/>
  <c r="BQ57" i="19" s="1"/>
  <c r="BH29" i="18"/>
  <c r="BH56" i="18" s="1"/>
  <c r="BQ38" i="19"/>
  <c r="BQ65" i="19" s="1"/>
  <c r="BQ34" i="18"/>
  <c r="BQ61" i="18" s="1"/>
  <c r="BF32" i="18"/>
  <c r="BF59" i="18" s="1"/>
  <c r="BF33" i="18"/>
  <c r="J40" i="19"/>
  <c r="J67" i="19" s="1"/>
  <c r="X28" i="20"/>
  <c r="X55" i="20" s="1"/>
  <c r="V30" i="13"/>
  <c r="V57" i="13" s="1"/>
  <c r="BQ30" i="18"/>
  <c r="BQ57" i="18" s="1"/>
  <c r="BQ38" i="18"/>
  <c r="BQ65" i="18" s="1"/>
  <c r="BH43" i="19"/>
  <c r="BQ33" i="20"/>
  <c r="BQ35" i="19"/>
  <c r="BQ62" i="19" s="1"/>
  <c r="BH28" i="20"/>
  <c r="BF39" i="13"/>
  <c r="BF66" i="13" s="1"/>
  <c r="BH32" i="20"/>
  <c r="L44" i="20"/>
  <c r="L71" i="20" s="1"/>
  <c r="J28" i="19"/>
  <c r="J55" i="19" s="1"/>
  <c r="BQ24" i="20"/>
  <c r="BH29" i="20"/>
  <c r="BF41" i="20"/>
  <c r="BF68" i="20" s="1"/>
  <c r="J34" i="19"/>
  <c r="J61" i="19" s="1"/>
  <c r="BH31" i="13"/>
  <c r="V26" i="19"/>
  <c r="V53" i="19" s="1"/>
  <c r="BH32" i="19"/>
  <c r="V41" i="19"/>
  <c r="V68" i="19" s="1"/>
  <c r="BG39" i="13"/>
  <c r="BH28" i="13"/>
  <c r="BH55" i="13" s="1"/>
  <c r="X34" i="18"/>
  <c r="X61" i="18" s="1"/>
  <c r="BH27" i="20"/>
  <c r="X40" i="20"/>
  <c r="BQ41" i="18"/>
  <c r="BQ68" i="18" s="1"/>
  <c r="BQ29" i="18"/>
  <c r="BQ56" i="18" s="1"/>
  <c r="J37" i="19"/>
  <c r="J64" i="19" s="1"/>
  <c r="BG33" i="18"/>
  <c r="BG60" i="18" s="1"/>
  <c r="BF39" i="18"/>
  <c r="BF66" i="18" s="1"/>
  <c r="BH41" i="13"/>
  <c r="O41" i="4"/>
  <c r="V43" i="18"/>
  <c r="V70" i="18" s="1"/>
  <c r="L44" i="18"/>
  <c r="L71" i="18" s="1"/>
  <c r="BQ27" i="20"/>
  <c r="BQ54" i="20" s="1"/>
  <c r="L27" i="20"/>
  <c r="L54" i="20" s="1"/>
  <c r="X35" i="18"/>
  <c r="X62" i="18" s="1"/>
  <c r="BQ43" i="20"/>
  <c r="BQ70" i="20" s="1"/>
  <c r="BQ32" i="18"/>
  <c r="BQ59" i="18" s="1"/>
  <c r="BF43" i="18"/>
  <c r="BF70" i="18" s="1"/>
  <c r="BF44" i="20"/>
  <c r="L31" i="18"/>
  <c r="L58" i="18" s="1"/>
  <c r="L41" i="18"/>
  <c r="L68" i="18" s="1"/>
  <c r="BF41" i="18"/>
  <c r="BF68" i="18" s="1"/>
  <c r="V34" i="18"/>
  <c r="V61" i="18" s="1"/>
  <c r="L42" i="18"/>
  <c r="L69" i="18" s="1"/>
  <c r="V26" i="13"/>
  <c r="V53" i="13" s="1"/>
  <c r="BH31" i="19"/>
  <c r="BQ40" i="13"/>
  <c r="BQ67" i="13" s="1"/>
  <c r="BF42" i="19"/>
  <c r="BF69" i="19" s="1"/>
  <c r="X30" i="18"/>
  <c r="X57" i="18" s="1"/>
  <c r="BG44" i="19"/>
  <c r="BG71" i="19" s="1"/>
  <c r="J26" i="19"/>
  <c r="J53" i="19" s="1"/>
  <c r="BF34" i="20"/>
  <c r="BF61" i="20" s="1"/>
  <c r="BQ27" i="19"/>
  <c r="BQ54" i="19" s="1"/>
  <c r="L25" i="20"/>
  <c r="L52" i="20" s="1"/>
  <c r="BH38" i="20"/>
  <c r="BH34" i="13"/>
  <c r="J42" i="19"/>
  <c r="J69" i="19" s="1"/>
  <c r="V36" i="18"/>
  <c r="V63" i="18" s="1"/>
  <c r="V42" i="19"/>
  <c r="J44" i="19"/>
  <c r="J71" i="19" s="1"/>
  <c r="L43" i="20"/>
  <c r="L70" i="20" s="1"/>
  <c r="X41" i="18"/>
  <c r="X68" i="18" s="1"/>
  <c r="BF27" i="19"/>
  <c r="BF54" i="19" s="1"/>
  <c r="BG36" i="13"/>
  <c r="BG63" i="13" s="1"/>
  <c r="L35" i="18"/>
  <c r="L62" i="18" s="1"/>
  <c r="BQ30" i="20"/>
  <c r="BQ57" i="20" s="1"/>
  <c r="J30" i="13"/>
  <c r="J57" i="13" s="1"/>
  <c r="L39" i="20"/>
  <c r="L66" i="20" s="1"/>
  <c r="BG27" i="13"/>
  <c r="BF35" i="18"/>
  <c r="BF62" i="18" s="1"/>
  <c r="L38" i="20"/>
  <c r="L65" i="20" s="1"/>
  <c r="J44" i="18"/>
  <c r="J71" i="18" s="1"/>
  <c r="BQ39" i="18"/>
  <c r="BQ66" i="18" s="1"/>
  <c r="BF38" i="19"/>
  <c r="BF65" i="19" s="1"/>
  <c r="V31" i="19"/>
  <c r="V42" i="13"/>
  <c r="V69" i="13" s="1"/>
  <c r="BG32" i="20"/>
  <c r="BG59" i="20" s="1"/>
  <c r="X32" i="18"/>
  <c r="X59" i="18" s="1"/>
  <c r="L33" i="20"/>
  <c r="L60" i="20" s="1"/>
  <c r="L30" i="20"/>
  <c r="L57" i="20" s="1"/>
  <c r="BG38" i="20"/>
  <c r="BF40" i="20"/>
  <c r="BQ27" i="13"/>
  <c r="BG37" i="18"/>
  <c r="L30" i="18"/>
  <c r="L57" i="18" s="1"/>
  <c r="J35" i="13"/>
  <c r="J62" i="13" s="1"/>
  <c r="J35" i="19"/>
  <c r="J62" i="19" s="1"/>
  <c r="X39" i="18"/>
  <c r="X66" i="18" s="1"/>
  <c r="BF29" i="20"/>
  <c r="BF56" i="20" s="1"/>
  <c r="J38" i="19"/>
  <c r="J65" i="19" s="1"/>
  <c r="BQ43" i="18"/>
  <c r="BQ70" i="18" s="1"/>
  <c r="BH26" i="20"/>
  <c r="BH53" i="20" s="1"/>
  <c r="J24" i="18"/>
  <c r="X43" i="20"/>
  <c r="X70" i="20" s="1"/>
  <c r="BG33" i="19"/>
  <c r="BG60" i="19" s="1"/>
  <c r="BH25" i="19"/>
  <c r="BH43" i="13"/>
  <c r="BH70" i="13" s="1"/>
  <c r="J43" i="13"/>
  <c r="J70" i="13" s="1"/>
  <c r="BF38" i="20"/>
  <c r="BF65" i="20" s="1"/>
  <c r="BQ24" i="13"/>
  <c r="L39" i="18"/>
  <c r="L66" i="18" s="1"/>
  <c r="BF43" i="20"/>
  <c r="BF70" i="20" s="1"/>
  <c r="BG30" i="18"/>
  <c r="V32" i="19"/>
  <c r="V59" i="19" s="1"/>
  <c r="BF38" i="18"/>
  <c r="BF65" i="18" s="1"/>
  <c r="BH40" i="13"/>
  <c r="BQ32" i="13"/>
  <c r="V35" i="19"/>
  <c r="BQ38" i="20"/>
  <c r="BQ65" i="20" s="1"/>
  <c r="BH30" i="20"/>
  <c r="I41" i="4"/>
  <c r="L34" i="20"/>
  <c r="L61" i="20" s="1"/>
  <c r="J29" i="18"/>
  <c r="J56" i="18" s="1"/>
  <c r="J42" i="18"/>
  <c r="J69" i="18" s="1"/>
  <c r="V32" i="18"/>
  <c r="V59" i="18" s="1"/>
  <c r="V31" i="13"/>
  <c r="V58" i="13" s="1"/>
  <c r="X41" i="20"/>
  <c r="X68" i="20" s="1"/>
  <c r="BG35" i="19"/>
  <c r="L43" i="18"/>
  <c r="L70" i="18" s="1"/>
  <c r="J43" i="18"/>
  <c r="J70" i="18" s="1"/>
  <c r="X42" i="20"/>
  <c r="X69" i="20" s="1"/>
  <c r="BH43" i="18"/>
  <c r="BH70" i="18" s="1"/>
  <c r="BH44" i="13"/>
  <c r="BH71" i="13" s="1"/>
  <c r="BH30" i="18"/>
  <c r="BQ33" i="18"/>
  <c r="BQ60" i="18" s="1"/>
  <c r="BH24" i="19"/>
  <c r="BQ37" i="19"/>
  <c r="BQ64" i="19" s="1"/>
  <c r="BF25" i="19"/>
  <c r="BF52" i="19" s="1"/>
  <c r="V29" i="19"/>
  <c r="BQ24" i="19"/>
  <c r="J31" i="13"/>
  <c r="J58" i="13" s="1"/>
  <c r="BQ44" i="18"/>
  <c r="BQ71" i="18" s="1"/>
  <c r="X37" i="18"/>
  <c r="X64" i="18" s="1"/>
  <c r="L40" i="20"/>
  <c r="L67" i="20" s="1"/>
  <c r="BH39" i="20"/>
  <c r="H41" i="4"/>
  <c r="V27" i="18"/>
  <c r="V54" i="18" s="1"/>
  <c r="BF42" i="18"/>
  <c r="BF69" i="18" s="1"/>
  <c r="BF32" i="19"/>
  <c r="BF29" i="13"/>
  <c r="V28" i="19"/>
  <c r="V55" i="19" s="1"/>
  <c r="L24" i="18"/>
  <c r="V39" i="18"/>
  <c r="V66" i="18" s="1"/>
  <c r="BH40" i="20"/>
  <c r="X30" i="20"/>
  <c r="X57" i="20" s="1"/>
  <c r="BG27" i="20"/>
  <c r="BF31" i="19"/>
  <c r="BF58" i="19" s="1"/>
  <c r="BG31" i="19"/>
  <c r="BG25" i="20"/>
  <c r="BG52" i="20" s="1"/>
  <c r="BQ40" i="20"/>
  <c r="BQ67" i="20" s="1"/>
  <c r="BQ26" i="20"/>
  <c r="BQ53" i="20" s="1"/>
  <c r="X27" i="20"/>
  <c r="BF39" i="20"/>
  <c r="BH36" i="18"/>
  <c r="BQ42" i="19"/>
  <c r="BQ69" i="19" s="1"/>
  <c r="BH41" i="20"/>
  <c r="BH68" i="20" s="1"/>
  <c r="V39" i="19"/>
  <c r="V66" i="19" s="1"/>
  <c r="V37" i="13"/>
  <c r="V64" i="13" s="1"/>
  <c r="BG39" i="18"/>
  <c r="J29" i="13"/>
  <c r="J56" i="13" s="1"/>
  <c r="V28" i="13"/>
  <c r="V55" i="13" s="1"/>
  <c r="V34" i="13"/>
  <c r="V61" i="13" s="1"/>
  <c r="J28" i="13"/>
  <c r="J55" i="13" s="1"/>
  <c r="L37" i="18"/>
  <c r="L64" i="18" s="1"/>
  <c r="BF34" i="19"/>
  <c r="V44" i="13"/>
  <c r="V71" i="13" s="1"/>
  <c r="BG29" i="13"/>
  <c r="BG56" i="13" s="1"/>
  <c r="BF27" i="13"/>
  <c r="BF54" i="13" s="1"/>
  <c r="X28" i="18"/>
  <c r="X55" i="18" s="1"/>
  <c r="BR39" i="13"/>
  <c r="BT24" i="18"/>
  <c r="BT44" i="13"/>
  <c r="BS28" i="13"/>
  <c r="BS55" i="13" s="1"/>
  <c r="BS34" i="19"/>
  <c r="BS28" i="19"/>
  <c r="BT26" i="19"/>
  <c r="BS32" i="13"/>
  <c r="BR34" i="18"/>
  <c r="BS38" i="19"/>
  <c r="BR28" i="18"/>
  <c r="BT43" i="18"/>
  <c r="BF36" i="18"/>
  <c r="BF63" i="18" s="1"/>
  <c r="BF43" i="19"/>
  <c r="BF70" i="19" s="1"/>
  <c r="BT29" i="19"/>
  <c r="BS35" i="20"/>
  <c r="BS32" i="18"/>
  <c r="BR42" i="20"/>
  <c r="BS34" i="18"/>
  <c r="BR40" i="18"/>
  <c r="BR67" i="18" s="1"/>
  <c r="BR39" i="20"/>
  <c r="BR66" i="20" s="1"/>
  <c r="BR29" i="18"/>
  <c r="BR44" i="18"/>
  <c r="BT32" i="20"/>
  <c r="BS43" i="20"/>
  <c r="BT37" i="18"/>
  <c r="BS27" i="13"/>
  <c r="BS35" i="13"/>
  <c r="BT41" i="19"/>
  <c r="BR43" i="13"/>
  <c r="BS44" i="13"/>
  <c r="BT32" i="19"/>
  <c r="BS28" i="20"/>
  <c r="BS36" i="19"/>
  <c r="BR28" i="20"/>
  <c r="BR55" i="20" s="1"/>
  <c r="BT27" i="19"/>
  <c r="BT30" i="18"/>
  <c r="BT30" i="20"/>
  <c r="BS33" i="19"/>
  <c r="BT24" i="13"/>
  <c r="BS33" i="18"/>
  <c r="BR29" i="20"/>
  <c r="BR56" i="20" s="1"/>
  <c r="BS27" i="18"/>
  <c r="BR24" i="13"/>
  <c r="BT36" i="13"/>
  <c r="BT63" i="13" s="1"/>
  <c r="BR32" i="18"/>
  <c r="BT34" i="18"/>
  <c r="BR25" i="19"/>
  <c r="BR39" i="18"/>
  <c r="BR33" i="18"/>
  <c r="BR25" i="18"/>
  <c r="BR52" i="18" s="1"/>
  <c r="BS41" i="20"/>
  <c r="BS42" i="13"/>
  <c r="BS69" i="13" s="1"/>
  <c r="BT43" i="19"/>
  <c r="BT42" i="20"/>
  <c r="BS37" i="19"/>
  <c r="BT25" i="20"/>
  <c r="BS27" i="20"/>
  <c r="BR37" i="18"/>
  <c r="BT32" i="13"/>
  <c r="BR24" i="19"/>
  <c r="BT37" i="20"/>
  <c r="BT33" i="13"/>
  <c r="BS40" i="13"/>
  <c r="BS33" i="20"/>
  <c r="BS25" i="18"/>
  <c r="BR44" i="13"/>
  <c r="BR71" i="13" s="1"/>
  <c r="BS26" i="19"/>
  <c r="BT29" i="18"/>
  <c r="BT27" i="18"/>
  <c r="BS31" i="19"/>
  <c r="BS36" i="13"/>
  <c r="BT41" i="13"/>
  <c r="BS35" i="19"/>
  <c r="BR26" i="13"/>
  <c r="BS26" i="20"/>
  <c r="BR30" i="20"/>
  <c r="BR39" i="19"/>
  <c r="BR66" i="19" s="1"/>
  <c r="BT40" i="19"/>
  <c r="BT38" i="18"/>
  <c r="BR33" i="19"/>
  <c r="BR31" i="18"/>
  <c r="BR26" i="20"/>
  <c r="BR53" i="20" s="1"/>
  <c r="BT28" i="20"/>
  <c r="BT55" i="20" s="1"/>
  <c r="BS26" i="13"/>
  <c r="BT39" i="20"/>
  <c r="BS38" i="18"/>
  <c r="BT26" i="13"/>
  <c r="BS33" i="13"/>
  <c r="BT40" i="18"/>
  <c r="BS24" i="13"/>
  <c r="BS30" i="20"/>
  <c r="BT39" i="18"/>
  <c r="P41" i="4"/>
  <c r="BR35" i="18"/>
  <c r="BR62" i="18" s="1"/>
  <c r="BR44" i="20"/>
  <c r="BR33" i="20"/>
  <c r="BH34" i="20"/>
  <c r="BH61" i="20" s="1"/>
  <c r="X24" i="18"/>
  <c r="BR27" i="18"/>
  <c r="BS29" i="20"/>
  <c r="BS39" i="20"/>
  <c r="BR43" i="19"/>
  <c r="BR38" i="13"/>
  <c r="BR36" i="18"/>
  <c r="BR63" i="18" s="1"/>
  <c r="BS44" i="18"/>
  <c r="BS71" i="18" s="1"/>
  <c r="BS42" i="19"/>
  <c r="BS25" i="19"/>
  <c r="BS52" i="19" s="1"/>
  <c r="BS42" i="20"/>
  <c r="BS69" i="20" s="1"/>
  <c r="BT31" i="18"/>
  <c r="BR36" i="13"/>
  <c r="BR63" i="13" s="1"/>
  <c r="BT28" i="19"/>
  <c r="BR33" i="13"/>
  <c r="BR60" i="13" s="1"/>
  <c r="BR41" i="19"/>
  <c r="BR68" i="19" s="1"/>
  <c r="BT41" i="18"/>
  <c r="BR24" i="20"/>
  <c r="BS29" i="18"/>
  <c r="BS56" i="18" s="1"/>
  <c r="BS36" i="20"/>
  <c r="BS30" i="18"/>
  <c r="BR43" i="18"/>
  <c r="BT40" i="20"/>
  <c r="BT40" i="13"/>
  <c r="BT34" i="13"/>
  <c r="BT42" i="19"/>
  <c r="BR26" i="18"/>
  <c r="BR53" i="18" s="1"/>
  <c r="BR40" i="20"/>
  <c r="BR67" i="20" s="1"/>
  <c r="BR38" i="19"/>
  <c r="BS24" i="19"/>
  <c r="BT30" i="19"/>
  <c r="BS29" i="19"/>
  <c r="BT25" i="19"/>
  <c r="BT43" i="20"/>
  <c r="BT70" i="20" s="1"/>
  <c r="BR32" i="20"/>
  <c r="BT39" i="19"/>
  <c r="BR30" i="13"/>
  <c r="BR57" i="13" s="1"/>
  <c r="BS30" i="19"/>
  <c r="BR36" i="20"/>
  <c r="BT33" i="20"/>
  <c r="BT44" i="19"/>
  <c r="BR26" i="19"/>
  <c r="BS43" i="13"/>
  <c r="BS70" i="13" s="1"/>
  <c r="BT32" i="18"/>
  <c r="BS36" i="18"/>
  <c r="BT24" i="20"/>
  <c r="BR34" i="20"/>
  <c r="BR36" i="19"/>
  <c r="BQ25" i="13"/>
  <c r="BQ52" i="13" s="1"/>
  <c r="BS30" i="13"/>
  <c r="BS38" i="20"/>
  <c r="BS43" i="18"/>
  <c r="BS39" i="19"/>
  <c r="BS31" i="18"/>
  <c r="BS58" i="18" s="1"/>
  <c r="BR29" i="19"/>
  <c r="BR37" i="20"/>
  <c r="BR37" i="19"/>
  <c r="BS43" i="19"/>
  <c r="BS70" i="19" s="1"/>
  <c r="BT36" i="19"/>
  <c r="BS40" i="19"/>
  <c r="BR37" i="13"/>
  <c r="BR64" i="13" s="1"/>
  <c r="BR31" i="20"/>
  <c r="BR58" i="20" s="1"/>
  <c r="BR38" i="18"/>
  <c r="BR44" i="19"/>
  <c r="BS31" i="20"/>
  <c r="BR42" i="18"/>
  <c r="BT36" i="18"/>
  <c r="BR25" i="20"/>
  <c r="BR27" i="20"/>
  <c r="BR54" i="20" s="1"/>
  <c r="BS41" i="13"/>
  <c r="BT38" i="20"/>
  <c r="BS26" i="18"/>
  <c r="BT26" i="20"/>
  <c r="BT53" i="20" s="1"/>
  <c r="P42" i="4"/>
  <c r="BS44" i="19"/>
  <c r="BS34" i="13"/>
  <c r="BT30" i="13"/>
  <c r="BT57" i="13" s="1"/>
  <c r="BR28" i="19"/>
  <c r="BR55" i="19" s="1"/>
  <c r="BR34" i="19"/>
  <c r="BR32" i="13"/>
  <c r="BR59" i="13" s="1"/>
  <c r="BT31" i="13"/>
  <c r="BS44" i="20"/>
  <c r="BR43" i="20"/>
  <c r="BR70" i="20" s="1"/>
  <c r="BR29" i="13"/>
  <c r="BT38" i="19"/>
  <c r="BR35" i="20"/>
  <c r="BR62" i="20" s="1"/>
  <c r="BS38" i="13"/>
  <c r="BS65" i="13" s="1"/>
  <c r="BS37" i="20"/>
  <c r="BS37" i="18"/>
  <c r="BS41" i="19"/>
  <c r="BT31" i="20"/>
  <c r="BS34" i="20"/>
  <c r="BT35" i="20"/>
  <c r="BH33" i="20"/>
  <c r="BT28" i="18"/>
  <c r="BR30" i="19"/>
  <c r="BT43" i="13"/>
  <c r="BT70" i="13" s="1"/>
  <c r="BS40" i="18"/>
  <c r="BS40" i="20"/>
  <c r="BR34" i="13"/>
  <c r="BT38" i="13"/>
  <c r="BR32" i="19"/>
  <c r="BR59" i="19" s="1"/>
  <c r="BT44" i="20"/>
  <c r="BT25" i="18"/>
  <c r="BT52" i="18" s="1"/>
  <c r="BT42" i="18"/>
  <c r="BR31" i="13"/>
  <c r="BR58" i="13" s="1"/>
  <c r="BS29" i="13"/>
  <c r="BS56" i="13" s="1"/>
  <c r="BS32" i="19"/>
  <c r="BR38" i="20"/>
  <c r="BR65" i="20" s="1"/>
  <c r="BS28" i="18"/>
  <c r="BT33" i="18"/>
  <c r="BT60" i="18" s="1"/>
  <c r="BT42" i="13"/>
  <c r="BT37" i="13"/>
  <c r="Q41" i="4"/>
  <c r="BT24" i="19"/>
  <c r="BR24" i="18"/>
  <c r="BR28" i="13"/>
  <c r="BR35" i="13"/>
  <c r="BR62" i="13" s="1"/>
  <c r="BS25" i="13"/>
  <c r="BS42" i="18"/>
  <c r="BS69" i="18" s="1"/>
  <c r="BS41" i="18"/>
  <c r="BS31" i="13"/>
  <c r="BT31" i="19"/>
  <c r="BT25" i="13"/>
  <c r="BR30" i="18"/>
  <c r="BR57" i="18" s="1"/>
  <c r="BR40" i="19"/>
  <c r="BS24" i="20"/>
  <c r="BR41" i="20"/>
  <c r="BS27" i="19"/>
  <c r="BT36" i="20"/>
  <c r="BT33" i="19"/>
  <c r="BR42" i="19"/>
  <c r="J35" i="18"/>
  <c r="J62" i="18" s="1"/>
  <c r="BS35" i="18"/>
  <c r="BS37" i="13"/>
  <c r="BS24" i="18"/>
  <c r="BR25" i="13"/>
  <c r="BR52" i="13" s="1"/>
  <c r="BR42" i="13"/>
  <c r="BT26" i="18"/>
  <c r="BT53" i="18" s="1"/>
  <c r="BR40" i="13"/>
  <c r="BR27" i="19"/>
  <c r="BT41" i="20"/>
  <c r="BT68" i="20" s="1"/>
  <c r="BT27" i="20"/>
  <c r="BT54" i="20" s="1"/>
  <c r="BS39" i="13"/>
  <c r="BS66" i="13" s="1"/>
  <c r="BT44" i="18"/>
  <c r="BS32" i="20"/>
  <c r="BT29" i="20"/>
  <c r="BT56" i="20" s="1"/>
  <c r="BR41" i="18"/>
  <c r="BR68" i="18" s="1"/>
  <c r="BR35" i="19"/>
  <c r="BT29" i="13"/>
  <c r="BS39" i="18"/>
  <c r="BT28" i="13"/>
  <c r="BT34" i="20"/>
  <c r="BT35" i="19"/>
  <c r="BR41" i="13"/>
  <c r="BR68" i="13" s="1"/>
  <c r="BT37" i="19"/>
  <c r="BR31" i="19"/>
  <c r="BT35" i="13"/>
  <c r="BT62" i="13" s="1"/>
  <c r="BT27" i="13"/>
  <c r="BT34" i="19"/>
  <c r="BT61" i="19" s="1"/>
  <c r="Q42" i="4"/>
  <c r="BT35" i="18"/>
  <c r="BR27" i="13"/>
  <c r="BR54" i="13" s="1"/>
  <c r="BT39" i="13"/>
  <c r="BT66" i="13" s="1"/>
  <c r="H42" i="4"/>
  <c r="R42" i="4"/>
  <c r="BS25" i="20"/>
  <c r="O42" i="4"/>
  <c r="I42" i="4"/>
  <c r="J42" i="4"/>
  <c r="R41" i="4"/>
  <c r="G42" i="4"/>
  <c r="I43" i="4"/>
  <c r="O43" i="4"/>
  <c r="R43" i="4"/>
  <c r="P43" i="4"/>
  <c r="Q43" i="4"/>
  <c r="I44" i="4"/>
  <c r="H43" i="4"/>
  <c r="R44" i="4"/>
  <c r="G44" i="4"/>
  <c r="Q44" i="4"/>
  <c r="O44" i="4"/>
  <c r="J44" i="4"/>
  <c r="P44" i="4"/>
  <c r="R45" i="4"/>
  <c r="J45" i="4"/>
  <c r="J43" i="4"/>
  <c r="G45" i="4"/>
  <c r="H44" i="4"/>
  <c r="P45" i="4"/>
  <c r="I46" i="4"/>
  <c r="J46" i="4"/>
  <c r="Q46" i="4"/>
  <c r="G46" i="4"/>
  <c r="R47" i="4"/>
  <c r="O46" i="4"/>
  <c r="Q47" i="4"/>
  <c r="I45" i="4"/>
  <c r="R46" i="4"/>
  <c r="O45" i="4"/>
  <c r="H46" i="4"/>
  <c r="H45" i="4"/>
  <c r="Q45" i="4"/>
  <c r="G47" i="4"/>
  <c r="P48" i="4"/>
  <c r="H47" i="4"/>
  <c r="G49" i="4"/>
  <c r="P46" i="4"/>
  <c r="O48" i="4"/>
  <c r="I47" i="4"/>
  <c r="I49" i="4"/>
  <c r="H48" i="4"/>
  <c r="P47" i="4"/>
  <c r="J47" i="4"/>
  <c r="I48" i="4"/>
  <c r="J48" i="4"/>
  <c r="Q49" i="4"/>
  <c r="J49" i="4"/>
  <c r="O47" i="4"/>
  <c r="R49" i="4"/>
  <c r="G51" i="4"/>
  <c r="R48" i="4"/>
  <c r="R50" i="4"/>
  <c r="G48" i="4"/>
  <c r="G50" i="4"/>
  <c r="P49" i="4"/>
  <c r="J50" i="4"/>
  <c r="J51" i="4"/>
  <c r="P50" i="4"/>
  <c r="I51" i="4"/>
  <c r="Q48" i="4"/>
  <c r="H49" i="4"/>
  <c r="R51" i="4"/>
  <c r="O49" i="4"/>
  <c r="H50" i="4"/>
  <c r="I50" i="4"/>
  <c r="O51" i="4"/>
  <c r="O55" i="4"/>
  <c r="P51" i="4"/>
  <c r="G52" i="4"/>
  <c r="P57" i="4"/>
  <c r="J53" i="4"/>
  <c r="Q57" i="4"/>
  <c r="O50" i="4"/>
  <c r="Q50" i="4"/>
  <c r="R52" i="4"/>
  <c r="Q51" i="4"/>
  <c r="I52" i="4"/>
  <c r="Q52" i="4"/>
  <c r="H51" i="4"/>
  <c r="H53" i="4"/>
  <c r="R53" i="4"/>
  <c r="J57" i="4"/>
  <c r="H56" i="4"/>
  <c r="R54" i="4"/>
  <c r="O57" i="4"/>
  <c r="G53" i="4"/>
  <c r="R56" i="4"/>
  <c r="R57" i="4"/>
  <c r="G55" i="4"/>
  <c r="J52" i="4"/>
  <c r="G56" i="4"/>
  <c r="H58" i="4"/>
  <c r="I54" i="4"/>
  <c r="P54" i="4"/>
  <c r="J55" i="4"/>
  <c r="G57" i="4"/>
  <c r="J54" i="4"/>
  <c r="O54" i="4"/>
  <c r="I53" i="4"/>
  <c r="Q54" i="4"/>
  <c r="H52" i="4"/>
  <c r="H54" i="4"/>
  <c r="J59" i="4"/>
  <c r="O59" i="4"/>
  <c r="P59" i="4"/>
  <c r="Q59" i="4"/>
  <c r="H59" i="4"/>
  <c r="R59" i="4"/>
  <c r="G59" i="4"/>
  <c r="I59" i="4"/>
  <c r="H31" i="11"/>
  <c r="L27" i="11"/>
  <c r="L34" i="11"/>
  <c r="L33" i="11"/>
  <c r="H43" i="11"/>
  <c r="G26" i="11"/>
  <c r="T25" i="11"/>
  <c r="T40" i="11"/>
  <c r="T33" i="11"/>
  <c r="L39" i="11"/>
  <c r="H30" i="11"/>
  <c r="H26" i="11"/>
  <c r="O35" i="11"/>
  <c r="G30" i="11"/>
  <c r="L25" i="11"/>
  <c r="H44" i="11"/>
  <c r="H28" i="11"/>
  <c r="L44" i="11"/>
  <c r="T41" i="11"/>
  <c r="L31" i="11"/>
  <c r="G29" i="11"/>
  <c r="G38" i="11"/>
  <c r="H36" i="11"/>
  <c r="L28" i="11"/>
  <c r="G27" i="11"/>
  <c r="G39" i="11"/>
  <c r="G41" i="11"/>
  <c r="G31" i="11"/>
  <c r="L43" i="11"/>
  <c r="G37" i="11"/>
  <c r="L42" i="11"/>
  <c r="T28" i="11"/>
  <c r="H38" i="11"/>
  <c r="G40" i="11"/>
  <c r="G42" i="11"/>
  <c r="L36" i="11"/>
  <c r="G25" i="11"/>
  <c r="H25" i="11"/>
  <c r="G32" i="11"/>
  <c r="G34" i="11"/>
  <c r="H37" i="11"/>
  <c r="H29" i="11"/>
  <c r="L38" i="11"/>
  <c r="G35" i="11"/>
  <c r="L45" i="11"/>
  <c r="G33" i="11"/>
  <c r="G45" i="11"/>
  <c r="H32" i="11"/>
  <c r="L29" i="11"/>
  <c r="H33" i="11"/>
  <c r="T38" i="11"/>
  <c r="T44" i="11"/>
  <c r="T26" i="11"/>
  <c r="L30" i="11"/>
  <c r="P32" i="11"/>
  <c r="G28" i="11"/>
  <c r="H40" i="11"/>
  <c r="H45" i="11"/>
  <c r="H27" i="11"/>
  <c r="T35" i="11"/>
  <c r="L32" i="11"/>
  <c r="H39" i="11"/>
  <c r="H34" i="11"/>
  <c r="L41" i="11"/>
  <c r="G36" i="11"/>
  <c r="L26" i="11"/>
  <c r="L40" i="11"/>
  <c r="G44" i="11"/>
  <c r="H35" i="11"/>
  <c r="T27" i="11"/>
  <c r="L37" i="11"/>
  <c r="T34" i="11"/>
  <c r="T30" i="11"/>
  <c r="T29" i="11"/>
  <c r="T39" i="11"/>
  <c r="T31" i="11"/>
  <c r="H41" i="11"/>
  <c r="T43" i="11"/>
  <c r="G43" i="11"/>
  <c r="H42" i="11"/>
  <c r="T32" i="11"/>
  <c r="T37" i="11"/>
  <c r="T36" i="11"/>
  <c r="L35" i="11"/>
  <c r="O27" i="11"/>
  <c r="R29" i="11"/>
  <c r="R32" i="11"/>
  <c r="P43" i="11"/>
  <c r="Q42" i="11"/>
  <c r="O39" i="11"/>
  <c r="K45" i="11"/>
  <c r="J40" i="11"/>
  <c r="K36" i="11"/>
  <c r="J28" i="11"/>
  <c r="J44" i="11"/>
  <c r="R35" i="11"/>
  <c r="O28" i="11"/>
  <c r="R31" i="11"/>
  <c r="I42" i="11"/>
  <c r="J31" i="11"/>
  <c r="Q28" i="11"/>
  <c r="I26" i="11"/>
  <c r="J30" i="11"/>
  <c r="S43" i="11"/>
  <c r="R44" i="11"/>
  <c r="O37" i="11"/>
  <c r="S25" i="11"/>
  <c r="P29" i="11"/>
  <c r="S34" i="11"/>
  <c r="Q27" i="11"/>
  <c r="Q31" i="11"/>
  <c r="O26" i="11"/>
  <c r="S44" i="11"/>
  <c r="O41" i="11"/>
  <c r="Q43" i="11"/>
  <c r="Q29" i="11"/>
  <c r="S28" i="11"/>
  <c r="P37" i="11"/>
  <c r="O32" i="11"/>
  <c r="Q32" i="11"/>
  <c r="J43" i="11"/>
  <c r="J34" i="11"/>
  <c r="I27" i="11"/>
  <c r="I45" i="11"/>
  <c r="I29" i="11"/>
  <c r="K26" i="11"/>
  <c r="I38" i="11"/>
  <c r="K34" i="11"/>
  <c r="R25" i="11"/>
  <c r="I44" i="11"/>
  <c r="K31" i="11"/>
  <c r="J27" i="11"/>
  <c r="Q41" i="11"/>
  <c r="S36" i="11"/>
  <c r="O25" i="11"/>
  <c r="I35" i="11"/>
  <c r="K32" i="11"/>
  <c r="I31" i="11"/>
  <c r="J35" i="11"/>
  <c r="J36" i="11"/>
  <c r="J33" i="11"/>
  <c r="S33" i="11"/>
  <c r="J42" i="11"/>
  <c r="I36" i="11"/>
  <c r="S40" i="11"/>
  <c r="K39" i="11"/>
  <c r="J39" i="11"/>
  <c r="J26" i="11"/>
  <c r="S42" i="11"/>
  <c r="K41" i="11"/>
  <c r="R39" i="11"/>
  <c r="S27" i="11"/>
  <c r="S37" i="11"/>
  <c r="O38" i="11"/>
  <c r="O31" i="11"/>
  <c r="S35" i="11"/>
  <c r="P41" i="11"/>
  <c r="I40" i="11"/>
  <c r="K37" i="11"/>
  <c r="S26" i="11"/>
  <c r="O43" i="11"/>
  <c r="K29" i="11"/>
  <c r="R37" i="11"/>
  <c r="S31" i="11"/>
  <c r="J25" i="11"/>
  <c r="R26" i="11"/>
  <c r="I34" i="11"/>
  <c r="I43" i="11"/>
  <c r="I30" i="11"/>
  <c r="Q35" i="11"/>
  <c r="O30" i="11"/>
  <c r="O44" i="11"/>
  <c r="I41" i="11"/>
  <c r="K33" i="11"/>
  <c r="I33" i="11"/>
  <c r="O34" i="11"/>
  <c r="R33" i="11"/>
  <c r="Q38" i="11"/>
  <c r="R38" i="11"/>
  <c r="P26" i="11"/>
  <c r="P28" i="11"/>
  <c r="Q26" i="11"/>
  <c r="R27" i="11"/>
  <c r="Q34" i="11"/>
  <c r="P36" i="11"/>
  <c r="S41" i="11"/>
  <c r="P30" i="11"/>
  <c r="K28" i="11"/>
  <c r="K38" i="11"/>
  <c r="S39" i="11"/>
  <c r="R30" i="11"/>
  <c r="K44" i="11"/>
  <c r="K43" i="11"/>
  <c r="J38" i="11"/>
  <c r="O36" i="11"/>
  <c r="R36" i="11"/>
  <c r="Q39" i="11"/>
  <c r="I28" i="11"/>
  <c r="I32" i="11"/>
  <c r="J32" i="11"/>
  <c r="K25" i="11"/>
  <c r="I39" i="11"/>
  <c r="P38" i="11"/>
  <c r="P31" i="11"/>
  <c r="P44" i="11"/>
  <c r="Q40" i="11"/>
  <c r="O40" i="11"/>
  <c r="P25" i="11"/>
  <c r="Q37" i="11"/>
  <c r="R34" i="11"/>
  <c r="J41" i="11"/>
  <c r="P34" i="11"/>
  <c r="K27" i="11"/>
  <c r="I37" i="11"/>
  <c r="K30" i="11"/>
  <c r="J29" i="11"/>
  <c r="K40" i="11"/>
  <c r="I25" i="11"/>
  <c r="R42" i="11"/>
  <c r="J37" i="11"/>
  <c r="K35" i="11"/>
  <c r="K42" i="11"/>
  <c r="P35" i="11"/>
  <c r="J45" i="11"/>
  <c r="O42" i="11"/>
  <c r="P39" i="11"/>
  <c r="R41" i="11"/>
  <c r="T42" i="11"/>
  <c r="P42" i="11"/>
  <c r="S32" i="11"/>
  <c r="S30" i="11"/>
  <c r="S38" i="11"/>
  <c r="R28" i="11"/>
  <c r="Q33" i="11"/>
  <c r="Q25" i="11"/>
  <c r="Q44" i="11"/>
  <c r="Q30" i="11"/>
  <c r="S29" i="11"/>
  <c r="O29" i="11"/>
  <c r="R43" i="11"/>
  <c r="P40" i="11"/>
  <c r="Q36" i="11"/>
  <c r="R40" i="11"/>
  <c r="P27" i="11"/>
  <c r="O33" i="11"/>
  <c r="P33" i="11"/>
  <c r="AV60" i="4"/>
  <c r="AH60" i="4"/>
  <c r="H35" i="4"/>
  <c r="H28" i="4"/>
  <c r="H30" i="4"/>
  <c r="G26" i="4"/>
  <c r="B114" i="2"/>
  <c r="H16" i="4"/>
  <c r="K16" i="4"/>
  <c r="L24" i="4"/>
  <c r="K26" i="4"/>
  <c r="L19" i="4"/>
  <c r="K28" i="4"/>
  <c r="K34" i="4"/>
  <c r="K29" i="4"/>
  <c r="K27" i="4"/>
  <c r="K35" i="4"/>
  <c r="K33" i="4"/>
  <c r="L26" i="4"/>
  <c r="K19" i="4"/>
  <c r="L17" i="4"/>
  <c r="L22" i="4"/>
  <c r="K24" i="4"/>
  <c r="L21" i="4"/>
  <c r="L31" i="4"/>
  <c r="L23" i="4"/>
  <c r="K22" i="4"/>
  <c r="K20" i="4"/>
  <c r="K25" i="4"/>
  <c r="K23" i="4"/>
  <c r="K17" i="4"/>
  <c r="K31" i="4"/>
  <c r="L16" i="4"/>
  <c r="K21" i="4"/>
  <c r="L28" i="4"/>
  <c r="H17" i="4"/>
  <c r="L35" i="4"/>
  <c r="K30" i="4"/>
  <c r="L33" i="4"/>
  <c r="G18" i="4"/>
  <c r="L27" i="4"/>
  <c r="L25" i="4"/>
  <c r="L18" i="4"/>
  <c r="K32" i="4"/>
  <c r="L30" i="4"/>
  <c r="K18" i="4"/>
  <c r="L32" i="4"/>
  <c r="L29" i="4"/>
  <c r="L34" i="4"/>
  <c r="L20" i="4"/>
  <c r="G19" i="4"/>
  <c r="H18" i="4"/>
  <c r="H19" i="4"/>
  <c r="H20" i="4"/>
  <c r="G17" i="4"/>
  <c r="G20" i="4"/>
  <c r="G22" i="4"/>
  <c r="G21" i="4"/>
  <c r="H21" i="4"/>
  <c r="H22" i="4"/>
  <c r="G23" i="4"/>
  <c r="H23" i="4"/>
  <c r="G25" i="4"/>
  <c r="G24" i="4"/>
  <c r="H24" i="4"/>
  <c r="H25" i="4"/>
  <c r="H26" i="4"/>
  <c r="G27" i="4"/>
  <c r="H34" i="4"/>
  <c r="G32" i="4"/>
  <c r="G34" i="4"/>
  <c r="H27" i="4"/>
  <c r="H32" i="4"/>
  <c r="H29" i="4"/>
  <c r="H33" i="4"/>
  <c r="G31" i="4"/>
  <c r="G30" i="4"/>
  <c r="G29" i="4"/>
  <c r="G28" i="4"/>
  <c r="H31" i="4"/>
  <c r="G33" i="4"/>
  <c r="H36" i="4"/>
  <c r="G36" i="4"/>
  <c r="F60" i="4"/>
  <c r="AF56" i="13" l="1"/>
  <c r="AU51" i="18"/>
  <c r="AU45" i="18"/>
  <c r="AI51" i="13"/>
  <c r="AI45" i="13"/>
  <c r="AS51" i="20"/>
  <c r="AS45" i="20"/>
  <c r="AU51" i="19"/>
  <c r="AU45" i="19"/>
  <c r="AT51" i="20"/>
  <c r="AT45" i="20"/>
  <c r="AZ45" i="18"/>
  <c r="AZ51" i="18"/>
  <c r="AH51" i="20"/>
  <c r="AH45" i="20"/>
  <c r="BB51" i="18"/>
  <c r="BB45" i="18"/>
  <c r="AZ51" i="20"/>
  <c r="AZ45" i="20"/>
  <c r="AH51" i="13"/>
  <c r="AH45" i="13"/>
  <c r="AH51" i="18"/>
  <c r="AH45" i="18"/>
  <c r="AN51" i="19"/>
  <c r="AN45" i="19"/>
  <c r="AO45" i="20"/>
  <c r="AO51" i="20"/>
  <c r="AN51" i="20"/>
  <c r="AN45" i="20"/>
  <c r="AY45" i="18"/>
  <c r="AY51" i="18"/>
  <c r="BA51" i="19"/>
  <c r="BA45" i="19"/>
  <c r="AJ45" i="18"/>
  <c r="AJ51" i="18"/>
  <c r="AF51" i="18"/>
  <c r="AF45" i="18"/>
  <c r="AJ51" i="20"/>
  <c r="AJ45" i="20"/>
  <c r="Y71" i="11"/>
  <c r="AI51" i="18"/>
  <c r="AI45" i="18"/>
  <c r="AI45" i="19"/>
  <c r="AI51" i="19"/>
  <c r="AN51" i="13"/>
  <c r="AN45" i="13"/>
  <c r="AZ45" i="19"/>
  <c r="AZ51" i="19"/>
  <c r="AY45" i="19"/>
  <c r="AY51" i="19"/>
  <c r="AG51" i="19"/>
  <c r="AG45" i="19"/>
  <c r="BB45" i="20"/>
  <c r="BB51" i="20"/>
  <c r="AN51" i="18"/>
  <c r="AN45" i="18"/>
  <c r="AY45" i="13"/>
  <c r="AY51" i="13"/>
  <c r="AG51" i="13"/>
  <c r="AG45" i="13"/>
  <c r="AP45" i="18"/>
  <c r="AP51" i="18"/>
  <c r="AM51" i="13"/>
  <c r="AM45" i="13"/>
  <c r="AO51" i="13"/>
  <c r="AO45" i="13"/>
  <c r="AQ51" i="20"/>
  <c r="AQ45" i="20"/>
  <c r="AF51" i="19"/>
  <c r="AF45" i="19"/>
  <c r="AQ51" i="13"/>
  <c r="AQ45" i="13"/>
  <c r="V71" i="11"/>
  <c r="F73" i="1" s="1"/>
  <c r="U71" i="11"/>
  <c r="F71" i="1" s="1"/>
  <c r="AJ51" i="13"/>
  <c r="AJ45" i="13"/>
  <c r="AF51" i="20"/>
  <c r="AF45" i="20"/>
  <c r="AD71" i="11"/>
  <c r="G69" i="1" s="1"/>
  <c r="AW45" i="19"/>
  <c r="AW51" i="19"/>
  <c r="AW45" i="18"/>
  <c r="AW51" i="18"/>
  <c r="AV51" i="20"/>
  <c r="AV45" i="20"/>
  <c r="AB71" i="11"/>
  <c r="AV45" i="18"/>
  <c r="AV51" i="18"/>
  <c r="AI51" i="20"/>
  <c r="AI45" i="20"/>
  <c r="AT51" i="18"/>
  <c r="AT45" i="18"/>
  <c r="AT51" i="19"/>
  <c r="AT45" i="19"/>
  <c r="AU51" i="20"/>
  <c r="AU45" i="20"/>
  <c r="AT51" i="13"/>
  <c r="AT45" i="13"/>
  <c r="AU51" i="13"/>
  <c r="AU45" i="13"/>
  <c r="AS51" i="13"/>
  <c r="AS45" i="13"/>
  <c r="AY45" i="20"/>
  <c r="AY51" i="20"/>
  <c r="AG51" i="20"/>
  <c r="AG45" i="20"/>
  <c r="BA51" i="13"/>
  <c r="BA45" i="13"/>
  <c r="AP51" i="13"/>
  <c r="AP45" i="13"/>
  <c r="AM51" i="18"/>
  <c r="AM45" i="18"/>
  <c r="AO51" i="19"/>
  <c r="AO45" i="19"/>
  <c r="BB45" i="19"/>
  <c r="BB51" i="19"/>
  <c r="AP51" i="19"/>
  <c r="AP45" i="19"/>
  <c r="AQ45" i="19"/>
  <c r="AQ51" i="19"/>
  <c r="AW51" i="13"/>
  <c r="AW45" i="13"/>
  <c r="AW51" i="20"/>
  <c r="AW45" i="20"/>
  <c r="T71" i="11"/>
  <c r="AK51" i="18"/>
  <c r="AK45" i="18"/>
  <c r="AV45" i="13"/>
  <c r="AV51" i="13"/>
  <c r="AQ51" i="18"/>
  <c r="AQ45" i="18"/>
  <c r="X71" i="11"/>
  <c r="F69" i="1" s="1"/>
  <c r="W71" i="11"/>
  <c r="F72" i="1" s="1"/>
  <c r="AK45" i="13"/>
  <c r="AK51" i="13"/>
  <c r="AK45" i="19"/>
  <c r="AK51" i="19"/>
  <c r="AH51" i="19"/>
  <c r="AH45" i="19"/>
  <c r="AZ45" i="13"/>
  <c r="AZ51" i="13"/>
  <c r="AS51" i="19"/>
  <c r="AS45" i="19"/>
  <c r="BB51" i="13"/>
  <c r="BB45" i="13"/>
  <c r="AS51" i="18"/>
  <c r="AS45" i="18"/>
  <c r="AM51" i="19"/>
  <c r="AM45" i="19"/>
  <c r="BA51" i="18"/>
  <c r="BA45" i="18"/>
  <c r="BA45" i="20"/>
  <c r="BA51" i="20"/>
  <c r="AP45" i="20"/>
  <c r="AP51" i="20"/>
  <c r="AO45" i="18"/>
  <c r="AO51" i="18"/>
  <c r="AG51" i="18"/>
  <c r="AG45" i="18"/>
  <c r="AM51" i="20"/>
  <c r="AM45" i="20"/>
  <c r="AF45" i="13"/>
  <c r="AF51" i="13"/>
  <c r="AV45" i="19"/>
  <c r="AV51" i="19"/>
  <c r="AA71" i="11"/>
  <c r="AC71" i="11"/>
  <c r="AK51" i="20"/>
  <c r="AK45" i="20"/>
  <c r="AJ51" i="19"/>
  <c r="AJ45" i="19"/>
  <c r="BO53" i="19"/>
  <c r="K60" i="4"/>
  <c r="BO60" i="4" s="1"/>
  <c r="M60" i="4"/>
  <c r="BQ60" i="4" s="1"/>
  <c r="L60" i="4"/>
  <c r="Z60" i="4" s="1"/>
  <c r="N60" i="4"/>
  <c r="AB60" i="4" s="1"/>
  <c r="FQ58" i="11"/>
  <c r="FW58" i="11"/>
  <c r="FP56" i="11"/>
  <c r="FP51" i="11"/>
  <c r="FX60" i="11"/>
  <c r="FR60" i="11"/>
  <c r="FP65" i="11"/>
  <c r="FW50" i="11"/>
  <c r="FQ50" i="11"/>
  <c r="FP67" i="11"/>
  <c r="FP60" i="11"/>
  <c r="FP69" i="11"/>
  <c r="FP55" i="11"/>
  <c r="FP53" i="11"/>
  <c r="FX62" i="11"/>
  <c r="FR62" i="11"/>
  <c r="FP66" i="11"/>
  <c r="FX64" i="11"/>
  <c r="FR64" i="11"/>
  <c r="FY65" i="11"/>
  <c r="FS65" i="11"/>
  <c r="FW66" i="11"/>
  <c r="FQ66" i="11"/>
  <c r="FW68" i="11"/>
  <c r="FQ68" i="11"/>
  <c r="FS59" i="11"/>
  <c r="FY59" i="11"/>
  <c r="FU53" i="11"/>
  <c r="FU52" i="11"/>
  <c r="FZ55" i="11"/>
  <c r="FT55" i="11"/>
  <c r="FP57" i="11"/>
  <c r="FT66" i="11"/>
  <c r="FZ66" i="11"/>
  <c r="FU60" i="11"/>
  <c r="FZ50" i="11"/>
  <c r="FT50" i="11"/>
  <c r="FP58" i="11"/>
  <c r="FP54" i="11"/>
  <c r="FZ68" i="11"/>
  <c r="FT68" i="11"/>
  <c r="FZ67" i="11"/>
  <c r="FT67" i="11"/>
  <c r="FS60" i="11"/>
  <c r="FY60" i="11"/>
  <c r="FQ57" i="11"/>
  <c r="FW57" i="11"/>
  <c r="FU58" i="11"/>
  <c r="FU54" i="11"/>
  <c r="FX53" i="11"/>
  <c r="FR53" i="11"/>
  <c r="FR66" i="11"/>
  <c r="FX66" i="11"/>
  <c r="FW62" i="11"/>
  <c r="FQ62" i="11"/>
  <c r="FP63" i="11"/>
  <c r="FW64" i="11"/>
  <c r="FQ64" i="11"/>
  <c r="FR55" i="11"/>
  <c r="FX55" i="11"/>
  <c r="FP61" i="11"/>
  <c r="FX63" i="11"/>
  <c r="FR63" i="11"/>
  <c r="FU68" i="11"/>
  <c r="FU56" i="11"/>
  <c r="FY67" i="11"/>
  <c r="FS67" i="11"/>
  <c r="FU57" i="11"/>
  <c r="FY69" i="11"/>
  <c r="FS69" i="11"/>
  <c r="FS50" i="11"/>
  <c r="FY50" i="11"/>
  <c r="FQ53" i="11"/>
  <c r="FW53" i="11"/>
  <c r="FW67" i="11"/>
  <c r="FQ67" i="11"/>
  <c r="FT61" i="11"/>
  <c r="FZ61" i="11"/>
  <c r="FZ51" i="11"/>
  <c r="FT51" i="11"/>
  <c r="FS54" i="11"/>
  <c r="FY54" i="11"/>
  <c r="FR61" i="11"/>
  <c r="FX61" i="11"/>
  <c r="FQ63" i="11"/>
  <c r="FW63" i="11"/>
  <c r="FU69" i="11"/>
  <c r="FU63" i="11"/>
  <c r="FS58" i="11"/>
  <c r="FY58" i="11"/>
  <c r="FP62" i="11"/>
  <c r="FU51" i="11"/>
  <c r="FU62" i="11"/>
  <c r="FP68" i="11"/>
  <c r="FT62" i="11"/>
  <c r="FZ62" i="11"/>
  <c r="FT56" i="11"/>
  <c r="FZ56" i="11"/>
  <c r="FT52" i="11"/>
  <c r="FZ52" i="11"/>
  <c r="FT69" i="11"/>
  <c r="FZ69" i="11"/>
  <c r="FS66" i="11"/>
  <c r="FY66" i="11"/>
  <c r="FT59" i="11"/>
  <c r="FZ59" i="11"/>
  <c r="FS63" i="11"/>
  <c r="FY63" i="11"/>
  <c r="FP50" i="11"/>
  <c r="FQ59" i="11"/>
  <c r="FW59" i="11"/>
  <c r="FX51" i="11"/>
  <c r="FR51" i="11"/>
  <c r="FW55" i="11"/>
  <c r="FQ55" i="11"/>
  <c r="FU67" i="11"/>
  <c r="FR67" i="11"/>
  <c r="FX67" i="11"/>
  <c r="FU65" i="11"/>
  <c r="FU61" i="11"/>
  <c r="FX52" i="11"/>
  <c r="FR52" i="11"/>
  <c r="FX58" i="11"/>
  <c r="FR58" i="11"/>
  <c r="FU55" i="11"/>
  <c r="FS62" i="11"/>
  <c r="FY62" i="11"/>
  <c r="FU50" i="11"/>
  <c r="FR50" i="11"/>
  <c r="FX50" i="11"/>
  <c r="FY53" i="11"/>
  <c r="FS53" i="11"/>
  <c r="FW56" i="11"/>
  <c r="FQ56" i="11"/>
  <c r="FR69" i="11"/>
  <c r="FX69" i="11"/>
  <c r="FX57" i="11"/>
  <c r="FR57" i="11"/>
  <c r="FT57" i="11"/>
  <c r="FZ57" i="11"/>
  <c r="FT64" i="11"/>
  <c r="FZ64" i="11"/>
  <c r="FZ63" i="11"/>
  <c r="FT63" i="11"/>
  <c r="FT58" i="11"/>
  <c r="FZ58" i="11"/>
  <c r="FR68" i="11"/>
  <c r="FX68" i="11"/>
  <c r="FR59" i="11"/>
  <c r="FX59" i="11"/>
  <c r="FU66" i="11"/>
  <c r="FU64" i="11"/>
  <c r="FZ60" i="11"/>
  <c r="FT60" i="11"/>
  <c r="FP52" i="11"/>
  <c r="FP64" i="11"/>
  <c r="FY64" i="11"/>
  <c r="FS64" i="11"/>
  <c r="FY51" i="11"/>
  <c r="FS51" i="11"/>
  <c r="FX65" i="11"/>
  <c r="FR65" i="11"/>
  <c r="FS55" i="11"/>
  <c r="FY55" i="11"/>
  <c r="FQ61" i="11"/>
  <c r="FW61" i="11"/>
  <c r="FQ69" i="11"/>
  <c r="FW69" i="11"/>
  <c r="FS57" i="11"/>
  <c r="FY57" i="11"/>
  <c r="FP59" i="11"/>
  <c r="FW65" i="11"/>
  <c r="FQ65" i="11"/>
  <c r="FW51" i="11"/>
  <c r="FQ51" i="11"/>
  <c r="FU59" i="11"/>
  <c r="FQ60" i="11"/>
  <c r="FW60" i="11"/>
  <c r="FS56" i="11"/>
  <c r="FY56" i="11"/>
  <c r="FS52" i="11"/>
  <c r="FY52" i="11"/>
  <c r="FS61" i="11"/>
  <c r="FY61" i="11"/>
  <c r="FW54" i="11"/>
  <c r="FQ54" i="11"/>
  <c r="FQ52" i="11"/>
  <c r="FW52" i="11"/>
  <c r="FS68" i="11"/>
  <c r="FY68" i="11"/>
  <c r="FR56" i="11"/>
  <c r="FX56" i="11"/>
  <c r="FX54" i="11"/>
  <c r="FR54" i="11"/>
  <c r="FZ54" i="11"/>
  <c r="FT54" i="11"/>
  <c r="FZ53" i="11"/>
  <c r="FT53" i="11"/>
  <c r="FZ65" i="11"/>
  <c r="FT65" i="11"/>
  <c r="BN60" i="11"/>
  <c r="BH60" i="11"/>
  <c r="BG63" i="11"/>
  <c r="BM63" i="11"/>
  <c r="BN68" i="11"/>
  <c r="BH68" i="11"/>
  <c r="BH55" i="11"/>
  <c r="BN55" i="11"/>
  <c r="BI70" i="11"/>
  <c r="BO70" i="11"/>
  <c r="BK68" i="11"/>
  <c r="BP65" i="11"/>
  <c r="BJ65" i="11"/>
  <c r="BP57" i="11"/>
  <c r="BJ57" i="11"/>
  <c r="BP54" i="11"/>
  <c r="BJ54" i="11"/>
  <c r="BP63" i="11"/>
  <c r="BJ63" i="11"/>
  <c r="BK50" i="11"/>
  <c r="BP67" i="11"/>
  <c r="BJ67" i="11"/>
  <c r="BK52" i="11"/>
  <c r="BF56" i="11"/>
  <c r="BI68" i="11"/>
  <c r="BO68" i="11"/>
  <c r="BM55" i="11"/>
  <c r="BG55" i="11"/>
  <c r="BI67" i="11"/>
  <c r="BO67" i="11"/>
  <c r="BG53" i="11"/>
  <c r="BM53" i="11"/>
  <c r="BO58" i="11"/>
  <c r="BI58" i="11"/>
  <c r="BM68" i="11"/>
  <c r="BG68" i="11"/>
  <c r="BG61" i="11"/>
  <c r="BM61" i="11"/>
  <c r="BN52" i="11"/>
  <c r="BH52" i="11"/>
  <c r="BM51" i="11"/>
  <c r="BG51" i="11"/>
  <c r="BJ51" i="11"/>
  <c r="BP51" i="11"/>
  <c r="BP55" i="11"/>
  <c r="BJ55" i="11"/>
  <c r="BJ61" i="11"/>
  <c r="BP61" i="11"/>
  <c r="BP53" i="11"/>
  <c r="BJ53" i="11"/>
  <c r="BF51" i="11"/>
  <c r="BM57" i="11"/>
  <c r="BG57" i="11"/>
  <c r="BG58" i="11"/>
  <c r="BM58" i="11"/>
  <c r="BN54" i="11"/>
  <c r="BH54" i="11"/>
  <c r="BO69" i="11"/>
  <c r="BI69" i="11"/>
  <c r="BI54" i="11"/>
  <c r="BO54" i="11"/>
  <c r="BI66" i="11"/>
  <c r="BO66" i="11"/>
  <c r="BM56" i="11"/>
  <c r="BG56" i="11"/>
  <c r="BI51" i="11"/>
  <c r="BO51" i="11"/>
  <c r="BJ60" i="11"/>
  <c r="BP60" i="11"/>
  <c r="BF57" i="11"/>
  <c r="BF54" i="11"/>
  <c r="BK62" i="11"/>
  <c r="BP69" i="11"/>
  <c r="BJ69" i="11"/>
  <c r="BK51" i="11"/>
  <c r="BO60" i="11"/>
  <c r="BI60" i="11"/>
  <c r="BO55" i="11"/>
  <c r="BI55" i="11"/>
  <c r="BM66" i="11"/>
  <c r="BG66" i="11"/>
  <c r="BG59" i="11"/>
  <c r="BM59" i="11"/>
  <c r="BH67" i="11"/>
  <c r="BN67" i="11"/>
  <c r="BO57" i="11"/>
  <c r="BI57" i="11"/>
  <c r="BI56" i="11"/>
  <c r="BO56" i="11"/>
  <c r="BM54" i="11"/>
  <c r="BG54" i="11"/>
  <c r="BN69" i="11"/>
  <c r="BH69" i="11"/>
  <c r="BF66" i="11"/>
  <c r="BP62" i="11"/>
  <c r="BJ62" i="11"/>
  <c r="BK61" i="11"/>
  <c r="BF52" i="11"/>
  <c r="BK70" i="11"/>
  <c r="BF62" i="11"/>
  <c r="BK67" i="11"/>
  <c r="BJ68" i="11"/>
  <c r="BP68" i="11"/>
  <c r="BF61" i="11"/>
  <c r="BF53" i="11"/>
  <c r="BF55" i="11"/>
  <c r="BF68" i="11"/>
  <c r="BO65" i="11"/>
  <c r="BI65" i="11"/>
  <c r="BM62" i="11"/>
  <c r="BG62" i="11"/>
  <c r="BG64" i="11"/>
  <c r="BM64" i="11"/>
  <c r="BN51" i="11"/>
  <c r="BH51" i="11"/>
  <c r="BG60" i="11"/>
  <c r="BM60" i="11"/>
  <c r="BG69" i="11"/>
  <c r="BM69" i="11"/>
  <c r="BG70" i="11"/>
  <c r="BM70" i="11"/>
  <c r="BH56" i="11"/>
  <c r="BN56" i="11"/>
  <c r="BN53" i="11"/>
  <c r="BH53" i="11"/>
  <c r="BJ66" i="11"/>
  <c r="BP66" i="11"/>
  <c r="BF70" i="11"/>
  <c r="BK58" i="11"/>
  <c r="BK59" i="11"/>
  <c r="BK65" i="11"/>
  <c r="BK56" i="11"/>
  <c r="BK63" i="11"/>
  <c r="BF69" i="11"/>
  <c r="BP64" i="11"/>
  <c r="BJ64" i="11"/>
  <c r="BP58" i="11"/>
  <c r="BJ58" i="11"/>
  <c r="BH66" i="11"/>
  <c r="BN66" i="11"/>
  <c r="BN62" i="11"/>
  <c r="BH62" i="11"/>
  <c r="BO52" i="11"/>
  <c r="BI52" i="11"/>
  <c r="BI50" i="11"/>
  <c r="BO50" i="11"/>
  <c r="BO63" i="11"/>
  <c r="BI63" i="11"/>
  <c r="BN50" i="11"/>
  <c r="BH50" i="11"/>
  <c r="BI62" i="11"/>
  <c r="BO62" i="11"/>
  <c r="BN64" i="11"/>
  <c r="BH64" i="11"/>
  <c r="BH58" i="11"/>
  <c r="BN58" i="11"/>
  <c r="BG52" i="11"/>
  <c r="BM52" i="11"/>
  <c r="BM67" i="11"/>
  <c r="BG67" i="11"/>
  <c r="BI61" i="11"/>
  <c r="BO61" i="11"/>
  <c r="BF60" i="11"/>
  <c r="BF59" i="11"/>
  <c r="BF65" i="11"/>
  <c r="BJ70" i="11"/>
  <c r="BP70" i="11"/>
  <c r="BK57" i="11"/>
  <c r="BF63" i="11"/>
  <c r="BK66" i="11"/>
  <c r="BK54" i="11"/>
  <c r="BP50" i="11"/>
  <c r="BJ50" i="11"/>
  <c r="BJ59" i="11"/>
  <c r="BP59" i="11"/>
  <c r="BN70" i="11"/>
  <c r="BH70" i="11"/>
  <c r="BG50" i="11"/>
  <c r="BM50" i="11"/>
  <c r="BN57" i="11"/>
  <c r="BH57" i="11"/>
  <c r="BN63" i="11"/>
  <c r="BH63" i="11"/>
  <c r="BO53" i="11"/>
  <c r="BI53" i="11"/>
  <c r="BG65" i="11"/>
  <c r="BM65" i="11"/>
  <c r="BO64" i="11"/>
  <c r="BI64" i="11"/>
  <c r="BH61" i="11"/>
  <c r="BN61" i="11"/>
  <c r="BI59" i="11"/>
  <c r="BO59" i="11"/>
  <c r="BH59" i="11"/>
  <c r="BN59" i="11"/>
  <c r="BN65" i="11"/>
  <c r="BH65" i="11"/>
  <c r="BF67" i="11"/>
  <c r="BK69" i="11"/>
  <c r="BF64" i="11"/>
  <c r="BK53" i="11"/>
  <c r="BF58" i="11"/>
  <c r="BK60" i="11"/>
  <c r="BF50" i="11"/>
  <c r="BK64" i="11"/>
  <c r="BJ56" i="11"/>
  <c r="BP56" i="11"/>
  <c r="BK55" i="11"/>
  <c r="BJ52" i="11"/>
  <c r="BP52" i="11"/>
  <c r="BP46" i="4"/>
  <c r="BR46" i="4"/>
  <c r="BP59" i="4"/>
  <c r="BR59" i="4"/>
  <c r="BP43" i="4"/>
  <c r="BR43" i="4"/>
  <c r="BO42" i="4"/>
  <c r="BQ42" i="4"/>
  <c r="BP56" i="4"/>
  <c r="BR56" i="4"/>
  <c r="BP51" i="4"/>
  <c r="BR51" i="4"/>
  <c r="BO53" i="4"/>
  <c r="BQ53" i="4"/>
  <c r="BP50" i="4"/>
  <c r="BR50" i="4"/>
  <c r="BO58" i="4"/>
  <c r="BQ58" i="4"/>
  <c r="BP57" i="4"/>
  <c r="BR57" i="4"/>
  <c r="BR52" i="4"/>
  <c r="BP52" i="4"/>
  <c r="BP53" i="4"/>
  <c r="BR53" i="4"/>
  <c r="BO50" i="4"/>
  <c r="BQ50" i="4"/>
  <c r="BO49" i="4"/>
  <c r="BQ49" i="4"/>
  <c r="BO51" i="4"/>
  <c r="BQ51" i="4"/>
  <c r="BP44" i="4"/>
  <c r="BR44" i="4"/>
  <c r="BP47" i="4"/>
  <c r="BR47" i="4"/>
  <c r="BO52" i="4"/>
  <c r="BQ52" i="4"/>
  <c r="BP49" i="4"/>
  <c r="BR49" i="4"/>
  <c r="BP54" i="4"/>
  <c r="BR54" i="4"/>
  <c r="BO43" i="4"/>
  <c r="BQ43" i="4"/>
  <c r="BO46" i="4"/>
  <c r="BQ46" i="4"/>
  <c r="BP55" i="4"/>
  <c r="BR55" i="4"/>
  <c r="BP41" i="4"/>
  <c r="BR41" i="4"/>
  <c r="BP42" i="4"/>
  <c r="BR42" i="4"/>
  <c r="BO41" i="4"/>
  <c r="BQ41" i="4"/>
  <c r="BO48" i="4"/>
  <c r="BQ48" i="4"/>
  <c r="BO45" i="4"/>
  <c r="BQ45" i="4"/>
  <c r="BP58" i="4"/>
  <c r="BR58" i="4"/>
  <c r="BO47" i="4"/>
  <c r="BQ47" i="4"/>
  <c r="BO54" i="4"/>
  <c r="BQ54" i="4"/>
  <c r="BP45" i="4"/>
  <c r="BR45" i="4"/>
  <c r="BO57" i="4"/>
  <c r="BQ57" i="4"/>
  <c r="BO55" i="4"/>
  <c r="BQ55" i="4"/>
  <c r="BO56" i="4"/>
  <c r="BQ56" i="4"/>
  <c r="BR48" i="4"/>
  <c r="BP48" i="4"/>
  <c r="BO44" i="4"/>
  <c r="BQ44" i="4"/>
  <c r="BO59" i="4"/>
  <c r="BQ59" i="4"/>
  <c r="Y54" i="4"/>
  <c r="AA54" i="4"/>
  <c r="Z52" i="4"/>
  <c r="AB52" i="4"/>
  <c r="Z50" i="4"/>
  <c r="AB50" i="4"/>
  <c r="Z47" i="4"/>
  <c r="AB47" i="4"/>
  <c r="Y42" i="4"/>
  <c r="AA42" i="4"/>
  <c r="Z46" i="4"/>
  <c r="AB46" i="4"/>
  <c r="Z49" i="4"/>
  <c r="AB49" i="4"/>
  <c r="Z42" i="4"/>
  <c r="AB42" i="4"/>
  <c r="Y49" i="4"/>
  <c r="AA49" i="4"/>
  <c r="Y55" i="4"/>
  <c r="AA55" i="4"/>
  <c r="Y56" i="4"/>
  <c r="AA56" i="4"/>
  <c r="Z44" i="4"/>
  <c r="AB44" i="4"/>
  <c r="Y58" i="4"/>
  <c r="AA58" i="4"/>
  <c r="Z58" i="4"/>
  <c r="AB58" i="4"/>
  <c r="Z59" i="4"/>
  <c r="AB59" i="4"/>
  <c r="Y50" i="4"/>
  <c r="AA50" i="4"/>
  <c r="Y47" i="4"/>
  <c r="AA47" i="4"/>
  <c r="Z43" i="4"/>
  <c r="AB43" i="4"/>
  <c r="Y43" i="4"/>
  <c r="AA43" i="4"/>
  <c r="Z53" i="4"/>
  <c r="AB53" i="4"/>
  <c r="Y59" i="4"/>
  <c r="AA59" i="4"/>
  <c r="Y57" i="4"/>
  <c r="AA57" i="4"/>
  <c r="Z54" i="4"/>
  <c r="AB54" i="4"/>
  <c r="Z48" i="4"/>
  <c r="AB48" i="4"/>
  <c r="AA45" i="4"/>
  <c r="Y45" i="4"/>
  <c r="Y44" i="4"/>
  <c r="AA44" i="4"/>
  <c r="Z45" i="4"/>
  <c r="AB45" i="4"/>
  <c r="Y51" i="4"/>
  <c r="AA51" i="4"/>
  <c r="Y46" i="4"/>
  <c r="AA46" i="4"/>
  <c r="Z55" i="4"/>
  <c r="AB55" i="4"/>
  <c r="Z56" i="4"/>
  <c r="AB56" i="4"/>
  <c r="Y52" i="4"/>
  <c r="AA52" i="4"/>
  <c r="Y53" i="4"/>
  <c r="AA53" i="4"/>
  <c r="Z57" i="4"/>
  <c r="AB57" i="4"/>
  <c r="AB51" i="4"/>
  <c r="Z51" i="4"/>
  <c r="Y48" i="4"/>
  <c r="AA48" i="4"/>
  <c r="Y41" i="4"/>
  <c r="AA41" i="4"/>
  <c r="Z41" i="4"/>
  <c r="AB41" i="4"/>
  <c r="BN63" i="20"/>
  <c r="BN71" i="20"/>
  <c r="BM54" i="20"/>
  <c r="Q45" i="18"/>
  <c r="BX52" i="18"/>
  <c r="BW52" i="18"/>
  <c r="BL53" i="20"/>
  <c r="BK53" i="20"/>
  <c r="AB51" i="19"/>
  <c r="AB45" i="19"/>
  <c r="BX51" i="19"/>
  <c r="BX45" i="19"/>
  <c r="AC51" i="19"/>
  <c r="AC45" i="19"/>
  <c r="BN65" i="20"/>
  <c r="BM65" i="20"/>
  <c r="BW51" i="20"/>
  <c r="BW45" i="20"/>
  <c r="BL54" i="20"/>
  <c r="BK54" i="20"/>
  <c r="BZ60" i="18"/>
  <c r="BY60" i="18"/>
  <c r="BM70" i="20"/>
  <c r="BL70" i="20"/>
  <c r="BN51" i="18"/>
  <c r="BN45" i="18"/>
  <c r="BY51" i="18"/>
  <c r="BY45" i="18"/>
  <c r="AC51" i="18"/>
  <c r="AC45" i="18"/>
  <c r="O51" i="19"/>
  <c r="O45" i="19"/>
  <c r="BX45" i="18"/>
  <c r="BX51" i="18"/>
  <c r="BN68" i="20"/>
  <c r="BM68" i="20"/>
  <c r="BN45" i="20"/>
  <c r="BN54" i="20"/>
  <c r="BX51" i="13"/>
  <c r="BX45" i="13"/>
  <c r="BN69" i="20"/>
  <c r="BM69" i="20"/>
  <c r="Q54" i="18"/>
  <c r="P54" i="18"/>
  <c r="AB51" i="18"/>
  <c r="AB45" i="18"/>
  <c r="BK51" i="13"/>
  <c r="BK45" i="13"/>
  <c r="BX55" i="18"/>
  <c r="BW55" i="18"/>
  <c r="BL51" i="19"/>
  <c r="BL45" i="19"/>
  <c r="BX54" i="18"/>
  <c r="BW54" i="18"/>
  <c r="BW45" i="18"/>
  <c r="BW51" i="18"/>
  <c r="BX53" i="18"/>
  <c r="BW53" i="18"/>
  <c r="BL52" i="20"/>
  <c r="BK52" i="20"/>
  <c r="P51" i="20"/>
  <c r="P45" i="20"/>
  <c r="BN51" i="19"/>
  <c r="BN45" i="19"/>
  <c r="R51" i="20"/>
  <c r="R45" i="20"/>
  <c r="BL51" i="18"/>
  <c r="BL45" i="18"/>
  <c r="Q51" i="19"/>
  <c r="Q45" i="19"/>
  <c r="BM62" i="20"/>
  <c r="BL62" i="20"/>
  <c r="BN53" i="20"/>
  <c r="BM53" i="20"/>
  <c r="BN67" i="20"/>
  <c r="BM67" i="20"/>
  <c r="R61" i="18"/>
  <c r="Q61" i="18"/>
  <c r="BM51" i="20"/>
  <c r="BL51" i="20"/>
  <c r="BL45" i="20"/>
  <c r="BZ66" i="18"/>
  <c r="BY66" i="18"/>
  <c r="BM51" i="13"/>
  <c r="BM45" i="13"/>
  <c r="BN64" i="20"/>
  <c r="BM64" i="20"/>
  <c r="BN51" i="13"/>
  <c r="BN45" i="13"/>
  <c r="R51" i="18"/>
  <c r="R45" i="18"/>
  <c r="AD51" i="13"/>
  <c r="AD45" i="13"/>
  <c r="BL51" i="13"/>
  <c r="BL45" i="13"/>
  <c r="AC51" i="13"/>
  <c r="AC45" i="13"/>
  <c r="BZ45" i="18"/>
  <c r="BZ51" i="18"/>
  <c r="BY61" i="18"/>
  <c r="BX61" i="18"/>
  <c r="Q51" i="18"/>
  <c r="P51" i="18"/>
  <c r="P45" i="18"/>
  <c r="AA51" i="13"/>
  <c r="AA45" i="13"/>
  <c r="BM66" i="20"/>
  <c r="BL66" i="20"/>
  <c r="AA51" i="18"/>
  <c r="AA45" i="18"/>
  <c r="O45" i="18"/>
  <c r="O51" i="18"/>
  <c r="BW51" i="19"/>
  <c r="BW45" i="19"/>
  <c r="AD51" i="20"/>
  <c r="AD72" i="20" s="1"/>
  <c r="AD45" i="20"/>
  <c r="O51" i="13"/>
  <c r="O45" i="13"/>
  <c r="BK51" i="20"/>
  <c r="BK45" i="20"/>
  <c r="P51" i="19"/>
  <c r="P45" i="19"/>
  <c r="Q54" i="20"/>
  <c r="P54" i="20"/>
  <c r="Q45" i="20"/>
  <c r="Q51" i="20"/>
  <c r="BY51" i="19"/>
  <c r="BY45" i="19"/>
  <c r="R51" i="19"/>
  <c r="R45" i="19"/>
  <c r="AD51" i="19"/>
  <c r="AD45" i="19"/>
  <c r="BN57" i="20"/>
  <c r="BM57" i="20"/>
  <c r="BK51" i="19"/>
  <c r="BK45" i="19"/>
  <c r="BM71" i="20"/>
  <c r="BL71" i="20"/>
  <c r="AA45" i="20"/>
  <c r="AA51" i="20"/>
  <c r="Q67" i="18"/>
  <c r="P67" i="18"/>
  <c r="BZ63" i="18"/>
  <c r="BY63" i="18"/>
  <c r="BN52" i="20"/>
  <c r="BM52" i="20"/>
  <c r="AC51" i="20"/>
  <c r="AC45" i="20"/>
  <c r="BN55" i="20"/>
  <c r="BM55" i="20"/>
  <c r="AA51" i="19"/>
  <c r="AA45" i="19"/>
  <c r="BM51" i="18"/>
  <c r="BM45" i="18"/>
  <c r="BM58" i="20"/>
  <c r="BL58" i="20"/>
  <c r="AB51" i="20"/>
  <c r="AB45" i="20"/>
  <c r="BN60" i="20"/>
  <c r="BM60" i="20"/>
  <c r="BN61" i="20"/>
  <c r="BM61" i="20"/>
  <c r="BN56" i="20"/>
  <c r="BM56" i="20"/>
  <c r="AB51" i="13"/>
  <c r="AB45" i="13"/>
  <c r="BY51" i="20"/>
  <c r="BY45" i="20"/>
  <c r="BW51" i="13"/>
  <c r="BW45" i="13"/>
  <c r="BX56" i="18"/>
  <c r="BW56" i="18"/>
  <c r="BM51" i="19"/>
  <c r="BM45" i="19"/>
  <c r="BL55" i="20"/>
  <c r="BK55" i="20"/>
  <c r="BZ51" i="13"/>
  <c r="BZ45" i="13"/>
  <c r="BL56" i="20"/>
  <c r="BK56" i="20"/>
  <c r="BZ51" i="19"/>
  <c r="BZ45" i="19"/>
  <c r="BM63" i="20"/>
  <c r="BL63" i="20"/>
  <c r="Q69" i="18"/>
  <c r="P69" i="18"/>
  <c r="O45" i="20"/>
  <c r="O51" i="20"/>
  <c r="AD51" i="18"/>
  <c r="AD45" i="18"/>
  <c r="BX51" i="20"/>
  <c r="BX45" i="20"/>
  <c r="BY51" i="13"/>
  <c r="BY45" i="13"/>
  <c r="BN59" i="20"/>
  <c r="BM59" i="20"/>
  <c r="BM45" i="20"/>
  <c r="BK51" i="18"/>
  <c r="BK45" i="18"/>
  <c r="BZ51" i="20"/>
  <c r="BZ45" i="20"/>
  <c r="BT55" i="18"/>
  <c r="BT63" i="18"/>
  <c r="BT54" i="18"/>
  <c r="BS64" i="18"/>
  <c r="BR60" i="18"/>
  <c r="BR59" i="18"/>
  <c r="BS52" i="18"/>
  <c r="BH57" i="18"/>
  <c r="BR65" i="18"/>
  <c r="BR55" i="18"/>
  <c r="BH63" i="18"/>
  <c r="BG53" i="18"/>
  <c r="V69" i="18"/>
  <c r="BD60" i="18"/>
  <c r="BO64" i="18"/>
  <c r="U59" i="18"/>
  <c r="BS62" i="18"/>
  <c r="BS70" i="18"/>
  <c r="BT66" i="18"/>
  <c r="BR66" i="18"/>
  <c r="BT61" i="18"/>
  <c r="BS60" i="18"/>
  <c r="BT57" i="18"/>
  <c r="BT64" i="18"/>
  <c r="BR71" i="18"/>
  <c r="BS59" i="18"/>
  <c r="BR61" i="18"/>
  <c r="BF52" i="18"/>
  <c r="BH52" i="18"/>
  <c r="BG62" i="18"/>
  <c r="BF71" i="18"/>
  <c r="BH61" i="18"/>
  <c r="BH58" i="18"/>
  <c r="BG68" i="18"/>
  <c r="BG59" i="18"/>
  <c r="V64" i="18"/>
  <c r="BS55" i="18"/>
  <c r="BR69" i="18"/>
  <c r="BR54" i="18"/>
  <c r="BR58" i="18"/>
  <c r="BR56" i="18"/>
  <c r="BG57" i="18"/>
  <c r="BG64" i="18"/>
  <c r="BG58" i="18"/>
  <c r="BQ63" i="18"/>
  <c r="BG54" i="18"/>
  <c r="X56" i="18"/>
  <c r="BG65" i="18"/>
  <c r="BS68" i="18"/>
  <c r="BT65" i="18"/>
  <c r="BF60" i="18"/>
  <c r="BF56" i="18"/>
  <c r="BF55" i="18"/>
  <c r="U60" i="18"/>
  <c r="BU55" i="18"/>
  <c r="BU60" i="18"/>
  <c r="BI52" i="18"/>
  <c r="BI59" i="18"/>
  <c r="BU65" i="18"/>
  <c r="BS66" i="18"/>
  <c r="BT71" i="18"/>
  <c r="BS67" i="18"/>
  <c r="BT59" i="18"/>
  <c r="BR70" i="18"/>
  <c r="BT58" i="18"/>
  <c r="BT67" i="18"/>
  <c r="BT56" i="18"/>
  <c r="BS61" i="18"/>
  <c r="BG66" i="18"/>
  <c r="BG52" i="18"/>
  <c r="BH66" i="18"/>
  <c r="BG63" i="18"/>
  <c r="BH62" i="18"/>
  <c r="BH55" i="18"/>
  <c r="BH69" i="18"/>
  <c r="BH64" i="18"/>
  <c r="W61" i="18"/>
  <c r="BU69" i="18"/>
  <c r="W56" i="18"/>
  <c r="BI54" i="18"/>
  <c r="BT62" i="18"/>
  <c r="BT69" i="18"/>
  <c r="BS53" i="18"/>
  <c r="BS63" i="18"/>
  <c r="BS57" i="18"/>
  <c r="BT68" i="18"/>
  <c r="BR64" i="18"/>
  <c r="BS54" i="18"/>
  <c r="BT70" i="18"/>
  <c r="BG69" i="18"/>
  <c r="BG61" i="18"/>
  <c r="BH68" i="18"/>
  <c r="BH65" i="18"/>
  <c r="BG70" i="18"/>
  <c r="BH67" i="18"/>
  <c r="BG56" i="18"/>
  <c r="Y57" i="18"/>
  <c r="Y58" i="18"/>
  <c r="BU53" i="18"/>
  <c r="W62" i="18"/>
  <c r="BI66" i="18"/>
  <c r="BU64" i="18"/>
  <c r="BI65" i="18"/>
  <c r="BI61" i="18"/>
  <c r="Y59" i="18"/>
  <c r="BS65" i="18"/>
  <c r="BG71" i="18"/>
  <c r="BH59" i="18"/>
  <c r="BG55" i="18"/>
  <c r="BH60" i="18"/>
  <c r="BH53" i="18"/>
  <c r="BU61" i="18"/>
  <c r="W60" i="18"/>
  <c r="BI53" i="18"/>
  <c r="W68" i="18"/>
  <c r="BI58" i="18"/>
  <c r="BI57" i="18"/>
  <c r="Y62" i="18"/>
  <c r="W69" i="18"/>
  <c r="S70" i="18"/>
  <c r="W71" i="18"/>
  <c r="BO67" i="18"/>
  <c r="BU66" i="18"/>
  <c r="BU67" i="18"/>
  <c r="W70" i="18"/>
  <c r="BU54" i="18"/>
  <c r="W58" i="18"/>
  <c r="S60" i="18"/>
  <c r="U71" i="18"/>
  <c r="Y52" i="18"/>
  <c r="BI60" i="18"/>
  <c r="BU57" i="18"/>
  <c r="U67" i="18"/>
  <c r="S69" i="18"/>
  <c r="BO59" i="18"/>
  <c r="BO65" i="18"/>
  <c r="U63" i="18"/>
  <c r="BI67" i="18"/>
  <c r="BO53" i="18"/>
  <c r="BO58" i="18"/>
  <c r="BD53" i="18"/>
  <c r="BO57" i="18"/>
  <c r="U68" i="18"/>
  <c r="BO62" i="18"/>
  <c r="BI55" i="18"/>
  <c r="U70" i="18"/>
  <c r="BE70" i="18"/>
  <c r="BO55" i="18"/>
  <c r="U66" i="18"/>
  <c r="BD65" i="18"/>
  <c r="BE67" i="18"/>
  <c r="BU52" i="18"/>
  <c r="BO61" i="18"/>
  <c r="S59" i="18"/>
  <c r="Y67" i="18"/>
  <c r="Y55" i="18"/>
  <c r="BI68" i="18"/>
  <c r="BI63" i="18"/>
  <c r="S53" i="18"/>
  <c r="BO66" i="18"/>
  <c r="BO69" i="18"/>
  <c r="W65" i="18"/>
  <c r="BU58" i="18"/>
  <c r="U54" i="18"/>
  <c r="U58" i="18"/>
  <c r="BE57" i="18"/>
  <c r="BD55" i="18"/>
  <c r="BO52" i="18"/>
  <c r="BI56" i="18"/>
  <c r="S68" i="18"/>
  <c r="W54" i="18"/>
  <c r="BQ52" i="18"/>
  <c r="BO63" i="18"/>
  <c r="BI69" i="18"/>
  <c r="BU62" i="18"/>
  <c r="BO60" i="18"/>
  <c r="BE65" i="18"/>
  <c r="BI62" i="18"/>
  <c r="W52" i="18"/>
  <c r="Y63" i="18"/>
  <c r="Y60" i="18"/>
  <c r="BE54" i="18"/>
  <c r="W57" i="18"/>
  <c r="W66" i="18"/>
  <c r="U55" i="18"/>
  <c r="Y61" i="18"/>
  <c r="W64" i="18"/>
  <c r="BO54" i="18"/>
  <c r="S61" i="18"/>
  <c r="BU63" i="18"/>
  <c r="BD63" i="18"/>
  <c r="BD61" i="18"/>
  <c r="U65" i="18"/>
  <c r="BE59" i="18"/>
  <c r="S57" i="18"/>
  <c r="BU56" i="18"/>
  <c r="U62" i="18"/>
  <c r="Y65" i="18"/>
  <c r="BU59" i="18"/>
  <c r="Y69" i="18"/>
  <c r="BU68" i="18"/>
  <c r="S55" i="18"/>
  <c r="BI64" i="18"/>
  <c r="W63" i="18"/>
  <c r="BE68" i="18"/>
  <c r="W59" i="18"/>
  <c r="W53" i="18"/>
  <c r="Y56" i="18"/>
  <c r="S52" i="18"/>
  <c r="S64" i="18"/>
  <c r="U57" i="18"/>
  <c r="W67" i="18"/>
  <c r="BD66" i="18"/>
  <c r="S56" i="18"/>
  <c r="BD64" i="18"/>
  <c r="S67" i="18"/>
  <c r="W55" i="18"/>
  <c r="BU70" i="18"/>
  <c r="BS52" i="20"/>
  <c r="BS59" i="20"/>
  <c r="BS58" i="20"/>
  <c r="BS67" i="20"/>
  <c r="BD55" i="20"/>
  <c r="BH60" i="20"/>
  <c r="BR52" i="20"/>
  <c r="BR59" i="20"/>
  <c r="BG54" i="20"/>
  <c r="BG55" i="20"/>
  <c r="BS57" i="20"/>
  <c r="BD70" i="20"/>
  <c r="BT71" i="20"/>
  <c r="BS66" i="20"/>
  <c r="BS53" i="20"/>
  <c r="BT62" i="20"/>
  <c r="BT65" i="20"/>
  <c r="BR64" i="20"/>
  <c r="BR61" i="20"/>
  <c r="BR63" i="20"/>
  <c r="BR71" i="20"/>
  <c r="X67" i="20"/>
  <c r="BH55" i="20"/>
  <c r="BH58" i="20"/>
  <c r="BG53" i="20"/>
  <c r="BG64" i="20"/>
  <c r="V59" i="20"/>
  <c r="BD67" i="20"/>
  <c r="BO64" i="20"/>
  <c r="BD61" i="20"/>
  <c r="BR68" i="20"/>
  <c r="BF66" i="20"/>
  <c r="BH57" i="20"/>
  <c r="BF71" i="20"/>
  <c r="BH56" i="20"/>
  <c r="BQ60" i="20"/>
  <c r="BQ69" i="20"/>
  <c r="BG62" i="20"/>
  <c r="X71" i="20"/>
  <c r="W53" i="20"/>
  <c r="BE62" i="20"/>
  <c r="Y69" i="20"/>
  <c r="W62" i="20"/>
  <c r="U69" i="20"/>
  <c r="BT60" i="20"/>
  <c r="BR60" i="20"/>
  <c r="BR57" i="20"/>
  <c r="BR69" i="20"/>
  <c r="X54" i="20"/>
  <c r="BH67" i="20"/>
  <c r="BH66" i="20"/>
  <c r="BF67" i="20"/>
  <c r="BH59" i="20"/>
  <c r="BH70" i="20"/>
  <c r="BE60" i="20"/>
  <c r="V52" i="20"/>
  <c r="BE59" i="20"/>
  <c r="Y57" i="20"/>
  <c r="BE58" i="20"/>
  <c r="BT61" i="20"/>
  <c r="BT58" i="20"/>
  <c r="BS64" i="20"/>
  <c r="BS65" i="20"/>
  <c r="BS56" i="20"/>
  <c r="BS70" i="20"/>
  <c r="BS62" i="20"/>
  <c r="BG70" i="20"/>
  <c r="BG68" i="20"/>
  <c r="BH62" i="20"/>
  <c r="BU52" i="20"/>
  <c r="BU67" i="20"/>
  <c r="Y52" i="20"/>
  <c r="W57" i="20"/>
  <c r="BI60" i="20"/>
  <c r="BT63" i="20"/>
  <c r="BS71" i="20"/>
  <c r="BT69" i="20"/>
  <c r="BT57" i="20"/>
  <c r="BG61" i="20"/>
  <c r="BH63" i="20"/>
  <c r="BU70" i="20"/>
  <c r="BS63" i="20"/>
  <c r="BS54" i="20"/>
  <c r="BT59" i="20"/>
  <c r="BG65" i="20"/>
  <c r="BG71" i="20"/>
  <c r="BH71" i="20"/>
  <c r="BU53" i="20"/>
  <c r="Y64" i="20"/>
  <c r="W55" i="20"/>
  <c r="BS61" i="20"/>
  <c r="BT67" i="20"/>
  <c r="BT66" i="20"/>
  <c r="BS60" i="20"/>
  <c r="BT64" i="20"/>
  <c r="BT52" i="20"/>
  <c r="BS68" i="20"/>
  <c r="BS55" i="20"/>
  <c r="BH65" i="20"/>
  <c r="BH54" i="20"/>
  <c r="BG56" i="20"/>
  <c r="BG67" i="20"/>
  <c r="BG57" i="20"/>
  <c r="BG58" i="20"/>
  <c r="BH52" i="20"/>
  <c r="BG66" i="20"/>
  <c r="BG69" i="20"/>
  <c r="BU64" i="20"/>
  <c r="BI61" i="20"/>
  <c r="U52" i="20"/>
  <c r="U64" i="20"/>
  <c r="BI65" i="20"/>
  <c r="S61" i="20"/>
  <c r="BE65" i="20"/>
  <c r="BE66" i="20"/>
  <c r="Y65" i="20"/>
  <c r="BI54" i="20"/>
  <c r="BI59" i="20"/>
  <c r="BI64" i="20"/>
  <c r="BU59" i="20"/>
  <c r="W64" i="20"/>
  <c r="W60" i="20"/>
  <c r="W65" i="20"/>
  <c r="Y60" i="20"/>
  <c r="V62" i="20"/>
  <c r="W66" i="20"/>
  <c r="Y61" i="20"/>
  <c r="W56" i="20"/>
  <c r="BO66" i="20"/>
  <c r="U63" i="20"/>
  <c r="BD63" i="20"/>
  <c r="BO65" i="20"/>
  <c r="U66" i="20"/>
  <c r="W58" i="20"/>
  <c r="S55" i="20"/>
  <c r="BI70" i="20"/>
  <c r="BI66" i="20"/>
  <c r="U53" i="20"/>
  <c r="U68" i="20"/>
  <c r="X59" i="20"/>
  <c r="BI55" i="20"/>
  <c r="BU69" i="20"/>
  <c r="BI52" i="20"/>
  <c r="BU62" i="20"/>
  <c r="BO60" i="20"/>
  <c r="BD62" i="20"/>
  <c r="V69" i="20"/>
  <c r="BU61" i="20"/>
  <c r="BD54" i="20"/>
  <c r="U56" i="20"/>
  <c r="BU55" i="20"/>
  <c r="BD60" i="20"/>
  <c r="BI57" i="20"/>
  <c r="S63" i="20"/>
  <c r="S65" i="20"/>
  <c r="S67" i="20"/>
  <c r="U61" i="20"/>
  <c r="V61" i="20"/>
  <c r="W68" i="20"/>
  <c r="BU66" i="20"/>
  <c r="S56" i="20"/>
  <c r="BD71" i="20"/>
  <c r="BO52" i="20"/>
  <c r="BE64" i="20"/>
  <c r="W70" i="20"/>
  <c r="BO56" i="20"/>
  <c r="BE67" i="20"/>
  <c r="BU63" i="20"/>
  <c r="BO57" i="20"/>
  <c r="Y55" i="20"/>
  <c r="BU54" i="20"/>
  <c r="BO55" i="20"/>
  <c r="Y56" i="20"/>
  <c r="S57" i="20"/>
  <c r="BE57" i="20"/>
  <c r="Y54" i="20"/>
  <c r="Y59" i="20"/>
  <c r="BU58" i="20"/>
  <c r="BU65" i="20"/>
  <c r="BU68" i="20"/>
  <c r="BO62" i="20"/>
  <c r="Y70" i="20"/>
  <c r="BI53" i="20"/>
  <c r="BD56" i="20"/>
  <c r="BI63" i="20"/>
  <c r="BO53" i="20"/>
  <c r="BI68" i="20"/>
  <c r="W59" i="20"/>
  <c r="S62" i="20"/>
  <c r="BD66" i="20"/>
  <c r="BI67" i="20"/>
  <c r="BU60" i="20"/>
  <c r="V64" i="20"/>
  <c r="S70" i="20"/>
  <c r="BU56" i="20"/>
  <c r="BU57" i="20"/>
  <c r="V70" i="20"/>
  <c r="V68" i="20"/>
  <c r="U65" i="20"/>
  <c r="BI56" i="20"/>
  <c r="BE69" i="20"/>
  <c r="BI62" i="20"/>
  <c r="V67" i="20"/>
  <c r="U54" i="20"/>
  <c r="S68" i="20"/>
  <c r="BD68" i="20"/>
  <c r="BI69" i="20"/>
  <c r="Y62" i="20"/>
  <c r="BE56" i="20"/>
  <c r="U71" i="20"/>
  <c r="BI58" i="20"/>
  <c r="Y67" i="20"/>
  <c r="BO58" i="20"/>
  <c r="BR71" i="19"/>
  <c r="BR65" i="19"/>
  <c r="BO64" i="19"/>
  <c r="BQ52" i="19"/>
  <c r="BE62" i="19"/>
  <c r="BE58" i="19"/>
  <c r="BO69" i="19"/>
  <c r="BR62" i="19"/>
  <c r="BS67" i="19"/>
  <c r="BS56" i="19"/>
  <c r="BT55" i="19"/>
  <c r="BR70" i="19"/>
  <c r="BH52" i="19"/>
  <c r="BF57" i="19"/>
  <c r="BQ68" i="19"/>
  <c r="BH63" i="19"/>
  <c r="BH61" i="19"/>
  <c r="BG67" i="19"/>
  <c r="BU54" i="19"/>
  <c r="BD57" i="19"/>
  <c r="BI63" i="19"/>
  <c r="BE54" i="19"/>
  <c r="BE67" i="19"/>
  <c r="BE56" i="19"/>
  <c r="BT54" i="19"/>
  <c r="BH59" i="19"/>
  <c r="BT58" i="19"/>
  <c r="BH68" i="19"/>
  <c r="BR58" i="19"/>
  <c r="BT60" i="19"/>
  <c r="BS68" i="19"/>
  <c r="BT65" i="19"/>
  <c r="BS71" i="19"/>
  <c r="BR64" i="19"/>
  <c r="BS66" i="19"/>
  <c r="BR63" i="19"/>
  <c r="BT69" i="19"/>
  <c r="BT67" i="19"/>
  <c r="BS62" i="19"/>
  <c r="BS53" i="19"/>
  <c r="BT56" i="19"/>
  <c r="BH71" i="19"/>
  <c r="BH62" i="19"/>
  <c r="BH55" i="19"/>
  <c r="BQ53" i="19"/>
  <c r="BG66" i="19"/>
  <c r="BF53" i="19"/>
  <c r="BG70" i="19"/>
  <c r="BO68" i="19"/>
  <c r="BD66" i="19"/>
  <c r="BH66" i="19"/>
  <c r="W65" i="19"/>
  <c r="BR69" i="19"/>
  <c r="BS57" i="19"/>
  <c r="BS69" i="19"/>
  <c r="BT70" i="19"/>
  <c r="BF61" i="19"/>
  <c r="V58" i="19"/>
  <c r="V69" i="19"/>
  <c r="BH70" i="19"/>
  <c r="BG69" i="19"/>
  <c r="BG56" i="19"/>
  <c r="BH54" i="19"/>
  <c r="Y55" i="19"/>
  <c r="W66" i="19"/>
  <c r="BU67" i="19"/>
  <c r="BU52" i="19"/>
  <c r="BU55" i="19"/>
  <c r="BD59" i="19"/>
  <c r="X67" i="19"/>
  <c r="X55" i="19"/>
  <c r="BI52" i="19"/>
  <c r="W60" i="19"/>
  <c r="X60" i="19"/>
  <c r="BO60" i="19"/>
  <c r="BI55" i="19"/>
  <c r="Y62" i="19"/>
  <c r="BO63" i="19"/>
  <c r="X65" i="19"/>
  <c r="BG54" i="19"/>
  <c r="BU57" i="19"/>
  <c r="BR57" i="19"/>
  <c r="BT71" i="19"/>
  <c r="BS63" i="19"/>
  <c r="BT53" i="19"/>
  <c r="BG62" i="19"/>
  <c r="BH69" i="19"/>
  <c r="BI60" i="19"/>
  <c r="BT64" i="19"/>
  <c r="BT62" i="19"/>
  <c r="BR54" i="19"/>
  <c r="BS54" i="19"/>
  <c r="BR67" i="19"/>
  <c r="BR56" i="19"/>
  <c r="BT52" i="19"/>
  <c r="BR60" i="19"/>
  <c r="BS58" i="19"/>
  <c r="BS60" i="19"/>
  <c r="BT68" i="19"/>
  <c r="BS55" i="19"/>
  <c r="BF59" i="19"/>
  <c r="V56" i="19"/>
  <c r="BG59" i="19"/>
  <c r="V64" i="19"/>
  <c r="BH57" i="19"/>
  <c r="BG68" i="19"/>
  <c r="BH60" i="19"/>
  <c r="BG65" i="19"/>
  <c r="BH53" i="19"/>
  <c r="BG64" i="19"/>
  <c r="BH64" i="19"/>
  <c r="BG55" i="19"/>
  <c r="BH65" i="19"/>
  <c r="X56" i="19"/>
  <c r="Y53" i="19"/>
  <c r="BI69" i="19"/>
  <c r="W54" i="19"/>
  <c r="X52" i="19"/>
  <c r="BU65" i="19"/>
  <c r="BS59" i="19"/>
  <c r="BR61" i="19"/>
  <c r="BT63" i="19"/>
  <c r="BR53" i="19"/>
  <c r="BT66" i="19"/>
  <c r="BT57" i="19"/>
  <c r="BS64" i="19"/>
  <c r="BR52" i="19"/>
  <c r="BT59" i="19"/>
  <c r="BS65" i="19"/>
  <c r="BS61" i="19"/>
  <c r="BG58" i="19"/>
  <c r="V62" i="19"/>
  <c r="BH58" i="19"/>
  <c r="BG52" i="19"/>
  <c r="BG53" i="19"/>
  <c r="BG61" i="19"/>
  <c r="V67" i="19"/>
  <c r="BG63" i="19"/>
  <c r="BG57" i="19"/>
  <c r="BH67" i="19"/>
  <c r="W52" i="19"/>
  <c r="BU61" i="19"/>
  <c r="BE57" i="19"/>
  <c r="W55" i="19"/>
  <c r="X66" i="19"/>
  <c r="U56" i="19"/>
  <c r="BI59" i="19"/>
  <c r="W53" i="19"/>
  <c r="Y59" i="19"/>
  <c r="BD63" i="19"/>
  <c r="X53" i="19"/>
  <c r="S61" i="19"/>
  <c r="BD52" i="19"/>
  <c r="BU59" i="19"/>
  <c r="W70" i="19"/>
  <c r="BU56" i="19"/>
  <c r="W68" i="19"/>
  <c r="BI67" i="19"/>
  <c r="BI56" i="19"/>
  <c r="BO61" i="19"/>
  <c r="U66" i="19"/>
  <c r="BI57" i="19"/>
  <c r="Y57" i="19"/>
  <c r="W62" i="19"/>
  <c r="BU58" i="19"/>
  <c r="BI68" i="19"/>
  <c r="BU63" i="19"/>
  <c r="X64" i="19"/>
  <c r="BD62" i="19"/>
  <c r="BU60" i="19"/>
  <c r="BI64" i="19"/>
  <c r="BD54" i="19"/>
  <c r="BO55" i="19"/>
  <c r="W69" i="19"/>
  <c r="BD69" i="19"/>
  <c r="BE68" i="19"/>
  <c r="S62" i="19"/>
  <c r="BD64" i="19"/>
  <c r="BE66" i="19"/>
  <c r="BD70" i="19"/>
  <c r="BE55" i="19"/>
  <c r="BI66" i="19"/>
  <c r="W58" i="19"/>
  <c r="BI54" i="19"/>
  <c r="BI53" i="19"/>
  <c r="Y61" i="19"/>
  <c r="BU53" i="19"/>
  <c r="BU68" i="19"/>
  <c r="BE63" i="19"/>
  <c r="BU64" i="19"/>
  <c r="X68" i="19"/>
  <c r="BE52" i="19"/>
  <c r="BO57" i="19"/>
  <c r="W61" i="19"/>
  <c r="BO56" i="19"/>
  <c r="BI58" i="19"/>
  <c r="BI65" i="19"/>
  <c r="BO58" i="19"/>
  <c r="BD53" i="19"/>
  <c r="BU70" i="19"/>
  <c r="BE60" i="19"/>
  <c r="Y60" i="19"/>
  <c r="S64" i="19"/>
  <c r="S55" i="19"/>
  <c r="BU69" i="19"/>
  <c r="Y66" i="19"/>
  <c r="S54" i="19"/>
  <c r="S70" i="19"/>
  <c r="W71" i="19"/>
  <c r="W57" i="19"/>
  <c r="S52" i="19"/>
  <c r="BO66" i="19"/>
  <c r="BD56" i="19"/>
  <c r="BD65" i="19"/>
  <c r="S69" i="19"/>
  <c r="BO67" i="19"/>
  <c r="Y65" i="19"/>
  <c r="BU66" i="19"/>
  <c r="BO52" i="19"/>
  <c r="Y52" i="19"/>
  <c r="W63" i="19"/>
  <c r="BI62" i="19"/>
  <c r="BU62" i="19"/>
  <c r="BS61" i="13"/>
  <c r="BR53" i="13"/>
  <c r="BT71" i="13"/>
  <c r="BQ59" i="13"/>
  <c r="BQ57" i="13"/>
  <c r="BF56" i="13"/>
  <c r="BQ54" i="13"/>
  <c r="BD52" i="13"/>
  <c r="BT69" i="13"/>
  <c r="BD55" i="13"/>
  <c r="BR67" i="13"/>
  <c r="BT65" i="13"/>
  <c r="BT59" i="13"/>
  <c r="BR70" i="13"/>
  <c r="BH68" i="13"/>
  <c r="BH58" i="13"/>
  <c r="BG52" i="13"/>
  <c r="BH65" i="13"/>
  <c r="BG67" i="13"/>
  <c r="BH59" i="13"/>
  <c r="BH69" i="13"/>
  <c r="BG64" i="13"/>
  <c r="BS52" i="13"/>
  <c r="BT61" i="13"/>
  <c r="BS62" i="13"/>
  <c r="BS54" i="13"/>
  <c r="BG54" i="13"/>
  <c r="BH63" i="13"/>
  <c r="BG57" i="13"/>
  <c r="BI59" i="13"/>
  <c r="BU52" i="13"/>
  <c r="R52" i="13"/>
  <c r="W64" i="13"/>
  <c r="X62" i="13"/>
  <c r="BU57" i="13"/>
  <c r="BS67" i="13"/>
  <c r="BH56" i="13"/>
  <c r="BH54" i="13"/>
  <c r="BI54" i="13"/>
  <c r="W59" i="13"/>
  <c r="BI55" i="13"/>
  <c r="BT55" i="13"/>
  <c r="BT56" i="13"/>
  <c r="BR69" i="13"/>
  <c r="BR55" i="13"/>
  <c r="BT64" i="13"/>
  <c r="BS68" i="13"/>
  <c r="BS57" i="13"/>
  <c r="BS60" i="13"/>
  <c r="BT53" i="13"/>
  <c r="BT60" i="13"/>
  <c r="BS71" i="13"/>
  <c r="BS59" i="13"/>
  <c r="BH66" i="13"/>
  <c r="BG68" i="13"/>
  <c r="BH53" i="13"/>
  <c r="BF69" i="13"/>
  <c r="BH60" i="13"/>
  <c r="BH57" i="13"/>
  <c r="BG65" i="13"/>
  <c r="BG62" i="13"/>
  <c r="BG58" i="13"/>
  <c r="R56" i="13"/>
  <c r="BI64" i="13"/>
  <c r="BU56" i="13"/>
  <c r="BU54" i="13"/>
  <c r="U54" i="13"/>
  <c r="BT54" i="13"/>
  <c r="BS64" i="13"/>
  <c r="BT52" i="13"/>
  <c r="BS58" i="13"/>
  <c r="BR61" i="13"/>
  <c r="BR56" i="13"/>
  <c r="BT58" i="13"/>
  <c r="BT67" i="13"/>
  <c r="BR65" i="13"/>
  <c r="BS53" i="13"/>
  <c r="BT68" i="13"/>
  <c r="BS63" i="13"/>
  <c r="BR66" i="13"/>
  <c r="BH67" i="13"/>
  <c r="BH61" i="13"/>
  <c r="BG66" i="13"/>
  <c r="BG53" i="13"/>
  <c r="BH64" i="13"/>
  <c r="BG60" i="13"/>
  <c r="BG71" i="13"/>
  <c r="V68" i="13"/>
  <c r="BI53" i="13"/>
  <c r="W56" i="13"/>
  <c r="BU69" i="13"/>
  <c r="W65" i="13"/>
  <c r="Q53" i="13"/>
  <c r="BE64" i="13"/>
  <c r="S67" i="13"/>
  <c r="W58" i="13"/>
  <c r="W55" i="13"/>
  <c r="W60" i="13"/>
  <c r="BU70" i="13"/>
  <c r="W54" i="13"/>
  <c r="BD54" i="13"/>
  <c r="S68" i="13"/>
  <c r="BU53" i="13"/>
  <c r="P54" i="13"/>
  <c r="S71" i="13"/>
  <c r="W66" i="13"/>
  <c r="BU62" i="13"/>
  <c r="BU67" i="13"/>
  <c r="P64" i="13"/>
  <c r="P59" i="13"/>
  <c r="BI56" i="13"/>
  <c r="BO69" i="13"/>
  <c r="Q57" i="13"/>
  <c r="BI66" i="13"/>
  <c r="BD57" i="13"/>
  <c r="P62" i="13"/>
  <c r="BI52" i="13"/>
  <c r="S66" i="13"/>
  <c r="W70" i="13"/>
  <c r="S64" i="13"/>
  <c r="BO63" i="13"/>
  <c r="BU59" i="13"/>
  <c r="BO67" i="13"/>
  <c r="P66" i="13"/>
  <c r="S53" i="13"/>
  <c r="W71" i="13"/>
  <c r="S54" i="13"/>
  <c r="BD61" i="13"/>
  <c r="BD70" i="13"/>
  <c r="Q68" i="13"/>
  <c r="Y53" i="13"/>
  <c r="BO66" i="13"/>
  <c r="S57" i="13"/>
  <c r="P52" i="13"/>
  <c r="BE58" i="13"/>
  <c r="BD62" i="13"/>
  <c r="BO60" i="13"/>
  <c r="BD53" i="13"/>
  <c r="S62" i="13"/>
  <c r="BD56" i="13"/>
  <c r="BO58" i="13"/>
  <c r="BE57" i="13"/>
  <c r="BI61" i="13"/>
  <c r="U69" i="13"/>
  <c r="BI57" i="13"/>
  <c r="U65" i="13"/>
  <c r="P56" i="13"/>
  <c r="BD65" i="13"/>
  <c r="S52" i="13"/>
  <c r="BI62" i="13"/>
  <c r="Q63" i="13"/>
  <c r="W68" i="13"/>
  <c r="U70" i="13"/>
  <c r="R55" i="13"/>
  <c r="X55" i="13"/>
  <c r="BU58" i="13"/>
  <c r="P57" i="13"/>
  <c r="BU55" i="13"/>
  <c r="BU64" i="13"/>
  <c r="BU63" i="13"/>
  <c r="BO55" i="13"/>
  <c r="R61" i="13"/>
  <c r="BO54" i="13"/>
  <c r="BI68" i="13"/>
  <c r="BI58" i="13"/>
  <c r="BU60" i="13"/>
  <c r="BE70" i="13"/>
  <c r="Y64" i="13"/>
  <c r="BU61" i="13"/>
  <c r="U61" i="13"/>
  <c r="BD63" i="13"/>
  <c r="S56" i="13"/>
  <c r="BI60" i="13"/>
  <c r="Q58" i="13"/>
  <c r="BO64" i="13"/>
  <c r="X70" i="13"/>
  <c r="BD59" i="13"/>
  <c r="S70" i="13"/>
  <c r="X71" i="13"/>
  <c r="BO56" i="13"/>
  <c r="W69" i="13"/>
  <c r="P65" i="13"/>
  <c r="X68" i="13"/>
  <c r="Y61" i="13"/>
  <c r="BD68" i="13"/>
  <c r="BO61" i="13"/>
  <c r="BI67" i="13"/>
  <c r="BI65" i="13"/>
  <c r="X65" i="13"/>
  <c r="W57" i="13"/>
  <c r="W61" i="13"/>
  <c r="Y67" i="13"/>
  <c r="W63" i="13"/>
  <c r="BO68" i="13"/>
  <c r="BU68" i="13"/>
  <c r="W67" i="13"/>
  <c r="BU65" i="13"/>
  <c r="W52" i="13"/>
  <c r="P58" i="13"/>
  <c r="W53" i="13"/>
  <c r="Q60" i="13"/>
  <c r="U57" i="13"/>
  <c r="Y65" i="13"/>
  <c r="X59" i="13"/>
  <c r="P61" i="13"/>
  <c r="Q61" i="13"/>
  <c r="BI63" i="13"/>
  <c r="Y58" i="13"/>
  <c r="BE71" i="13"/>
  <c r="Y60" i="13"/>
  <c r="BE55" i="13"/>
  <c r="R66" i="13"/>
  <c r="BO53" i="13"/>
  <c r="BU66" i="13"/>
  <c r="BO57" i="13"/>
  <c r="BI69" i="13"/>
  <c r="R65" i="13"/>
  <c r="S63" i="13"/>
  <c r="R69" i="13"/>
  <c r="BO62" i="13"/>
  <c r="Y43" i="18"/>
  <c r="Y70" i="18" s="1"/>
  <c r="Y43" i="19"/>
  <c r="Y70" i="19" s="1"/>
  <c r="BI43" i="18"/>
  <c r="BI70" i="18" s="1"/>
  <c r="M43" i="19"/>
  <c r="M70" i="19" s="1"/>
  <c r="M43" i="18"/>
  <c r="M70" i="18" s="1"/>
  <c r="M43" i="20"/>
  <c r="M70" i="20" s="1"/>
  <c r="BI43" i="13"/>
  <c r="BI70" i="13" s="1"/>
  <c r="BI43" i="19"/>
  <c r="BI70" i="19" s="1"/>
  <c r="X26" i="9"/>
  <c r="AX53" i="11"/>
  <c r="BM49" i="4"/>
  <c r="BS51" i="18"/>
  <c r="BS45" i="18"/>
  <c r="BS45" i="20"/>
  <c r="BS51" i="20"/>
  <c r="BS51" i="13"/>
  <c r="BS45" i="13"/>
  <c r="BR45" i="19"/>
  <c r="BR51" i="19"/>
  <c r="BG45" i="20"/>
  <c r="BG51" i="20"/>
  <c r="L51" i="20"/>
  <c r="L72" i="20" s="1"/>
  <c r="L45" i="20"/>
  <c r="X51" i="20"/>
  <c r="X45" i="20"/>
  <c r="V51" i="13"/>
  <c r="V45" i="13"/>
  <c r="BU51" i="20"/>
  <c r="U45" i="19"/>
  <c r="U51" i="19"/>
  <c r="S51" i="19"/>
  <c r="S45" i="19"/>
  <c r="BE45" i="19"/>
  <c r="BE51" i="19"/>
  <c r="M51" i="19"/>
  <c r="H45" i="19"/>
  <c r="H51" i="19"/>
  <c r="W51" i="18"/>
  <c r="W45" i="18"/>
  <c r="U45" i="13"/>
  <c r="U51" i="13"/>
  <c r="M51" i="18"/>
  <c r="Y51" i="18"/>
  <c r="X45" i="18"/>
  <c r="X51" i="18"/>
  <c r="BR51" i="13"/>
  <c r="BR45" i="13"/>
  <c r="L45" i="18"/>
  <c r="L51" i="18"/>
  <c r="J51" i="13"/>
  <c r="J45" i="13"/>
  <c r="Y51" i="13"/>
  <c r="I45" i="19"/>
  <c r="I51" i="19"/>
  <c r="BD45" i="13"/>
  <c r="BD51" i="13"/>
  <c r="I45" i="18"/>
  <c r="I51" i="18"/>
  <c r="BO51" i="13"/>
  <c r="BT45" i="20"/>
  <c r="BT51" i="20"/>
  <c r="BS45" i="19"/>
  <c r="BS51" i="19"/>
  <c r="BR45" i="20"/>
  <c r="BR51" i="20"/>
  <c r="J51" i="18"/>
  <c r="J72" i="18" s="1"/>
  <c r="J45" i="18"/>
  <c r="V51" i="18"/>
  <c r="V45" i="18"/>
  <c r="BF45" i="19"/>
  <c r="BF51" i="19"/>
  <c r="BF45" i="20"/>
  <c r="BF51" i="20"/>
  <c r="BG45" i="19"/>
  <c r="BG51" i="19"/>
  <c r="BF51" i="18"/>
  <c r="BF45" i="18"/>
  <c r="Y51" i="20"/>
  <c r="M51" i="13"/>
  <c r="J51" i="20"/>
  <c r="J45" i="20"/>
  <c r="K45" i="18"/>
  <c r="K51" i="18"/>
  <c r="Y51" i="19"/>
  <c r="P51" i="13"/>
  <c r="BD51" i="19"/>
  <c r="BD45" i="19"/>
  <c r="H45" i="18"/>
  <c r="H51" i="18"/>
  <c r="U51" i="18"/>
  <c r="U45" i="18"/>
  <c r="M51" i="20"/>
  <c r="U45" i="20"/>
  <c r="U51" i="20"/>
  <c r="BR51" i="18"/>
  <c r="BR45" i="18"/>
  <c r="BQ51" i="19"/>
  <c r="BQ45" i="19"/>
  <c r="BH45" i="19"/>
  <c r="BH51" i="19"/>
  <c r="BG45" i="13"/>
  <c r="BG51" i="13"/>
  <c r="BH45" i="18"/>
  <c r="BH51" i="18"/>
  <c r="BH45" i="13"/>
  <c r="BH51" i="13"/>
  <c r="BI51" i="19"/>
  <c r="W51" i="20"/>
  <c r="W45" i="20"/>
  <c r="BU51" i="18"/>
  <c r="BE45" i="13"/>
  <c r="BE51" i="13"/>
  <c r="H45" i="13"/>
  <c r="H51" i="13"/>
  <c r="L45" i="19"/>
  <c r="L51" i="19"/>
  <c r="BI51" i="20"/>
  <c r="BI51" i="18"/>
  <c r="I45" i="20"/>
  <c r="I51" i="20"/>
  <c r="BT51" i="19"/>
  <c r="BT45" i="19"/>
  <c r="BT45" i="18"/>
  <c r="BT51" i="18"/>
  <c r="BQ45" i="13"/>
  <c r="BQ51" i="13"/>
  <c r="BG45" i="18"/>
  <c r="BG51" i="18"/>
  <c r="V45" i="19"/>
  <c r="V51" i="19"/>
  <c r="X51" i="19"/>
  <c r="X45" i="19"/>
  <c r="BD45" i="20"/>
  <c r="BD51" i="20"/>
  <c r="J45" i="19"/>
  <c r="J51" i="19"/>
  <c r="W45" i="13"/>
  <c r="W51" i="13"/>
  <c r="V45" i="20"/>
  <c r="V51" i="20"/>
  <c r="BO51" i="18"/>
  <c r="K45" i="19"/>
  <c r="K51" i="19"/>
  <c r="BU51" i="19"/>
  <c r="S51" i="20"/>
  <c r="S45" i="20"/>
  <c r="H45" i="20"/>
  <c r="H51" i="20"/>
  <c r="BD45" i="18"/>
  <c r="BD51" i="18"/>
  <c r="BT45" i="13"/>
  <c r="BT51" i="13"/>
  <c r="BQ45" i="20"/>
  <c r="BQ51" i="20"/>
  <c r="BH45" i="20"/>
  <c r="BH51" i="20"/>
  <c r="BF45" i="13"/>
  <c r="BF51" i="13"/>
  <c r="BQ51" i="18"/>
  <c r="BQ45" i="18"/>
  <c r="Q51" i="13"/>
  <c r="L45" i="13"/>
  <c r="L51" i="13"/>
  <c r="BE51" i="18"/>
  <c r="BE45" i="18"/>
  <c r="X45" i="13"/>
  <c r="X51" i="13"/>
  <c r="BE45" i="20"/>
  <c r="BE51" i="20"/>
  <c r="BO51" i="19"/>
  <c r="K45" i="13"/>
  <c r="K51" i="13"/>
  <c r="BI51" i="13"/>
  <c r="K45" i="20"/>
  <c r="K51" i="20"/>
  <c r="S51" i="13"/>
  <c r="S45" i="13"/>
  <c r="R45" i="13"/>
  <c r="R51" i="13"/>
  <c r="BU51" i="13"/>
  <c r="W45" i="19"/>
  <c r="W51" i="19"/>
  <c r="S51" i="18"/>
  <c r="S45" i="18"/>
  <c r="I45" i="13"/>
  <c r="I51" i="13"/>
  <c r="BO51" i="20"/>
  <c r="I60" i="4"/>
  <c r="J60" i="4"/>
  <c r="O60" i="4"/>
  <c r="P60" i="4"/>
  <c r="Q60" i="4"/>
  <c r="H60" i="4"/>
  <c r="BL60" i="4" s="1"/>
  <c r="R60" i="4"/>
  <c r="G60" i="4"/>
  <c r="GL63" i="11"/>
  <c r="BM56" i="4"/>
  <c r="CB57" i="11"/>
  <c r="FH61" i="11"/>
  <c r="GL62" i="11"/>
  <c r="AX56" i="11"/>
  <c r="GF56" i="11"/>
  <c r="FH62" i="11"/>
  <c r="AX69" i="11"/>
  <c r="GL61" i="11"/>
  <c r="GL51" i="11"/>
  <c r="GF51" i="11"/>
  <c r="AX65" i="11"/>
  <c r="BD56" i="11"/>
  <c r="FN51" i="11"/>
  <c r="CB66" i="11"/>
  <c r="CB55" i="11"/>
  <c r="BV62" i="11"/>
  <c r="AX59" i="11"/>
  <c r="BD66" i="11"/>
  <c r="CB59" i="11"/>
  <c r="CB70" i="11"/>
  <c r="BV66" i="11"/>
  <c r="BV65" i="11"/>
  <c r="BD65" i="11"/>
  <c r="GF55" i="11"/>
  <c r="GF63" i="11"/>
  <c r="BD69" i="11"/>
  <c r="AX58" i="11"/>
  <c r="AX63" i="11"/>
  <c r="AX60" i="11"/>
  <c r="BV58" i="11"/>
  <c r="GF57" i="11"/>
  <c r="BD58" i="11"/>
  <c r="GL65" i="11"/>
  <c r="FN59" i="11"/>
  <c r="CB58" i="11"/>
  <c r="GF64" i="11"/>
  <c r="BV67" i="11"/>
  <c r="AX64" i="11"/>
  <c r="BD52" i="11"/>
  <c r="CB52" i="11"/>
  <c r="FH54" i="11"/>
  <c r="GF69" i="11"/>
  <c r="AX51" i="11"/>
  <c r="BD60" i="11"/>
  <c r="BV68" i="11"/>
  <c r="GL54" i="11"/>
  <c r="AX52" i="11"/>
  <c r="BD68" i="11"/>
  <c r="CB68" i="11"/>
  <c r="FH57" i="11"/>
  <c r="BD54" i="11"/>
  <c r="AX68" i="11"/>
  <c r="BL58" i="4"/>
  <c r="FL65" i="11"/>
  <c r="FF65" i="11"/>
  <c r="GJ65" i="11"/>
  <c r="GD65" i="11"/>
  <c r="FE61" i="11"/>
  <c r="FK61" i="11"/>
  <c r="GI61" i="11"/>
  <c r="GC61" i="11"/>
  <c r="GD53" i="11"/>
  <c r="FF53" i="11"/>
  <c r="GJ53" i="11"/>
  <c r="FL53" i="11"/>
  <c r="FG63" i="11"/>
  <c r="GE63" i="11"/>
  <c r="GK63" i="11"/>
  <c r="FM63" i="11"/>
  <c r="FH67" i="11"/>
  <c r="FN67" i="11"/>
  <c r="GL67" i="11"/>
  <c r="GF67" i="11"/>
  <c r="BY50" i="11"/>
  <c r="BS50" i="11"/>
  <c r="BA50" i="11"/>
  <c r="AU50" i="11"/>
  <c r="BT66" i="11"/>
  <c r="BZ66" i="11"/>
  <c r="BB66" i="11"/>
  <c r="AV66" i="11"/>
  <c r="FF59" i="11"/>
  <c r="GJ59" i="11"/>
  <c r="GD59" i="11"/>
  <c r="FL59" i="11"/>
  <c r="FE64" i="11"/>
  <c r="GI64" i="11"/>
  <c r="GC64" i="11"/>
  <c r="FK64" i="11"/>
  <c r="GK66" i="11"/>
  <c r="GE66" i="11"/>
  <c r="FG66" i="11"/>
  <c r="FM66" i="11"/>
  <c r="FM60" i="11"/>
  <c r="FG60" i="11"/>
  <c r="GE60" i="11"/>
  <c r="GK60" i="11"/>
  <c r="FM52" i="11"/>
  <c r="FG52" i="11"/>
  <c r="GE52" i="11"/>
  <c r="GK52" i="11"/>
  <c r="BU64" i="11"/>
  <c r="AW64" i="11"/>
  <c r="CA64" i="11"/>
  <c r="BC64" i="11"/>
  <c r="BS60" i="11"/>
  <c r="BY60" i="11"/>
  <c r="BA60" i="11"/>
  <c r="AU60" i="11"/>
  <c r="CA51" i="11"/>
  <c r="BU51" i="11"/>
  <c r="AW51" i="11"/>
  <c r="BC51" i="11"/>
  <c r="GG57" i="11"/>
  <c r="FI57" i="11"/>
  <c r="S45" i="11"/>
  <c r="FE54" i="11"/>
  <c r="GI54" i="11"/>
  <c r="FK54" i="11"/>
  <c r="GC54" i="11"/>
  <c r="FI66" i="11"/>
  <c r="GG66" i="11"/>
  <c r="GG51" i="11"/>
  <c r="FI51" i="11"/>
  <c r="FM50" i="11"/>
  <c r="FG50" i="11"/>
  <c r="GK50" i="11"/>
  <c r="GE50" i="11"/>
  <c r="BA67" i="11"/>
  <c r="BS67" i="11"/>
  <c r="AU67" i="11"/>
  <c r="BY67" i="11"/>
  <c r="BB65" i="11"/>
  <c r="AV65" i="11"/>
  <c r="BZ65" i="11"/>
  <c r="BT65" i="11"/>
  <c r="BC70" i="11"/>
  <c r="AW70" i="11"/>
  <c r="BU70" i="11"/>
  <c r="CA70" i="11"/>
  <c r="FL57" i="11"/>
  <c r="GJ57" i="11"/>
  <c r="GD57" i="11"/>
  <c r="FF57" i="11"/>
  <c r="CB60" i="11"/>
  <c r="BV60" i="11"/>
  <c r="AY68" i="11"/>
  <c r="BW68" i="11"/>
  <c r="GL56" i="11"/>
  <c r="FH56" i="11"/>
  <c r="FN56" i="11"/>
  <c r="GF54" i="11"/>
  <c r="FN54" i="11"/>
  <c r="BD62" i="11"/>
  <c r="AX62" i="11"/>
  <c r="CB62" i="11"/>
  <c r="AX66" i="11"/>
  <c r="FH51" i="11"/>
  <c r="AT57" i="11"/>
  <c r="BR57" i="11"/>
  <c r="AY59" i="11"/>
  <c r="BW59" i="11"/>
  <c r="AY65" i="11"/>
  <c r="BW65" i="11"/>
  <c r="AY64" i="11"/>
  <c r="BW64" i="11"/>
  <c r="BV50" i="11"/>
  <c r="AX50" i="11"/>
  <c r="BD50" i="11"/>
  <c r="FN65" i="11"/>
  <c r="FH65" i="11"/>
  <c r="GF65" i="11"/>
  <c r="FD65" i="11"/>
  <c r="GB65" i="11"/>
  <c r="FK55" i="11"/>
  <c r="GI55" i="11"/>
  <c r="FE55" i="11"/>
  <c r="GC55" i="11"/>
  <c r="GE55" i="11"/>
  <c r="FM55" i="11"/>
  <c r="GK55" i="11"/>
  <c r="FG55" i="11"/>
  <c r="P45" i="11"/>
  <c r="AO71" i="11"/>
  <c r="FE62" i="11"/>
  <c r="GI62" i="11"/>
  <c r="FK62" i="11"/>
  <c r="GC62" i="11"/>
  <c r="GJ61" i="11"/>
  <c r="FF61" i="11"/>
  <c r="GD61" i="11"/>
  <c r="FL61" i="11"/>
  <c r="FE59" i="11"/>
  <c r="FK59" i="11"/>
  <c r="GI59" i="11"/>
  <c r="GC59" i="11"/>
  <c r="GB53" i="11"/>
  <c r="FD53" i="11"/>
  <c r="GI63" i="11"/>
  <c r="GC63" i="11"/>
  <c r="FK63" i="11"/>
  <c r="FE63" i="11"/>
  <c r="BY58" i="11"/>
  <c r="BS58" i="11"/>
  <c r="BA58" i="11"/>
  <c r="AU58" i="11"/>
  <c r="AW58" i="11"/>
  <c r="BU58" i="11"/>
  <c r="CA58" i="11"/>
  <c r="BC58" i="11"/>
  <c r="GC60" i="11"/>
  <c r="GI60" i="11"/>
  <c r="FK60" i="11"/>
  <c r="FE60" i="11"/>
  <c r="AU68" i="11"/>
  <c r="BY68" i="11"/>
  <c r="BA68" i="11"/>
  <c r="BS68" i="11"/>
  <c r="BC54" i="11"/>
  <c r="AW54" i="11"/>
  <c r="CA54" i="11"/>
  <c r="BU54" i="11"/>
  <c r="FI56" i="11"/>
  <c r="GG56" i="11"/>
  <c r="GK67" i="11"/>
  <c r="GE67" i="11"/>
  <c r="FG67" i="11"/>
  <c r="FM67" i="11"/>
  <c r="AM71" i="11"/>
  <c r="H71" i="11"/>
  <c r="AU56" i="11"/>
  <c r="BY56" i="11"/>
  <c r="BS56" i="11"/>
  <c r="BA56" i="11"/>
  <c r="FI50" i="11"/>
  <c r="GG50" i="11"/>
  <c r="FG61" i="11"/>
  <c r="GE61" i="11"/>
  <c r="FM61" i="11"/>
  <c r="GK61" i="11"/>
  <c r="BU56" i="11"/>
  <c r="AW56" i="11"/>
  <c r="CA56" i="11"/>
  <c r="BC56" i="11"/>
  <c r="FF50" i="11"/>
  <c r="GD50" i="11"/>
  <c r="GJ50" i="11"/>
  <c r="FL50" i="11"/>
  <c r="GC53" i="11"/>
  <c r="FK53" i="11"/>
  <c r="GI53" i="11"/>
  <c r="FE53" i="11"/>
  <c r="P71" i="11"/>
  <c r="AT67" i="11"/>
  <c r="BR67" i="11"/>
  <c r="GF59" i="11"/>
  <c r="FH59" i="11"/>
  <c r="GL59" i="11"/>
  <c r="BD57" i="11"/>
  <c r="AX57" i="11"/>
  <c r="BV57" i="11"/>
  <c r="FD57" i="11"/>
  <c r="GB57" i="11"/>
  <c r="CB63" i="11"/>
  <c r="BV63" i="11"/>
  <c r="BD63" i="11"/>
  <c r="BW57" i="11"/>
  <c r="AY57" i="11"/>
  <c r="BW50" i="11"/>
  <c r="AY50" i="11"/>
  <c r="AY67" i="11"/>
  <c r="BW67" i="11"/>
  <c r="BW62" i="11"/>
  <c r="AY62" i="11"/>
  <c r="AY63" i="11"/>
  <c r="BW63" i="11"/>
  <c r="CB69" i="11"/>
  <c r="BV69" i="11"/>
  <c r="BW55" i="11"/>
  <c r="AY55" i="11"/>
  <c r="AT51" i="11"/>
  <c r="BR51" i="11"/>
  <c r="FI67" i="11"/>
  <c r="GG67" i="11"/>
  <c r="BT70" i="11"/>
  <c r="BZ70" i="11"/>
  <c r="AV70" i="11"/>
  <c r="BB70" i="11"/>
  <c r="BB57" i="11"/>
  <c r="BT57" i="11"/>
  <c r="AV57" i="11"/>
  <c r="BZ57" i="11"/>
  <c r="GG61" i="11"/>
  <c r="FI61" i="11"/>
  <c r="AW69" i="11"/>
  <c r="CA69" i="11"/>
  <c r="DM93" i="11" s="1"/>
  <c r="BU69" i="11"/>
  <c r="BC69" i="11"/>
  <c r="FG64" i="11"/>
  <c r="GE64" i="11"/>
  <c r="GK64" i="11"/>
  <c r="FM64" i="11"/>
  <c r="FF52" i="11"/>
  <c r="GJ52" i="11"/>
  <c r="FL52" i="11"/>
  <c r="GD52" i="11"/>
  <c r="GJ58" i="11"/>
  <c r="FL58" i="11"/>
  <c r="GD58" i="11"/>
  <c r="FF58" i="11"/>
  <c r="BA55" i="11"/>
  <c r="BY55" i="11"/>
  <c r="AU55" i="11"/>
  <c r="BS55" i="11"/>
  <c r="AV50" i="11"/>
  <c r="BZ50" i="11"/>
  <c r="BB50" i="11"/>
  <c r="BT50" i="11"/>
  <c r="FI68" i="11"/>
  <c r="GG68" i="11"/>
  <c r="AW62" i="11"/>
  <c r="BU62" i="11"/>
  <c r="BC62" i="11"/>
  <c r="CA62" i="11"/>
  <c r="FI63" i="11"/>
  <c r="GG63" i="11"/>
  <c r="CA57" i="11"/>
  <c r="BU57" i="11"/>
  <c r="BC57" i="11"/>
  <c r="AW57" i="11"/>
  <c r="AI71" i="11"/>
  <c r="FE66" i="11"/>
  <c r="FK66" i="11"/>
  <c r="GI66" i="11"/>
  <c r="GC66" i="11"/>
  <c r="AV52" i="11"/>
  <c r="BZ52" i="11"/>
  <c r="BB52" i="11"/>
  <c r="BT52" i="11"/>
  <c r="AU70" i="11"/>
  <c r="BY70" i="11"/>
  <c r="BA70" i="11"/>
  <c r="BS70" i="11"/>
  <c r="FE57" i="11"/>
  <c r="FK57" i="11"/>
  <c r="GC57" i="11"/>
  <c r="GI57" i="11"/>
  <c r="GG62" i="11"/>
  <c r="FI62" i="11"/>
  <c r="AV55" i="11"/>
  <c r="BZ55" i="11"/>
  <c r="BB55" i="11"/>
  <c r="BT55" i="11"/>
  <c r="GD56" i="11"/>
  <c r="FF56" i="11"/>
  <c r="GJ56" i="11"/>
  <c r="FL56" i="11"/>
  <c r="R71" i="11"/>
  <c r="E69" i="1" s="1"/>
  <c r="AG71" i="11"/>
  <c r="GF61" i="11"/>
  <c r="FN61" i="11"/>
  <c r="AT66" i="11"/>
  <c r="BR66" i="11"/>
  <c r="FN55" i="11"/>
  <c r="FH55" i="11"/>
  <c r="GL55" i="11"/>
  <c r="GL52" i="11"/>
  <c r="GF52" i="11"/>
  <c r="FH52" i="11"/>
  <c r="FN52" i="11"/>
  <c r="AT60" i="11"/>
  <c r="BR60" i="11"/>
  <c r="BW61" i="11"/>
  <c r="AY61" i="11"/>
  <c r="CB54" i="11"/>
  <c r="BV54" i="11"/>
  <c r="AX54" i="11"/>
  <c r="CB61" i="11"/>
  <c r="BV61" i="11"/>
  <c r="BD61" i="11"/>
  <c r="AX61" i="11"/>
  <c r="BR63" i="11"/>
  <c r="AT63" i="11"/>
  <c r="AY66" i="11"/>
  <c r="BW66" i="11"/>
  <c r="AY52" i="11"/>
  <c r="BW52" i="11"/>
  <c r="GG60" i="11"/>
  <c r="FI60" i="11"/>
  <c r="BD64" i="11"/>
  <c r="CB64" i="11"/>
  <c r="BV64" i="11"/>
  <c r="GF50" i="11"/>
  <c r="FH50" i="11"/>
  <c r="FN50" i="11"/>
  <c r="GL50" i="11"/>
  <c r="BL49" i="4"/>
  <c r="O71" i="11"/>
  <c r="GK57" i="11"/>
  <c r="GE57" i="11"/>
  <c r="FG57" i="11"/>
  <c r="FM57" i="11"/>
  <c r="GD66" i="11"/>
  <c r="FL66" i="11"/>
  <c r="GJ66" i="11"/>
  <c r="FF66" i="11"/>
  <c r="FD64" i="11"/>
  <c r="GB64" i="11"/>
  <c r="BC60" i="11"/>
  <c r="AW60" i="11"/>
  <c r="BU60" i="11"/>
  <c r="CA60" i="11"/>
  <c r="FL67" i="11"/>
  <c r="FF67" i="11"/>
  <c r="GD67" i="11"/>
  <c r="GJ67" i="11"/>
  <c r="BU55" i="11"/>
  <c r="BC55" i="11"/>
  <c r="CA55" i="11"/>
  <c r="AW55" i="11"/>
  <c r="FD50" i="11"/>
  <c r="GB50" i="11"/>
  <c r="Q45" i="11"/>
  <c r="GB69" i="11"/>
  <c r="FD69" i="11"/>
  <c r="GB63" i="11"/>
  <c r="FD63" i="11"/>
  <c r="BC50" i="11"/>
  <c r="AW50" i="11"/>
  <c r="CA50" i="11"/>
  <c r="BU50" i="11"/>
  <c r="AU57" i="11"/>
  <c r="BA57" i="11"/>
  <c r="BS57" i="11"/>
  <c r="BY57" i="11"/>
  <c r="AW68" i="11"/>
  <c r="CA68" i="11"/>
  <c r="BC68" i="11"/>
  <c r="BU68" i="11"/>
  <c r="BU53" i="11"/>
  <c r="CA53" i="11"/>
  <c r="AW53" i="11"/>
  <c r="BC53" i="11"/>
  <c r="K71" i="11"/>
  <c r="D72" i="1" s="1"/>
  <c r="FL63" i="11"/>
  <c r="FF63" i="11"/>
  <c r="GJ63" i="11"/>
  <c r="GD63" i="11"/>
  <c r="AF71" i="11"/>
  <c r="FI59" i="11"/>
  <c r="GG59" i="11"/>
  <c r="FI69" i="11"/>
  <c r="GG69" i="11"/>
  <c r="AU59" i="11"/>
  <c r="BA59" i="11"/>
  <c r="BY59" i="11"/>
  <c r="BS59" i="11"/>
  <c r="GK51" i="11"/>
  <c r="GE51" i="11"/>
  <c r="FG51" i="11"/>
  <c r="FM51" i="11"/>
  <c r="GJ64" i="11"/>
  <c r="FF64" i="11"/>
  <c r="FL64" i="11"/>
  <c r="GD64" i="11"/>
  <c r="CA66" i="11"/>
  <c r="AW66" i="11"/>
  <c r="BU66" i="11"/>
  <c r="BC66" i="11"/>
  <c r="AK71" i="11"/>
  <c r="AU69" i="11"/>
  <c r="CG93" i="11" s="1"/>
  <c r="BY69" i="11"/>
  <c r="BA69" i="11"/>
  <c r="CM93" i="11" s="1"/>
  <c r="BS69" i="11"/>
  <c r="DE93" i="11" s="1"/>
  <c r="AJ71" i="11"/>
  <c r="H69" i="1" s="1"/>
  <c r="AU54" i="11"/>
  <c r="BA54" i="11"/>
  <c r="BS54" i="11"/>
  <c r="BY54" i="11"/>
  <c r="FG69" i="11"/>
  <c r="GK69" i="11"/>
  <c r="GE69" i="11"/>
  <c r="FM69" i="11"/>
  <c r="GC56" i="11"/>
  <c r="FE56" i="11"/>
  <c r="GI56" i="11"/>
  <c r="FK56" i="11"/>
  <c r="GC52" i="11"/>
  <c r="GI52" i="11"/>
  <c r="FE52" i="11"/>
  <c r="FK52" i="11"/>
  <c r="BS51" i="11"/>
  <c r="BY51" i="11"/>
  <c r="AU51" i="11"/>
  <c r="BA51" i="11"/>
  <c r="FI53" i="11"/>
  <c r="GG53" i="11"/>
  <c r="BB53" i="11"/>
  <c r="BT53" i="11"/>
  <c r="AV53" i="11"/>
  <c r="BZ53" i="11"/>
  <c r="FK67" i="11"/>
  <c r="GC67" i="11"/>
  <c r="FE67" i="11"/>
  <c r="GI67" i="11"/>
  <c r="GB68" i="11"/>
  <c r="FD68" i="11"/>
  <c r="GG52" i="11"/>
  <c r="FI52" i="11"/>
  <c r="FN64" i="11"/>
  <c r="GL64" i="11"/>
  <c r="FH64" i="11"/>
  <c r="CB65" i="11"/>
  <c r="AT59" i="11"/>
  <c r="BR59" i="11"/>
  <c r="AT70" i="11"/>
  <c r="CF94" i="11" s="1"/>
  <c r="BR70" i="11"/>
  <c r="DD94" i="11" s="1"/>
  <c r="GL69" i="11"/>
  <c r="FN69" i="11"/>
  <c r="FH69" i="11"/>
  <c r="FN63" i="11"/>
  <c r="FH63" i="11"/>
  <c r="AY70" i="11"/>
  <c r="CK94" i="11" s="1"/>
  <c r="BW70" i="11"/>
  <c r="DI94" i="11" s="1"/>
  <c r="BW58" i="11"/>
  <c r="AY58" i="11"/>
  <c r="CB53" i="11"/>
  <c r="BD53" i="11"/>
  <c r="BV53" i="11"/>
  <c r="AY54" i="11"/>
  <c r="BW54" i="11"/>
  <c r="BR53" i="11"/>
  <c r="AT53" i="11"/>
  <c r="BR68" i="11"/>
  <c r="AT68" i="11"/>
  <c r="FD58" i="11"/>
  <c r="GB58" i="11"/>
  <c r="GG58" i="11"/>
  <c r="FI58" i="11"/>
  <c r="L36" i="4"/>
  <c r="FL68" i="11"/>
  <c r="GJ68" i="11"/>
  <c r="GD68" i="11"/>
  <c r="FF68" i="11"/>
  <c r="FM54" i="11"/>
  <c r="FG54" i="11"/>
  <c r="GE54" i="11"/>
  <c r="GK54" i="11"/>
  <c r="GI58" i="11"/>
  <c r="FK58" i="11"/>
  <c r="GC58" i="11"/>
  <c r="FE58" i="11"/>
  <c r="CA67" i="11"/>
  <c r="BU67" i="11"/>
  <c r="AW67" i="11"/>
  <c r="BC67" i="11"/>
  <c r="AU62" i="11"/>
  <c r="BY62" i="11"/>
  <c r="BA62" i="11"/>
  <c r="BS62" i="11"/>
  <c r="BC52" i="11"/>
  <c r="AW52" i="11"/>
  <c r="CA52" i="11"/>
  <c r="BU52" i="11"/>
  <c r="FI65" i="11"/>
  <c r="GG65" i="11"/>
  <c r="FD56" i="11"/>
  <c r="GB56" i="11"/>
  <c r="BS53" i="11"/>
  <c r="BA53" i="11"/>
  <c r="BY53" i="11"/>
  <c r="AU53" i="11"/>
  <c r="BB63" i="11"/>
  <c r="AV63" i="11"/>
  <c r="BZ63" i="11"/>
  <c r="BT63" i="11"/>
  <c r="O45" i="11"/>
  <c r="GB55" i="11"/>
  <c r="FD55" i="11"/>
  <c r="FK51" i="11"/>
  <c r="GI51" i="11"/>
  <c r="FE51" i="11"/>
  <c r="GC51" i="11"/>
  <c r="FF51" i="11"/>
  <c r="GJ51" i="11"/>
  <c r="GD51" i="11"/>
  <c r="FL51" i="11"/>
  <c r="GD62" i="11"/>
  <c r="FF62" i="11"/>
  <c r="FL62" i="11"/>
  <c r="GJ62" i="11"/>
  <c r="BY65" i="11"/>
  <c r="BA65" i="11"/>
  <c r="AU65" i="11"/>
  <c r="BS65" i="11"/>
  <c r="R45" i="11"/>
  <c r="AV51" i="11"/>
  <c r="BZ51" i="11"/>
  <c r="BT51" i="11"/>
  <c r="BB51" i="11"/>
  <c r="GE58" i="11"/>
  <c r="FG58" i="11"/>
  <c r="GK58" i="11"/>
  <c r="FM58" i="11"/>
  <c r="BZ58" i="11"/>
  <c r="BB58" i="11"/>
  <c r="BT58" i="11"/>
  <c r="AV58" i="11"/>
  <c r="BY63" i="11"/>
  <c r="BS63" i="11"/>
  <c r="BA63" i="11"/>
  <c r="AU63" i="11"/>
  <c r="BS52" i="11"/>
  <c r="BY52" i="11"/>
  <c r="BA52" i="11"/>
  <c r="AU52" i="11"/>
  <c r="BZ59" i="11"/>
  <c r="AV59" i="11"/>
  <c r="BT59" i="11"/>
  <c r="BB59" i="11"/>
  <c r="FE68" i="11"/>
  <c r="GI68" i="11"/>
  <c r="FK68" i="11"/>
  <c r="GC68" i="11"/>
  <c r="FF69" i="11"/>
  <c r="GJ69" i="11"/>
  <c r="FL69" i="11"/>
  <c r="GD69" i="11"/>
  <c r="BZ56" i="11"/>
  <c r="BT56" i="11"/>
  <c r="AV56" i="11"/>
  <c r="BB56" i="11"/>
  <c r="AV69" i="11"/>
  <c r="BZ69" i="11"/>
  <c r="BB69" i="11"/>
  <c r="BT69" i="11"/>
  <c r="BU61" i="11"/>
  <c r="AW61" i="11"/>
  <c r="CA61" i="11"/>
  <c r="BC61" i="11"/>
  <c r="FN62" i="11"/>
  <c r="GF62" i="11"/>
  <c r="AY69" i="11"/>
  <c r="BW69" i="11"/>
  <c r="AT64" i="11"/>
  <c r="BR64" i="11"/>
  <c r="GL60" i="11"/>
  <c r="FN60" i="11"/>
  <c r="GF60" i="11"/>
  <c r="FH60" i="11"/>
  <c r="AT65" i="11"/>
  <c r="BR65" i="11"/>
  <c r="AX55" i="11"/>
  <c r="BD55" i="11"/>
  <c r="BV55" i="11"/>
  <c r="AT58" i="11"/>
  <c r="BR58" i="11"/>
  <c r="BD70" i="11"/>
  <c r="AX70" i="11"/>
  <c r="BV70" i="11"/>
  <c r="AT62" i="11"/>
  <c r="BR62" i="11"/>
  <c r="BR50" i="11"/>
  <c r="AT50" i="11"/>
  <c r="AX67" i="11"/>
  <c r="BD67" i="11"/>
  <c r="CB67" i="11"/>
  <c r="CB56" i="11"/>
  <c r="BV56" i="11"/>
  <c r="BV52" i="11"/>
  <c r="BR56" i="11"/>
  <c r="AT56" i="11"/>
  <c r="GB52" i="11"/>
  <c r="FD52" i="11"/>
  <c r="AH71" i="11"/>
  <c r="GG54" i="11"/>
  <c r="FI54" i="11"/>
  <c r="FE69" i="11"/>
  <c r="GI69" i="11"/>
  <c r="FK69" i="11"/>
  <c r="GC69" i="11"/>
  <c r="GI50" i="11"/>
  <c r="GC50" i="11"/>
  <c r="FE50" i="11"/>
  <c r="FK50" i="11"/>
  <c r="FD67" i="11"/>
  <c r="GB67" i="11"/>
  <c r="FD60" i="11"/>
  <c r="GB60" i="11"/>
  <c r="BB62" i="11"/>
  <c r="BT62" i="11"/>
  <c r="AV62" i="11"/>
  <c r="BZ62" i="11"/>
  <c r="AW65" i="11"/>
  <c r="CA65" i="11"/>
  <c r="BC65" i="11"/>
  <c r="BU65" i="11"/>
  <c r="BB54" i="11"/>
  <c r="BZ54" i="11"/>
  <c r="AV54" i="11"/>
  <c r="BT54" i="11"/>
  <c r="FD59" i="11"/>
  <c r="GB59" i="11"/>
  <c r="Q71" i="11"/>
  <c r="GI65" i="11"/>
  <c r="FK65" i="11"/>
  <c r="FE65" i="11"/>
  <c r="GC65" i="11"/>
  <c r="BY64" i="11"/>
  <c r="BS64" i="11"/>
  <c r="AU64" i="11"/>
  <c r="BA64" i="11"/>
  <c r="CB50" i="11"/>
  <c r="AP71" i="11"/>
  <c r="I69" i="1" s="1"/>
  <c r="FF55" i="11"/>
  <c r="GD55" i="11"/>
  <c r="GJ55" i="11"/>
  <c r="FL55" i="11"/>
  <c r="AW63" i="11"/>
  <c r="BU63" i="11"/>
  <c r="CA63" i="11"/>
  <c r="BC63" i="11"/>
  <c r="GB61" i="11"/>
  <c r="FD61" i="11"/>
  <c r="GB51" i="11"/>
  <c r="FD51" i="11"/>
  <c r="AU66" i="11"/>
  <c r="CG90" i="11" s="1"/>
  <c r="BA66" i="11"/>
  <c r="CM90" i="11" s="1"/>
  <c r="BS66" i="11"/>
  <c r="BY66" i="11"/>
  <c r="DK90" i="11" s="1"/>
  <c r="FI55" i="11"/>
  <c r="GG55" i="11"/>
  <c r="AN71" i="11"/>
  <c r="GE56" i="11"/>
  <c r="FG56" i="11"/>
  <c r="GK56" i="11"/>
  <c r="FM56" i="11"/>
  <c r="M71" i="11"/>
  <c r="FD66" i="11"/>
  <c r="GB66" i="11"/>
  <c r="L71" i="11"/>
  <c r="D69" i="1" s="1"/>
  <c r="GE62" i="11"/>
  <c r="FG62" i="11"/>
  <c r="FM62" i="11"/>
  <c r="GK62" i="11"/>
  <c r="J71" i="11"/>
  <c r="D73" i="1" s="1"/>
  <c r="AV64" i="11"/>
  <c r="BZ64" i="11"/>
  <c r="BB64" i="11"/>
  <c r="BT64" i="11"/>
  <c r="GK65" i="11"/>
  <c r="FG65" i="11"/>
  <c r="FM65" i="11"/>
  <c r="GE65" i="11"/>
  <c r="AU61" i="11"/>
  <c r="BA61" i="11"/>
  <c r="BS61" i="11"/>
  <c r="BY61" i="11"/>
  <c r="BB67" i="11"/>
  <c r="AV67" i="11"/>
  <c r="BT67" i="11"/>
  <c r="BZ67" i="11"/>
  <c r="BZ61" i="11"/>
  <c r="AV61" i="11"/>
  <c r="BT61" i="11"/>
  <c r="BB61" i="11"/>
  <c r="BT60" i="11"/>
  <c r="BZ60" i="11"/>
  <c r="BB60" i="11"/>
  <c r="AV60" i="11"/>
  <c r="I71" i="11"/>
  <c r="D71" i="1" s="1"/>
  <c r="BU59" i="11"/>
  <c r="BC59" i="11"/>
  <c r="CA59" i="11"/>
  <c r="AW59" i="11"/>
  <c r="BB68" i="11"/>
  <c r="BZ68" i="11"/>
  <c r="BT68" i="11"/>
  <c r="AV68" i="11"/>
  <c r="FD62" i="11"/>
  <c r="GB62" i="11"/>
  <c r="GE53" i="11"/>
  <c r="GK53" i="11"/>
  <c r="FG53" i="11"/>
  <c r="FM53" i="11"/>
  <c r="GE59" i="11"/>
  <c r="GK59" i="11"/>
  <c r="FG59" i="11"/>
  <c r="FM59" i="11"/>
  <c r="FD54" i="11"/>
  <c r="GB54" i="11"/>
  <c r="FG68" i="11"/>
  <c r="GK68" i="11"/>
  <c r="FM68" i="11"/>
  <c r="GE68" i="11"/>
  <c r="GD60" i="11"/>
  <c r="GJ60" i="11"/>
  <c r="FL60" i="11"/>
  <c r="FF60" i="11"/>
  <c r="FI64" i="11"/>
  <c r="GG64" i="11"/>
  <c r="FL54" i="11"/>
  <c r="GJ54" i="11"/>
  <c r="GD54" i="11"/>
  <c r="FF54" i="11"/>
  <c r="FN57" i="11"/>
  <c r="GL57" i="11"/>
  <c r="GF68" i="11"/>
  <c r="GL68" i="11"/>
  <c r="FH68" i="11"/>
  <c r="FN68" i="11"/>
  <c r="T45" i="11"/>
  <c r="BV51" i="11"/>
  <c r="CB51" i="11"/>
  <c r="BD51" i="11"/>
  <c r="BR52" i="11"/>
  <c r="AT52" i="11"/>
  <c r="AY53" i="11"/>
  <c r="BW53" i="11"/>
  <c r="BW60" i="11"/>
  <c r="AY60" i="11"/>
  <c r="AT54" i="11"/>
  <c r="BR54" i="11"/>
  <c r="FN53" i="11"/>
  <c r="GL53" i="11"/>
  <c r="GF53" i="11"/>
  <c r="FH53" i="11"/>
  <c r="AY56" i="11"/>
  <c r="BW56" i="11"/>
  <c r="BR61" i="11"/>
  <c r="AT61" i="11"/>
  <c r="FH66" i="11"/>
  <c r="GF66" i="11"/>
  <c r="FN66" i="11"/>
  <c r="GL66" i="11"/>
  <c r="BR69" i="11"/>
  <c r="AT69" i="11"/>
  <c r="BR55" i="11"/>
  <c r="AT55" i="11"/>
  <c r="FN58" i="11"/>
  <c r="GL58" i="11"/>
  <c r="GF58" i="11"/>
  <c r="FH58" i="11"/>
  <c r="BW51" i="11"/>
  <c r="AY51" i="11"/>
  <c r="BV59" i="11"/>
  <c r="BD59" i="11"/>
  <c r="BL48" i="4"/>
  <c r="AV61" i="4"/>
  <c r="AH61" i="4"/>
  <c r="BN45" i="4"/>
  <c r="BN52" i="4"/>
  <c r="V58" i="4"/>
  <c r="BM58" i="4"/>
  <c r="BL44" i="4"/>
  <c r="BL43" i="4"/>
  <c r="BM48" i="4"/>
  <c r="BL56" i="4"/>
  <c r="BL47" i="4"/>
  <c r="BL59" i="4"/>
  <c r="BM47" i="4"/>
  <c r="BM44" i="4"/>
  <c r="BN44" i="4"/>
  <c r="X58" i="4"/>
  <c r="BM55" i="4"/>
  <c r="BM43" i="4"/>
  <c r="BM52" i="4"/>
  <c r="W58" i="4"/>
  <c r="BM50" i="4"/>
  <c r="BL51" i="4"/>
  <c r="BL53" i="4"/>
  <c r="BL45" i="4"/>
  <c r="BL52" i="4"/>
  <c r="BM46" i="4"/>
  <c r="BM45" i="4"/>
  <c r="BL41" i="4"/>
  <c r="BL55" i="4"/>
  <c r="BL54" i="4"/>
  <c r="BN58" i="4"/>
  <c r="BM42" i="4"/>
  <c r="BM57" i="4"/>
  <c r="BN53" i="4"/>
  <c r="BN51" i="4"/>
  <c r="BN57" i="4"/>
  <c r="BL42" i="4"/>
  <c r="X52" i="4"/>
  <c r="V52" i="4"/>
  <c r="V51" i="4"/>
  <c r="X51" i="4"/>
  <c r="X56" i="4"/>
  <c r="V56" i="4"/>
  <c r="X57" i="4"/>
  <c r="V57" i="4"/>
  <c r="BM41" i="4"/>
  <c r="BN43" i="4"/>
  <c r="V42" i="4"/>
  <c r="X42" i="4"/>
  <c r="BN48" i="4"/>
  <c r="BN42" i="4"/>
  <c r="BM53" i="4"/>
  <c r="V46" i="4"/>
  <c r="X46" i="4"/>
  <c r="BL57" i="4"/>
  <c r="V50" i="4"/>
  <c r="X50" i="4"/>
  <c r="V49" i="4"/>
  <c r="X49" i="4"/>
  <c r="BL46" i="4"/>
  <c r="X54" i="4"/>
  <c r="V54" i="4"/>
  <c r="V48" i="4"/>
  <c r="X48" i="4"/>
  <c r="V47" i="4"/>
  <c r="X47" i="4"/>
  <c r="K36" i="4"/>
  <c r="BN56" i="4"/>
  <c r="BN49" i="4"/>
  <c r="V44" i="4"/>
  <c r="X44" i="4"/>
  <c r="V43" i="4"/>
  <c r="X43" i="4"/>
  <c r="BN46" i="4"/>
  <c r="V45" i="4"/>
  <c r="X45" i="4"/>
  <c r="BN55" i="4"/>
  <c r="BN50" i="4"/>
  <c r="V41" i="4"/>
  <c r="X41" i="4"/>
  <c r="BM51" i="4"/>
  <c r="X55" i="4"/>
  <c r="V55" i="4"/>
  <c r="BL50" i="4"/>
  <c r="BN41" i="4"/>
  <c r="X53" i="4"/>
  <c r="V53" i="4"/>
  <c r="BN54" i="4"/>
  <c r="BN47" i="4"/>
  <c r="BM54" i="4"/>
  <c r="X59" i="4"/>
  <c r="BN59" i="4"/>
  <c r="V59" i="4"/>
  <c r="W59" i="4"/>
  <c r="BM59" i="4"/>
  <c r="F61" i="4"/>
  <c r="L72" i="1" l="1"/>
  <c r="L73" i="1"/>
  <c r="L71" i="1"/>
  <c r="G72" i="1"/>
  <c r="G73" i="1"/>
  <c r="G71" i="1"/>
  <c r="AV73" i="19"/>
  <c r="AV72" i="19"/>
  <c r="AF73" i="13"/>
  <c r="AF72" i="13"/>
  <c r="AM72" i="20"/>
  <c r="AM73" i="20"/>
  <c r="AM72" i="19"/>
  <c r="AM73" i="19"/>
  <c r="BB72" i="13"/>
  <c r="BB73" i="13"/>
  <c r="AQ73" i="19"/>
  <c r="AQ72" i="19"/>
  <c r="BB73" i="19"/>
  <c r="BB72" i="19"/>
  <c r="AY73" i="20"/>
  <c r="AY72" i="20"/>
  <c r="AW73" i="18"/>
  <c r="AW72" i="18"/>
  <c r="AJ72" i="13"/>
  <c r="AJ73" i="13"/>
  <c r="AF72" i="19"/>
  <c r="AF73" i="19"/>
  <c r="AO72" i="13"/>
  <c r="AO73" i="13"/>
  <c r="AN72" i="13"/>
  <c r="AN73" i="13"/>
  <c r="AJ73" i="18"/>
  <c r="AJ72" i="18"/>
  <c r="AY72" i="18"/>
  <c r="AY73" i="18"/>
  <c r="AO72" i="20"/>
  <c r="AO73" i="20"/>
  <c r="AJ72" i="19"/>
  <c r="AJ73" i="19"/>
  <c r="AP72" i="20"/>
  <c r="AP73" i="20"/>
  <c r="AK73" i="13"/>
  <c r="AK72" i="13"/>
  <c r="AW72" i="20"/>
  <c r="AW73" i="20"/>
  <c r="AM73" i="18"/>
  <c r="AM72" i="18"/>
  <c r="BA72" i="13"/>
  <c r="BA73" i="13"/>
  <c r="AU72" i="13"/>
  <c r="AU73" i="13"/>
  <c r="AU72" i="20"/>
  <c r="AU73" i="20"/>
  <c r="AT73" i="18"/>
  <c r="AT72" i="18"/>
  <c r="AI73" i="20"/>
  <c r="AI72" i="20"/>
  <c r="AZ73" i="19"/>
  <c r="AZ72" i="19"/>
  <c r="AI73" i="19"/>
  <c r="AI72" i="19"/>
  <c r="AJ72" i="20"/>
  <c r="AJ73" i="20"/>
  <c r="AH73" i="18"/>
  <c r="AH72" i="18"/>
  <c r="AZ72" i="20"/>
  <c r="AZ73" i="20"/>
  <c r="AH73" i="20"/>
  <c r="AH72" i="20"/>
  <c r="AT73" i="20"/>
  <c r="AT72" i="20"/>
  <c r="AS72" i="20"/>
  <c r="AS73" i="20"/>
  <c r="AG73" i="18"/>
  <c r="AG72" i="18"/>
  <c r="BA73" i="18"/>
  <c r="BA72" i="18"/>
  <c r="AS73" i="18"/>
  <c r="AS72" i="18"/>
  <c r="AS72" i="19"/>
  <c r="AS73" i="19"/>
  <c r="AH72" i="19"/>
  <c r="AH73" i="19"/>
  <c r="AQ73" i="18"/>
  <c r="AQ72" i="18"/>
  <c r="AK72" i="18"/>
  <c r="AK73" i="18"/>
  <c r="AV73" i="18"/>
  <c r="AV72" i="18"/>
  <c r="AV72" i="20"/>
  <c r="AV73" i="20"/>
  <c r="AW73" i="19"/>
  <c r="AW72" i="19"/>
  <c r="AF73" i="20"/>
  <c r="AF72" i="20"/>
  <c r="AQ73" i="13"/>
  <c r="AQ72" i="13"/>
  <c r="AQ73" i="20"/>
  <c r="AQ72" i="20"/>
  <c r="AM73" i="13"/>
  <c r="AM72" i="13"/>
  <c r="AG73" i="13"/>
  <c r="AG72" i="13"/>
  <c r="AN73" i="18"/>
  <c r="AN72" i="18"/>
  <c r="AG72" i="19"/>
  <c r="AG73" i="19"/>
  <c r="AI72" i="18"/>
  <c r="AI73" i="18"/>
  <c r="AZ72" i="18"/>
  <c r="AZ73" i="18"/>
  <c r="AK73" i="20"/>
  <c r="AK72" i="20"/>
  <c r="AO73" i="18"/>
  <c r="AO72" i="18"/>
  <c r="BA73" i="20"/>
  <c r="BA72" i="20"/>
  <c r="AZ72" i="13"/>
  <c r="AZ73" i="13"/>
  <c r="AK72" i="19"/>
  <c r="AK73" i="19"/>
  <c r="AV72" i="13"/>
  <c r="AV73" i="13"/>
  <c r="AW72" i="13"/>
  <c r="AW73" i="13"/>
  <c r="AP72" i="19"/>
  <c r="AP73" i="19"/>
  <c r="AO72" i="19"/>
  <c r="AO73" i="19"/>
  <c r="AP72" i="13"/>
  <c r="AP73" i="13"/>
  <c r="AG72" i="20"/>
  <c r="AG73" i="20"/>
  <c r="AS72" i="13"/>
  <c r="AS73" i="13"/>
  <c r="AT73" i="13"/>
  <c r="AT72" i="13"/>
  <c r="AT72" i="19"/>
  <c r="AT73" i="19"/>
  <c r="AP73" i="18"/>
  <c r="AP72" i="18"/>
  <c r="AY72" i="13"/>
  <c r="AY73" i="13"/>
  <c r="BB72" i="20"/>
  <c r="BB73" i="20"/>
  <c r="AY73" i="19"/>
  <c r="AY72" i="19"/>
  <c r="AF73" i="18"/>
  <c r="AF72" i="18"/>
  <c r="BA73" i="19"/>
  <c r="BA72" i="19"/>
  <c r="AN72" i="20"/>
  <c r="AN73" i="20"/>
  <c r="AN73" i="19"/>
  <c r="AN72" i="19"/>
  <c r="AH72" i="13"/>
  <c r="AH73" i="13"/>
  <c r="BB73" i="18"/>
  <c r="BB72" i="18"/>
  <c r="AU73" i="19"/>
  <c r="AU72" i="19"/>
  <c r="AI73" i="13"/>
  <c r="AI72" i="13"/>
  <c r="AU72" i="18"/>
  <c r="AU73" i="18"/>
  <c r="BR60" i="4"/>
  <c r="BD60" i="4" s="1"/>
  <c r="BP60" i="4"/>
  <c r="BB60" i="4" s="1"/>
  <c r="AA60" i="4"/>
  <c r="AO60" i="4" s="1"/>
  <c r="Y60" i="4"/>
  <c r="AM60" i="4" s="1"/>
  <c r="K61" i="4"/>
  <c r="BO61" i="4" s="1"/>
  <c r="BO62" i="4" s="1"/>
  <c r="L61" i="4"/>
  <c r="BP61" i="4" s="1"/>
  <c r="M61" i="4"/>
  <c r="BQ61" i="4" s="1"/>
  <c r="BQ62" i="4" s="1"/>
  <c r="N61" i="4"/>
  <c r="BR61" i="4" s="1"/>
  <c r="E71" i="1"/>
  <c r="E73" i="1"/>
  <c r="E72" i="1"/>
  <c r="EI50" i="11"/>
  <c r="EI56" i="11"/>
  <c r="EI62" i="11"/>
  <c r="EI68" i="11"/>
  <c r="EI54" i="11"/>
  <c r="EI51" i="11"/>
  <c r="EI57" i="11"/>
  <c r="EI63" i="11"/>
  <c r="EI69" i="11"/>
  <c r="EI60" i="11"/>
  <c r="EI52" i="11"/>
  <c r="EI58" i="11"/>
  <c r="EI64" i="11"/>
  <c r="EI66" i="11"/>
  <c r="EI53" i="11"/>
  <c r="EI59" i="11"/>
  <c r="EI65" i="11"/>
  <c r="EI55" i="11"/>
  <c r="EI61" i="11"/>
  <c r="EI67" i="11"/>
  <c r="ED54" i="11"/>
  <c r="ED60" i="11"/>
  <c r="ED66" i="11"/>
  <c r="ED64" i="11"/>
  <c r="ED55" i="11"/>
  <c r="ED61" i="11"/>
  <c r="ED67" i="11"/>
  <c r="ED58" i="11"/>
  <c r="ED50" i="11"/>
  <c r="ED56" i="11"/>
  <c r="ED62" i="11"/>
  <c r="ED68" i="11"/>
  <c r="ED51" i="11"/>
  <c r="ED57" i="11"/>
  <c r="ED63" i="11"/>
  <c r="ED69" i="11"/>
  <c r="ED52" i="11"/>
  <c r="ED53" i="11"/>
  <c r="ED59" i="11"/>
  <c r="ED65" i="11"/>
  <c r="EE52" i="11"/>
  <c r="EE58" i="11"/>
  <c r="EE64" i="11"/>
  <c r="EE68" i="11"/>
  <c r="EE53" i="11"/>
  <c r="EE59" i="11"/>
  <c r="EE65" i="11"/>
  <c r="EE54" i="11"/>
  <c r="EE60" i="11"/>
  <c r="EE66" i="11"/>
  <c r="EE62" i="11"/>
  <c r="EE55" i="11"/>
  <c r="EE61" i="11"/>
  <c r="EE67" i="11"/>
  <c r="EE50" i="11"/>
  <c r="EE51" i="11"/>
  <c r="EE57" i="11"/>
  <c r="EE63" i="11"/>
  <c r="EE69" i="11"/>
  <c r="EE56" i="11"/>
  <c r="EM65" i="11"/>
  <c r="EM53" i="11"/>
  <c r="EM52" i="11"/>
  <c r="EM62" i="11"/>
  <c r="EM64" i="11"/>
  <c r="EM57" i="11"/>
  <c r="EM59" i="11"/>
  <c r="EM67" i="11"/>
  <c r="EM58" i="11"/>
  <c r="EM56" i="11"/>
  <c r="EM63" i="11"/>
  <c r="EM68" i="11"/>
  <c r="EM61" i="11"/>
  <c r="EM66" i="11"/>
  <c r="EM55" i="11"/>
  <c r="EM54" i="11"/>
  <c r="EM69" i="11"/>
  <c r="EM51" i="11"/>
  <c r="EM60" i="11"/>
  <c r="EM50" i="11"/>
  <c r="FP70" i="11"/>
  <c r="FP71" i="11" s="1"/>
  <c r="EG57" i="11"/>
  <c r="EG59" i="11"/>
  <c r="EG53" i="11"/>
  <c r="EG66" i="11"/>
  <c r="EG60" i="11"/>
  <c r="EG67" i="11"/>
  <c r="EG55" i="11"/>
  <c r="EG50" i="11"/>
  <c r="EG63" i="11"/>
  <c r="EG56" i="11"/>
  <c r="EG65" i="11"/>
  <c r="EG51" i="11"/>
  <c r="EG62" i="11"/>
  <c r="EG68" i="11"/>
  <c r="EG61" i="11"/>
  <c r="EG58" i="11"/>
  <c r="EG69" i="11"/>
  <c r="EG54" i="11"/>
  <c r="EG52" i="11"/>
  <c r="EG64" i="11"/>
  <c r="FH70" i="11"/>
  <c r="FH71" i="11" s="1"/>
  <c r="FT70" i="11"/>
  <c r="EH70" i="11" s="1"/>
  <c r="FZ70" i="11"/>
  <c r="FZ71" i="11" s="1"/>
  <c r="FU70" i="11"/>
  <c r="FU71" i="11" s="1"/>
  <c r="FY70" i="11"/>
  <c r="FY71" i="11" s="1"/>
  <c r="FS70" i="11"/>
  <c r="EG70" i="11" s="1"/>
  <c r="EK54" i="11"/>
  <c r="EK60" i="11"/>
  <c r="EK66" i="11"/>
  <c r="EK58" i="11"/>
  <c r="EK55" i="11"/>
  <c r="EK61" i="11"/>
  <c r="EK67" i="11"/>
  <c r="EK50" i="11"/>
  <c r="EK56" i="11"/>
  <c r="EK62" i="11"/>
  <c r="EK68" i="11"/>
  <c r="EK52" i="11"/>
  <c r="EK51" i="11"/>
  <c r="EK57" i="11"/>
  <c r="EK63" i="11"/>
  <c r="EK69" i="11"/>
  <c r="EK64" i="11"/>
  <c r="EK53" i="11"/>
  <c r="EK59" i="11"/>
  <c r="EK65" i="11"/>
  <c r="FX70" i="11"/>
  <c r="FX71" i="11" s="1"/>
  <c r="FR70" i="11"/>
  <c r="FR71" i="11" s="1"/>
  <c r="FQ70" i="11"/>
  <c r="EE70" i="11" s="1"/>
  <c r="FW70" i="11"/>
  <c r="EK70" i="11" s="1"/>
  <c r="EL54" i="11"/>
  <c r="EL60" i="11"/>
  <c r="EL66" i="11"/>
  <c r="EL64" i="11"/>
  <c r="EL55" i="11"/>
  <c r="EL61" i="11"/>
  <c r="EL67" i="11"/>
  <c r="EL50" i="11"/>
  <c r="EL56" i="11"/>
  <c r="EL62" i="11"/>
  <c r="EL68" i="11"/>
  <c r="EL51" i="11"/>
  <c r="EL57" i="11"/>
  <c r="EL63" i="11"/>
  <c r="EL69" i="11"/>
  <c r="EL52" i="11"/>
  <c r="EL53" i="11"/>
  <c r="EL59" i="11"/>
  <c r="EL65" i="11"/>
  <c r="EL58" i="11"/>
  <c r="EH52" i="11"/>
  <c r="EH58" i="11"/>
  <c r="EH64" i="11"/>
  <c r="EH62" i="11"/>
  <c r="EH53" i="11"/>
  <c r="EH59" i="11"/>
  <c r="EH65" i="11"/>
  <c r="EH54" i="11"/>
  <c r="EH60" i="11"/>
  <c r="EH66" i="11"/>
  <c r="EH68" i="11"/>
  <c r="EH55" i="11"/>
  <c r="EH61" i="11"/>
  <c r="EH67" i="11"/>
  <c r="EH56" i="11"/>
  <c r="EH51" i="11"/>
  <c r="EH57" i="11"/>
  <c r="EH63" i="11"/>
  <c r="EH69" i="11"/>
  <c r="EH50" i="11"/>
  <c r="EF50" i="11"/>
  <c r="EF56" i="11"/>
  <c r="EF62" i="11"/>
  <c r="EF68" i="11"/>
  <c r="EF66" i="11"/>
  <c r="EF51" i="11"/>
  <c r="EF57" i="11"/>
  <c r="EF63" i="11"/>
  <c r="EF69" i="11"/>
  <c r="EF52" i="11"/>
  <c r="EF58" i="11"/>
  <c r="EF64" i="11"/>
  <c r="EF54" i="11"/>
  <c r="EF53" i="11"/>
  <c r="EF59" i="11"/>
  <c r="EF65" i="11"/>
  <c r="EF60" i="11"/>
  <c r="EF55" i="11"/>
  <c r="EF61" i="11"/>
  <c r="EF67" i="11"/>
  <c r="EN50" i="11"/>
  <c r="EN56" i="11"/>
  <c r="EN62" i="11"/>
  <c r="EN68" i="11"/>
  <c r="EN51" i="11"/>
  <c r="EN57" i="11"/>
  <c r="EN63" i="11"/>
  <c r="EN69" i="11"/>
  <c r="EN66" i="11"/>
  <c r="EN52" i="11"/>
  <c r="EN58" i="11"/>
  <c r="EN64" i="11"/>
  <c r="EN60" i="11"/>
  <c r="EN53" i="11"/>
  <c r="EN59" i="11"/>
  <c r="EN65" i="11"/>
  <c r="EN54" i="11"/>
  <c r="EN55" i="11"/>
  <c r="EN61" i="11"/>
  <c r="EN67" i="11"/>
  <c r="CR50" i="11"/>
  <c r="CR56" i="11"/>
  <c r="CR62" i="11"/>
  <c r="CR68" i="11"/>
  <c r="CR51" i="11"/>
  <c r="CR57" i="11"/>
  <c r="CR63" i="11"/>
  <c r="CR69" i="11"/>
  <c r="CR60" i="11"/>
  <c r="CR52" i="11"/>
  <c r="CR58" i="11"/>
  <c r="CR64" i="11"/>
  <c r="CR53" i="11"/>
  <c r="CR59" i="11"/>
  <c r="CR65" i="11"/>
  <c r="CR54" i="11"/>
  <c r="CR55" i="11"/>
  <c r="CR61" i="11"/>
  <c r="CR67" i="11"/>
  <c r="CR66" i="11"/>
  <c r="DA55" i="11"/>
  <c r="DA56" i="11"/>
  <c r="DA66" i="11"/>
  <c r="DA58" i="11"/>
  <c r="DA59" i="11"/>
  <c r="DA68" i="11"/>
  <c r="DA65" i="11"/>
  <c r="DA60" i="11"/>
  <c r="DA51" i="11"/>
  <c r="DA53" i="11"/>
  <c r="DA54" i="11"/>
  <c r="DA50" i="11"/>
  <c r="DA62" i="11"/>
  <c r="DA52" i="11"/>
  <c r="DA63" i="11"/>
  <c r="DA57" i="11"/>
  <c r="DA64" i="11"/>
  <c r="DA69" i="11"/>
  <c r="DA61" i="11"/>
  <c r="DA70" i="11"/>
  <c r="DA67" i="11"/>
  <c r="CS70" i="11"/>
  <c r="CW51" i="11"/>
  <c r="CW57" i="11"/>
  <c r="CW63" i="11"/>
  <c r="CW69" i="11"/>
  <c r="CW55" i="11"/>
  <c r="CW67" i="11"/>
  <c r="CW52" i="11"/>
  <c r="CW58" i="11"/>
  <c r="CW64" i="11"/>
  <c r="CW70" i="11"/>
  <c r="CW53" i="11"/>
  <c r="CW59" i="11"/>
  <c r="CW65" i="11"/>
  <c r="CW61" i="11"/>
  <c r="CW54" i="11"/>
  <c r="CW60" i="11"/>
  <c r="CW66" i="11"/>
  <c r="CW50" i="11"/>
  <c r="CW56" i="11"/>
  <c r="CW62" i="11"/>
  <c r="CW68" i="11"/>
  <c r="CU55" i="11"/>
  <c r="CU65" i="11"/>
  <c r="CU52" i="11"/>
  <c r="CU57" i="11"/>
  <c r="CU60" i="11"/>
  <c r="CU51" i="11"/>
  <c r="CU53" i="11"/>
  <c r="CU61" i="11"/>
  <c r="CU59" i="11"/>
  <c r="CU62" i="11"/>
  <c r="CU54" i="11"/>
  <c r="CU56" i="11"/>
  <c r="CU68" i="11"/>
  <c r="CU67" i="11"/>
  <c r="CU63" i="11"/>
  <c r="CU58" i="11"/>
  <c r="CU70" i="11"/>
  <c r="CU50" i="11"/>
  <c r="CU69" i="11"/>
  <c r="CU64" i="11"/>
  <c r="CU66" i="11"/>
  <c r="CY70" i="11"/>
  <c r="CY54" i="11"/>
  <c r="CY60" i="11"/>
  <c r="CY66" i="11"/>
  <c r="CY64" i="11"/>
  <c r="CY55" i="11"/>
  <c r="CY61" i="11"/>
  <c r="CY67" i="11"/>
  <c r="CY50" i="11"/>
  <c r="CY56" i="11"/>
  <c r="CY62" i="11"/>
  <c r="CY68" i="11"/>
  <c r="CY52" i="11"/>
  <c r="CY51" i="11"/>
  <c r="CY57" i="11"/>
  <c r="CY63" i="11"/>
  <c r="CY69" i="11"/>
  <c r="CY58" i="11"/>
  <c r="CY53" i="11"/>
  <c r="CY59" i="11"/>
  <c r="CY65" i="11"/>
  <c r="CV50" i="11"/>
  <c r="CV56" i="11"/>
  <c r="CV62" i="11"/>
  <c r="CV68" i="11"/>
  <c r="CV60" i="11"/>
  <c r="CV51" i="11"/>
  <c r="CV57" i="11"/>
  <c r="CV63" i="11"/>
  <c r="CV69" i="11"/>
  <c r="CV66" i="11"/>
  <c r="CV52" i="11"/>
  <c r="CV58" i="11"/>
  <c r="CV64" i="11"/>
  <c r="CV70" i="11"/>
  <c r="CV54" i="11"/>
  <c r="CV53" i="11"/>
  <c r="CV59" i="11"/>
  <c r="CV65" i="11"/>
  <c r="CV55" i="11"/>
  <c r="CV61" i="11"/>
  <c r="CV67" i="11"/>
  <c r="CT53" i="11"/>
  <c r="CT59" i="11"/>
  <c r="CT65" i="11"/>
  <c r="CT69" i="11"/>
  <c r="CT54" i="11"/>
  <c r="CT60" i="11"/>
  <c r="CT66" i="11"/>
  <c r="CT63" i="11"/>
  <c r="CT55" i="11"/>
  <c r="CT61" i="11"/>
  <c r="CT67" i="11"/>
  <c r="CT57" i="11"/>
  <c r="CT50" i="11"/>
  <c r="CT56" i="11"/>
  <c r="CT62" i="11"/>
  <c r="CT68" i="11"/>
  <c r="CT51" i="11"/>
  <c r="CT52" i="11"/>
  <c r="CT58" i="11"/>
  <c r="CT64" i="11"/>
  <c r="CT70" i="11"/>
  <c r="CR70" i="11"/>
  <c r="CS50" i="11"/>
  <c r="CS56" i="11"/>
  <c r="CS62" i="11"/>
  <c r="CS68" i="11"/>
  <c r="CS51" i="11"/>
  <c r="CS57" i="11"/>
  <c r="CS63" i="11"/>
  <c r="CS69" i="11"/>
  <c r="CS52" i="11"/>
  <c r="CS58" i="11"/>
  <c r="CS64" i="11"/>
  <c r="CS60" i="11"/>
  <c r="CS53" i="11"/>
  <c r="CS59" i="11"/>
  <c r="CS65" i="11"/>
  <c r="CS54" i="11"/>
  <c r="CS66" i="11"/>
  <c r="CS55" i="11"/>
  <c r="CS61" i="11"/>
  <c r="CS67" i="11"/>
  <c r="DB50" i="11"/>
  <c r="DB56" i="11"/>
  <c r="DB62" i="11"/>
  <c r="DB68" i="11"/>
  <c r="DB51" i="11"/>
  <c r="DB57" i="11"/>
  <c r="DB63" i="11"/>
  <c r="DB69" i="11"/>
  <c r="DB66" i="11"/>
  <c r="DB52" i="11"/>
  <c r="DB58" i="11"/>
  <c r="DB64" i="11"/>
  <c r="DB70" i="11"/>
  <c r="DB53" i="11"/>
  <c r="DB59" i="11"/>
  <c r="DB65" i="11"/>
  <c r="DB54" i="11"/>
  <c r="DB55" i="11"/>
  <c r="DB61" i="11"/>
  <c r="DB67" i="11"/>
  <c r="DB60" i="11"/>
  <c r="CZ54" i="11"/>
  <c r="CZ60" i="11"/>
  <c r="CZ66" i="11"/>
  <c r="CZ52" i="11"/>
  <c r="CZ55" i="11"/>
  <c r="CZ61" i="11"/>
  <c r="CZ67" i="11"/>
  <c r="CZ58" i="11"/>
  <c r="CZ50" i="11"/>
  <c r="CZ56" i="11"/>
  <c r="CZ62" i="11"/>
  <c r="CZ68" i="11"/>
  <c r="CZ70" i="11"/>
  <c r="CZ51" i="11"/>
  <c r="CZ57" i="11"/>
  <c r="CZ63" i="11"/>
  <c r="CZ69" i="11"/>
  <c r="CZ53" i="11"/>
  <c r="CZ59" i="11"/>
  <c r="CZ65" i="11"/>
  <c r="CZ64" i="11"/>
  <c r="BM71" i="11"/>
  <c r="BJ71" i="11"/>
  <c r="BF71" i="11"/>
  <c r="BO71" i="11"/>
  <c r="BK71" i="11"/>
  <c r="BI71" i="11"/>
  <c r="BH71" i="11"/>
  <c r="BG71" i="11"/>
  <c r="BP71" i="11"/>
  <c r="BN71" i="11"/>
  <c r="BD44" i="4"/>
  <c r="BD43" i="4"/>
  <c r="BD57" i="4"/>
  <c r="BD56" i="4"/>
  <c r="BD47" i="4"/>
  <c r="BD46" i="4"/>
  <c r="BD42" i="4"/>
  <c r="BD50" i="4"/>
  <c r="BD49" i="4"/>
  <c r="BD45" i="4"/>
  <c r="BD55" i="4"/>
  <c r="BD53" i="4"/>
  <c r="BD52" i="4"/>
  <c r="BD48" i="4"/>
  <c r="BD51" i="4"/>
  <c r="BD41" i="4"/>
  <c r="BD59" i="4"/>
  <c r="BD58" i="4"/>
  <c r="BD54" i="4"/>
  <c r="BB46" i="4"/>
  <c r="BB42" i="4"/>
  <c r="BB56" i="4"/>
  <c r="BB54" i="4"/>
  <c r="BB49" i="4"/>
  <c r="BB45" i="4"/>
  <c r="BB41" i="4"/>
  <c r="BB59" i="4"/>
  <c r="BB52" i="4"/>
  <c r="BB48" i="4"/>
  <c r="BB44" i="4"/>
  <c r="BB55" i="4"/>
  <c r="BB51" i="4"/>
  <c r="BB47" i="4"/>
  <c r="BB58" i="4"/>
  <c r="BB50" i="4"/>
  <c r="BB43" i="4"/>
  <c r="BB57" i="4"/>
  <c r="BB53" i="4"/>
  <c r="BC56" i="4"/>
  <c r="BC43" i="4"/>
  <c r="BC41" i="4"/>
  <c r="BC59" i="4"/>
  <c r="BC46" i="4"/>
  <c r="BC42" i="4"/>
  <c r="BC44" i="4"/>
  <c r="BC45" i="4"/>
  <c r="BC49" i="4"/>
  <c r="BC48" i="4"/>
  <c r="BC47" i="4"/>
  <c r="BC51" i="4"/>
  <c r="BC52" i="4"/>
  <c r="BC54" i="4"/>
  <c r="BC50" i="4"/>
  <c r="BC60" i="4"/>
  <c r="BC55" i="4"/>
  <c r="BC53" i="4"/>
  <c r="BC57" i="4"/>
  <c r="BC58" i="4"/>
  <c r="BA52" i="4"/>
  <c r="BA42" i="4"/>
  <c r="BA60" i="4"/>
  <c r="BA55" i="4"/>
  <c r="BA45" i="4"/>
  <c r="BA53" i="4"/>
  <c r="BA54" i="4"/>
  <c r="BA58" i="4"/>
  <c r="BA48" i="4"/>
  <c r="BA41" i="4"/>
  <c r="BA44" i="4"/>
  <c r="BA43" i="4"/>
  <c r="BA51" i="4"/>
  <c r="BA56" i="4"/>
  <c r="BA47" i="4"/>
  <c r="BA49" i="4"/>
  <c r="BA50" i="4"/>
  <c r="BA57" i="4"/>
  <c r="BA59" i="4"/>
  <c r="BA46" i="4"/>
  <c r="AP42" i="4"/>
  <c r="AP60" i="4"/>
  <c r="AP56" i="4"/>
  <c r="AP55" i="4"/>
  <c r="AP45" i="4"/>
  <c r="AP41" i="4"/>
  <c r="AP59" i="4"/>
  <c r="AP58" i="4"/>
  <c r="AP48" i="4"/>
  <c r="AP44" i="4"/>
  <c r="AP43" i="4"/>
  <c r="AP51" i="4"/>
  <c r="AP47" i="4"/>
  <c r="AP46" i="4"/>
  <c r="AP54" i="4"/>
  <c r="AP50" i="4"/>
  <c r="AP49" i="4"/>
  <c r="AP57" i="4"/>
  <c r="AP53" i="4"/>
  <c r="AP52" i="4"/>
  <c r="AN47" i="4"/>
  <c r="AN46" i="4"/>
  <c r="AN42" i="4"/>
  <c r="AN60" i="4"/>
  <c r="AN41" i="4"/>
  <c r="AN54" i="4"/>
  <c r="AN50" i="4"/>
  <c r="AN49" i="4"/>
  <c r="AN45" i="4"/>
  <c r="AN53" i="4"/>
  <c r="AN52" i="4"/>
  <c r="AN48" i="4"/>
  <c r="AN59" i="4"/>
  <c r="AN56" i="4"/>
  <c r="AN55" i="4"/>
  <c r="AN51" i="4"/>
  <c r="AN58" i="4"/>
  <c r="AN44" i="4"/>
  <c r="AN43" i="4"/>
  <c r="AN57" i="4"/>
  <c r="AO57" i="4"/>
  <c r="AO41" i="4"/>
  <c r="AO59" i="4"/>
  <c r="AO51" i="4"/>
  <c r="AO43" i="4"/>
  <c r="AO42" i="4"/>
  <c r="AO44" i="4"/>
  <c r="AO49" i="4"/>
  <c r="AO45" i="4"/>
  <c r="AO46" i="4"/>
  <c r="AO47" i="4"/>
  <c r="AO55" i="4"/>
  <c r="AO48" i="4"/>
  <c r="AO52" i="4"/>
  <c r="AO50" i="4"/>
  <c r="AO53" i="4"/>
  <c r="AO54" i="4"/>
  <c r="AO58" i="4"/>
  <c r="AO56" i="4"/>
  <c r="AM41" i="4"/>
  <c r="AM59" i="4"/>
  <c r="AM52" i="4"/>
  <c r="AM54" i="4"/>
  <c r="AM44" i="4"/>
  <c r="AM55" i="4"/>
  <c r="AM42" i="4"/>
  <c r="AM53" i="4"/>
  <c r="AM48" i="4"/>
  <c r="AM47" i="4"/>
  <c r="AM51" i="4"/>
  <c r="AM58" i="4"/>
  <c r="AM57" i="4"/>
  <c r="AM50" i="4"/>
  <c r="AM43" i="4"/>
  <c r="AM46" i="4"/>
  <c r="AM56" i="4"/>
  <c r="AM49" i="4"/>
  <c r="AM45" i="4"/>
  <c r="AD73" i="20"/>
  <c r="BN73" i="20"/>
  <c r="BY73" i="20"/>
  <c r="BY72" i="20"/>
  <c r="AB72" i="20"/>
  <c r="AB73" i="20"/>
  <c r="R72" i="19"/>
  <c r="R73" i="19"/>
  <c r="P72" i="19"/>
  <c r="P73" i="19"/>
  <c r="O72" i="18"/>
  <c r="O73" i="18"/>
  <c r="AC73" i="13"/>
  <c r="AC72" i="13"/>
  <c r="AD72" i="13"/>
  <c r="AD73" i="13"/>
  <c r="BN72" i="13"/>
  <c r="BN73" i="13"/>
  <c r="BM72" i="13"/>
  <c r="BM73" i="13"/>
  <c r="BL72" i="20"/>
  <c r="BL73" i="20"/>
  <c r="BW72" i="18"/>
  <c r="BW73" i="18"/>
  <c r="BY72" i="13"/>
  <c r="BY73" i="13"/>
  <c r="AD73" i="18"/>
  <c r="AD72" i="18"/>
  <c r="BZ72" i="19"/>
  <c r="BZ73" i="19"/>
  <c r="BZ73" i="13"/>
  <c r="BZ72" i="13"/>
  <c r="AA73" i="20"/>
  <c r="AA72" i="20"/>
  <c r="Q73" i="20"/>
  <c r="Q72" i="20"/>
  <c r="AA73" i="13"/>
  <c r="AA72" i="13"/>
  <c r="P73" i="18"/>
  <c r="P72" i="18"/>
  <c r="BZ73" i="18"/>
  <c r="BZ72" i="18"/>
  <c r="BM72" i="20"/>
  <c r="BM73" i="20"/>
  <c r="Q72" i="19"/>
  <c r="Q73" i="19"/>
  <c r="R72" i="20"/>
  <c r="R73" i="20"/>
  <c r="P72" i="20"/>
  <c r="P73" i="20"/>
  <c r="BK73" i="13"/>
  <c r="BK72" i="13"/>
  <c r="BX72" i="13"/>
  <c r="BX73" i="13"/>
  <c r="O73" i="19"/>
  <c r="O72" i="19"/>
  <c r="BY73" i="18"/>
  <c r="BY72" i="18"/>
  <c r="BN73" i="18"/>
  <c r="BN72" i="18"/>
  <c r="BW73" i="20"/>
  <c r="BW72" i="20"/>
  <c r="AC73" i="19"/>
  <c r="AC72" i="19"/>
  <c r="AB73" i="19"/>
  <c r="AB72" i="19"/>
  <c r="O72" i="20"/>
  <c r="O73" i="20"/>
  <c r="AB72" i="13"/>
  <c r="AB73" i="13"/>
  <c r="AA72" i="19"/>
  <c r="AA73" i="19"/>
  <c r="AC72" i="20"/>
  <c r="AC73" i="20"/>
  <c r="BK73" i="19"/>
  <c r="BK72" i="19"/>
  <c r="AD73" i="19"/>
  <c r="AD72" i="19"/>
  <c r="BY73" i="19"/>
  <c r="BY72" i="19"/>
  <c r="BK72" i="20"/>
  <c r="BK73" i="20"/>
  <c r="BW73" i="19"/>
  <c r="BW72" i="19"/>
  <c r="Q72" i="18"/>
  <c r="Q73" i="18"/>
  <c r="BL72" i="13"/>
  <c r="BL73" i="13"/>
  <c r="R73" i="18"/>
  <c r="R72" i="18"/>
  <c r="BL72" i="19"/>
  <c r="BL73" i="19"/>
  <c r="AB73" i="18"/>
  <c r="AB72" i="18"/>
  <c r="BN72" i="20"/>
  <c r="BX72" i="18"/>
  <c r="BX73" i="18"/>
  <c r="BZ73" i="20"/>
  <c r="BZ72" i="20"/>
  <c r="BK73" i="18"/>
  <c r="BK72" i="18"/>
  <c r="BX73" i="20"/>
  <c r="BX72" i="20"/>
  <c r="BM73" i="19"/>
  <c r="BM72" i="19"/>
  <c r="BW73" i="13"/>
  <c r="BW72" i="13"/>
  <c r="BM72" i="18"/>
  <c r="BM73" i="18"/>
  <c r="O73" i="13"/>
  <c r="O72" i="13"/>
  <c r="AA72" i="18"/>
  <c r="AA73" i="18"/>
  <c r="BL72" i="18"/>
  <c r="BL73" i="18"/>
  <c r="BN73" i="19"/>
  <c r="BN72" i="19"/>
  <c r="AC72" i="18"/>
  <c r="AC73" i="18"/>
  <c r="BX72" i="19"/>
  <c r="BX73" i="19"/>
  <c r="V72" i="13"/>
  <c r="S73" i="13"/>
  <c r="AP65" i="3"/>
  <c r="AH65" i="3"/>
  <c r="AN65" i="3"/>
  <c r="L65" i="3"/>
  <c r="U85" i="10"/>
  <c r="U86" i="10"/>
  <c r="BO43" i="13"/>
  <c r="BO43" i="20"/>
  <c r="BO43" i="19"/>
  <c r="BO43" i="18"/>
  <c r="Q43" i="13"/>
  <c r="R70" i="13" s="1"/>
  <c r="V73" i="13"/>
  <c r="I85" i="10"/>
  <c r="I86" i="10"/>
  <c r="M44" i="18"/>
  <c r="M44" i="20"/>
  <c r="M44" i="19"/>
  <c r="M44" i="13"/>
  <c r="BQ86" i="10"/>
  <c r="BQ85" i="10"/>
  <c r="BU44" i="20"/>
  <c r="BU44" i="18"/>
  <c r="BU44" i="19"/>
  <c r="BU44" i="13"/>
  <c r="Y44" i="18"/>
  <c r="Y44" i="20"/>
  <c r="Y44" i="13"/>
  <c r="Y44" i="19"/>
  <c r="BE85" i="10"/>
  <c r="BE86" i="10"/>
  <c r="BI44" i="19"/>
  <c r="BI44" i="18"/>
  <c r="BI44" i="13"/>
  <c r="BI44" i="20"/>
  <c r="L73" i="20"/>
  <c r="J73" i="18"/>
  <c r="I72" i="13"/>
  <c r="I73" i="13"/>
  <c r="BE73" i="18"/>
  <c r="BE72" i="18"/>
  <c r="BQ72" i="18"/>
  <c r="BQ73" i="18"/>
  <c r="K72" i="19"/>
  <c r="K73" i="19"/>
  <c r="V72" i="20"/>
  <c r="V73" i="20"/>
  <c r="BD72" i="20"/>
  <c r="BD73" i="20"/>
  <c r="V72" i="19"/>
  <c r="V73" i="19"/>
  <c r="BT73" i="18"/>
  <c r="BT72" i="18"/>
  <c r="BH73" i="13"/>
  <c r="BH72" i="13"/>
  <c r="BH73" i="19"/>
  <c r="BH72" i="19"/>
  <c r="I72" i="18"/>
  <c r="I73" i="18"/>
  <c r="U72" i="19"/>
  <c r="U73" i="19"/>
  <c r="BG72" i="20"/>
  <c r="BG73" i="20"/>
  <c r="BR73" i="19"/>
  <c r="BR72" i="19"/>
  <c r="K72" i="20"/>
  <c r="K73" i="20"/>
  <c r="BF73" i="13"/>
  <c r="BF72" i="13"/>
  <c r="BT72" i="13"/>
  <c r="BT73" i="13"/>
  <c r="BD72" i="18"/>
  <c r="BD73" i="18"/>
  <c r="L72" i="19"/>
  <c r="L73" i="19"/>
  <c r="BG73" i="13"/>
  <c r="BG72" i="13"/>
  <c r="U72" i="18"/>
  <c r="U73" i="18"/>
  <c r="BD73" i="19"/>
  <c r="BD72" i="19"/>
  <c r="J73" i="20"/>
  <c r="J72" i="20"/>
  <c r="BF72" i="18"/>
  <c r="BF73" i="18"/>
  <c r="V72" i="18"/>
  <c r="V73" i="18"/>
  <c r="BR73" i="20"/>
  <c r="BR72" i="20"/>
  <c r="J72" i="13"/>
  <c r="J73" i="13"/>
  <c r="W72" i="18"/>
  <c r="W73" i="18"/>
  <c r="S72" i="19"/>
  <c r="S73" i="19"/>
  <c r="W73" i="19"/>
  <c r="W72" i="19"/>
  <c r="W72" i="13"/>
  <c r="W73" i="13"/>
  <c r="BG72" i="18"/>
  <c r="BG73" i="18"/>
  <c r="I73" i="20"/>
  <c r="I72" i="20"/>
  <c r="BH72" i="18"/>
  <c r="BH73" i="18"/>
  <c r="BG73" i="19"/>
  <c r="BG72" i="19"/>
  <c r="BF73" i="19"/>
  <c r="BF72" i="19"/>
  <c r="BD72" i="13"/>
  <c r="BD73" i="13"/>
  <c r="L72" i="18"/>
  <c r="L73" i="18"/>
  <c r="X72" i="18"/>
  <c r="X73" i="18"/>
  <c r="H72" i="19"/>
  <c r="H73" i="19"/>
  <c r="BS72" i="20"/>
  <c r="BS73" i="20"/>
  <c r="S73" i="18"/>
  <c r="S72" i="18"/>
  <c r="X73" i="13"/>
  <c r="X72" i="13"/>
  <c r="BH72" i="20"/>
  <c r="BH73" i="20"/>
  <c r="H73" i="20"/>
  <c r="H72" i="20"/>
  <c r="S73" i="20"/>
  <c r="S72" i="20"/>
  <c r="H73" i="13"/>
  <c r="H72" i="13"/>
  <c r="W72" i="20"/>
  <c r="W73" i="20"/>
  <c r="BQ72" i="19"/>
  <c r="BQ73" i="19"/>
  <c r="BS72" i="19"/>
  <c r="BS73" i="19"/>
  <c r="BS73" i="13"/>
  <c r="BS72" i="13"/>
  <c r="J72" i="19"/>
  <c r="J73" i="19"/>
  <c r="BQ72" i="13"/>
  <c r="BQ73" i="13"/>
  <c r="S72" i="13"/>
  <c r="BE72" i="13"/>
  <c r="BE73" i="13"/>
  <c r="U72" i="20"/>
  <c r="U73" i="20"/>
  <c r="H72" i="18"/>
  <c r="H73" i="18"/>
  <c r="K72" i="18"/>
  <c r="K73" i="18"/>
  <c r="BF72" i="20"/>
  <c r="BF73" i="20"/>
  <c r="I72" i="19"/>
  <c r="I73" i="19"/>
  <c r="U73" i="13"/>
  <c r="U72" i="13"/>
  <c r="BE73" i="19"/>
  <c r="BE72" i="19"/>
  <c r="K72" i="13"/>
  <c r="K73" i="13"/>
  <c r="BE72" i="20"/>
  <c r="BE73" i="20"/>
  <c r="L72" i="13"/>
  <c r="L73" i="13"/>
  <c r="BQ73" i="20"/>
  <c r="BQ72" i="20"/>
  <c r="X72" i="19"/>
  <c r="X73" i="19"/>
  <c r="BT73" i="19"/>
  <c r="BT72" i="19"/>
  <c r="BR72" i="18"/>
  <c r="BR73" i="18"/>
  <c r="BT73" i="20"/>
  <c r="BT72" i="20"/>
  <c r="BR72" i="13"/>
  <c r="BR73" i="13"/>
  <c r="X72" i="20"/>
  <c r="X73" i="20"/>
  <c r="BS72" i="18"/>
  <c r="BS73" i="18"/>
  <c r="CH93" i="11"/>
  <c r="DF92" i="11"/>
  <c r="DM92" i="11"/>
  <c r="DL92" i="11"/>
  <c r="DL93" i="11"/>
  <c r="CO92" i="11"/>
  <c r="CN93" i="11"/>
  <c r="DG91" i="11"/>
  <c r="CI93" i="11"/>
  <c r="DM91" i="11"/>
  <c r="DN91" i="11"/>
  <c r="DF93" i="11"/>
  <c r="DG92" i="11"/>
  <c r="CN92" i="11"/>
  <c r="CI92" i="11"/>
  <c r="DG93" i="11"/>
  <c r="CI91" i="11"/>
  <c r="DL91" i="11"/>
  <c r="DV91" i="11"/>
  <c r="CP89" i="11"/>
  <c r="CP92" i="11"/>
  <c r="DN90" i="11"/>
  <c r="DV89" i="11"/>
  <c r="DV92" i="11"/>
  <c r="DH91" i="11"/>
  <c r="CP90" i="11"/>
  <c r="CP91" i="11"/>
  <c r="DN89" i="11"/>
  <c r="DN92" i="11"/>
  <c r="CO93" i="11"/>
  <c r="DH89" i="11"/>
  <c r="DH92" i="11"/>
  <c r="CO91" i="11"/>
  <c r="CJ90" i="11"/>
  <c r="DH90" i="11"/>
  <c r="CJ91" i="11"/>
  <c r="DV90" i="11"/>
  <c r="CH92" i="11"/>
  <c r="CJ89" i="11"/>
  <c r="CJ92" i="11"/>
  <c r="DG90" i="11"/>
  <c r="DG89" i="11"/>
  <c r="DG94" i="11"/>
  <c r="CI90" i="11"/>
  <c r="CI89" i="11"/>
  <c r="CI94" i="11"/>
  <c r="DM90" i="11"/>
  <c r="CO89" i="11"/>
  <c r="CO94" i="11"/>
  <c r="CO90" i="11"/>
  <c r="DM89" i="11"/>
  <c r="DM94" i="11"/>
  <c r="DL90" i="11"/>
  <c r="DF91" i="11"/>
  <c r="CN89" i="11"/>
  <c r="CN94" i="11"/>
  <c r="DF90" i="11"/>
  <c r="CH91" i="11"/>
  <c r="CH89" i="11"/>
  <c r="CH94" i="11"/>
  <c r="CN91" i="11"/>
  <c r="DL89" i="11"/>
  <c r="DL94" i="11"/>
  <c r="DF89" i="11"/>
  <c r="DF94" i="11"/>
  <c r="CH90" i="11"/>
  <c r="CN90" i="11"/>
  <c r="DK93" i="11"/>
  <c r="DE89" i="11"/>
  <c r="DE94" i="11"/>
  <c r="CM89" i="11"/>
  <c r="CM94" i="11"/>
  <c r="DK91" i="11"/>
  <c r="DK89" i="11"/>
  <c r="DK94" i="11"/>
  <c r="DE92" i="11"/>
  <c r="CG91" i="11"/>
  <c r="DE90" i="11"/>
  <c r="CG89" i="11"/>
  <c r="CG94" i="11"/>
  <c r="CM92" i="11"/>
  <c r="DE91" i="11"/>
  <c r="DK92" i="11"/>
  <c r="CM91" i="11"/>
  <c r="CG92" i="11"/>
  <c r="H61" i="4"/>
  <c r="BL61" i="4" s="1"/>
  <c r="R61" i="4"/>
  <c r="G61" i="4"/>
  <c r="G62" i="4" s="1"/>
  <c r="D67" i="1" s="1"/>
  <c r="I61" i="4"/>
  <c r="J61" i="4"/>
  <c r="BN61" i="4" s="1"/>
  <c r="O61" i="4"/>
  <c r="P61" i="4"/>
  <c r="Q61" i="4"/>
  <c r="DG88" i="11"/>
  <c r="DE88" i="11"/>
  <c r="DJ93" i="11"/>
  <c r="DK88" i="11"/>
  <c r="CF93" i="11"/>
  <c r="CM88" i="11"/>
  <c r="CK93" i="11"/>
  <c r="CG88" i="11"/>
  <c r="DD93" i="11"/>
  <c r="DL88" i="11"/>
  <c r="DG86" i="11"/>
  <c r="DC93" i="11"/>
  <c r="CN87" i="11"/>
  <c r="CG85" i="11"/>
  <c r="CH88" i="11"/>
  <c r="CO88" i="11"/>
  <c r="DV87" i="11"/>
  <c r="CH87" i="11"/>
  <c r="CM85" i="11"/>
  <c r="CO86" i="11"/>
  <c r="CO87" i="11"/>
  <c r="DM86" i="11"/>
  <c r="DM88" i="11"/>
  <c r="DY50" i="11"/>
  <c r="DY54" i="11"/>
  <c r="DY60" i="11"/>
  <c r="DY66" i="11"/>
  <c r="DY53" i="11"/>
  <c r="DY65" i="11"/>
  <c r="DY55" i="11"/>
  <c r="DY61" i="11"/>
  <c r="DY67" i="11"/>
  <c r="DY56" i="11"/>
  <c r="DY62" i="11"/>
  <c r="DY68" i="11"/>
  <c r="DY51" i="11"/>
  <c r="DY57" i="11"/>
  <c r="DY63" i="11"/>
  <c r="DY69" i="11"/>
  <c r="DY59" i="11"/>
  <c r="DY52" i="11"/>
  <c r="DY58" i="11"/>
  <c r="DY64" i="11"/>
  <c r="DV85" i="11"/>
  <c r="DS50" i="11"/>
  <c r="DS52" i="11"/>
  <c r="DS58" i="11"/>
  <c r="DS64" i="11"/>
  <c r="DS68" i="11"/>
  <c r="DS53" i="11"/>
  <c r="DS59" i="11"/>
  <c r="DS69" i="11"/>
  <c r="DS54" i="11"/>
  <c r="DS60" i="11"/>
  <c r="DS67" i="11"/>
  <c r="DS55" i="11"/>
  <c r="DS61" i="11"/>
  <c r="DS57" i="11"/>
  <c r="DS56" i="11"/>
  <c r="DS62" i="11"/>
  <c r="DS66" i="11"/>
  <c r="DS65" i="11"/>
  <c r="DS51" i="11"/>
  <c r="DS63" i="11"/>
  <c r="DV72" i="11"/>
  <c r="DV77" i="11"/>
  <c r="DV82" i="11"/>
  <c r="DV50" i="11"/>
  <c r="DV52" i="11"/>
  <c r="DV58" i="11"/>
  <c r="DV66" i="11"/>
  <c r="DV53" i="11"/>
  <c r="DV59" i="11"/>
  <c r="DV67" i="11"/>
  <c r="DV54" i="11"/>
  <c r="DV60" i="11"/>
  <c r="DV68" i="11"/>
  <c r="DV64" i="11"/>
  <c r="DV57" i="11"/>
  <c r="DV55" i="11"/>
  <c r="DV61" i="11"/>
  <c r="DV69" i="11"/>
  <c r="DV51" i="11"/>
  <c r="DV56" i="11"/>
  <c r="DV63" i="11"/>
  <c r="DV62" i="11"/>
  <c r="DV65" i="11"/>
  <c r="DZ50" i="11"/>
  <c r="DZ53" i="11"/>
  <c r="DZ58" i="11"/>
  <c r="DZ61" i="11"/>
  <c r="DZ62" i="11"/>
  <c r="DZ52" i="11"/>
  <c r="DZ54" i="11"/>
  <c r="DZ57" i="11"/>
  <c r="DZ60" i="11"/>
  <c r="DZ59" i="11"/>
  <c r="DZ65" i="11"/>
  <c r="DZ63" i="11"/>
  <c r="DZ68" i="11"/>
  <c r="DZ55" i="11"/>
  <c r="DZ66" i="11"/>
  <c r="DZ64" i="11"/>
  <c r="DZ51" i="11"/>
  <c r="DZ67" i="11"/>
  <c r="DZ56" i="11"/>
  <c r="DZ69" i="11"/>
  <c r="EU50" i="11"/>
  <c r="EU57" i="11"/>
  <c r="EU63" i="11"/>
  <c r="EU68" i="11"/>
  <c r="EU69" i="11"/>
  <c r="EU58" i="11"/>
  <c r="EU64" i="11"/>
  <c r="EU65" i="11"/>
  <c r="EU59" i="11"/>
  <c r="EU51" i="11"/>
  <c r="EU66" i="11"/>
  <c r="EU62" i="11"/>
  <c r="EU60" i="11"/>
  <c r="EU52" i="11"/>
  <c r="EU67" i="11"/>
  <c r="EU55" i="11"/>
  <c r="EU61" i="11"/>
  <c r="EU53" i="11"/>
  <c r="EU56" i="11"/>
  <c r="EU54" i="11"/>
  <c r="EA50" i="11"/>
  <c r="EA56" i="11"/>
  <c r="EA62" i="11"/>
  <c r="EA54" i="11"/>
  <c r="EA66" i="11"/>
  <c r="EA55" i="11"/>
  <c r="EA57" i="11"/>
  <c r="EA63" i="11"/>
  <c r="EA68" i="11"/>
  <c r="EA53" i="11"/>
  <c r="EA58" i="11"/>
  <c r="EA64" i="11"/>
  <c r="EA69" i="11"/>
  <c r="EA67" i="11"/>
  <c r="EA59" i="11"/>
  <c r="EA51" i="11"/>
  <c r="EA65" i="11"/>
  <c r="EA61" i="11"/>
  <c r="EA60" i="11"/>
  <c r="EA52" i="11"/>
  <c r="DV86" i="11"/>
  <c r="DV80" i="11"/>
  <c r="EQ50" i="11"/>
  <c r="EQ56" i="11"/>
  <c r="EQ62" i="11"/>
  <c r="EQ54" i="11"/>
  <c r="EQ57" i="11"/>
  <c r="EQ63" i="11"/>
  <c r="EQ68" i="11"/>
  <c r="EQ69" i="11"/>
  <c r="EQ61" i="11"/>
  <c r="EQ58" i="11"/>
  <c r="EQ64" i="11"/>
  <c r="EQ65" i="11"/>
  <c r="EQ55" i="11"/>
  <c r="EQ59" i="11"/>
  <c r="EQ51" i="11"/>
  <c r="EQ66" i="11"/>
  <c r="EQ53" i="11"/>
  <c r="EQ60" i="11"/>
  <c r="EQ52" i="11"/>
  <c r="EQ67" i="11"/>
  <c r="ET50" i="11"/>
  <c r="ET54" i="11"/>
  <c r="ET60" i="11"/>
  <c r="ET66" i="11"/>
  <c r="ET55" i="11"/>
  <c r="ET61" i="11"/>
  <c r="ET67" i="11"/>
  <c r="ET56" i="11"/>
  <c r="ET62" i="11"/>
  <c r="ET68" i="11"/>
  <c r="ET53" i="11"/>
  <c r="ET51" i="11"/>
  <c r="ET57" i="11"/>
  <c r="ET63" i="11"/>
  <c r="ET69" i="11"/>
  <c r="ET59" i="11"/>
  <c r="ET52" i="11"/>
  <c r="ET58" i="11"/>
  <c r="ET64" i="11"/>
  <c r="ET65" i="11"/>
  <c r="DV78" i="11"/>
  <c r="EX50" i="11"/>
  <c r="EX54" i="11"/>
  <c r="EX57" i="11"/>
  <c r="EX68" i="11"/>
  <c r="EX63" i="11"/>
  <c r="EX65" i="11"/>
  <c r="EX58" i="11"/>
  <c r="EX69" i="11"/>
  <c r="EX62" i="11"/>
  <c r="EX66" i="11"/>
  <c r="EX59" i="11"/>
  <c r="EX53" i="11"/>
  <c r="EX61" i="11"/>
  <c r="EX51" i="11"/>
  <c r="EX67" i="11"/>
  <c r="EX60" i="11"/>
  <c r="EX52" i="11"/>
  <c r="EX55" i="11"/>
  <c r="EX64" i="11"/>
  <c r="EX56" i="11"/>
  <c r="DW50" i="11"/>
  <c r="DW51" i="11"/>
  <c r="DW57" i="11"/>
  <c r="DW63" i="11"/>
  <c r="DW69" i="11"/>
  <c r="DW52" i="11"/>
  <c r="DW58" i="11"/>
  <c r="DW64" i="11"/>
  <c r="DW53" i="11"/>
  <c r="DW59" i="11"/>
  <c r="DW65" i="11"/>
  <c r="DW54" i="11"/>
  <c r="DW60" i="11"/>
  <c r="DW66" i="11"/>
  <c r="DW55" i="11"/>
  <c r="DW61" i="11"/>
  <c r="DW67" i="11"/>
  <c r="DW56" i="11"/>
  <c r="DW62" i="11"/>
  <c r="DW68" i="11"/>
  <c r="EW50" i="11"/>
  <c r="EW59" i="11"/>
  <c r="EW62" i="11"/>
  <c r="EW67" i="11"/>
  <c r="EW58" i="11"/>
  <c r="EW66" i="11"/>
  <c r="EW60" i="11"/>
  <c r="EW68" i="11"/>
  <c r="EW69" i="11"/>
  <c r="EW55" i="11"/>
  <c r="EW51" i="11"/>
  <c r="EW61" i="11"/>
  <c r="EW54" i="11"/>
  <c r="EW56" i="11"/>
  <c r="EW52" i="11"/>
  <c r="EW63" i="11"/>
  <c r="EW64" i="11"/>
  <c r="EW57" i="11"/>
  <c r="EW53" i="11"/>
  <c r="EW65" i="11"/>
  <c r="DV88" i="11"/>
  <c r="DV83" i="11"/>
  <c r="EP50" i="11"/>
  <c r="EP52" i="11"/>
  <c r="EP58" i="11"/>
  <c r="EP56" i="11"/>
  <c r="EP53" i="11"/>
  <c r="EP62" i="11"/>
  <c r="EP63" i="11"/>
  <c r="EP67" i="11"/>
  <c r="EP54" i="11"/>
  <c r="EP57" i="11"/>
  <c r="EP69" i="11"/>
  <c r="EP55" i="11"/>
  <c r="EP51" i="11"/>
  <c r="EP60" i="11"/>
  <c r="EP65" i="11"/>
  <c r="EP61" i="11"/>
  <c r="EP64" i="11"/>
  <c r="EP66" i="11"/>
  <c r="EP68" i="11"/>
  <c r="EP59" i="11"/>
  <c r="ER50" i="11"/>
  <c r="ER58" i="11"/>
  <c r="ER54" i="11"/>
  <c r="ER65" i="11"/>
  <c r="ER59" i="11"/>
  <c r="ER61" i="11"/>
  <c r="ER57" i="11"/>
  <c r="ER60" i="11"/>
  <c r="ER63" i="11"/>
  <c r="ER66" i="11"/>
  <c r="ER55" i="11"/>
  <c r="ER51" i="11"/>
  <c r="ER64" i="11"/>
  <c r="ER69" i="11"/>
  <c r="ER53" i="11"/>
  <c r="ER56" i="11"/>
  <c r="ER52" i="11"/>
  <c r="ER68" i="11"/>
  <c r="ER67" i="11"/>
  <c r="ER62" i="11"/>
  <c r="DV75" i="11"/>
  <c r="DV79" i="11"/>
  <c r="DR50" i="11"/>
  <c r="DR51" i="11"/>
  <c r="DR57" i="11"/>
  <c r="DR64" i="11"/>
  <c r="DR66" i="11"/>
  <c r="DR52" i="11"/>
  <c r="DR58" i="11"/>
  <c r="DR69" i="11"/>
  <c r="DR67" i="11"/>
  <c r="DR53" i="11"/>
  <c r="DR59" i="11"/>
  <c r="DR68" i="11"/>
  <c r="DR54" i="11"/>
  <c r="DR60" i="11"/>
  <c r="DR63" i="11"/>
  <c r="DR55" i="11"/>
  <c r="DR61" i="11"/>
  <c r="DR65" i="11"/>
  <c r="DR56" i="11"/>
  <c r="DR62" i="11"/>
  <c r="DV71" i="11"/>
  <c r="DV74" i="11"/>
  <c r="DT50" i="11"/>
  <c r="DT53" i="11"/>
  <c r="DT59" i="11"/>
  <c r="DT65" i="11"/>
  <c r="DT54" i="11"/>
  <c r="DT60" i="11"/>
  <c r="DT69" i="11"/>
  <c r="DT64" i="11"/>
  <c r="DT55" i="11"/>
  <c r="DT61" i="11"/>
  <c r="DT52" i="11"/>
  <c r="DT56" i="11"/>
  <c r="DT62" i="11"/>
  <c r="DT67" i="11"/>
  <c r="DT68" i="11"/>
  <c r="DT51" i="11"/>
  <c r="DT57" i="11"/>
  <c r="DT63" i="11"/>
  <c r="DT66" i="11"/>
  <c r="DT58" i="11"/>
  <c r="ES50" i="11"/>
  <c r="ES55" i="11"/>
  <c r="ES61" i="11"/>
  <c r="ES67" i="11"/>
  <c r="ES54" i="11"/>
  <c r="ES56" i="11"/>
  <c r="ES62" i="11"/>
  <c r="ES68" i="11"/>
  <c r="ES66" i="11"/>
  <c r="ES51" i="11"/>
  <c r="ES57" i="11"/>
  <c r="ES63" i="11"/>
  <c r="ES69" i="11"/>
  <c r="ES60" i="11"/>
  <c r="ES52" i="11"/>
  <c r="ES58" i="11"/>
  <c r="ES64" i="11"/>
  <c r="ES53" i="11"/>
  <c r="ES59" i="11"/>
  <c r="ES65" i="11"/>
  <c r="EZ50" i="11"/>
  <c r="EZ52" i="11"/>
  <c r="EZ58" i="11"/>
  <c r="EZ64" i="11"/>
  <c r="EZ68" i="11"/>
  <c r="EZ63" i="11"/>
  <c r="EZ53" i="11"/>
  <c r="EZ59" i="11"/>
  <c r="EZ65" i="11"/>
  <c r="EZ62" i="11"/>
  <c r="EZ51" i="11"/>
  <c r="EZ54" i="11"/>
  <c r="EZ60" i="11"/>
  <c r="EZ66" i="11"/>
  <c r="EZ56" i="11"/>
  <c r="EZ69" i="11"/>
  <c r="EZ55" i="11"/>
  <c r="EZ61" i="11"/>
  <c r="EZ67" i="11"/>
  <c r="EZ57" i="11"/>
  <c r="EY50" i="11"/>
  <c r="EY58" i="11"/>
  <c r="EY52" i="11"/>
  <c r="EY59" i="11"/>
  <c r="EY53" i="11"/>
  <c r="EY66" i="11"/>
  <c r="EY57" i="11"/>
  <c r="EY65" i="11"/>
  <c r="EY60" i="11"/>
  <c r="EY54" i="11"/>
  <c r="EY55" i="11"/>
  <c r="EY61" i="11"/>
  <c r="EY64" i="11"/>
  <c r="EY67" i="11"/>
  <c r="EY51" i="11"/>
  <c r="EY56" i="11"/>
  <c r="EY62" i="11"/>
  <c r="EY68" i="11"/>
  <c r="EY63" i="11"/>
  <c r="EY69" i="11"/>
  <c r="DV81" i="11"/>
  <c r="EB50" i="11"/>
  <c r="EB55" i="11"/>
  <c r="EB61" i="11"/>
  <c r="EB67" i="11"/>
  <c r="EB60" i="11"/>
  <c r="EB56" i="11"/>
  <c r="EB62" i="11"/>
  <c r="EB68" i="11"/>
  <c r="EB54" i="11"/>
  <c r="EB51" i="11"/>
  <c r="EB57" i="11"/>
  <c r="EB63" i="11"/>
  <c r="EB69" i="11"/>
  <c r="EB52" i="11"/>
  <c r="EB58" i="11"/>
  <c r="EB64" i="11"/>
  <c r="EB66" i="11"/>
  <c r="EB53" i="11"/>
  <c r="EB59" i="11"/>
  <c r="EB65" i="11"/>
  <c r="DV84" i="11"/>
  <c r="DU50" i="11"/>
  <c r="DU51" i="11"/>
  <c r="DU57" i="11"/>
  <c r="DU63" i="11"/>
  <c r="DU69" i="11"/>
  <c r="DU52" i="11"/>
  <c r="DU58" i="11"/>
  <c r="DU64" i="11"/>
  <c r="DU53" i="11"/>
  <c r="DU59" i="11"/>
  <c r="DU65" i="11"/>
  <c r="DU68" i="11"/>
  <c r="DU54" i="11"/>
  <c r="DU60" i="11"/>
  <c r="DU66" i="11"/>
  <c r="DU55" i="11"/>
  <c r="DU61" i="11"/>
  <c r="DU67" i="11"/>
  <c r="DU56" i="11"/>
  <c r="DU62" i="11"/>
  <c r="DV76" i="11"/>
  <c r="DV73" i="11"/>
  <c r="DC80" i="11"/>
  <c r="CF78" i="11"/>
  <c r="CO78" i="11"/>
  <c r="DG84" i="11"/>
  <c r="DI77" i="11"/>
  <c r="CI86" i="11"/>
  <c r="CI82" i="11"/>
  <c r="CI84" i="11"/>
  <c r="DG87" i="11"/>
  <c r="DF79" i="11"/>
  <c r="CO82" i="11"/>
  <c r="DM87" i="11"/>
  <c r="DN70" i="11"/>
  <c r="DL87" i="11"/>
  <c r="DM84" i="11"/>
  <c r="DI93" i="11"/>
  <c r="CI87" i="11"/>
  <c r="DN88" i="11"/>
  <c r="DN76" i="11"/>
  <c r="CK80" i="11"/>
  <c r="CK84" i="11"/>
  <c r="DF87" i="11"/>
  <c r="DG78" i="11"/>
  <c r="DM82" i="11"/>
  <c r="CP78" i="11"/>
  <c r="DH78" i="11"/>
  <c r="DI80" i="11"/>
  <c r="DI84" i="11"/>
  <c r="CI78" i="11"/>
  <c r="DL80" i="11"/>
  <c r="DL86" i="11"/>
  <c r="CM80" i="11"/>
  <c r="DK85" i="11"/>
  <c r="DN75" i="11"/>
  <c r="DF88" i="11"/>
  <c r="CI88" i="11"/>
  <c r="CO84" i="11"/>
  <c r="DN86" i="11"/>
  <c r="DC84" i="11"/>
  <c r="CJ86" i="11"/>
  <c r="CF79" i="11"/>
  <c r="CF85" i="11"/>
  <c r="DD79" i="11"/>
  <c r="DD85" i="11"/>
  <c r="DM78" i="11"/>
  <c r="DL79" i="11"/>
  <c r="DF86" i="11"/>
  <c r="CG80" i="11"/>
  <c r="DE85" i="11"/>
  <c r="CN88" i="11"/>
  <c r="CP70" i="11"/>
  <c r="DC75" i="11"/>
  <c r="DC77" i="11"/>
  <c r="CK75" i="11"/>
  <c r="DJ79" i="11"/>
  <c r="CK77" i="11"/>
  <c r="DI75" i="11"/>
  <c r="DJ85" i="11"/>
  <c r="DD78" i="11"/>
  <c r="DJ76" i="11"/>
  <c r="DH70" i="11"/>
  <c r="CH79" i="11"/>
  <c r="CH80" i="11"/>
  <c r="CF76" i="11"/>
  <c r="DJ78" i="11"/>
  <c r="DD76" i="11"/>
  <c r="DF83" i="11"/>
  <c r="DE80" i="11"/>
  <c r="DE83" i="11"/>
  <c r="CH73" i="11"/>
  <c r="CH81" i="11"/>
  <c r="DH71" i="11"/>
  <c r="DH75" i="11"/>
  <c r="DD86" i="11"/>
  <c r="CP74" i="11"/>
  <c r="DJ88" i="11"/>
  <c r="DG80" i="11"/>
  <c r="CG71" i="11"/>
  <c r="CG82" i="11"/>
  <c r="CN77" i="11"/>
  <c r="DF70" i="11"/>
  <c r="CG84" i="11"/>
  <c r="CN82" i="11"/>
  <c r="CM72" i="11"/>
  <c r="CO71" i="11"/>
  <c r="DD77" i="11"/>
  <c r="DH72" i="11"/>
  <c r="DJ83" i="11"/>
  <c r="CN72" i="11"/>
  <c r="DK70" i="11"/>
  <c r="DE73" i="11"/>
  <c r="CO72" i="11"/>
  <c r="DG52" i="11"/>
  <c r="DG58" i="11"/>
  <c r="DG64" i="11"/>
  <c r="DG57" i="11"/>
  <c r="DG53" i="11"/>
  <c r="DG59" i="11"/>
  <c r="DG65" i="11"/>
  <c r="DG51" i="11"/>
  <c r="DG54" i="11"/>
  <c r="DG60" i="11"/>
  <c r="DG66" i="11"/>
  <c r="DG69" i="11"/>
  <c r="DG55" i="11"/>
  <c r="DG61" i="11"/>
  <c r="DG67" i="11"/>
  <c r="DG56" i="11"/>
  <c r="DG62" i="11"/>
  <c r="DG68" i="11"/>
  <c r="DG63" i="11"/>
  <c r="DM74" i="11"/>
  <c r="DC76" i="11"/>
  <c r="DN80" i="11"/>
  <c r="CJ73" i="11"/>
  <c r="CH74" i="11"/>
  <c r="DF71" i="11"/>
  <c r="DG81" i="11"/>
  <c r="CH76" i="11"/>
  <c r="DC79" i="11"/>
  <c r="DC91" i="11"/>
  <c r="DC81" i="11"/>
  <c r="DH82" i="11"/>
  <c r="DE75" i="11"/>
  <c r="CM87" i="11"/>
  <c r="CI77" i="11"/>
  <c r="CK88" i="11"/>
  <c r="DI92" i="11"/>
  <c r="DK86" i="11"/>
  <c r="DM70" i="11"/>
  <c r="DE79" i="11"/>
  <c r="CM51" i="11"/>
  <c r="CM57" i="11"/>
  <c r="CM65" i="11"/>
  <c r="CM66" i="11"/>
  <c r="CM69" i="11"/>
  <c r="CM52" i="11"/>
  <c r="CM58" i="11"/>
  <c r="CM63" i="11"/>
  <c r="CM53" i="11"/>
  <c r="CM59" i="11"/>
  <c r="CM64" i="11"/>
  <c r="CM61" i="11"/>
  <c r="CM62" i="11"/>
  <c r="CM54" i="11"/>
  <c r="CM60" i="11"/>
  <c r="CM67" i="11"/>
  <c r="CM55" i="11"/>
  <c r="CM68" i="11"/>
  <c r="CM56" i="11"/>
  <c r="CJ87" i="11"/>
  <c r="CP87" i="11"/>
  <c r="CP71" i="11"/>
  <c r="CP88" i="11"/>
  <c r="CP85" i="11"/>
  <c r="DN85" i="11"/>
  <c r="CN79" i="11"/>
  <c r="DK83" i="11"/>
  <c r="DL73" i="11"/>
  <c r="DF81" i="11"/>
  <c r="CF86" i="11"/>
  <c r="DD82" i="11"/>
  <c r="CJ74" i="11"/>
  <c r="CN75" i="11"/>
  <c r="CM71" i="11"/>
  <c r="CM82" i="11"/>
  <c r="DL77" i="11"/>
  <c r="DL70" i="11"/>
  <c r="CM84" i="11"/>
  <c r="DE72" i="11"/>
  <c r="DE81" i="11"/>
  <c r="CF92" i="11"/>
  <c r="CP72" i="11"/>
  <c r="CK82" i="11"/>
  <c r="DN84" i="11"/>
  <c r="DE70" i="11"/>
  <c r="CM73" i="11"/>
  <c r="DE78" i="11"/>
  <c r="CI72" i="11"/>
  <c r="DM53" i="11"/>
  <c r="DM59" i="11"/>
  <c r="DM65" i="11"/>
  <c r="DM54" i="11"/>
  <c r="DM60" i="11"/>
  <c r="DM66" i="11"/>
  <c r="DM55" i="11"/>
  <c r="DM61" i="11"/>
  <c r="DM67" i="11"/>
  <c r="DM56" i="11"/>
  <c r="DM62" i="11"/>
  <c r="DM68" i="11"/>
  <c r="DM51" i="11"/>
  <c r="DM57" i="11"/>
  <c r="DM63" i="11"/>
  <c r="DM69" i="11"/>
  <c r="DM52" i="11"/>
  <c r="DM58" i="11"/>
  <c r="DM64" i="11"/>
  <c r="CO74" i="11"/>
  <c r="DM79" i="11"/>
  <c r="DH83" i="11"/>
  <c r="CK90" i="11"/>
  <c r="CF87" i="11"/>
  <c r="DH73" i="11"/>
  <c r="DJ84" i="11"/>
  <c r="DD90" i="11"/>
  <c r="CN71" i="11"/>
  <c r="CI81" i="11"/>
  <c r="DF76" i="11"/>
  <c r="CK79" i="11"/>
  <c r="DC87" i="11"/>
  <c r="CK53" i="11"/>
  <c r="CK59" i="11"/>
  <c r="CK70" i="11"/>
  <c r="CK51" i="11"/>
  <c r="CK68" i="11"/>
  <c r="CK52" i="11"/>
  <c r="CK64" i="11"/>
  <c r="CK54" i="11"/>
  <c r="CK60" i="11"/>
  <c r="CK71" i="11"/>
  <c r="CK57" i="11"/>
  <c r="CK58" i="11"/>
  <c r="CK55" i="11"/>
  <c r="CK61" i="11"/>
  <c r="CK66" i="11"/>
  <c r="CK65" i="11"/>
  <c r="CK72" i="11"/>
  <c r="CK69" i="11"/>
  <c r="CK56" i="11"/>
  <c r="CK62" i="11"/>
  <c r="CK67" i="11"/>
  <c r="CK73" i="11"/>
  <c r="CK74" i="11"/>
  <c r="CK63" i="11"/>
  <c r="DI81" i="11"/>
  <c r="DN82" i="11"/>
  <c r="DH76" i="11"/>
  <c r="DK75" i="11"/>
  <c r="DK87" i="11"/>
  <c r="CG77" i="11"/>
  <c r="DC83" i="11"/>
  <c r="CJ85" i="11"/>
  <c r="DN81" i="11"/>
  <c r="CK92" i="11"/>
  <c r="CG86" i="11"/>
  <c r="CH85" i="11"/>
  <c r="DE53" i="11"/>
  <c r="DE59" i="11"/>
  <c r="DE65" i="11"/>
  <c r="DE51" i="11"/>
  <c r="DE58" i="11"/>
  <c r="DE54" i="11"/>
  <c r="DE60" i="11"/>
  <c r="DE66" i="11"/>
  <c r="DE57" i="11"/>
  <c r="DE55" i="11"/>
  <c r="DE61" i="11"/>
  <c r="DE67" i="11"/>
  <c r="DE63" i="11"/>
  <c r="DE52" i="11"/>
  <c r="DE56" i="11"/>
  <c r="DE62" i="11"/>
  <c r="DE68" i="11"/>
  <c r="DE69" i="11"/>
  <c r="DE64" i="11"/>
  <c r="DH86" i="11"/>
  <c r="CJ72" i="11"/>
  <c r="CN73" i="11"/>
  <c r="CN81" i="11"/>
  <c r="DJ72" i="11"/>
  <c r="DJ71" i="11"/>
  <c r="DJ73" i="11"/>
  <c r="DJ74" i="11"/>
  <c r="DJ82" i="11"/>
  <c r="CF88" i="11"/>
  <c r="CH75" i="11"/>
  <c r="CN78" i="11"/>
  <c r="DK71" i="11"/>
  <c r="DE82" i="11"/>
  <c r="CH70" i="11"/>
  <c r="DK84" i="11"/>
  <c r="CM81" i="11"/>
  <c r="DD92" i="11"/>
  <c r="DN72" i="11"/>
  <c r="DC82" i="11"/>
  <c r="CG73" i="11"/>
  <c r="CO85" i="11"/>
  <c r="DK78" i="11"/>
  <c r="DM72" i="11"/>
  <c r="DK76" i="11"/>
  <c r="CI52" i="11"/>
  <c r="CI58" i="11"/>
  <c r="CI64" i="11"/>
  <c r="CI56" i="11"/>
  <c r="CI63" i="11"/>
  <c r="CI53" i="11"/>
  <c r="CI59" i="11"/>
  <c r="CI65" i="11"/>
  <c r="CI62" i="11"/>
  <c r="CI51" i="11"/>
  <c r="CI54" i="11"/>
  <c r="CI60" i="11"/>
  <c r="CI66" i="11"/>
  <c r="CI68" i="11"/>
  <c r="CI57" i="11"/>
  <c r="CI55" i="11"/>
  <c r="CI61" i="11"/>
  <c r="CI67" i="11"/>
  <c r="CI69" i="11"/>
  <c r="DG74" i="11"/>
  <c r="DG79" i="11"/>
  <c r="DN83" i="11"/>
  <c r="DI76" i="11"/>
  <c r="DD87" i="11"/>
  <c r="DN73" i="11"/>
  <c r="CK85" i="11"/>
  <c r="CF90" i="11"/>
  <c r="DL71" i="11"/>
  <c r="CI76" i="11"/>
  <c r="DF53" i="11"/>
  <c r="DF59" i="11"/>
  <c r="DF65" i="11"/>
  <c r="DF66" i="11"/>
  <c r="DF54" i="11"/>
  <c r="DF60" i="11"/>
  <c r="DF67" i="11"/>
  <c r="DF63" i="11"/>
  <c r="DF58" i="11"/>
  <c r="DF55" i="11"/>
  <c r="DF61" i="11"/>
  <c r="DF68" i="11"/>
  <c r="DF51" i="11"/>
  <c r="DF52" i="11"/>
  <c r="DF56" i="11"/>
  <c r="DF62" i="11"/>
  <c r="DF69" i="11"/>
  <c r="DF57" i="11"/>
  <c r="DF64" i="11"/>
  <c r="DE74" i="11"/>
  <c r="CN76" i="11"/>
  <c r="DD75" i="11"/>
  <c r="DI79" i="11"/>
  <c r="DC72" i="11"/>
  <c r="DC71" i="11"/>
  <c r="DC74" i="11"/>
  <c r="DC73" i="11"/>
  <c r="CJ76" i="11"/>
  <c r="DD91" i="11"/>
  <c r="CO75" i="11"/>
  <c r="CG75" i="11"/>
  <c r="DG73" i="11"/>
  <c r="CG87" i="11"/>
  <c r="CM77" i="11"/>
  <c r="CP54" i="11"/>
  <c r="CP60" i="11"/>
  <c r="CP66" i="11"/>
  <c r="CP55" i="11"/>
  <c r="CP61" i="11"/>
  <c r="CP67" i="11"/>
  <c r="CP56" i="11"/>
  <c r="CP62" i="11"/>
  <c r="CP68" i="11"/>
  <c r="CP51" i="11"/>
  <c r="CP57" i="11"/>
  <c r="CP63" i="11"/>
  <c r="CP69" i="11"/>
  <c r="CP52" i="11"/>
  <c r="CP58" i="11"/>
  <c r="CP64" i="11"/>
  <c r="CP53" i="11"/>
  <c r="CP59" i="11"/>
  <c r="CP65" i="11"/>
  <c r="DI89" i="11"/>
  <c r="CJ81" i="11"/>
  <c r="DH79" i="11"/>
  <c r="DF84" i="11"/>
  <c r="DE86" i="11"/>
  <c r="CO83" i="11"/>
  <c r="CN85" i="11"/>
  <c r="DK63" i="11"/>
  <c r="DK55" i="11"/>
  <c r="DK61" i="11"/>
  <c r="DK66" i="11"/>
  <c r="DK59" i="11"/>
  <c r="DK64" i="11"/>
  <c r="DK56" i="11"/>
  <c r="DK67" i="11"/>
  <c r="DK62" i="11"/>
  <c r="DK51" i="11"/>
  <c r="DK57" i="11"/>
  <c r="DK68" i="11"/>
  <c r="DK60" i="11"/>
  <c r="DK52" i="11"/>
  <c r="DK58" i="11"/>
  <c r="DK69" i="11"/>
  <c r="DK53" i="11"/>
  <c r="DK54" i="11"/>
  <c r="DK65" i="11"/>
  <c r="CJ71" i="11"/>
  <c r="DH87" i="11"/>
  <c r="DH77" i="11"/>
  <c r="CJ77" i="11"/>
  <c r="DH84" i="11"/>
  <c r="CJ78" i="11"/>
  <c r="CH86" i="11"/>
  <c r="CN83" i="11"/>
  <c r="DN53" i="11"/>
  <c r="DN59" i="11"/>
  <c r="DN65" i="11"/>
  <c r="DN54" i="11"/>
  <c r="DN60" i="11"/>
  <c r="DN66" i="11"/>
  <c r="DN52" i="11"/>
  <c r="DN55" i="11"/>
  <c r="DN61" i="11"/>
  <c r="DN67" i="11"/>
  <c r="DN58" i="11"/>
  <c r="DN56" i="11"/>
  <c r="DN62" i="11"/>
  <c r="DN68" i="11"/>
  <c r="DN64" i="11"/>
  <c r="DN51" i="11"/>
  <c r="DN57" i="11"/>
  <c r="DN63" i="11"/>
  <c r="DN69" i="11"/>
  <c r="CF80" i="11"/>
  <c r="CF51" i="11"/>
  <c r="CF57" i="11"/>
  <c r="CF66" i="11"/>
  <c r="CF72" i="11"/>
  <c r="CF65" i="11"/>
  <c r="CF64" i="11"/>
  <c r="CF52" i="11"/>
  <c r="CF58" i="11"/>
  <c r="CF67" i="11"/>
  <c r="CF73" i="11"/>
  <c r="CF63" i="11"/>
  <c r="CF53" i="11"/>
  <c r="CF59" i="11"/>
  <c r="CF68" i="11"/>
  <c r="CF74" i="11"/>
  <c r="CF71" i="11"/>
  <c r="CF54" i="11"/>
  <c r="CF60" i="11"/>
  <c r="CF69" i="11"/>
  <c r="CF62" i="11"/>
  <c r="CF55" i="11"/>
  <c r="CF61" i="11"/>
  <c r="CF70" i="11"/>
  <c r="CF56" i="11"/>
  <c r="DJ86" i="11"/>
  <c r="CF82" i="11"/>
  <c r="DD89" i="11"/>
  <c r="CO80" i="11"/>
  <c r="DF75" i="11"/>
  <c r="DF78" i="11"/>
  <c r="DE71" i="11"/>
  <c r="DK82" i="11"/>
  <c r="DF82" i="11"/>
  <c r="DG71" i="11"/>
  <c r="DK81" i="11"/>
  <c r="DJ92" i="11"/>
  <c r="DC78" i="11"/>
  <c r="DD83" i="11"/>
  <c r="DL72" i="11"/>
  <c r="DG85" i="11"/>
  <c r="CM78" i="11"/>
  <c r="DG72" i="11"/>
  <c r="DE76" i="11"/>
  <c r="CO51" i="11"/>
  <c r="CO57" i="11"/>
  <c r="CO65" i="11"/>
  <c r="CO63" i="11"/>
  <c r="CO61" i="11"/>
  <c r="CO64" i="11"/>
  <c r="CO52" i="11"/>
  <c r="CO58" i="11"/>
  <c r="CO66" i="11"/>
  <c r="CO56" i="11"/>
  <c r="CO53" i="11"/>
  <c r="CO59" i="11"/>
  <c r="CO67" i="11"/>
  <c r="CO54" i="11"/>
  <c r="CO60" i="11"/>
  <c r="CO68" i="11"/>
  <c r="CO55" i="11"/>
  <c r="CO69" i="11"/>
  <c r="CO62" i="11"/>
  <c r="CI79" i="11"/>
  <c r="CP83" i="11"/>
  <c r="CK76" i="11"/>
  <c r="CJ80" i="11"/>
  <c r="DI85" i="11"/>
  <c r="DD84" i="11"/>
  <c r="DF74" i="11"/>
  <c r="CH71" i="11"/>
  <c r="CO76" i="11"/>
  <c r="CN54" i="11"/>
  <c r="CN60" i="11"/>
  <c r="CN66" i="11"/>
  <c r="CN65" i="11"/>
  <c r="CN55" i="11"/>
  <c r="CN61" i="11"/>
  <c r="CN67" i="11"/>
  <c r="CN58" i="11"/>
  <c r="CN53" i="11"/>
  <c r="CN56" i="11"/>
  <c r="CN62" i="11"/>
  <c r="CN68" i="11"/>
  <c r="CN52" i="11"/>
  <c r="CN59" i="11"/>
  <c r="CN51" i="11"/>
  <c r="CN57" i="11"/>
  <c r="CN63" i="11"/>
  <c r="CN69" i="11"/>
  <c r="CN64" i="11"/>
  <c r="CG74" i="11"/>
  <c r="CF75" i="11"/>
  <c r="DI87" i="11"/>
  <c r="DC86" i="11"/>
  <c r="DI91" i="11"/>
  <c r="DI54" i="11"/>
  <c r="DI60" i="11"/>
  <c r="DI66" i="11"/>
  <c r="DI70" i="11"/>
  <c r="DI64" i="11"/>
  <c r="DI68" i="11"/>
  <c r="DI55" i="11"/>
  <c r="DI61" i="11"/>
  <c r="DI65" i="11"/>
  <c r="DI69" i="11"/>
  <c r="DI58" i="11"/>
  <c r="DI53" i="11"/>
  <c r="DI56" i="11"/>
  <c r="DI62" i="11"/>
  <c r="DI71" i="11"/>
  <c r="DI73" i="11"/>
  <c r="DI72" i="11"/>
  <c r="DI67" i="11"/>
  <c r="DI51" i="11"/>
  <c r="DI57" i="11"/>
  <c r="DI63" i="11"/>
  <c r="DI74" i="11"/>
  <c r="DI52" i="11"/>
  <c r="DI59" i="11"/>
  <c r="CP76" i="11"/>
  <c r="DJ91" i="11"/>
  <c r="DM75" i="11"/>
  <c r="DM73" i="11"/>
  <c r="CO77" i="11"/>
  <c r="DE77" i="11"/>
  <c r="CJ51" i="11"/>
  <c r="CJ57" i="11"/>
  <c r="CJ63" i="11"/>
  <c r="CJ69" i="11"/>
  <c r="CJ52" i="11"/>
  <c r="CJ58" i="11"/>
  <c r="CJ64" i="11"/>
  <c r="CJ68" i="11"/>
  <c r="CJ53" i="11"/>
  <c r="CJ59" i="11"/>
  <c r="CJ65" i="11"/>
  <c r="CJ56" i="11"/>
  <c r="CJ54" i="11"/>
  <c r="CJ60" i="11"/>
  <c r="CJ66" i="11"/>
  <c r="CJ62" i="11"/>
  <c r="CJ55" i="11"/>
  <c r="CJ61" i="11"/>
  <c r="CJ67" i="11"/>
  <c r="DI88" i="11"/>
  <c r="CK89" i="11"/>
  <c r="DI83" i="11"/>
  <c r="DD81" i="11"/>
  <c r="CP81" i="11"/>
  <c r="DN79" i="11"/>
  <c r="DL84" i="11"/>
  <c r="CM86" i="11"/>
  <c r="CO70" i="11"/>
  <c r="CG79" i="11"/>
  <c r="DM83" i="11"/>
  <c r="DL85" i="11"/>
  <c r="DN87" i="11"/>
  <c r="CP77" i="11"/>
  <c r="DN78" i="11"/>
  <c r="CJ75" i="11"/>
  <c r="CN80" i="11"/>
  <c r="CN86" i="11"/>
  <c r="DL83" i="11"/>
  <c r="CM83" i="11"/>
  <c r="DD80" i="11"/>
  <c r="CF89" i="11"/>
  <c r="DM80" i="11"/>
  <c r="DL75" i="11"/>
  <c r="CH78" i="11"/>
  <c r="CH77" i="11"/>
  <c r="DL82" i="11"/>
  <c r="CG72" i="11"/>
  <c r="DM71" i="11"/>
  <c r="CG81" i="11"/>
  <c r="CF77" i="11"/>
  <c r="DI78" i="11"/>
  <c r="DI82" i="11"/>
  <c r="CF83" i="11"/>
  <c r="CH72" i="11"/>
  <c r="CM70" i="11"/>
  <c r="CI85" i="11"/>
  <c r="CG78" i="11"/>
  <c r="CM76" i="11"/>
  <c r="CO79" i="11"/>
  <c r="DC90" i="11"/>
  <c r="CP80" i="11"/>
  <c r="CF84" i="11"/>
  <c r="DJ90" i="11"/>
  <c r="CN74" i="11"/>
  <c r="DG76" i="11"/>
  <c r="DM81" i="11"/>
  <c r="DL56" i="11"/>
  <c r="DL62" i="11"/>
  <c r="DL69" i="11"/>
  <c r="DL51" i="11"/>
  <c r="DL63" i="11"/>
  <c r="DL57" i="11"/>
  <c r="DL52" i="11"/>
  <c r="DL58" i="11"/>
  <c r="DL64" i="11"/>
  <c r="DL60" i="11"/>
  <c r="DL61" i="11"/>
  <c r="DL53" i="11"/>
  <c r="DL59" i="11"/>
  <c r="DL65" i="11"/>
  <c r="DL66" i="11"/>
  <c r="DL67" i="11"/>
  <c r="DL54" i="11"/>
  <c r="DL55" i="11"/>
  <c r="DL68" i="11"/>
  <c r="DK74" i="11"/>
  <c r="DJ75" i="11"/>
  <c r="DH88" i="11"/>
  <c r="CK87" i="11"/>
  <c r="CK86" i="11"/>
  <c r="CF91" i="11"/>
  <c r="CI75" i="11"/>
  <c r="CI73" i="11"/>
  <c r="DM77" i="11"/>
  <c r="DK77" i="11"/>
  <c r="DH51" i="11"/>
  <c r="DH57" i="11"/>
  <c r="DH65" i="11"/>
  <c r="DH52" i="11"/>
  <c r="DH58" i="11"/>
  <c r="DH66" i="11"/>
  <c r="DH63" i="11"/>
  <c r="DH53" i="11"/>
  <c r="DH59" i="11"/>
  <c r="DH67" i="11"/>
  <c r="DH54" i="11"/>
  <c r="DH60" i="11"/>
  <c r="DH68" i="11"/>
  <c r="DH64" i="11"/>
  <c r="DH55" i="11"/>
  <c r="DH61" i="11"/>
  <c r="DH69" i="11"/>
  <c r="DH56" i="11"/>
  <c r="DH62" i="11"/>
  <c r="DC89" i="11"/>
  <c r="CK83" i="11"/>
  <c r="DJ81" i="11"/>
  <c r="DC92" i="11"/>
  <c r="CH84" i="11"/>
  <c r="CI70" i="11"/>
  <c r="CM79" i="11"/>
  <c r="CI83" i="11"/>
  <c r="DF85" i="11"/>
  <c r="CP73" i="11"/>
  <c r="CJ70" i="11"/>
  <c r="DN71" i="11"/>
  <c r="CJ79" i="11"/>
  <c r="CP84" i="11"/>
  <c r="DH85" i="11"/>
  <c r="DN74" i="11"/>
  <c r="CJ88" i="11"/>
  <c r="DF80" i="11"/>
  <c r="DK80" i="11"/>
  <c r="CH83" i="11"/>
  <c r="DG82" i="11"/>
  <c r="CG83" i="11"/>
  <c r="DF73" i="11"/>
  <c r="DL81" i="11"/>
  <c r="DJ80" i="11"/>
  <c r="CP86" i="11"/>
  <c r="DD52" i="11"/>
  <c r="DD58" i="11"/>
  <c r="DD65" i="11"/>
  <c r="DD71" i="11"/>
  <c r="DD56" i="11"/>
  <c r="DD57" i="11"/>
  <c r="DD53" i="11"/>
  <c r="DD59" i="11"/>
  <c r="DD66" i="11"/>
  <c r="DD72" i="11"/>
  <c r="DD63" i="11"/>
  <c r="DD64" i="11"/>
  <c r="DD54" i="11"/>
  <c r="DD60" i="11"/>
  <c r="DD67" i="11"/>
  <c r="DD73" i="11"/>
  <c r="DD62" i="11"/>
  <c r="DD55" i="11"/>
  <c r="DD61" i="11"/>
  <c r="DD68" i="11"/>
  <c r="DD74" i="11"/>
  <c r="DD69" i="11"/>
  <c r="DD51" i="11"/>
  <c r="DD70" i="11"/>
  <c r="DH74" i="11"/>
  <c r="DJ89" i="11"/>
  <c r="DD88" i="11"/>
  <c r="CI80" i="11"/>
  <c r="DL78" i="11"/>
  <c r="DF77" i="11"/>
  <c r="CN70" i="11"/>
  <c r="DE84" i="11"/>
  <c r="CH82" i="11"/>
  <c r="DK72" i="11"/>
  <c r="CI71" i="11"/>
  <c r="DJ77" i="11"/>
  <c r="CK78" i="11"/>
  <c r="DF72" i="11"/>
  <c r="CG70" i="11"/>
  <c r="DK73" i="11"/>
  <c r="DM85" i="11"/>
  <c r="CG76" i="11"/>
  <c r="CI74" i="11"/>
  <c r="DI90" i="11"/>
  <c r="DJ87" i="11"/>
  <c r="DH80" i="11"/>
  <c r="DC85" i="11"/>
  <c r="DL74" i="11"/>
  <c r="DM76" i="11"/>
  <c r="CO81" i="11"/>
  <c r="CH54" i="11"/>
  <c r="CH60" i="11"/>
  <c r="CH66" i="11"/>
  <c r="CH68" i="11"/>
  <c r="CH59" i="11"/>
  <c r="CH67" i="11"/>
  <c r="CH55" i="11"/>
  <c r="CH61" i="11"/>
  <c r="CH69" i="11"/>
  <c r="CH52" i="11"/>
  <c r="CH53" i="11"/>
  <c r="CH56" i="11"/>
  <c r="CH62" i="11"/>
  <c r="CH64" i="11"/>
  <c r="CH65" i="11"/>
  <c r="CH51" i="11"/>
  <c r="CH57" i="11"/>
  <c r="CH63" i="11"/>
  <c r="CH58" i="11"/>
  <c r="CM74" i="11"/>
  <c r="DL76" i="11"/>
  <c r="DI86" i="11"/>
  <c r="CK91" i="11"/>
  <c r="CK81" i="11"/>
  <c r="CP82" i="11"/>
  <c r="DG75" i="11"/>
  <c r="CM75" i="11"/>
  <c r="CO73" i="11"/>
  <c r="DE87" i="11"/>
  <c r="DG77" i="11"/>
  <c r="DC88" i="11"/>
  <c r="CF81" i="11"/>
  <c r="CN84" i="11"/>
  <c r="DG70" i="11"/>
  <c r="DK79" i="11"/>
  <c r="DG83" i="11"/>
  <c r="CG52" i="11"/>
  <c r="CG58" i="11"/>
  <c r="CG64" i="11"/>
  <c r="CG69" i="11"/>
  <c r="CG53" i="11"/>
  <c r="CG59" i="11"/>
  <c r="CG65" i="11"/>
  <c r="CG68" i="11"/>
  <c r="CG57" i="11"/>
  <c r="CG54" i="11"/>
  <c r="CG60" i="11"/>
  <c r="CG66" i="11"/>
  <c r="CG62" i="11"/>
  <c r="CG51" i="11"/>
  <c r="CG55" i="11"/>
  <c r="CG61" i="11"/>
  <c r="CG67" i="11"/>
  <c r="CG56" i="11"/>
  <c r="CG63" i="11"/>
  <c r="CP79" i="11"/>
  <c r="CJ83" i="11"/>
  <c r="DN77" i="11"/>
  <c r="CJ82" i="11"/>
  <c r="DH81" i="11"/>
  <c r="CP75" i="11"/>
  <c r="CJ84" i="11"/>
  <c r="DL50" i="11"/>
  <c r="DH50" i="11"/>
  <c r="DD50" i="11"/>
  <c r="CH50" i="11"/>
  <c r="CG50" i="11"/>
  <c r="DN50" i="11"/>
  <c r="CF50" i="11"/>
  <c r="CJ50" i="11"/>
  <c r="DG50" i="11"/>
  <c r="CM50" i="11"/>
  <c r="DI50" i="11"/>
  <c r="DM50" i="11"/>
  <c r="CK50" i="11"/>
  <c r="DE50" i="11"/>
  <c r="CO50" i="11"/>
  <c r="CN50" i="11"/>
  <c r="CI50" i="11"/>
  <c r="DF50" i="11"/>
  <c r="CP50" i="11"/>
  <c r="DK50" i="11"/>
  <c r="AZ49" i="4"/>
  <c r="AZ50" i="4"/>
  <c r="AZ51" i="4"/>
  <c r="AZ54" i="4"/>
  <c r="AZ52" i="4"/>
  <c r="AZ53" i="4"/>
  <c r="AZ57" i="4"/>
  <c r="AZ55" i="4"/>
  <c r="AZ56" i="4"/>
  <c r="AZ58" i="4"/>
  <c r="AZ59" i="4"/>
  <c r="AX58" i="4"/>
  <c r="AX51" i="4"/>
  <c r="AX49" i="4"/>
  <c r="AX50" i="4"/>
  <c r="AX54" i="4"/>
  <c r="AX52" i="4"/>
  <c r="AX53" i="4"/>
  <c r="AX57" i="4"/>
  <c r="AX55" i="4"/>
  <c r="AX56" i="4"/>
  <c r="AX60" i="4"/>
  <c r="AX59" i="4"/>
  <c r="AY52" i="4"/>
  <c r="AY56" i="4"/>
  <c r="AY55" i="4"/>
  <c r="AY51" i="4"/>
  <c r="AY58" i="4"/>
  <c r="AY59" i="4"/>
  <c r="AY54" i="4"/>
  <c r="AY53" i="4"/>
  <c r="AY57" i="4"/>
  <c r="AY50" i="4"/>
  <c r="AY49" i="4"/>
  <c r="AX46" i="4"/>
  <c r="AX47" i="4"/>
  <c r="AX45" i="4"/>
  <c r="AX48" i="4"/>
  <c r="AX43" i="4"/>
  <c r="AX44" i="4"/>
  <c r="AZ43" i="4"/>
  <c r="AZ44" i="4"/>
  <c r="AZ47" i="4"/>
  <c r="AZ45" i="4"/>
  <c r="AZ48" i="4"/>
  <c r="AZ46" i="4"/>
  <c r="AY45" i="4"/>
  <c r="AY48" i="4"/>
  <c r="AY43" i="4"/>
  <c r="AY46" i="4"/>
  <c r="AY44" i="4"/>
  <c r="AY47" i="4"/>
  <c r="AX41" i="4"/>
  <c r="AX42" i="4"/>
  <c r="AZ41" i="4"/>
  <c r="AZ42" i="4"/>
  <c r="AY41" i="4"/>
  <c r="AY42" i="4"/>
  <c r="AL58" i="4"/>
  <c r="AL57" i="4"/>
  <c r="AL56" i="4"/>
  <c r="AL59" i="4"/>
  <c r="AL55" i="4"/>
  <c r="AJ58" i="4"/>
  <c r="AJ56" i="4"/>
  <c r="AJ59" i="4"/>
  <c r="AJ55" i="4"/>
  <c r="AJ57" i="4"/>
  <c r="AL53" i="4"/>
  <c r="AL51" i="4"/>
  <c r="AL48" i="4"/>
  <c r="AL54" i="4"/>
  <c r="AL49" i="4"/>
  <c r="AL52" i="4"/>
  <c r="AL50" i="4"/>
  <c r="AJ54" i="4"/>
  <c r="AJ52" i="4"/>
  <c r="AJ49" i="4"/>
  <c r="AJ50" i="4"/>
  <c r="AJ53" i="4"/>
  <c r="AJ48" i="4"/>
  <c r="AJ51" i="4"/>
  <c r="AL41" i="4"/>
  <c r="AL45" i="4"/>
  <c r="AL43" i="4"/>
  <c r="AL46" i="4"/>
  <c r="AL44" i="4"/>
  <c r="AL47" i="4"/>
  <c r="AL42" i="4"/>
  <c r="AJ41" i="4"/>
  <c r="AJ43" i="4"/>
  <c r="AJ44" i="4"/>
  <c r="AJ47" i="4"/>
  <c r="AJ42" i="4"/>
  <c r="AJ45" i="4"/>
  <c r="AJ46" i="4"/>
  <c r="CB71" i="11"/>
  <c r="BU71" i="11"/>
  <c r="AV71" i="11"/>
  <c r="AY71" i="11"/>
  <c r="AX71" i="11"/>
  <c r="AU71" i="11"/>
  <c r="GF70" i="11"/>
  <c r="ET91" i="11" s="1"/>
  <c r="GD70" i="11"/>
  <c r="ER91" i="11" s="1"/>
  <c r="GJ70" i="11"/>
  <c r="EX92" i="11" s="1"/>
  <c r="FL70" i="11"/>
  <c r="DZ91" i="11" s="1"/>
  <c r="FF70" i="11"/>
  <c r="DT90" i="11" s="1"/>
  <c r="FI70" i="11"/>
  <c r="DW94" i="11" s="1"/>
  <c r="GG70" i="11"/>
  <c r="EU94" i="11" s="1"/>
  <c r="CA71" i="11"/>
  <c r="BV71" i="11"/>
  <c r="BA71" i="11"/>
  <c r="AW71" i="11"/>
  <c r="BW71" i="11"/>
  <c r="BS71" i="11"/>
  <c r="AT71" i="11"/>
  <c r="BC71" i="11"/>
  <c r="FE70" i="11"/>
  <c r="DS92" i="11" s="1"/>
  <c r="GI70" i="11"/>
  <c r="EW90" i="11" s="1"/>
  <c r="FK70" i="11"/>
  <c r="DY92" i="11" s="1"/>
  <c r="GC70" i="11"/>
  <c r="EQ90" i="11" s="1"/>
  <c r="BT71" i="11"/>
  <c r="FD70" i="11"/>
  <c r="DR94" i="11" s="1"/>
  <c r="GB70" i="11"/>
  <c r="EP94" i="11" s="1"/>
  <c r="BY71" i="11"/>
  <c r="BB71" i="11"/>
  <c r="GE70" i="11"/>
  <c r="FM70" i="11"/>
  <c r="EA92" i="11" s="1"/>
  <c r="FG70" i="11"/>
  <c r="GK70" i="11"/>
  <c r="FN70" i="11"/>
  <c r="EB91" i="11" s="1"/>
  <c r="GL70" i="11"/>
  <c r="BR71" i="11"/>
  <c r="BZ71" i="11"/>
  <c r="BD71" i="11"/>
  <c r="AH62" i="4"/>
  <c r="AV62" i="4"/>
  <c r="X60" i="4"/>
  <c r="BN60" i="4"/>
  <c r="V60" i="4"/>
  <c r="W60" i="4"/>
  <c r="BM60" i="4"/>
  <c r="M71" i="1" l="1"/>
  <c r="M73" i="1"/>
  <c r="M72" i="1"/>
  <c r="BR62" i="4"/>
  <c r="BP62" i="4"/>
  <c r="BA62" i="4"/>
  <c r="BB62" i="4"/>
  <c r="BD62" i="4"/>
  <c r="BC62" i="4"/>
  <c r="N62" i="4"/>
  <c r="AB61" i="4"/>
  <c r="M62" i="4"/>
  <c r="AA61" i="4"/>
  <c r="L62" i="4"/>
  <c r="Z61" i="4"/>
  <c r="AM62" i="4"/>
  <c r="AN62" i="4"/>
  <c r="AP62" i="4"/>
  <c r="AO62" i="4"/>
  <c r="K62" i="4"/>
  <c r="Y61" i="4"/>
  <c r="H73" i="1"/>
  <c r="H72" i="1"/>
  <c r="H71" i="1"/>
  <c r="EN70" i="11"/>
  <c r="EN130" i="11" s="1"/>
  <c r="DV70" i="11"/>
  <c r="DV130" i="11" s="1"/>
  <c r="EF70" i="11"/>
  <c r="EF130" i="11" s="1"/>
  <c r="EL70" i="11"/>
  <c r="EL128" i="11" s="1"/>
  <c r="FT71" i="11"/>
  <c r="FS71" i="11"/>
  <c r="EH128" i="11"/>
  <c r="EH130" i="11"/>
  <c r="EK130" i="11"/>
  <c r="EG130" i="11"/>
  <c r="EE130" i="11"/>
  <c r="EK128" i="11"/>
  <c r="BA61" i="4"/>
  <c r="EG128" i="11"/>
  <c r="ED70" i="11"/>
  <c r="ED130" i="11" s="1"/>
  <c r="EE128" i="11"/>
  <c r="FW71" i="11"/>
  <c r="EM70" i="11"/>
  <c r="EM128" i="11" s="1"/>
  <c r="FQ71" i="11"/>
  <c r="EI70" i="11"/>
  <c r="EI130" i="11" s="1"/>
  <c r="DB130" i="11"/>
  <c r="CT130" i="11"/>
  <c r="CW130" i="11"/>
  <c r="CZ130" i="11"/>
  <c r="CU130" i="11"/>
  <c r="CS130" i="11"/>
  <c r="CV130" i="11"/>
  <c r="CY130" i="11"/>
  <c r="DA130" i="11"/>
  <c r="CR130" i="11"/>
  <c r="DB128" i="11"/>
  <c r="CT128" i="11"/>
  <c r="CW128" i="11"/>
  <c r="CZ128" i="11"/>
  <c r="CU128" i="11"/>
  <c r="CV128" i="11"/>
  <c r="CY128" i="11"/>
  <c r="DA128" i="11"/>
  <c r="CS128" i="11"/>
  <c r="CR128" i="11"/>
  <c r="BC61" i="4"/>
  <c r="BB61" i="4"/>
  <c r="BD61" i="4"/>
  <c r="M65" i="3"/>
  <c r="DE130" i="11"/>
  <c r="DM130" i="11"/>
  <c r="CP130" i="11"/>
  <c r="CF130" i="11"/>
  <c r="CH130" i="11"/>
  <c r="CK130" i="11"/>
  <c r="CM130" i="11"/>
  <c r="DG130" i="11"/>
  <c r="DI130" i="11"/>
  <c r="DN130" i="11"/>
  <c r="DL130" i="11"/>
  <c r="DK130" i="11"/>
  <c r="DF130" i="11"/>
  <c r="CN130" i="11"/>
  <c r="CI130" i="11"/>
  <c r="CO130" i="11"/>
  <c r="CJ130" i="11"/>
  <c r="DD130" i="11"/>
  <c r="DH130" i="11"/>
  <c r="CG130" i="11"/>
  <c r="AJ65" i="3"/>
  <c r="AI65" i="3"/>
  <c r="AM65" i="3"/>
  <c r="AO65" i="3"/>
  <c r="AG65" i="3"/>
  <c r="O65" i="3"/>
  <c r="BH85" i="10"/>
  <c r="BH86" i="10"/>
  <c r="BT85" i="10"/>
  <c r="BT86" i="10"/>
  <c r="X85" i="10"/>
  <c r="X86" i="10"/>
  <c r="BO44" i="13"/>
  <c r="BO44" i="19"/>
  <c r="BO44" i="20"/>
  <c r="BO44" i="18"/>
  <c r="BO70" i="20"/>
  <c r="BO70" i="19"/>
  <c r="BO70" i="13"/>
  <c r="Q44" i="13"/>
  <c r="P43" i="13"/>
  <c r="P70" i="13" s="1"/>
  <c r="Y71" i="13"/>
  <c r="Y45" i="13"/>
  <c r="BU71" i="20"/>
  <c r="BU45" i="20"/>
  <c r="BI71" i="13"/>
  <c r="BI45" i="13"/>
  <c r="Y71" i="20"/>
  <c r="Y45" i="20"/>
  <c r="M71" i="13"/>
  <c r="M45" i="13"/>
  <c r="BI71" i="20"/>
  <c r="BI45" i="20"/>
  <c r="BI71" i="18"/>
  <c r="BI45" i="18"/>
  <c r="Y71" i="18"/>
  <c r="Y45" i="18"/>
  <c r="M71" i="19"/>
  <c r="M45" i="19"/>
  <c r="BI71" i="19"/>
  <c r="BI45" i="19"/>
  <c r="BU71" i="13"/>
  <c r="BU45" i="13"/>
  <c r="M71" i="20"/>
  <c r="M45" i="20"/>
  <c r="BU71" i="19"/>
  <c r="BU45" i="19"/>
  <c r="M71" i="18"/>
  <c r="M45" i="18"/>
  <c r="L86" i="10"/>
  <c r="L85" i="10"/>
  <c r="Y71" i="19"/>
  <c r="Y45" i="19"/>
  <c r="BU71" i="18"/>
  <c r="BU45" i="18"/>
  <c r="ET78" i="11"/>
  <c r="ET92" i="11"/>
  <c r="EB89" i="11"/>
  <c r="EB92" i="11"/>
  <c r="EB90" i="11"/>
  <c r="ET90" i="11"/>
  <c r="EZ89" i="11"/>
  <c r="EZ92" i="11"/>
  <c r="EZ91" i="11"/>
  <c r="EZ90" i="11"/>
  <c r="EY89" i="11"/>
  <c r="EY94" i="11"/>
  <c r="DU89" i="11"/>
  <c r="DU94" i="11"/>
  <c r="EA90" i="11"/>
  <c r="EY90" i="11"/>
  <c r="EY93" i="11"/>
  <c r="EA91" i="11"/>
  <c r="EA89" i="11"/>
  <c r="EA94" i="11"/>
  <c r="ES89" i="11"/>
  <c r="ES94" i="11"/>
  <c r="ES90" i="11"/>
  <c r="DU90" i="11"/>
  <c r="EA93" i="11"/>
  <c r="DU91" i="11"/>
  <c r="EY92" i="11"/>
  <c r="EY91" i="11"/>
  <c r="ES93" i="11"/>
  <c r="ES91" i="11"/>
  <c r="DU92" i="11"/>
  <c r="ES92" i="11"/>
  <c r="DU93" i="11"/>
  <c r="DT91" i="11"/>
  <c r="EX91" i="11"/>
  <c r="ER89" i="11"/>
  <c r="ER94" i="11"/>
  <c r="ER92" i="11"/>
  <c r="DT92" i="11"/>
  <c r="ER93" i="11"/>
  <c r="EX93" i="11"/>
  <c r="DZ93" i="11"/>
  <c r="DT89" i="11"/>
  <c r="DT94" i="11"/>
  <c r="DZ89" i="11"/>
  <c r="DZ94" i="11"/>
  <c r="EX90" i="11"/>
  <c r="EX89" i="11"/>
  <c r="EX94" i="11"/>
  <c r="ER90" i="11"/>
  <c r="DZ90" i="11"/>
  <c r="DZ92" i="11"/>
  <c r="DT93" i="11"/>
  <c r="EQ93" i="11"/>
  <c r="EQ89" i="11"/>
  <c r="EQ94" i="11"/>
  <c r="EW89" i="11"/>
  <c r="EW94" i="11"/>
  <c r="DS90" i="11"/>
  <c r="DY90" i="11"/>
  <c r="DY91" i="11"/>
  <c r="EQ91" i="11"/>
  <c r="DS91" i="11"/>
  <c r="EW91" i="11"/>
  <c r="EW92" i="11"/>
  <c r="DY89" i="11"/>
  <c r="DY94" i="11"/>
  <c r="DS89" i="11"/>
  <c r="DS94" i="11"/>
  <c r="EQ92" i="11"/>
  <c r="DS93" i="11"/>
  <c r="EW93" i="11"/>
  <c r="DY93" i="11"/>
  <c r="R65" i="3"/>
  <c r="ES82" i="11"/>
  <c r="DU85" i="11"/>
  <c r="EQ82" i="11"/>
  <c r="DW92" i="11"/>
  <c r="DW86" i="11"/>
  <c r="DS86" i="11"/>
  <c r="EB79" i="11"/>
  <c r="ET83" i="11"/>
  <c r="EZ86" i="11"/>
  <c r="EU90" i="11"/>
  <c r="ET84" i="11"/>
  <c r="DY82" i="11"/>
  <c r="DS72" i="11"/>
  <c r="DT71" i="11"/>
  <c r="DS76" i="11"/>
  <c r="EX85" i="11"/>
  <c r="DZ82" i="11"/>
  <c r="EA88" i="11"/>
  <c r="EO82" i="11"/>
  <c r="DY88" i="11"/>
  <c r="EB78" i="11"/>
  <c r="ET86" i="11"/>
  <c r="DZ76" i="11"/>
  <c r="EP77" i="11"/>
  <c r="EA86" i="11"/>
  <c r="DY76" i="11"/>
  <c r="DR73" i="11"/>
  <c r="DR70" i="11"/>
  <c r="EO83" i="11"/>
  <c r="EO76" i="11"/>
  <c r="DW82" i="11"/>
  <c r="DS70" i="11"/>
  <c r="DZ79" i="11"/>
  <c r="EX72" i="11"/>
  <c r="EO81" i="11"/>
  <c r="DR89" i="11"/>
  <c r="DY79" i="11"/>
  <c r="EO74" i="11"/>
  <c r="EO73" i="11"/>
  <c r="EA83" i="11"/>
  <c r="EQ76" i="11"/>
  <c r="EO84" i="11"/>
  <c r="EP70" i="11"/>
  <c r="EO93" i="11"/>
  <c r="DZ87" i="11"/>
  <c r="DZ70" i="11"/>
  <c r="EB81" i="11"/>
  <c r="EB75" i="11"/>
  <c r="DZ80" i="11"/>
  <c r="DW73" i="11"/>
  <c r="ES80" i="11"/>
  <c r="EP88" i="11"/>
  <c r="DY86" i="11"/>
  <c r="EB82" i="11"/>
  <c r="EP80" i="11"/>
  <c r="DW79" i="11"/>
  <c r="EP89" i="11"/>
  <c r="EY86" i="11"/>
  <c r="EU72" i="11"/>
  <c r="EZ78" i="11"/>
  <c r="EU86" i="11"/>
  <c r="DR87" i="11"/>
  <c r="DY75" i="11"/>
  <c r="ER87" i="11"/>
  <c r="EX88" i="11"/>
  <c r="ES78" i="11"/>
  <c r="EB72" i="11"/>
  <c r="EP86" i="11"/>
  <c r="EV84" i="11"/>
  <c r="DR90" i="11"/>
  <c r="ES72" i="11"/>
  <c r="ET87" i="11"/>
  <c r="EP75" i="11"/>
  <c r="EZ79" i="11"/>
  <c r="DR78" i="11"/>
  <c r="EZ70" i="11"/>
  <c r="DR91" i="11"/>
  <c r="EO79" i="11"/>
  <c r="EV86" i="11"/>
  <c r="ET76" i="11"/>
  <c r="DW75" i="11"/>
  <c r="EP81" i="11"/>
  <c r="ER75" i="11"/>
  <c r="EY70" i="11"/>
  <c r="DR92" i="11"/>
  <c r="DY70" i="11"/>
  <c r="ET88" i="11"/>
  <c r="DT78" i="11"/>
  <c r="ES79" i="11"/>
  <c r="DY74" i="11"/>
  <c r="EQ79" i="11"/>
  <c r="DZ77" i="11"/>
  <c r="EU84" i="11"/>
  <c r="EU83" i="11"/>
  <c r="EW71" i="11"/>
  <c r="EB83" i="11"/>
  <c r="EX70" i="11"/>
  <c r="EX78" i="11"/>
  <c r="EU81" i="11"/>
  <c r="EZ75" i="11"/>
  <c r="DS82" i="11"/>
  <c r="EY83" i="11"/>
  <c r="DW84" i="11"/>
  <c r="EP93" i="11"/>
  <c r="EU93" i="11"/>
  <c r="ER70" i="11"/>
  <c r="EP91" i="11"/>
  <c r="EX73" i="11"/>
  <c r="ET74" i="11"/>
  <c r="EQ73" i="11"/>
  <c r="DS74" i="11"/>
  <c r="DZ71" i="11"/>
  <c r="DZ75" i="11"/>
  <c r="EP72" i="11"/>
  <c r="DR93" i="11"/>
  <c r="ES73" i="11"/>
  <c r="ES77" i="11"/>
  <c r="DS83" i="11"/>
  <c r="DY78" i="11"/>
  <c r="EW85" i="11"/>
  <c r="DT86" i="11"/>
  <c r="ER82" i="11"/>
  <c r="EV92" i="11"/>
  <c r="EV79" i="11"/>
  <c r="DY87" i="11"/>
  <c r="EP84" i="11"/>
  <c r="DU75" i="11"/>
  <c r="EA79" i="11"/>
  <c r="ES74" i="11"/>
  <c r="EV81" i="11"/>
  <c r="EO77" i="11"/>
  <c r="EW77" i="11"/>
  <c r="DT81" i="11"/>
  <c r="ET70" i="11"/>
  <c r="EV90" i="11"/>
  <c r="EV78" i="11"/>
  <c r="EB85" i="11"/>
  <c r="EP83" i="11"/>
  <c r="EY81" i="11"/>
  <c r="ET72" i="11"/>
  <c r="EU79" i="11"/>
  <c r="EB77" i="11"/>
  <c r="EA87" i="11"/>
  <c r="EA75" i="11"/>
  <c r="DU72" i="11"/>
  <c r="EB86" i="11"/>
  <c r="DU79" i="11"/>
  <c r="EA74" i="11"/>
  <c r="EU87" i="11"/>
  <c r="EZ71" i="11"/>
  <c r="EV72" i="11"/>
  <c r="DZ83" i="11"/>
  <c r="DT87" i="11"/>
  <c r="DZ88" i="11"/>
  <c r="DS80" i="11"/>
  <c r="EY74" i="11"/>
  <c r="DW80" i="11"/>
  <c r="EU92" i="11"/>
  <c r="EO86" i="11"/>
  <c r="EA73" i="11"/>
  <c r="EX81" i="11"/>
  <c r="EV91" i="11"/>
  <c r="DY80" i="11"/>
  <c r="DY73" i="11"/>
  <c r="ET73" i="11"/>
  <c r="EW79" i="11"/>
  <c r="EX71" i="11"/>
  <c r="DR71" i="11"/>
  <c r="DR74" i="11"/>
  <c r="EZ83" i="11"/>
  <c r="DU73" i="11"/>
  <c r="EV83" i="11"/>
  <c r="EA81" i="11"/>
  <c r="EX76" i="11"/>
  <c r="DS81" i="11"/>
  <c r="DT77" i="11"/>
  <c r="ET80" i="11"/>
  <c r="EP74" i="11"/>
  <c r="EA70" i="11"/>
  <c r="EY85" i="11"/>
  <c r="DW81" i="11"/>
  <c r="EV89" i="11"/>
  <c r="EV77" i="11"/>
  <c r="EO85" i="11"/>
  <c r="EV93" i="11"/>
  <c r="EX83" i="11"/>
  <c r="DW76" i="11"/>
  <c r="EP82" i="11"/>
  <c r="DT88" i="11"/>
  <c r="DR76" i="11"/>
  <c r="DR83" i="11"/>
  <c r="ET82" i="11"/>
  <c r="ES71" i="11"/>
  <c r="DT76" i="11"/>
  <c r="EA80" i="11"/>
  <c r="ER85" i="11"/>
  <c r="EQ86" i="11"/>
  <c r="EY77" i="11"/>
  <c r="DU81" i="11"/>
  <c r="EX79" i="11"/>
  <c r="ET77" i="11"/>
  <c r="DU87" i="11"/>
  <c r="EY84" i="11"/>
  <c r="DT74" i="11"/>
  <c r="EA78" i="11"/>
  <c r="EB76" i="11"/>
  <c r="DS84" i="11"/>
  <c r="ES81" i="11"/>
  <c r="EZ81" i="11"/>
  <c r="EY71" i="11"/>
  <c r="ES86" i="11"/>
  <c r="EU85" i="11"/>
  <c r="DZ85" i="11"/>
  <c r="EV73" i="11"/>
  <c r="ES88" i="11"/>
  <c r="DY77" i="11"/>
  <c r="DT70" i="11"/>
  <c r="ER72" i="11"/>
  <c r="DT75" i="11"/>
  <c r="EW86" i="11"/>
  <c r="EZ88" i="11"/>
  <c r="EQ77" i="11"/>
  <c r="ET79" i="11"/>
  <c r="EQ84" i="11"/>
  <c r="DT72" i="11"/>
  <c r="EO90" i="11"/>
  <c r="EW74" i="11"/>
  <c r="EO80" i="11"/>
  <c r="ER77" i="11"/>
  <c r="EX75" i="11"/>
  <c r="DU70" i="11"/>
  <c r="EB88" i="11"/>
  <c r="DS77" i="11"/>
  <c r="DS87" i="11"/>
  <c r="DZ74" i="11"/>
  <c r="DR86" i="11"/>
  <c r="EZ72" i="11"/>
  <c r="EZ73" i="11"/>
  <c r="ER80" i="11"/>
  <c r="EO92" i="11"/>
  <c r="EZ74" i="11"/>
  <c r="DU76" i="11"/>
  <c r="DS75" i="11"/>
  <c r="DR80" i="11"/>
  <c r="DR84" i="11"/>
  <c r="DT84" i="11"/>
  <c r="EU75" i="11"/>
  <c r="EQ74" i="11"/>
  <c r="DS79" i="11"/>
  <c r="DW70" i="11"/>
  <c r="EQ72" i="11"/>
  <c r="ER71" i="11"/>
  <c r="EW76" i="11"/>
  <c r="EP87" i="11"/>
  <c r="DU88" i="11"/>
  <c r="EX87" i="11"/>
  <c r="ER81" i="11"/>
  <c r="EW84" i="11"/>
  <c r="EP90" i="11"/>
  <c r="EZ84" i="11"/>
  <c r="DY81" i="11"/>
  <c r="EU71" i="11"/>
  <c r="EU91" i="11"/>
  <c r="EQ85" i="11"/>
  <c r="EP92" i="11"/>
  <c r="EO89" i="11"/>
  <c r="EX74" i="11"/>
  <c r="DZ73" i="11"/>
  <c r="EZ77" i="11"/>
  <c r="DW88" i="11"/>
  <c r="EA84" i="11"/>
  <c r="EY75" i="11"/>
  <c r="EY87" i="11"/>
  <c r="EW88" i="11"/>
  <c r="ER74" i="11"/>
  <c r="ES84" i="11"/>
  <c r="EU88" i="11"/>
  <c r="GF71" i="11"/>
  <c r="ET89" i="11"/>
  <c r="ET75" i="11"/>
  <c r="EQ81" i="11"/>
  <c r="EY80" i="11"/>
  <c r="DU83" i="11"/>
  <c r="EV88" i="11"/>
  <c r="DW83" i="11"/>
  <c r="EQ71" i="11"/>
  <c r="DZ81" i="11"/>
  <c r="EY82" i="11"/>
  <c r="DY83" i="11"/>
  <c r="EX80" i="11"/>
  <c r="DW85" i="11"/>
  <c r="EO87" i="11"/>
  <c r="EB74" i="11"/>
  <c r="EV87" i="11"/>
  <c r="ES70" i="11"/>
  <c r="EU76" i="11"/>
  <c r="EU89" i="11"/>
  <c r="ER88" i="11"/>
  <c r="EA82" i="11"/>
  <c r="DU74" i="11"/>
  <c r="ES76" i="11"/>
  <c r="DR72" i="11"/>
  <c r="EQ75" i="11"/>
  <c r="DW78" i="11"/>
  <c r="DR85" i="11"/>
  <c r="EY78" i="11"/>
  <c r="EZ85" i="11"/>
  <c r="DZ84" i="11"/>
  <c r="EA71" i="11"/>
  <c r="DS78" i="11"/>
  <c r="DW91" i="11"/>
  <c r="DY85" i="11"/>
  <c r="EB71" i="11"/>
  <c r="DR88" i="11"/>
  <c r="EP73" i="11"/>
  <c r="EX82" i="11"/>
  <c r="DY71" i="11"/>
  <c r="EW87" i="11"/>
  <c r="EP76" i="11"/>
  <c r="EQ80" i="11"/>
  <c r="DZ78" i="11"/>
  <c r="ER76" i="11"/>
  <c r="EU80" i="11"/>
  <c r="DW72" i="11"/>
  <c r="EB80" i="11"/>
  <c r="EW75" i="11"/>
  <c r="EY73" i="11"/>
  <c r="DU77" i="11"/>
  <c r="ET81" i="11"/>
  <c r="DU84" i="11"/>
  <c r="EX84" i="11"/>
  <c r="EW83" i="11"/>
  <c r="DW90" i="11"/>
  <c r="EW78" i="11"/>
  <c r="EU74" i="11"/>
  <c r="EU73" i="11"/>
  <c r="ER86" i="11"/>
  <c r="DT83" i="11"/>
  <c r="EU82" i="11"/>
  <c r="EV80" i="11"/>
  <c r="EP85" i="11"/>
  <c r="EB87" i="11"/>
  <c r="EZ80" i="11"/>
  <c r="ER73" i="11"/>
  <c r="ES75" i="11"/>
  <c r="DU78" i="11"/>
  <c r="EY72" i="11"/>
  <c r="EO88" i="11"/>
  <c r="EV76" i="11"/>
  <c r="ER79" i="11"/>
  <c r="EZ76" i="11"/>
  <c r="EZ82" i="11"/>
  <c r="ER84" i="11"/>
  <c r="EQ83" i="11"/>
  <c r="DS73" i="11"/>
  <c r="EQ78" i="11"/>
  <c r="EW72" i="11"/>
  <c r="EX77" i="11"/>
  <c r="EX86" i="11"/>
  <c r="EV71" i="11"/>
  <c r="EV74" i="11"/>
  <c r="DW93" i="11"/>
  <c r="EU77" i="11"/>
  <c r="DW89" i="11"/>
  <c r="EA77" i="11"/>
  <c r="EA85" i="11"/>
  <c r="EW73" i="11"/>
  <c r="DU86" i="11"/>
  <c r="ES83" i="11"/>
  <c r="ET71" i="11"/>
  <c r="EY76" i="11"/>
  <c r="ER83" i="11"/>
  <c r="DR82" i="11"/>
  <c r="EW70" i="11"/>
  <c r="EU78" i="11"/>
  <c r="EB70" i="11"/>
  <c r="EY79" i="11"/>
  <c r="DT80" i="11"/>
  <c r="EO91" i="11"/>
  <c r="DS85" i="11"/>
  <c r="DT85" i="11"/>
  <c r="DT82" i="11"/>
  <c r="DS71" i="11"/>
  <c r="EP79" i="11"/>
  <c r="EQ88" i="11"/>
  <c r="EP78" i="11"/>
  <c r="EW80" i="11"/>
  <c r="ER78" i="11"/>
  <c r="EB73" i="11"/>
  <c r="DR77" i="11"/>
  <c r="EO71" i="11"/>
  <c r="EO72" i="11"/>
  <c r="DU80" i="11"/>
  <c r="DZ86" i="11"/>
  <c r="EP71" i="11"/>
  <c r="EV82" i="11"/>
  <c r="EQ70" i="11"/>
  <c r="EO78" i="11"/>
  <c r="EV85" i="11"/>
  <c r="DZ72" i="11"/>
  <c r="DU71" i="11"/>
  <c r="EW81" i="11"/>
  <c r="DW74" i="11"/>
  <c r="DW71" i="11"/>
  <c r="DR81" i="11"/>
  <c r="DW87" i="11"/>
  <c r="EA76" i="11"/>
  <c r="DW77" i="11"/>
  <c r="EV75" i="11"/>
  <c r="DU82" i="11"/>
  <c r="ES85" i="11"/>
  <c r="EO75" i="11"/>
  <c r="EB84" i="11"/>
  <c r="EW82" i="11"/>
  <c r="EU70" i="11"/>
  <c r="DY72" i="11"/>
  <c r="EY88" i="11"/>
  <c r="DR79" i="11"/>
  <c r="EQ87" i="11"/>
  <c r="EA72" i="11"/>
  <c r="ES87" i="11"/>
  <c r="DT79" i="11"/>
  <c r="EZ87" i="11"/>
  <c r="DT73" i="11"/>
  <c r="DY84" i="11"/>
  <c r="DS88" i="11"/>
  <c r="DR75" i="11"/>
  <c r="ET85" i="11"/>
  <c r="AX61" i="4"/>
  <c r="AZ62" i="4"/>
  <c r="AY60" i="4"/>
  <c r="AX62" i="4"/>
  <c r="AZ61" i="4"/>
  <c r="AZ60" i="4"/>
  <c r="AJ60" i="4"/>
  <c r="AL60" i="4"/>
  <c r="FK71" i="11"/>
  <c r="FL71" i="11"/>
  <c r="FF71" i="11"/>
  <c r="K65" i="3"/>
  <c r="FN71" i="11"/>
  <c r="GG71" i="11"/>
  <c r="GJ71" i="11"/>
  <c r="DF128" i="11"/>
  <c r="FE71" i="11"/>
  <c r="DN128" i="11"/>
  <c r="FG71" i="11"/>
  <c r="GB71" i="11"/>
  <c r="CJ128" i="11"/>
  <c r="CK128" i="11"/>
  <c r="DL128" i="11"/>
  <c r="DD128" i="11"/>
  <c r="GL71" i="11"/>
  <c r="DK128" i="11"/>
  <c r="CO128" i="11"/>
  <c r="DH128" i="11"/>
  <c r="DG128" i="11"/>
  <c r="FD71" i="11"/>
  <c r="CI128" i="11"/>
  <c r="DM128" i="11"/>
  <c r="FI71" i="11"/>
  <c r="CH128" i="11"/>
  <c r="CP128" i="11"/>
  <c r="E12" i="1" s="1"/>
  <c r="DI128" i="11"/>
  <c r="CG128" i="11"/>
  <c r="CN128" i="11"/>
  <c r="FM71" i="11"/>
  <c r="CF128" i="11"/>
  <c r="DE128" i="11"/>
  <c r="GI71" i="11"/>
  <c r="CM128" i="11"/>
  <c r="GK71" i="11"/>
  <c r="GD71" i="11"/>
  <c r="GC71" i="11"/>
  <c r="GE71" i="11"/>
  <c r="AV63" i="4"/>
  <c r="AH63" i="4"/>
  <c r="BL62" i="4"/>
  <c r="BN62" i="4"/>
  <c r="AD57" i="4"/>
  <c r="BT57" i="4"/>
  <c r="AD51" i="4"/>
  <c r="BT51" i="4"/>
  <c r="AD45" i="4"/>
  <c r="BT45" i="4"/>
  <c r="AD56" i="4"/>
  <c r="BT56" i="4"/>
  <c r="AD50" i="4"/>
  <c r="BT50" i="4"/>
  <c r="AD44" i="4"/>
  <c r="BT44" i="4"/>
  <c r="AD60" i="4"/>
  <c r="BT60" i="4"/>
  <c r="AD55" i="4"/>
  <c r="BT55" i="4"/>
  <c r="AD49" i="4"/>
  <c r="BT49" i="4"/>
  <c r="AD43" i="4"/>
  <c r="BT43" i="4"/>
  <c r="AD61" i="4"/>
  <c r="BT61" i="4"/>
  <c r="AD54" i="4"/>
  <c r="BT54" i="4"/>
  <c r="AD48" i="4"/>
  <c r="BT48" i="4"/>
  <c r="AD42" i="4"/>
  <c r="BT42" i="4"/>
  <c r="AD59" i="4"/>
  <c r="BT59" i="4"/>
  <c r="AD53" i="4"/>
  <c r="BT53" i="4"/>
  <c r="AD47" i="4"/>
  <c r="BT47" i="4"/>
  <c r="AD41" i="4"/>
  <c r="BT41" i="4"/>
  <c r="AD58" i="4"/>
  <c r="BT58" i="4"/>
  <c r="AD52" i="4"/>
  <c r="BT52" i="4"/>
  <c r="AD46" i="4"/>
  <c r="BT46" i="4"/>
  <c r="J62" i="4"/>
  <c r="X61" i="4"/>
  <c r="H62" i="4"/>
  <c r="D68" i="1" s="1"/>
  <c r="V61" i="4"/>
  <c r="P62" i="4"/>
  <c r="W61" i="4"/>
  <c r="BM61" i="4"/>
  <c r="G12" i="1" l="1"/>
  <c r="F12" i="1"/>
  <c r="H68" i="1"/>
  <c r="G68" i="1"/>
  <c r="F68" i="1"/>
  <c r="L68" i="1" s="1"/>
  <c r="E68" i="1"/>
  <c r="P71" i="1"/>
  <c r="N71" i="1"/>
  <c r="P72" i="1"/>
  <c r="N72" i="1"/>
  <c r="P73" i="1"/>
  <c r="N73" i="1"/>
  <c r="F67" i="1"/>
  <c r="L67" i="1" s="1"/>
  <c r="K63" i="4"/>
  <c r="AO61" i="4"/>
  <c r="AA62" i="4"/>
  <c r="AM63" i="4"/>
  <c r="AN63" i="4"/>
  <c r="AP63" i="4"/>
  <c r="AO63" i="4"/>
  <c r="Z62" i="4"/>
  <c r="AN61" i="4"/>
  <c r="G67" i="1"/>
  <c r="M63" i="4"/>
  <c r="AZ63" i="4"/>
  <c r="BA63" i="4"/>
  <c r="BB63" i="4"/>
  <c r="BD63" i="4"/>
  <c r="BC63" i="4"/>
  <c r="AP61" i="4"/>
  <c r="AB62" i="4"/>
  <c r="Y62" i="4"/>
  <c r="AM61" i="4"/>
  <c r="EN128" i="11"/>
  <c r="F13" i="1" s="1"/>
  <c r="I72" i="1"/>
  <c r="I71" i="1"/>
  <c r="I73" i="1"/>
  <c r="DV128" i="11"/>
  <c r="EF128" i="11"/>
  <c r="EL130" i="11"/>
  <c r="ED128" i="11"/>
  <c r="EI128" i="11"/>
  <c r="EM130" i="11"/>
  <c r="BO70" i="18"/>
  <c r="Q70" i="13"/>
  <c r="R71" i="13"/>
  <c r="BO45" i="19"/>
  <c r="BO45" i="13"/>
  <c r="J65" i="3"/>
  <c r="K85" i="10"/>
  <c r="K86" i="10"/>
  <c r="BG85" i="10"/>
  <c r="BG86" i="10"/>
  <c r="BO71" i="19"/>
  <c r="W86" i="10"/>
  <c r="W85" i="10"/>
  <c r="BO71" i="18"/>
  <c r="BO45" i="20"/>
  <c r="BO45" i="18"/>
  <c r="P44" i="13"/>
  <c r="Q71" i="13" s="1"/>
  <c r="Q45" i="13"/>
  <c r="BI72" i="19"/>
  <c r="BI73" i="19"/>
  <c r="Y72" i="18"/>
  <c r="Y73" i="18"/>
  <c r="M72" i="13"/>
  <c r="M73" i="13"/>
  <c r="BU72" i="20"/>
  <c r="BU73" i="20"/>
  <c r="BU72" i="18"/>
  <c r="BU73" i="18"/>
  <c r="M73" i="18"/>
  <c r="M72" i="18"/>
  <c r="BU73" i="19"/>
  <c r="BU72" i="19"/>
  <c r="M72" i="20"/>
  <c r="M73" i="20"/>
  <c r="BU72" i="13"/>
  <c r="BU73" i="13"/>
  <c r="BI72" i="18"/>
  <c r="BI73" i="18"/>
  <c r="Y73" i="20"/>
  <c r="Y72" i="20"/>
  <c r="BI73" i="13"/>
  <c r="BI72" i="13"/>
  <c r="Y72" i="13"/>
  <c r="Y73" i="13"/>
  <c r="Y73" i="19"/>
  <c r="Y72" i="19"/>
  <c r="M72" i="19"/>
  <c r="M73" i="19"/>
  <c r="BI73" i="20"/>
  <c r="BI72" i="20"/>
  <c r="DS130" i="11"/>
  <c r="EZ130" i="11"/>
  <c r="EB130" i="11"/>
  <c r="EU130" i="11"/>
  <c r="ER130" i="11"/>
  <c r="DU130" i="11"/>
  <c r="DR130" i="11"/>
  <c r="DY130" i="11"/>
  <c r="DZ130" i="11"/>
  <c r="EQ130" i="11"/>
  <c r="DT130" i="11"/>
  <c r="EP130" i="11"/>
  <c r="EA130" i="11"/>
  <c r="EX130" i="11"/>
  <c r="EW130" i="11"/>
  <c r="ET130" i="11"/>
  <c r="ES130" i="11"/>
  <c r="EY130" i="11"/>
  <c r="DW130" i="11"/>
  <c r="G63" i="4"/>
  <c r="AX63" i="4"/>
  <c r="AY62" i="4"/>
  <c r="BF50" i="4"/>
  <c r="BF60" i="4"/>
  <c r="BF56" i="4"/>
  <c r="BF49" i="4"/>
  <c r="BF59" i="4"/>
  <c r="BF52" i="4"/>
  <c r="BF53" i="4"/>
  <c r="BF51" i="4"/>
  <c r="BF55" i="4"/>
  <c r="BF62" i="4"/>
  <c r="BF54" i="4"/>
  <c r="BF58" i="4"/>
  <c r="BF57" i="4"/>
  <c r="BF61" i="4"/>
  <c r="BF63" i="4"/>
  <c r="AY61" i="4"/>
  <c r="AY63" i="4"/>
  <c r="BF47" i="4"/>
  <c r="BF45" i="4"/>
  <c r="BF48" i="4"/>
  <c r="BF43" i="4"/>
  <c r="BF46" i="4"/>
  <c r="BF44" i="4"/>
  <c r="BF41" i="4"/>
  <c r="BF42" i="4"/>
  <c r="AL63" i="4"/>
  <c r="AJ61" i="4"/>
  <c r="AL61" i="4"/>
  <c r="AR60" i="4"/>
  <c r="AR63" i="4"/>
  <c r="AR55" i="4"/>
  <c r="AR56" i="4"/>
  <c r="AR58" i="4"/>
  <c r="AR59" i="4"/>
  <c r="AR62" i="4"/>
  <c r="AR61" i="4"/>
  <c r="AR57" i="4"/>
  <c r="AJ62" i="4"/>
  <c r="AL62" i="4"/>
  <c r="AJ63" i="4"/>
  <c r="AR50" i="4"/>
  <c r="AR49" i="4"/>
  <c r="AR53" i="4"/>
  <c r="AR52" i="4"/>
  <c r="AR48" i="4"/>
  <c r="AR51" i="4"/>
  <c r="AR54" i="4"/>
  <c r="AR41" i="4"/>
  <c r="AR47" i="4"/>
  <c r="AR42" i="4"/>
  <c r="AR45" i="4"/>
  <c r="AR43" i="4"/>
  <c r="AR46" i="4"/>
  <c r="AR44" i="4"/>
  <c r="EU128" i="11"/>
  <c r="DR128" i="11"/>
  <c r="EP128" i="11"/>
  <c r="DT128" i="11"/>
  <c r="DW128" i="11"/>
  <c r="ES128" i="11"/>
  <c r="EQ128" i="11"/>
  <c r="DZ128" i="11"/>
  <c r="ER128" i="11"/>
  <c r="DY128" i="11"/>
  <c r="DS128" i="11"/>
  <c r="EX128" i="11"/>
  <c r="EZ128" i="11"/>
  <c r="EW128" i="11"/>
  <c r="EB128" i="11"/>
  <c r="ET128" i="11"/>
  <c r="DU128" i="11"/>
  <c r="EA128" i="11"/>
  <c r="EY128" i="11"/>
  <c r="AV64" i="4"/>
  <c r="AH64" i="4"/>
  <c r="AD62" i="4"/>
  <c r="BT62" i="4"/>
  <c r="X62" i="4"/>
  <c r="V62" i="4"/>
  <c r="BS53" i="4"/>
  <c r="BS47" i="4"/>
  <c r="BS44" i="4"/>
  <c r="BS52" i="4"/>
  <c r="BS54" i="4"/>
  <c r="BS46" i="4"/>
  <c r="BS41" i="4"/>
  <c r="BS50" i="4"/>
  <c r="BS45" i="4"/>
  <c r="BS48" i="4"/>
  <c r="BS43" i="4"/>
  <c r="BS49" i="4"/>
  <c r="BS42" i="4"/>
  <c r="BS51" i="4"/>
  <c r="BS55" i="4"/>
  <c r="BS56" i="4"/>
  <c r="BS57" i="4"/>
  <c r="G13" i="1" l="1"/>
  <c r="E13" i="1"/>
  <c r="M68" i="1"/>
  <c r="M69" i="1"/>
  <c r="P68" i="1"/>
  <c r="N68" i="1"/>
  <c r="L69" i="1"/>
  <c r="N69" i="1"/>
  <c r="P69" i="1"/>
  <c r="H12" i="1"/>
  <c r="J12" i="1"/>
  <c r="Q73" i="1"/>
  <c r="O73" i="1"/>
  <c r="Q71" i="1"/>
  <c r="O71" i="1"/>
  <c r="Q72" i="1"/>
  <c r="O72" i="1"/>
  <c r="Y63" i="4"/>
  <c r="AR64" i="4"/>
  <c r="AM64" i="4"/>
  <c r="AN64" i="4"/>
  <c r="AP64" i="4"/>
  <c r="AO64" i="4"/>
  <c r="BF64" i="4"/>
  <c r="BA64" i="4"/>
  <c r="BB64" i="4"/>
  <c r="BD64" i="4"/>
  <c r="BC64" i="4"/>
  <c r="AA63" i="4"/>
  <c r="BO73" i="18"/>
  <c r="BO72" i="18"/>
  <c r="BO71" i="20"/>
  <c r="BO73" i="19"/>
  <c r="BO72" i="19"/>
  <c r="Q73" i="13"/>
  <c r="Q72" i="13"/>
  <c r="P71" i="13"/>
  <c r="P72" i="13" s="1"/>
  <c r="R73" i="13"/>
  <c r="R72" i="13"/>
  <c r="BO71" i="13"/>
  <c r="P45" i="13"/>
  <c r="Q65" i="3"/>
  <c r="P65" i="3"/>
  <c r="I65" i="3"/>
  <c r="AL64" i="4"/>
  <c r="AY64" i="4"/>
  <c r="AJ64" i="4"/>
  <c r="AZ64" i="4"/>
  <c r="AX64" i="4"/>
  <c r="BE50" i="4"/>
  <c r="BE54" i="4"/>
  <c r="BE53" i="4"/>
  <c r="BE57" i="4"/>
  <c r="BE49" i="4"/>
  <c r="BE52" i="4"/>
  <c r="BE56" i="4"/>
  <c r="BE51" i="4"/>
  <c r="BE55" i="4"/>
  <c r="BE44" i="4"/>
  <c r="BE47" i="4"/>
  <c r="BE43" i="4"/>
  <c r="BE46" i="4"/>
  <c r="BE45" i="4"/>
  <c r="BE48" i="4"/>
  <c r="BE41" i="4"/>
  <c r="BE42" i="4"/>
  <c r="AH65" i="4"/>
  <c r="AV65" i="4"/>
  <c r="AE65" i="3"/>
  <c r="AC60" i="4"/>
  <c r="BS60" i="4"/>
  <c r="BS59" i="4"/>
  <c r="AC59" i="4"/>
  <c r="AC61" i="4"/>
  <c r="BS61" i="4"/>
  <c r="AC58" i="4"/>
  <c r="BS58" i="4"/>
  <c r="I13" i="1" l="1"/>
  <c r="H13" i="1"/>
  <c r="J13" i="1"/>
  <c r="I12" i="1"/>
  <c r="BA65" i="4"/>
  <c r="BB65" i="4"/>
  <c r="BD65" i="4"/>
  <c r="BC65" i="4"/>
  <c r="AM65" i="4"/>
  <c r="AN65" i="4"/>
  <c r="AP65" i="4"/>
  <c r="AO65" i="4"/>
  <c r="BO73" i="20"/>
  <c r="BO72" i="20"/>
  <c r="P73" i="13"/>
  <c r="BO72" i="13"/>
  <c r="BO73" i="13"/>
  <c r="AZ65" i="4"/>
  <c r="AX65" i="4"/>
  <c r="AY65" i="4"/>
  <c r="BF65" i="4"/>
  <c r="AJ65" i="4"/>
  <c r="AL65" i="4"/>
  <c r="AR65" i="4"/>
  <c r="BE59" i="4"/>
  <c r="BE63" i="4"/>
  <c r="BE64" i="4"/>
  <c r="BE62" i="4"/>
  <c r="BE60" i="4"/>
  <c r="BE58" i="4"/>
  <c r="BE65" i="4"/>
  <c r="BE61" i="4"/>
  <c r="AV66" i="4"/>
  <c r="AH66" i="4"/>
  <c r="BS62" i="4"/>
  <c r="BE66" i="4" l="1"/>
  <c r="BA66" i="4"/>
  <c r="BB66" i="4"/>
  <c r="BD66" i="4"/>
  <c r="BC66" i="4"/>
  <c r="AM66" i="4"/>
  <c r="AN66" i="4"/>
  <c r="AP66" i="4"/>
  <c r="AO66" i="4"/>
  <c r="AJ66" i="4"/>
  <c r="AL66" i="4"/>
  <c r="AR66" i="4"/>
  <c r="AZ66" i="4"/>
  <c r="AX66" i="4"/>
  <c r="BF66" i="4"/>
  <c r="AY66" i="4"/>
  <c r="AV67" i="4"/>
  <c r="AH67" i="4"/>
  <c r="BA67" i="4" l="1"/>
  <c r="BB67" i="4"/>
  <c r="BD67" i="4"/>
  <c r="BC67" i="4"/>
  <c r="AM67" i="4"/>
  <c r="AN67" i="4"/>
  <c r="AP67" i="4"/>
  <c r="AO67" i="4"/>
  <c r="AR67" i="4"/>
  <c r="AJ67" i="4"/>
  <c r="AL67" i="4"/>
  <c r="AX67" i="4"/>
  <c r="AZ67" i="4"/>
  <c r="AY67" i="4"/>
  <c r="BF67" i="4"/>
  <c r="BE67" i="4"/>
  <c r="AH68" i="4"/>
  <c r="AV68" i="4"/>
  <c r="BA68" i="4" l="1"/>
  <c r="BB68" i="4"/>
  <c r="BD68" i="4"/>
  <c r="BC68" i="4"/>
  <c r="AM68" i="4"/>
  <c r="AN68" i="4"/>
  <c r="AP68" i="4"/>
  <c r="AO68" i="4"/>
  <c r="AX68" i="4"/>
  <c r="AZ68" i="4"/>
  <c r="BF68" i="4"/>
  <c r="AY68" i="4"/>
  <c r="BE68" i="4"/>
  <c r="AL68" i="4"/>
  <c r="AR68" i="4"/>
  <c r="AJ68" i="4"/>
  <c r="AV69" i="4"/>
  <c r="AH69" i="4"/>
  <c r="AM69" i="4" l="1"/>
  <c r="AN69" i="4"/>
  <c r="AP69" i="4"/>
  <c r="AO69" i="4"/>
  <c r="BA69" i="4"/>
  <c r="BB69" i="4"/>
  <c r="BD69" i="4"/>
  <c r="BC69" i="4"/>
  <c r="AJ69" i="4"/>
  <c r="AR69" i="4"/>
  <c r="AL69" i="4"/>
  <c r="AX69" i="4"/>
  <c r="AZ69" i="4"/>
  <c r="AY69" i="4"/>
  <c r="BF69" i="4"/>
  <c r="BE69" i="4"/>
  <c r="AH70" i="4"/>
  <c r="AV70" i="4"/>
  <c r="BA70" i="4" l="1"/>
  <c r="BB70" i="4"/>
  <c r="BD70" i="4"/>
  <c r="BC70" i="4"/>
  <c r="AM70" i="4"/>
  <c r="AN70" i="4"/>
  <c r="AP70" i="4"/>
  <c r="AO70" i="4"/>
  <c r="AX70" i="4"/>
  <c r="AZ70" i="4"/>
  <c r="AY70" i="4"/>
  <c r="BF70" i="4"/>
  <c r="BE70" i="4"/>
  <c r="AJ70" i="4"/>
  <c r="AL70" i="4"/>
  <c r="AR70" i="4"/>
  <c r="AV71" i="4"/>
  <c r="AH71" i="4"/>
  <c r="AM71" i="4" l="1"/>
  <c r="AN71" i="4"/>
  <c r="AP71" i="4"/>
  <c r="AO71" i="4"/>
  <c r="BA71" i="4"/>
  <c r="BB71" i="4"/>
  <c r="BD71" i="4"/>
  <c r="BC71" i="4"/>
  <c r="AJ71" i="4"/>
  <c r="AR71" i="4"/>
  <c r="AL71" i="4"/>
  <c r="AZ71" i="4"/>
  <c r="AX71" i="4"/>
  <c r="AY71" i="4"/>
  <c r="BF71" i="4"/>
  <c r="BE71" i="4"/>
  <c r="AH72" i="4"/>
  <c r="AV72" i="4"/>
  <c r="AF54" i="4"/>
  <c r="BV54" i="4"/>
  <c r="AF57" i="4"/>
  <c r="BV57" i="4"/>
  <c r="AF61" i="4"/>
  <c r="BV61" i="4"/>
  <c r="AF55" i="4"/>
  <c r="BV55" i="4"/>
  <c r="AF49" i="4"/>
  <c r="BV49" i="4"/>
  <c r="AF43" i="4"/>
  <c r="BV43" i="4"/>
  <c r="AF60" i="4"/>
  <c r="BV60" i="4"/>
  <c r="AF59" i="4"/>
  <c r="BV59" i="4"/>
  <c r="AF53" i="4"/>
  <c r="BV53" i="4"/>
  <c r="AF47" i="4"/>
  <c r="BV47" i="4"/>
  <c r="AF41" i="4"/>
  <c r="BV41" i="4"/>
  <c r="AF58" i="4"/>
  <c r="BV58" i="4"/>
  <c r="AF52" i="4"/>
  <c r="BV52" i="4"/>
  <c r="AF46" i="4"/>
  <c r="BV46" i="4"/>
  <c r="AF45" i="4"/>
  <c r="BV45" i="4"/>
  <c r="AF48" i="4"/>
  <c r="BV48" i="4"/>
  <c r="AF42" i="4"/>
  <c r="BV42" i="4"/>
  <c r="AF51" i="4"/>
  <c r="BV51" i="4"/>
  <c r="AF56" i="4"/>
  <c r="BV56" i="4"/>
  <c r="AF50" i="4"/>
  <c r="BV50" i="4"/>
  <c r="AF44" i="4"/>
  <c r="BV44" i="4"/>
  <c r="R62" i="4"/>
  <c r="BU44" i="4"/>
  <c r="BU43" i="4"/>
  <c r="BU57" i="4"/>
  <c r="BU54" i="4"/>
  <c r="BU47" i="4"/>
  <c r="BU45" i="4"/>
  <c r="BU41" i="4"/>
  <c r="BU51" i="4"/>
  <c r="BU55" i="4"/>
  <c r="BU50" i="4"/>
  <c r="BU46" i="4"/>
  <c r="BU48" i="4"/>
  <c r="BU42" i="4"/>
  <c r="BU52" i="4"/>
  <c r="BU53" i="4"/>
  <c r="BU49" i="4"/>
  <c r="BU56" i="4"/>
  <c r="I68" i="1" l="1"/>
  <c r="BA72" i="4"/>
  <c r="BB72" i="4"/>
  <c r="BD72" i="4"/>
  <c r="BC72" i="4"/>
  <c r="AM72" i="4"/>
  <c r="AN72" i="4"/>
  <c r="AP72" i="4"/>
  <c r="AO72" i="4"/>
  <c r="AZ72" i="4"/>
  <c r="AX72" i="4"/>
  <c r="BF72" i="4"/>
  <c r="AY72" i="4"/>
  <c r="BE72" i="4"/>
  <c r="AL72" i="4"/>
  <c r="AJ72" i="4"/>
  <c r="AR72" i="4"/>
  <c r="BH72" i="4"/>
  <c r="BH71" i="4"/>
  <c r="BH68" i="4"/>
  <c r="BH69" i="4"/>
  <c r="BH70" i="4"/>
  <c r="BG54" i="4"/>
  <c r="BG49" i="4"/>
  <c r="BG53" i="4"/>
  <c r="BG57" i="4"/>
  <c r="BG52" i="4"/>
  <c r="BG55" i="4"/>
  <c r="BG56" i="4"/>
  <c r="BG50" i="4"/>
  <c r="BG51" i="4"/>
  <c r="BH67" i="4"/>
  <c r="BH66" i="4"/>
  <c r="BH52" i="4"/>
  <c r="BH50" i="4"/>
  <c r="BH54" i="4"/>
  <c r="BH58" i="4"/>
  <c r="BH61" i="4"/>
  <c r="BH53" i="4"/>
  <c r="BH57" i="4"/>
  <c r="BH49" i="4"/>
  <c r="BH56" i="4"/>
  <c r="BH60" i="4"/>
  <c r="BH64" i="4"/>
  <c r="BH59" i="4"/>
  <c r="BH63" i="4"/>
  <c r="BH62" i="4"/>
  <c r="BH65" i="4"/>
  <c r="BH51" i="4"/>
  <c r="BH55" i="4"/>
  <c r="BG43" i="4"/>
  <c r="BG46" i="4"/>
  <c r="BG44" i="4"/>
  <c r="BG47" i="4"/>
  <c r="BG48" i="4"/>
  <c r="BG45" i="4"/>
  <c r="BH43" i="4"/>
  <c r="BH47" i="4"/>
  <c r="BH44" i="4"/>
  <c r="BH45" i="4"/>
  <c r="BH46" i="4"/>
  <c r="BH48" i="4"/>
  <c r="AT66" i="4"/>
  <c r="BG41" i="4"/>
  <c r="BG42" i="4"/>
  <c r="BH41" i="4"/>
  <c r="BH42" i="4"/>
  <c r="AT72" i="4"/>
  <c r="AT71" i="4"/>
  <c r="AT68" i="4"/>
  <c r="AT69" i="4"/>
  <c r="AT67" i="4"/>
  <c r="AT70" i="4"/>
  <c r="AT55" i="4"/>
  <c r="AT63" i="4"/>
  <c r="AT59" i="4"/>
  <c r="AT64" i="4"/>
  <c r="AT62" i="4"/>
  <c r="AT56" i="4"/>
  <c r="AT58" i="4"/>
  <c r="AT65" i="4"/>
  <c r="AT57" i="4"/>
  <c r="AT61" i="4"/>
  <c r="AT60" i="4"/>
  <c r="AT52" i="4"/>
  <c r="AT49" i="4"/>
  <c r="AT50" i="4"/>
  <c r="AT53" i="4"/>
  <c r="AT48" i="4"/>
  <c r="AT51" i="4"/>
  <c r="AT54" i="4"/>
  <c r="AT41" i="4"/>
  <c r="AT44" i="4"/>
  <c r="AT47" i="4"/>
  <c r="AT42" i="4"/>
  <c r="AT45" i="4"/>
  <c r="AT43" i="4"/>
  <c r="AT46" i="4"/>
  <c r="AV73" i="4"/>
  <c r="AH73" i="4"/>
  <c r="AF62" i="4"/>
  <c r="BV62" i="4"/>
  <c r="BU61" i="4"/>
  <c r="AE61" i="4"/>
  <c r="BU59" i="4"/>
  <c r="AE59" i="4"/>
  <c r="BU60" i="4"/>
  <c r="AE60" i="4"/>
  <c r="BU58" i="4"/>
  <c r="AE58" i="4"/>
  <c r="Q68" i="1" l="1"/>
  <c r="O68" i="1"/>
  <c r="O69" i="1"/>
  <c r="Q69" i="1"/>
  <c r="AM73" i="4"/>
  <c r="AN73" i="4"/>
  <c r="AP73" i="4"/>
  <c r="AO73" i="4"/>
  <c r="BH73" i="4"/>
  <c r="BA73" i="4"/>
  <c r="BB73" i="4"/>
  <c r="BD73" i="4"/>
  <c r="BC73" i="4"/>
  <c r="BG72" i="4"/>
  <c r="AJ73" i="4"/>
  <c r="AR73" i="4"/>
  <c r="AL73" i="4"/>
  <c r="AX73" i="4"/>
  <c r="AZ73" i="4"/>
  <c r="AY73" i="4"/>
  <c r="BF73" i="4"/>
  <c r="BE73" i="4"/>
  <c r="AT73" i="4"/>
  <c r="BG66" i="4"/>
  <c r="BG69" i="4"/>
  <c r="BG70" i="4"/>
  <c r="BG73" i="4"/>
  <c r="BG71" i="4"/>
  <c r="BG68" i="4"/>
  <c r="BG62" i="4"/>
  <c r="BG64" i="4"/>
  <c r="BG61" i="4"/>
  <c r="BG60" i="4"/>
  <c r="BG58" i="4"/>
  <c r="BG59" i="4"/>
  <c r="BG67" i="4"/>
  <c r="BG63" i="4"/>
  <c r="BG65" i="4"/>
  <c r="AH74" i="4"/>
  <c r="AV74" i="4"/>
  <c r="BA74" i="4" l="1"/>
  <c r="BB74" i="4"/>
  <c r="BD74" i="4"/>
  <c r="BC74" i="4"/>
  <c r="AM74" i="4"/>
  <c r="AN74" i="4"/>
  <c r="AP74" i="4"/>
  <c r="AO74" i="4"/>
  <c r="AZ74" i="4"/>
  <c r="AX74" i="4"/>
  <c r="AY74" i="4"/>
  <c r="BF74" i="4"/>
  <c r="BE74" i="4"/>
  <c r="BH74" i="4"/>
  <c r="BG74" i="4"/>
  <c r="AR74" i="4"/>
  <c r="AJ74" i="4"/>
  <c r="AL74" i="4"/>
  <c r="AT74" i="4"/>
  <c r="AV75" i="4"/>
  <c r="AH75" i="4"/>
  <c r="BA75" i="4" l="1"/>
  <c r="BB75" i="4"/>
  <c r="BD75" i="4"/>
  <c r="BC75" i="4"/>
  <c r="AM75" i="4"/>
  <c r="AN75" i="4"/>
  <c r="AP75" i="4"/>
  <c r="AO75" i="4"/>
  <c r="AZ75" i="4"/>
  <c r="AX75" i="4"/>
  <c r="BF75" i="4"/>
  <c r="AY75" i="4"/>
  <c r="BE75" i="4"/>
  <c r="BH75" i="4"/>
  <c r="BG75" i="4"/>
  <c r="AL75" i="4"/>
  <c r="AR75" i="4"/>
  <c r="AJ75" i="4"/>
  <c r="AT75" i="4"/>
  <c r="AH76" i="4"/>
  <c r="AV76" i="4"/>
  <c r="AM76" i="4" l="1"/>
  <c r="AN76" i="4"/>
  <c r="AP76" i="4"/>
  <c r="AO76" i="4"/>
  <c r="BA76" i="4"/>
  <c r="BB76" i="4"/>
  <c r="BD76" i="4"/>
  <c r="BC76" i="4"/>
  <c r="AL76" i="4"/>
  <c r="AR76" i="4"/>
  <c r="AJ76" i="4"/>
  <c r="AT76" i="4"/>
  <c r="AX76" i="4"/>
  <c r="AZ76" i="4"/>
  <c r="BF76" i="4"/>
  <c r="AY76" i="4"/>
  <c r="BE76" i="4"/>
  <c r="BH76" i="4"/>
  <c r="BG76" i="4"/>
  <c r="AV77" i="4"/>
  <c r="AH77" i="4"/>
  <c r="BA77" i="4" l="1"/>
  <c r="BB77" i="4"/>
  <c r="BD77" i="4"/>
  <c r="BC77" i="4"/>
  <c r="AM77" i="4"/>
  <c r="AN77" i="4"/>
  <c r="AP77" i="4"/>
  <c r="AO77" i="4"/>
  <c r="AZ77" i="4"/>
  <c r="AX77" i="4"/>
  <c r="BF77" i="4"/>
  <c r="AY77" i="4"/>
  <c r="BE77" i="4"/>
  <c r="BH77" i="4"/>
  <c r="BG77" i="4"/>
  <c r="AR77" i="4"/>
  <c r="AL77" i="4"/>
  <c r="AJ77" i="4"/>
  <c r="AT77" i="4"/>
  <c r="AH78" i="4"/>
  <c r="AV78" i="4"/>
  <c r="AM78" i="4" l="1"/>
  <c r="AN78" i="4"/>
  <c r="AP78" i="4"/>
  <c r="AO78" i="4"/>
  <c r="BA78" i="4"/>
  <c r="BB78" i="4"/>
  <c r="BD78" i="4"/>
  <c r="BC78" i="4"/>
  <c r="AR78" i="4"/>
  <c r="AL78" i="4"/>
  <c r="AJ78" i="4"/>
  <c r="AT78" i="4"/>
  <c r="AX78" i="4"/>
  <c r="AZ78" i="4"/>
  <c r="AY78" i="4"/>
  <c r="BF78" i="4"/>
  <c r="BE78" i="4"/>
  <c r="BH78" i="4"/>
  <c r="BG78" i="4"/>
  <c r="AV79" i="4"/>
  <c r="AH79" i="4"/>
  <c r="AK65" i="3"/>
  <c r="BA79" i="4" l="1"/>
  <c r="BB79" i="4"/>
  <c r="BD79" i="4"/>
  <c r="BC79" i="4"/>
  <c r="AM79" i="4"/>
  <c r="AN79" i="4"/>
  <c r="AP79" i="4"/>
  <c r="AO79" i="4"/>
  <c r="AZ79" i="4"/>
  <c r="AX79" i="4"/>
  <c r="BF79" i="4"/>
  <c r="AY79" i="4"/>
  <c r="BE79" i="4"/>
  <c r="BH79" i="4"/>
  <c r="BG79" i="4"/>
  <c r="AL79" i="4"/>
  <c r="AJ79" i="4"/>
  <c r="AR79" i="4"/>
  <c r="AT79" i="4"/>
  <c r="AH80" i="4"/>
  <c r="AV80" i="4"/>
  <c r="AM80" i="4" l="1"/>
  <c r="AN80" i="4"/>
  <c r="AP80" i="4"/>
  <c r="AO80" i="4"/>
  <c r="BA80" i="4"/>
  <c r="BB80" i="4"/>
  <c r="BD80" i="4"/>
  <c r="BC80" i="4"/>
  <c r="AL80" i="4"/>
  <c r="AR80" i="4"/>
  <c r="AJ80" i="4"/>
  <c r="AT80" i="4"/>
  <c r="AX80" i="4"/>
  <c r="AZ80" i="4"/>
  <c r="BF80" i="4"/>
  <c r="AY80" i="4"/>
  <c r="BE80" i="4"/>
  <c r="BH80" i="4"/>
  <c r="BG80" i="4"/>
  <c r="AV81" i="4"/>
  <c r="AH81" i="4"/>
  <c r="BA81" i="4" l="1"/>
  <c r="BB81" i="4"/>
  <c r="BD81" i="4"/>
  <c r="BC81" i="4"/>
  <c r="AM81" i="4"/>
  <c r="AP81" i="4"/>
  <c r="AN81" i="4"/>
  <c r="AO81" i="4"/>
  <c r="AJ81" i="4"/>
  <c r="AL81" i="4"/>
  <c r="AR81" i="4"/>
  <c r="AT81" i="4"/>
  <c r="AZ81" i="4"/>
  <c r="AX81" i="4"/>
  <c r="AY81" i="4"/>
  <c r="BF81" i="4"/>
  <c r="BE81" i="4"/>
  <c r="BH81" i="4"/>
  <c r="BG81" i="4"/>
  <c r="AH82" i="4"/>
  <c r="AV82" i="4"/>
  <c r="AM82" i="4" l="1"/>
  <c r="AP82" i="4"/>
  <c r="AN82" i="4"/>
  <c r="AO82" i="4"/>
  <c r="BA82" i="4"/>
  <c r="BB82" i="4"/>
  <c r="BD82" i="4"/>
  <c r="BC82" i="4"/>
  <c r="AL82" i="4"/>
  <c r="AR82" i="4"/>
  <c r="AJ82" i="4"/>
  <c r="AK82" i="4"/>
  <c r="AQ82" i="4"/>
  <c r="AT82" i="4"/>
  <c r="AS82" i="4"/>
  <c r="AX82" i="4"/>
  <c r="AZ82" i="4"/>
  <c r="BF82" i="4"/>
  <c r="AY82" i="4"/>
  <c r="BE82" i="4"/>
  <c r="BH82" i="4"/>
  <c r="BG82" i="4"/>
  <c r="AV83" i="4"/>
  <c r="AH83" i="4"/>
  <c r="AM83" i="4" l="1"/>
  <c r="AP83" i="4"/>
  <c r="AN83" i="4"/>
  <c r="AO83" i="4"/>
  <c r="BA83" i="4"/>
  <c r="BB83" i="4"/>
  <c r="BD83" i="4"/>
  <c r="BC83" i="4"/>
  <c r="AJ83" i="4"/>
  <c r="AK83" i="4"/>
  <c r="AR83" i="4"/>
  <c r="AL83" i="4"/>
  <c r="AQ83" i="4"/>
  <c r="AT83" i="4"/>
  <c r="AS83" i="4"/>
  <c r="AX83" i="4"/>
  <c r="AZ83" i="4"/>
  <c r="AY83" i="4"/>
  <c r="BF83" i="4"/>
  <c r="BE83" i="4"/>
  <c r="BH83" i="4"/>
  <c r="BG83" i="4"/>
  <c r="AH84" i="4"/>
  <c r="AV84" i="4"/>
  <c r="BA84" i="4" l="1"/>
  <c r="BB84" i="4"/>
  <c r="BD84" i="4"/>
  <c r="BC84" i="4"/>
  <c r="AM84" i="4"/>
  <c r="AP84" i="4"/>
  <c r="AN84" i="4"/>
  <c r="AO84" i="4"/>
  <c r="AR84" i="4"/>
  <c r="AJ84" i="4"/>
  <c r="AL84" i="4"/>
  <c r="AK84" i="4"/>
  <c r="AQ84" i="4"/>
  <c r="AT84" i="4"/>
  <c r="AS84" i="4"/>
  <c r="AZ84" i="4"/>
  <c r="AX84" i="4"/>
  <c r="AY84" i="4"/>
  <c r="BF84" i="4"/>
  <c r="BE84" i="4"/>
  <c r="BH84" i="4"/>
  <c r="BG84" i="4"/>
  <c r="AV85" i="4"/>
  <c r="AH85" i="4"/>
  <c r="AM85" i="4" l="1"/>
  <c r="AP85" i="4"/>
  <c r="AN85" i="4"/>
  <c r="AO85" i="4"/>
  <c r="BA85" i="4"/>
  <c r="BB85" i="4"/>
  <c r="BD85" i="4"/>
  <c r="BC85" i="4"/>
  <c r="AK85" i="4"/>
  <c r="AR85" i="4"/>
  <c r="AL85" i="4"/>
  <c r="AJ85" i="4"/>
  <c r="AQ85" i="4"/>
  <c r="AT85" i="4"/>
  <c r="AS85" i="4"/>
  <c r="AZ85" i="4"/>
  <c r="AX85" i="4"/>
  <c r="BF85" i="4"/>
  <c r="AY85" i="4"/>
  <c r="BE85" i="4"/>
  <c r="BH85" i="4"/>
  <c r="BG85" i="4"/>
  <c r="AH86" i="4"/>
  <c r="AV86" i="4"/>
  <c r="BA86" i="4" l="1"/>
  <c r="BB86" i="4"/>
  <c r="BD86" i="4"/>
  <c r="BC86" i="4"/>
  <c r="AO86" i="4"/>
  <c r="AP86" i="4"/>
  <c r="AM86" i="4"/>
  <c r="AN86" i="4"/>
  <c r="AY86" i="4"/>
  <c r="AX86" i="4"/>
  <c r="BE86" i="4"/>
  <c r="AZ86" i="4"/>
  <c r="BF86" i="4"/>
  <c r="BG86" i="4"/>
  <c r="BH86" i="4"/>
  <c r="AJ86" i="4"/>
  <c r="AK86" i="4"/>
  <c r="AQ86" i="4"/>
  <c r="AL86" i="4"/>
  <c r="AS86" i="4"/>
  <c r="AR86" i="4"/>
  <c r="AT86" i="4"/>
  <c r="AV87" i="4"/>
  <c r="AH87" i="4"/>
  <c r="AO87" i="4" l="1"/>
  <c r="AP87" i="4"/>
  <c r="AM87" i="4"/>
  <c r="AN87" i="4"/>
  <c r="BA87" i="4"/>
  <c r="BB87" i="4"/>
  <c r="BD87" i="4"/>
  <c r="BC87" i="4"/>
  <c r="AJ87" i="4"/>
  <c r="AK87" i="4"/>
  <c r="AQ87" i="4"/>
  <c r="AL87" i="4"/>
  <c r="AR87" i="4"/>
  <c r="AS87" i="4"/>
  <c r="AT87" i="4"/>
  <c r="AY87" i="4"/>
  <c r="AX87" i="4"/>
  <c r="BE87" i="4"/>
  <c r="AZ87" i="4"/>
  <c r="BF87" i="4"/>
  <c r="BG87" i="4"/>
  <c r="BH87" i="4"/>
  <c r="AV88" i="4"/>
  <c r="AH88" i="4"/>
  <c r="AO88" i="4" l="1"/>
  <c r="AP88" i="4"/>
  <c r="AM88" i="4"/>
  <c r="AN88" i="4"/>
  <c r="BA88" i="4"/>
  <c r="BB88" i="4"/>
  <c r="BD88" i="4"/>
  <c r="BC88" i="4"/>
  <c r="AY88" i="4"/>
  <c r="AX88" i="4"/>
  <c r="AZ88" i="4"/>
  <c r="BE88" i="4"/>
  <c r="BF88" i="4"/>
  <c r="BG88" i="4"/>
  <c r="BH88" i="4"/>
  <c r="AK88" i="4"/>
  <c r="AJ88" i="4"/>
  <c r="AQ88" i="4"/>
  <c r="AL88" i="4"/>
  <c r="AR88" i="4"/>
  <c r="AS88" i="4"/>
  <c r="AT88" i="4"/>
  <c r="AV89" i="4"/>
  <c r="AH89" i="4"/>
  <c r="AO89" i="4" l="1"/>
  <c r="AP89" i="4"/>
  <c r="AM89" i="4"/>
  <c r="AN89" i="4"/>
  <c r="BA89" i="4"/>
  <c r="BB89" i="4"/>
  <c r="BD89" i="4"/>
  <c r="BC89" i="4"/>
  <c r="AJ89" i="4"/>
  <c r="AK89" i="4"/>
  <c r="AL89" i="4"/>
  <c r="AQ89" i="4"/>
  <c r="AS89" i="4"/>
  <c r="AR89" i="4"/>
  <c r="AT89" i="4"/>
  <c r="AY89" i="4"/>
  <c r="AX89" i="4"/>
  <c r="BE89" i="4"/>
  <c r="AZ89" i="4"/>
  <c r="BF89" i="4"/>
  <c r="BG89" i="4"/>
  <c r="BH89" i="4"/>
  <c r="AV90" i="4"/>
  <c r="AH90" i="4"/>
  <c r="BA90" i="4" l="1"/>
  <c r="BB90" i="4"/>
  <c r="BD90" i="4"/>
  <c r="BC90" i="4"/>
  <c r="AO90" i="4"/>
  <c r="AP90" i="4"/>
  <c r="AM90" i="4"/>
  <c r="AN90" i="4"/>
  <c r="AK90" i="4"/>
  <c r="AJ90" i="4"/>
  <c r="AQ90" i="4"/>
  <c r="AL90" i="4"/>
  <c r="AR90" i="4"/>
  <c r="AS90" i="4"/>
  <c r="AT90" i="4"/>
  <c r="AY90" i="4"/>
  <c r="AX90" i="4"/>
  <c r="AZ90" i="4"/>
  <c r="BE90" i="4"/>
  <c r="BG90" i="4"/>
  <c r="BF90" i="4"/>
  <c r="BH90" i="4"/>
  <c r="AH91" i="4"/>
  <c r="AV91" i="4"/>
  <c r="BA91" i="4" l="1"/>
  <c r="BB91" i="4"/>
  <c r="BD91" i="4"/>
  <c r="BC91" i="4"/>
  <c r="AO91" i="4"/>
  <c r="AP91" i="4"/>
  <c r="AM91" i="4"/>
  <c r="AN91" i="4"/>
  <c r="AY91" i="4"/>
  <c r="AX91" i="4"/>
  <c r="BE91" i="4"/>
  <c r="AZ91" i="4"/>
  <c r="BF91" i="4"/>
  <c r="BG91" i="4"/>
  <c r="BH91" i="4"/>
  <c r="AK91" i="4"/>
  <c r="AJ91" i="4"/>
  <c r="AQ91" i="4"/>
  <c r="AL91" i="4"/>
  <c r="AS91" i="4"/>
  <c r="AR91" i="4"/>
  <c r="AT91" i="4"/>
  <c r="AH92" i="4"/>
  <c r="AV92" i="4"/>
  <c r="BA92" i="4" l="1"/>
  <c r="BB92" i="4"/>
  <c r="BD92" i="4"/>
  <c r="BC92" i="4"/>
  <c r="AO92" i="4"/>
  <c r="AP92" i="4"/>
  <c r="AM92" i="4"/>
  <c r="AN92" i="4"/>
  <c r="AY92" i="4"/>
  <c r="AX92" i="4"/>
  <c r="BE92" i="4"/>
  <c r="AZ92" i="4"/>
  <c r="BF92" i="4"/>
  <c r="BG92" i="4"/>
  <c r="BH92" i="4"/>
  <c r="AJ92" i="4"/>
  <c r="AK92" i="4"/>
  <c r="AL92" i="4"/>
  <c r="AQ92" i="4"/>
  <c r="AS92" i="4"/>
  <c r="AR92" i="4"/>
  <c r="AT92" i="4"/>
  <c r="AH93" i="4"/>
  <c r="AV93" i="4"/>
  <c r="BA93" i="4" l="1"/>
  <c r="BB93" i="4"/>
  <c r="BD93" i="4"/>
  <c r="BC93" i="4"/>
  <c r="AO93" i="4"/>
  <c r="AP93" i="4"/>
  <c r="AM93" i="4"/>
  <c r="AN93" i="4"/>
  <c r="AY93" i="4"/>
  <c r="AX93" i="4"/>
  <c r="AZ93" i="4"/>
  <c r="BE93" i="4"/>
  <c r="BF93" i="4"/>
  <c r="BG93" i="4"/>
  <c r="BH93" i="4"/>
  <c r="AJ93" i="4"/>
  <c r="AK93" i="4"/>
  <c r="AQ93" i="4"/>
  <c r="AL93" i="4"/>
  <c r="AS93" i="4"/>
  <c r="AR93" i="4"/>
  <c r="AT93" i="4"/>
  <c r="AV94" i="4"/>
  <c r="AH94" i="4"/>
  <c r="AO94" i="4" l="1"/>
  <c r="AP94" i="4"/>
  <c r="AM94" i="4"/>
  <c r="AN94" i="4"/>
  <c r="BA94" i="4"/>
  <c r="BB94" i="4"/>
  <c r="BD94" i="4"/>
  <c r="BC94" i="4"/>
  <c r="AK94" i="4"/>
  <c r="AJ94" i="4"/>
  <c r="AL94" i="4"/>
  <c r="AQ94" i="4"/>
  <c r="AS94" i="4"/>
  <c r="AR94" i="4"/>
  <c r="AT94" i="4"/>
  <c r="AY94" i="4"/>
  <c r="AX94" i="4"/>
  <c r="AZ94" i="4"/>
  <c r="BE94" i="4"/>
  <c r="BG94" i="4"/>
  <c r="BF94" i="4"/>
  <c r="BH94" i="4"/>
  <c r="AH95" i="4"/>
  <c r="AV95" i="4"/>
  <c r="BA95" i="4" l="1"/>
  <c r="BB95" i="4"/>
  <c r="BD95" i="4"/>
  <c r="BC95" i="4"/>
  <c r="AO95" i="4"/>
  <c r="AP95" i="4"/>
  <c r="AM95" i="4"/>
  <c r="AN95" i="4"/>
  <c r="AY95" i="4"/>
  <c r="AX95" i="4"/>
  <c r="BE95" i="4"/>
  <c r="AZ95" i="4"/>
  <c r="BF95" i="4"/>
  <c r="BG95" i="4"/>
  <c r="BH95" i="4"/>
  <c r="AJ95" i="4"/>
  <c r="AK95" i="4"/>
  <c r="AL95" i="4"/>
  <c r="AQ95" i="4"/>
  <c r="AS95" i="4"/>
  <c r="AR95" i="4"/>
  <c r="AT95" i="4"/>
  <c r="AH96" i="4"/>
  <c r="AV96" i="4"/>
  <c r="AO96" i="4" l="1"/>
  <c r="AP96" i="4"/>
  <c r="AM96" i="4"/>
  <c r="AN96" i="4"/>
  <c r="BA96" i="4"/>
  <c r="BB96" i="4"/>
  <c r="BD96" i="4"/>
  <c r="BC96" i="4"/>
  <c r="AY96" i="4"/>
  <c r="AX96" i="4"/>
  <c r="AZ96" i="4"/>
  <c r="BE96" i="4"/>
  <c r="BF96" i="4"/>
  <c r="BG96" i="4"/>
  <c r="BH96" i="4"/>
  <c r="AJ96" i="4"/>
  <c r="AK96" i="4"/>
  <c r="AQ96" i="4"/>
  <c r="AL96" i="4"/>
  <c r="AS96" i="4"/>
  <c r="AR96" i="4"/>
  <c r="AT96" i="4"/>
  <c r="AV97" i="4"/>
  <c r="AH97" i="4"/>
  <c r="AO97" i="4" l="1"/>
  <c r="AP97" i="4"/>
  <c r="AM97" i="4"/>
  <c r="AN97" i="4"/>
  <c r="BA97" i="4"/>
  <c r="BB97" i="4"/>
  <c r="BD97" i="4"/>
  <c r="BC97" i="4"/>
  <c r="AJ97" i="4"/>
  <c r="AK97" i="4"/>
  <c r="AL97" i="4"/>
  <c r="AQ97" i="4"/>
  <c r="AS97" i="4"/>
  <c r="AR97" i="4"/>
  <c r="AT97" i="4"/>
  <c r="AY97" i="4"/>
  <c r="AX97" i="4"/>
  <c r="BE97" i="4"/>
  <c r="AZ97" i="4"/>
  <c r="BG97" i="4"/>
  <c r="BF97" i="4"/>
  <c r="BH97" i="4"/>
  <c r="AH98" i="4"/>
  <c r="AV98" i="4"/>
  <c r="AO98" i="4" l="1"/>
  <c r="AP98" i="4"/>
  <c r="AM98" i="4"/>
  <c r="AN98" i="4"/>
  <c r="BA98" i="4"/>
  <c r="BB98" i="4"/>
  <c r="BD98" i="4"/>
  <c r="BC98" i="4"/>
  <c r="AY98" i="4"/>
  <c r="AX98" i="4"/>
  <c r="AZ98" i="4"/>
  <c r="BE98" i="4"/>
  <c r="BF98" i="4"/>
  <c r="BG98" i="4"/>
  <c r="BH98" i="4"/>
  <c r="AJ98" i="4"/>
  <c r="AK98" i="4"/>
  <c r="AQ98" i="4"/>
  <c r="AL98" i="4"/>
  <c r="AS98" i="4"/>
  <c r="AR98" i="4"/>
  <c r="AT98" i="4"/>
  <c r="AV99" i="4"/>
  <c r="AH99" i="4"/>
  <c r="AO99" i="4" l="1"/>
  <c r="AP99" i="4"/>
  <c r="AM99" i="4"/>
  <c r="AN99" i="4"/>
  <c r="BA99" i="4"/>
  <c r="BB99" i="4"/>
  <c r="BD99" i="4"/>
  <c r="BC99" i="4"/>
  <c r="AJ99" i="4"/>
  <c r="AK99" i="4"/>
  <c r="AL99" i="4"/>
  <c r="AQ99" i="4"/>
  <c r="AR99" i="4"/>
  <c r="AS99" i="4"/>
  <c r="AT99" i="4"/>
  <c r="AX99" i="4"/>
  <c r="AY99" i="4"/>
  <c r="AZ99" i="4"/>
  <c r="BE99" i="4"/>
  <c r="BF99" i="4"/>
  <c r="BG99" i="4"/>
  <c r="BH99" i="4"/>
  <c r="AH100" i="4"/>
  <c r="AV100" i="4"/>
  <c r="AO100" i="4" l="1"/>
  <c r="AP100" i="4"/>
  <c r="AM100" i="4"/>
  <c r="AN100" i="4"/>
  <c r="BA100" i="4"/>
  <c r="BB100" i="4"/>
  <c r="BD100" i="4"/>
  <c r="BC100" i="4"/>
  <c r="AY100" i="4"/>
  <c r="AX100" i="4"/>
  <c r="BE100" i="4"/>
  <c r="AZ100" i="4"/>
  <c r="BG100" i="4"/>
  <c r="BF100" i="4"/>
  <c r="BH100" i="4"/>
  <c r="AJ100" i="4"/>
  <c r="AK100" i="4"/>
  <c r="AQ100" i="4"/>
  <c r="AL100" i="4"/>
  <c r="AS100" i="4"/>
  <c r="AR100" i="4"/>
  <c r="AT100" i="4"/>
  <c r="AV101" i="4"/>
  <c r="AH101" i="4"/>
  <c r="AO101" i="4" l="1"/>
  <c r="AP101" i="4"/>
  <c r="AM101" i="4"/>
  <c r="AN101" i="4"/>
  <c r="BA101" i="4"/>
  <c r="BB101" i="4"/>
  <c r="BD101" i="4"/>
  <c r="BC101" i="4"/>
  <c r="AK101" i="4"/>
  <c r="AJ101" i="4"/>
  <c r="AQ101" i="4"/>
  <c r="AL101" i="4"/>
  <c r="AS101" i="4"/>
  <c r="AR101" i="4"/>
  <c r="AT101" i="4"/>
  <c r="AX101" i="4"/>
  <c r="AY101" i="4"/>
  <c r="AZ101" i="4"/>
  <c r="BE101" i="4"/>
  <c r="BF101" i="4"/>
  <c r="BG101" i="4"/>
  <c r="BH101" i="4"/>
  <c r="AH102" i="4"/>
  <c r="AV102" i="4"/>
  <c r="BA102" i="4" l="1"/>
  <c r="BB102" i="4"/>
  <c r="BD102" i="4"/>
  <c r="BC102" i="4"/>
  <c r="AO102" i="4"/>
  <c r="AP102" i="4"/>
  <c r="AM102" i="4"/>
  <c r="AN102" i="4"/>
  <c r="AK102" i="4"/>
  <c r="AJ102" i="4"/>
  <c r="AQ102" i="4"/>
  <c r="AL102" i="4"/>
  <c r="AS102" i="4"/>
  <c r="AR102" i="4"/>
  <c r="AT102" i="4"/>
  <c r="AY102" i="4"/>
  <c r="AX102" i="4"/>
  <c r="AZ102" i="4"/>
  <c r="BE102" i="4"/>
  <c r="BF102" i="4"/>
  <c r="BG102" i="4"/>
  <c r="BH102" i="4"/>
  <c r="AV103" i="4"/>
  <c r="AH103" i="4"/>
  <c r="AO103" i="4" l="1"/>
  <c r="AP103" i="4"/>
  <c r="AM103" i="4"/>
  <c r="AN103" i="4"/>
  <c r="BA103" i="4"/>
  <c r="BB103" i="4"/>
  <c r="BD103" i="4"/>
  <c r="BC103" i="4"/>
  <c r="AJ103" i="4"/>
  <c r="AK103" i="4"/>
  <c r="AQ103" i="4"/>
  <c r="AL103" i="4"/>
  <c r="AS103" i="4"/>
  <c r="AR103" i="4"/>
  <c r="AT103" i="4"/>
  <c r="AY103" i="4"/>
  <c r="AX103" i="4"/>
  <c r="BE103" i="4"/>
  <c r="AZ103" i="4"/>
  <c r="BF103" i="4"/>
  <c r="BG103" i="4"/>
  <c r="BH103" i="4"/>
  <c r="AV104" i="4"/>
  <c r="AH104" i="4"/>
  <c r="AO104" i="4" l="1"/>
  <c r="AP104" i="4"/>
  <c r="AM104" i="4"/>
  <c r="AN104" i="4"/>
  <c r="BA104" i="4"/>
  <c r="BB104" i="4"/>
  <c r="BD104" i="4"/>
  <c r="BC104" i="4"/>
  <c r="AX104" i="4"/>
  <c r="AY104" i="4"/>
  <c r="BE104" i="4"/>
  <c r="AZ104" i="4"/>
  <c r="BF104" i="4"/>
  <c r="BG104" i="4"/>
  <c r="BH104" i="4"/>
  <c r="AK104" i="4"/>
  <c r="AJ104" i="4"/>
  <c r="AL104" i="4"/>
  <c r="AQ104" i="4"/>
  <c r="AS104" i="4"/>
  <c r="AR104" i="4"/>
  <c r="AT104" i="4"/>
  <c r="AH105" i="4"/>
  <c r="AV105" i="4"/>
  <c r="BA105" i="4" l="1"/>
  <c r="BB105" i="4"/>
  <c r="BD105" i="4"/>
  <c r="BC105" i="4"/>
  <c r="AO105" i="4"/>
  <c r="AP105" i="4"/>
  <c r="AM105" i="4"/>
  <c r="AN105" i="4"/>
  <c r="AJ105" i="4"/>
  <c r="AK105" i="4"/>
  <c r="AL105" i="4"/>
  <c r="AQ105" i="4"/>
  <c r="AR105" i="4"/>
  <c r="AS105" i="4"/>
  <c r="AT105" i="4"/>
  <c r="AY105" i="4"/>
  <c r="AX105" i="4"/>
  <c r="BE105" i="4"/>
  <c r="AZ105" i="4"/>
  <c r="BF105" i="4"/>
  <c r="BG105" i="4"/>
  <c r="BH105" i="4"/>
  <c r="AH106" i="4"/>
  <c r="AV106" i="4"/>
  <c r="AO106" i="4" l="1"/>
  <c r="AP106" i="4"/>
  <c r="AM106" i="4"/>
  <c r="AN106" i="4"/>
  <c r="BA106" i="4"/>
  <c r="BB106" i="4"/>
  <c r="BD106" i="4"/>
  <c r="BC106" i="4"/>
  <c r="AK106" i="4"/>
  <c r="AJ106" i="4"/>
  <c r="AL106" i="4"/>
  <c r="AQ106" i="4"/>
  <c r="AS106" i="4"/>
  <c r="AR106" i="4"/>
  <c r="AT106" i="4"/>
  <c r="AX106" i="4"/>
  <c r="AY106" i="4"/>
  <c r="BE106" i="4"/>
  <c r="AZ106" i="4"/>
  <c r="BF106" i="4"/>
  <c r="BG106" i="4"/>
  <c r="BH106" i="4"/>
  <c r="AV107" i="4"/>
  <c r="AH107" i="4"/>
  <c r="AO107" i="4" l="1"/>
  <c r="AP107" i="4"/>
  <c r="AM107" i="4"/>
  <c r="AN107" i="4"/>
  <c r="BA107" i="4"/>
  <c r="BB107" i="4"/>
  <c r="BD107" i="4"/>
  <c r="BC107" i="4"/>
  <c r="AK107" i="4"/>
  <c r="AJ107" i="4"/>
  <c r="AL107" i="4"/>
  <c r="AQ107" i="4"/>
  <c r="AS107" i="4"/>
  <c r="AR107" i="4"/>
  <c r="AT107" i="4"/>
  <c r="AY107" i="4"/>
  <c r="AX107" i="4"/>
  <c r="AZ107" i="4"/>
  <c r="BE107" i="4"/>
  <c r="BF107" i="4"/>
  <c r="BG107" i="4"/>
  <c r="BH107" i="4"/>
  <c r="AV108" i="4"/>
  <c r="AH108" i="4"/>
  <c r="AO108" i="4" l="1"/>
  <c r="AP108" i="4"/>
  <c r="AM108" i="4"/>
  <c r="AN108" i="4"/>
  <c r="BA108" i="4"/>
  <c r="BB108" i="4"/>
  <c r="BD108" i="4"/>
  <c r="BC108" i="4"/>
  <c r="AJ108" i="4"/>
  <c r="AK108" i="4"/>
  <c r="AL108" i="4"/>
  <c r="AQ108" i="4"/>
  <c r="AR108" i="4"/>
  <c r="AS108" i="4"/>
  <c r="AT108" i="4"/>
  <c r="AX108" i="4"/>
  <c r="AY108" i="4"/>
  <c r="AZ108" i="4"/>
  <c r="BE108" i="4"/>
  <c r="BG108" i="4"/>
  <c r="BF108" i="4"/>
  <c r="BH108" i="4"/>
  <c r="AV109" i="4"/>
  <c r="AH109" i="4"/>
  <c r="AO109" i="4" l="1"/>
  <c r="AP109" i="4"/>
  <c r="AM109" i="4"/>
  <c r="AN109" i="4"/>
  <c r="BA109" i="4"/>
  <c r="BB109" i="4"/>
  <c r="BD109" i="4"/>
  <c r="BC109" i="4"/>
  <c r="AJ109" i="4"/>
  <c r="AK109" i="4"/>
  <c r="AL109" i="4"/>
  <c r="AQ109" i="4"/>
  <c r="AS109" i="4"/>
  <c r="AR109" i="4"/>
  <c r="AT109" i="4"/>
  <c r="AX109" i="4"/>
  <c r="AY109" i="4"/>
  <c r="BE109" i="4"/>
  <c r="AZ109" i="4"/>
  <c r="BF109" i="4"/>
  <c r="BG109" i="4"/>
  <c r="BH109" i="4"/>
  <c r="AV110" i="4"/>
  <c r="AH110" i="4"/>
  <c r="BA110" i="4" l="1"/>
  <c r="BB110" i="4"/>
  <c r="BD110" i="4"/>
  <c r="BC110" i="4"/>
  <c r="AO110" i="4"/>
  <c r="AP110" i="4"/>
  <c r="AM110" i="4"/>
  <c r="AN110" i="4"/>
  <c r="AK110" i="4"/>
  <c r="AJ110" i="4"/>
  <c r="AQ110" i="4"/>
  <c r="AL110" i="4"/>
  <c r="AS110" i="4"/>
  <c r="AR110" i="4"/>
  <c r="AT110" i="4"/>
  <c r="AX110" i="4"/>
  <c r="AY110" i="4"/>
  <c r="BE110" i="4"/>
  <c r="AZ110" i="4"/>
  <c r="BF110" i="4"/>
  <c r="BG110" i="4"/>
  <c r="BH110" i="4"/>
  <c r="AH111" i="4"/>
  <c r="AV111" i="4"/>
  <c r="BA111" i="4" l="1"/>
  <c r="BB111" i="4"/>
  <c r="BD111" i="4"/>
  <c r="BC111" i="4"/>
  <c r="AO111" i="4"/>
  <c r="AP111" i="4"/>
  <c r="AM111" i="4"/>
  <c r="AN111" i="4"/>
  <c r="AX111" i="4"/>
  <c r="AY111" i="4"/>
  <c r="AZ111" i="4"/>
  <c r="BE111" i="4"/>
  <c r="BF111" i="4"/>
  <c r="BG111" i="4"/>
  <c r="BH111" i="4"/>
  <c r="AK111" i="4"/>
  <c r="AJ111" i="4"/>
  <c r="AL111" i="4"/>
  <c r="AQ111" i="4"/>
  <c r="AS111" i="4"/>
  <c r="AR111" i="4"/>
  <c r="AT111" i="4"/>
  <c r="AV112" i="4"/>
  <c r="AH112" i="4"/>
  <c r="AO112" i="4" l="1"/>
  <c r="AP112" i="4"/>
  <c r="AM112" i="4"/>
  <c r="AN112" i="4"/>
  <c r="BA112" i="4"/>
  <c r="BB112" i="4"/>
  <c r="BD112" i="4"/>
  <c r="BC112" i="4"/>
  <c r="AY112" i="4"/>
  <c r="AX112" i="4"/>
  <c r="BE112" i="4"/>
  <c r="AZ112" i="4"/>
  <c r="BG112" i="4"/>
  <c r="BF112" i="4"/>
  <c r="BH112" i="4"/>
  <c r="AJ112" i="4"/>
  <c r="AK112" i="4"/>
  <c r="AL112" i="4"/>
  <c r="AQ112" i="4"/>
  <c r="AR112" i="4"/>
  <c r="AS112" i="4"/>
  <c r="AT112" i="4"/>
  <c r="AV113" i="4"/>
  <c r="AH113" i="4"/>
  <c r="AO113" i="4" l="1"/>
  <c r="AP113" i="4"/>
  <c r="AM113" i="4"/>
  <c r="AN113" i="4"/>
  <c r="BA113" i="4"/>
  <c r="BB113" i="4"/>
  <c r="BD113" i="4"/>
  <c r="BC113" i="4"/>
  <c r="AJ113" i="4"/>
  <c r="AK113" i="4"/>
  <c r="AL113" i="4"/>
  <c r="AQ113" i="4"/>
  <c r="AR113" i="4"/>
  <c r="AS113" i="4"/>
  <c r="AT113" i="4"/>
  <c r="AY113" i="4"/>
  <c r="AX113" i="4"/>
  <c r="BE113" i="4"/>
  <c r="AZ113" i="4"/>
  <c r="BF113" i="4"/>
  <c r="BG113" i="4"/>
  <c r="BH113" i="4"/>
  <c r="AV114" i="4"/>
  <c r="AH114" i="4"/>
  <c r="AO114" i="4" l="1"/>
  <c r="AP114" i="4"/>
  <c r="AM114" i="4"/>
  <c r="AN114" i="4"/>
  <c r="BA114" i="4"/>
  <c r="BB114" i="4"/>
  <c r="BD114" i="4"/>
  <c r="BC114" i="4"/>
  <c r="AK114" i="4"/>
  <c r="AJ114" i="4"/>
  <c r="AL114" i="4"/>
  <c r="AQ114" i="4"/>
  <c r="AS114" i="4"/>
  <c r="AR114" i="4"/>
  <c r="AT114" i="4"/>
  <c r="AY114" i="4"/>
  <c r="AX114" i="4"/>
  <c r="BE114" i="4"/>
  <c r="AZ114" i="4"/>
  <c r="BG114" i="4"/>
  <c r="BF114" i="4"/>
  <c r="BH114" i="4"/>
  <c r="AH115" i="4"/>
  <c r="AV115" i="4"/>
  <c r="BA115" i="4" l="1"/>
  <c r="BB115" i="4"/>
  <c r="BD115" i="4"/>
  <c r="BC115" i="4"/>
  <c r="AO115" i="4"/>
  <c r="AP115" i="4"/>
  <c r="AM115" i="4"/>
  <c r="AN115" i="4"/>
  <c r="AY115" i="4"/>
  <c r="AX115" i="4"/>
  <c r="AZ115" i="4"/>
  <c r="BE115" i="4"/>
  <c r="BG115" i="4"/>
  <c r="BF115" i="4"/>
  <c r="BH115" i="4"/>
  <c r="AJ115" i="4"/>
  <c r="AK115" i="4"/>
  <c r="AQ115" i="4"/>
  <c r="AL115" i="4"/>
  <c r="AR115" i="4"/>
  <c r="AS115" i="4"/>
  <c r="AT115" i="4"/>
  <c r="AV116" i="4"/>
  <c r="AH116" i="4"/>
  <c r="AO116" i="4" l="1"/>
  <c r="AP116" i="4"/>
  <c r="AM116" i="4"/>
  <c r="AN116" i="4"/>
  <c r="BA116" i="4"/>
  <c r="BB116" i="4"/>
  <c r="BD116" i="4"/>
  <c r="BC116" i="4"/>
  <c r="AJ116" i="4"/>
  <c r="AK116" i="4"/>
  <c r="AL116" i="4"/>
  <c r="AQ116" i="4"/>
  <c r="AR116" i="4"/>
  <c r="AS116" i="4"/>
  <c r="AT116" i="4"/>
  <c r="AY116" i="4"/>
  <c r="AX116" i="4"/>
  <c r="AZ116" i="4"/>
  <c r="BE116" i="4"/>
  <c r="BF116" i="4"/>
  <c r="BG116" i="4"/>
  <c r="BH116" i="4"/>
  <c r="AV117" i="4"/>
  <c r="AH117" i="4"/>
  <c r="W45" i="4"/>
  <c r="W51" i="4"/>
  <c r="W46" i="4"/>
  <c r="W52" i="4"/>
  <c r="W49" i="4"/>
  <c r="W41" i="4"/>
  <c r="W47" i="4"/>
  <c r="W53" i="4"/>
  <c r="W43" i="4"/>
  <c r="W42" i="4"/>
  <c r="W48" i="4"/>
  <c r="W54" i="4"/>
  <c r="W55" i="4"/>
  <c r="W44" i="4"/>
  <c r="W50" i="4"/>
  <c r="W56" i="4"/>
  <c r="U40" i="4"/>
  <c r="U43" i="4" s="1"/>
  <c r="AW40" i="4"/>
  <c r="AI40" i="4"/>
  <c r="AO117" i="4" l="1"/>
  <c r="AP117" i="4"/>
  <c r="AM117" i="4"/>
  <c r="AN117" i="4"/>
  <c r="BA117" i="4"/>
  <c r="BB117" i="4"/>
  <c r="BD117" i="4"/>
  <c r="BC117" i="4"/>
  <c r="AK117" i="4"/>
  <c r="AJ117" i="4"/>
  <c r="AL117" i="4"/>
  <c r="AQ117" i="4"/>
  <c r="AS117" i="4"/>
  <c r="AR117" i="4"/>
  <c r="AT117" i="4"/>
  <c r="AX117" i="4"/>
  <c r="AY117" i="4"/>
  <c r="BE117" i="4"/>
  <c r="AZ117" i="4"/>
  <c r="BF117" i="4"/>
  <c r="BG117" i="4"/>
  <c r="BH117" i="4"/>
  <c r="AW86" i="4"/>
  <c r="AW89" i="4"/>
  <c r="AW92" i="4"/>
  <c r="AW95" i="4"/>
  <c r="AW98" i="4"/>
  <c r="AW101" i="4"/>
  <c r="AW104" i="4"/>
  <c r="AW87" i="4"/>
  <c r="AW88" i="4"/>
  <c r="AW91" i="4"/>
  <c r="AW94" i="4"/>
  <c r="AW97" i="4"/>
  <c r="AW100" i="4"/>
  <c r="AW103" i="4"/>
  <c r="AW106" i="4"/>
  <c r="AW109" i="4"/>
  <c r="AW112" i="4"/>
  <c r="AW115" i="4"/>
  <c r="AW107" i="4"/>
  <c r="AW105" i="4"/>
  <c r="AW90" i="4"/>
  <c r="AW114" i="4"/>
  <c r="AW110" i="4"/>
  <c r="AW111" i="4"/>
  <c r="AW108" i="4"/>
  <c r="AW116" i="4"/>
  <c r="AW117" i="4"/>
  <c r="AW93" i="4"/>
  <c r="AW96" i="4"/>
  <c r="AW99" i="4"/>
  <c r="AW102" i="4"/>
  <c r="AW113" i="4"/>
  <c r="AI104" i="4"/>
  <c r="AI107" i="4"/>
  <c r="AI110" i="4"/>
  <c r="AI113" i="4"/>
  <c r="AI114" i="4"/>
  <c r="AI106" i="4"/>
  <c r="AI109" i="4"/>
  <c r="AI112" i="4"/>
  <c r="AI115" i="4"/>
  <c r="AI116" i="4"/>
  <c r="AI105" i="4"/>
  <c r="AI108" i="4"/>
  <c r="AI111" i="4"/>
  <c r="AI117" i="4"/>
  <c r="AI99" i="4"/>
  <c r="AI87" i="4"/>
  <c r="AI90" i="4"/>
  <c r="AI93" i="4"/>
  <c r="AI88" i="4"/>
  <c r="AI91" i="4"/>
  <c r="AI94" i="4"/>
  <c r="AI97" i="4"/>
  <c r="AI100" i="4"/>
  <c r="AI103" i="4"/>
  <c r="AI86" i="4"/>
  <c r="AI89" i="4"/>
  <c r="AI92" i="4"/>
  <c r="AI95" i="4"/>
  <c r="AI98" i="4"/>
  <c r="AI101" i="4"/>
  <c r="AI96" i="4"/>
  <c r="AI102" i="4"/>
  <c r="AK55" i="4"/>
  <c r="AK56" i="4"/>
  <c r="AK50" i="4"/>
  <c r="AK48" i="4"/>
  <c r="AK53" i="4"/>
  <c r="AK51" i="4"/>
  <c r="AK54" i="4"/>
  <c r="AK49" i="4"/>
  <c r="AK52" i="4"/>
  <c r="AK41" i="4"/>
  <c r="AK44" i="4"/>
  <c r="AK43" i="4"/>
  <c r="AK46" i="4"/>
  <c r="AK47" i="4"/>
  <c r="AK42" i="4"/>
  <c r="AK45" i="4"/>
  <c r="AV118" i="4"/>
  <c r="AH118" i="4"/>
  <c r="BK40" i="4"/>
  <c r="U41" i="4"/>
  <c r="AI41" i="4" s="1"/>
  <c r="AC50" i="4"/>
  <c r="AC53" i="4"/>
  <c r="AC41" i="4"/>
  <c r="AC54" i="4"/>
  <c r="AC48" i="4"/>
  <c r="AC52" i="4"/>
  <c r="AC47" i="4"/>
  <c r="AC49" i="4"/>
  <c r="AC46" i="4"/>
  <c r="AC51" i="4"/>
  <c r="AC42" i="4"/>
  <c r="AC44" i="4"/>
  <c r="AC45" i="4"/>
  <c r="AC57" i="4"/>
  <c r="AQ81" i="4" s="1"/>
  <c r="AC43" i="4"/>
  <c r="W57" i="4"/>
  <c r="AK81" i="4" s="1"/>
  <c r="I62" i="4"/>
  <c r="U58" i="4"/>
  <c r="U60" i="4"/>
  <c r="U59" i="4"/>
  <c r="U61" i="4"/>
  <c r="AI85" i="4" s="1"/>
  <c r="U44" i="4"/>
  <c r="U54" i="4"/>
  <c r="U48" i="4"/>
  <c r="U49" i="4"/>
  <c r="U46" i="4"/>
  <c r="U57" i="4"/>
  <c r="U55" i="4"/>
  <c r="U52" i="4"/>
  <c r="U51" i="4"/>
  <c r="U42" i="4"/>
  <c r="U53" i="4"/>
  <c r="U50" i="4"/>
  <c r="U47" i="4"/>
  <c r="U45" i="4"/>
  <c r="U56" i="4"/>
  <c r="AI118" i="4" l="1"/>
  <c r="AO118" i="4"/>
  <c r="AP118" i="4"/>
  <c r="AM118" i="4"/>
  <c r="AN118" i="4"/>
  <c r="BA118" i="4"/>
  <c r="BB118" i="4"/>
  <c r="BD118" i="4"/>
  <c r="BC118" i="4"/>
  <c r="I63" i="4"/>
  <c r="E67" i="1"/>
  <c r="M67" i="1" s="1"/>
  <c r="AX118" i="4"/>
  <c r="AY118" i="4"/>
  <c r="BE118" i="4"/>
  <c r="AZ118" i="4"/>
  <c r="BF118" i="4"/>
  <c r="BG118" i="4"/>
  <c r="BH118" i="4"/>
  <c r="AW118" i="4"/>
  <c r="AK118" i="4"/>
  <c r="AJ118" i="4"/>
  <c r="AQ118" i="4"/>
  <c r="AL118" i="4"/>
  <c r="AS118" i="4"/>
  <c r="AR118" i="4"/>
  <c r="AT118" i="4"/>
  <c r="AI83" i="4"/>
  <c r="AI84" i="4"/>
  <c r="AI74" i="4"/>
  <c r="AI81" i="4"/>
  <c r="AI46" i="4"/>
  <c r="AI77" i="4"/>
  <c r="AI66" i="4"/>
  <c r="AI70" i="4"/>
  <c r="AI80" i="4"/>
  <c r="AI75" i="4"/>
  <c r="AI73" i="4"/>
  <c r="AI69" i="4"/>
  <c r="AI76" i="4"/>
  <c r="AI72" i="4"/>
  <c r="AI82" i="4"/>
  <c r="AI71" i="4"/>
  <c r="AI79" i="4"/>
  <c r="AI78" i="4"/>
  <c r="AK76" i="4"/>
  <c r="AK71" i="4"/>
  <c r="AK80" i="4"/>
  <c r="AK73" i="4"/>
  <c r="AK72" i="4"/>
  <c r="AK78" i="4"/>
  <c r="AK75" i="4"/>
  <c r="AK74" i="4"/>
  <c r="AK79" i="4"/>
  <c r="AK77" i="4"/>
  <c r="AI67" i="4"/>
  <c r="AK60" i="4"/>
  <c r="AK65" i="4"/>
  <c r="AI65" i="4"/>
  <c r="AI61" i="4"/>
  <c r="AI57" i="4"/>
  <c r="AK64" i="4"/>
  <c r="AK61" i="4"/>
  <c r="AI62" i="4"/>
  <c r="AI58" i="4"/>
  <c r="AI68" i="4"/>
  <c r="AK63" i="4"/>
  <c r="AK62" i="4"/>
  <c r="AI59" i="4"/>
  <c r="AI64" i="4"/>
  <c r="AI60" i="4"/>
  <c r="AK70" i="4"/>
  <c r="AK57" i="4"/>
  <c r="AK58" i="4"/>
  <c r="AI56" i="4"/>
  <c r="AI55" i="4"/>
  <c r="AK68" i="4"/>
  <c r="AK66" i="4"/>
  <c r="AK59" i="4"/>
  <c r="AK69" i="4"/>
  <c r="AI63" i="4"/>
  <c r="AK67" i="4"/>
  <c r="AQ48" i="4"/>
  <c r="AQ53" i="4"/>
  <c r="AQ51" i="4"/>
  <c r="AQ54" i="4"/>
  <c r="AQ49" i="4"/>
  <c r="AQ52" i="4"/>
  <c r="AQ50" i="4"/>
  <c r="AI49" i="4"/>
  <c r="AI54" i="4"/>
  <c r="AI51" i="4"/>
  <c r="AI53" i="4"/>
  <c r="AI50" i="4"/>
  <c r="AI52" i="4"/>
  <c r="AI48" i="4"/>
  <c r="AQ41" i="4"/>
  <c r="AQ42" i="4"/>
  <c r="AQ45" i="4"/>
  <c r="AQ43" i="4"/>
  <c r="AQ46" i="4"/>
  <c r="AQ44" i="4"/>
  <c r="AQ47" i="4"/>
  <c r="AI45" i="4"/>
  <c r="AI42" i="4"/>
  <c r="AI47" i="4"/>
  <c r="AI44" i="4"/>
  <c r="AI43" i="4"/>
  <c r="BK41" i="4"/>
  <c r="BK44" i="4"/>
  <c r="BK47" i="4"/>
  <c r="BK50" i="4"/>
  <c r="BK53" i="4"/>
  <c r="BK56" i="4"/>
  <c r="BK59" i="4"/>
  <c r="BK42" i="4"/>
  <c r="BK45" i="4"/>
  <c r="BK48" i="4"/>
  <c r="BK51" i="4"/>
  <c r="BK54" i="4"/>
  <c r="BK57" i="4"/>
  <c r="BK60" i="4"/>
  <c r="BK46" i="4"/>
  <c r="BK49" i="4"/>
  <c r="BK52" i="4"/>
  <c r="BK55" i="4"/>
  <c r="BK58" i="4"/>
  <c r="BK61" i="4"/>
  <c r="AW85" i="4" s="1"/>
  <c r="BK43" i="4"/>
  <c r="BU62" i="4"/>
  <c r="AE45" i="4"/>
  <c r="AE41" i="4"/>
  <c r="AE52" i="4"/>
  <c r="AE53" i="4"/>
  <c r="AE50" i="4"/>
  <c r="AE42" i="4"/>
  <c r="AE48" i="4"/>
  <c r="AE54" i="4"/>
  <c r="AE49" i="4"/>
  <c r="AE47" i="4"/>
  <c r="AE46" i="4"/>
  <c r="AE44" i="4"/>
  <c r="AC56" i="4"/>
  <c r="AQ80" i="4" s="1"/>
  <c r="W62" i="4"/>
  <c r="W63" i="4" s="1"/>
  <c r="O62" i="4"/>
  <c r="AC55" i="4"/>
  <c r="AE55" i="4"/>
  <c r="AE43" i="4"/>
  <c r="AE51" i="4"/>
  <c r="U62" i="4"/>
  <c r="U63" i="4" s="1"/>
  <c r="BD121" i="4" l="1"/>
  <c r="BD119" i="4"/>
  <c r="AM119" i="4"/>
  <c r="AM121" i="4"/>
  <c r="BB121" i="4"/>
  <c r="BB119" i="4"/>
  <c r="AP121" i="4"/>
  <c r="AP119" i="4"/>
  <c r="BA121" i="4"/>
  <c r="BA119" i="4"/>
  <c r="AO121" i="4"/>
  <c r="AO119" i="4"/>
  <c r="BC121" i="4"/>
  <c r="BC119" i="4"/>
  <c r="AN121" i="4"/>
  <c r="AN119" i="4"/>
  <c r="AR119" i="4"/>
  <c r="AR121" i="4"/>
  <c r="AJ119" i="4"/>
  <c r="AJ121" i="4"/>
  <c r="AL119" i="4"/>
  <c r="AL121" i="4"/>
  <c r="AT119" i="4"/>
  <c r="AT121" i="4"/>
  <c r="AI121" i="4"/>
  <c r="AK121" i="4"/>
  <c r="BE119" i="4"/>
  <c r="BE121" i="4"/>
  <c r="AY119" i="4"/>
  <c r="AY121" i="4"/>
  <c r="AZ119" i="4"/>
  <c r="AZ121" i="4"/>
  <c r="BH119" i="4"/>
  <c r="BH121" i="4"/>
  <c r="AX119" i="4"/>
  <c r="AX121" i="4"/>
  <c r="BG119" i="4"/>
  <c r="BG121" i="4"/>
  <c r="BF119" i="4"/>
  <c r="BF121" i="4"/>
  <c r="O63" i="4"/>
  <c r="H67" i="1"/>
  <c r="AW82" i="4"/>
  <c r="AW73" i="4"/>
  <c r="AW74" i="4"/>
  <c r="AW79" i="4"/>
  <c r="AW83" i="4"/>
  <c r="AW72" i="4"/>
  <c r="AW70" i="4"/>
  <c r="AW69" i="4"/>
  <c r="AW71" i="4"/>
  <c r="AQ78" i="4"/>
  <c r="AW84" i="4"/>
  <c r="AW68" i="4"/>
  <c r="AW81" i="4"/>
  <c r="AW78" i="4"/>
  <c r="AW80" i="4"/>
  <c r="AW76" i="4"/>
  <c r="AW75" i="4"/>
  <c r="AW77" i="4"/>
  <c r="AW67" i="4"/>
  <c r="AW66" i="4"/>
  <c r="AW49" i="4"/>
  <c r="AW50" i="4"/>
  <c r="AW60" i="4"/>
  <c r="AW59" i="4"/>
  <c r="AW52" i="4"/>
  <c r="AW53" i="4"/>
  <c r="AW63" i="4"/>
  <c r="AW55" i="4"/>
  <c r="AW56" i="4"/>
  <c r="AW64" i="4"/>
  <c r="AW51" i="4"/>
  <c r="AW58" i="4"/>
  <c r="AW65" i="4"/>
  <c r="AW62" i="4"/>
  <c r="AW54" i="4"/>
  <c r="AW61" i="4"/>
  <c r="AW57" i="4"/>
  <c r="AW43" i="4"/>
  <c r="AW46" i="4"/>
  <c r="AW45" i="4"/>
  <c r="AW48" i="4"/>
  <c r="AW44" i="4"/>
  <c r="AW47" i="4"/>
  <c r="AW41" i="4"/>
  <c r="AW42" i="4"/>
  <c r="AQ72" i="4"/>
  <c r="AQ77" i="4"/>
  <c r="AQ76" i="4"/>
  <c r="AQ73" i="4"/>
  <c r="AQ60" i="4"/>
  <c r="AQ79" i="4"/>
  <c r="AQ74" i="4"/>
  <c r="AQ71" i="4"/>
  <c r="AQ75" i="4"/>
  <c r="AQ59" i="4"/>
  <c r="AQ57" i="4"/>
  <c r="AQ58" i="4"/>
  <c r="AQ65" i="4"/>
  <c r="AQ56" i="4"/>
  <c r="AQ64" i="4"/>
  <c r="AS55" i="4"/>
  <c r="AQ55" i="4"/>
  <c r="AQ70" i="4"/>
  <c r="AQ66" i="4"/>
  <c r="AQ69" i="4"/>
  <c r="AQ62" i="4"/>
  <c r="AQ63" i="4"/>
  <c r="AQ67" i="4"/>
  <c r="AQ68" i="4"/>
  <c r="AQ61" i="4"/>
  <c r="AS50" i="4"/>
  <c r="AS52" i="4"/>
  <c r="AS53" i="4"/>
  <c r="AS48" i="4"/>
  <c r="AS51" i="4"/>
  <c r="AS54" i="4"/>
  <c r="AS49" i="4"/>
  <c r="AS41" i="4"/>
  <c r="AS46" i="4"/>
  <c r="AS44" i="4"/>
  <c r="AS47" i="4"/>
  <c r="AS42" i="4"/>
  <c r="AS45" i="4"/>
  <c r="AS43" i="4"/>
  <c r="BK62" i="4"/>
  <c r="AK119" i="4"/>
  <c r="AC62" i="4"/>
  <c r="AC63" i="4" s="1"/>
  <c r="AE56" i="4"/>
  <c r="AE57" i="4"/>
  <c r="AS81" i="4" s="1"/>
  <c r="BM62" i="4"/>
  <c r="Q62" i="4"/>
  <c r="AI119" i="4"/>
  <c r="BC120" i="4" l="1"/>
  <c r="G54" i="1" s="1"/>
  <c r="P67" i="1"/>
  <c r="N67" i="1"/>
  <c r="BC122" i="4"/>
  <c r="G53" i="1" s="1"/>
  <c r="BA122" i="4"/>
  <c r="F53" i="1" s="1"/>
  <c r="AO122" i="4"/>
  <c r="G33" i="1" s="1"/>
  <c r="AO120" i="4"/>
  <c r="G34" i="1" s="1"/>
  <c r="AM122" i="4"/>
  <c r="F33" i="1" s="1"/>
  <c r="AM120" i="4"/>
  <c r="F34" i="1" s="1"/>
  <c r="BA120" i="4"/>
  <c r="F54" i="1" s="1"/>
  <c r="AK122" i="4"/>
  <c r="E33" i="1" s="1"/>
  <c r="AK120" i="4"/>
  <c r="E34" i="1" s="1"/>
  <c r="AI120" i="4"/>
  <c r="AI122" i="4"/>
  <c r="D33" i="1" s="1"/>
  <c r="AQ121" i="4"/>
  <c r="AQ122" i="4" s="1"/>
  <c r="H33" i="1" s="1"/>
  <c r="BG122" i="4"/>
  <c r="I53" i="1" s="1"/>
  <c r="BE120" i="4"/>
  <c r="H54" i="1" s="1"/>
  <c r="BG120" i="4"/>
  <c r="I54" i="1" s="1"/>
  <c r="AY122" i="4"/>
  <c r="E53" i="1" s="1"/>
  <c r="BE122" i="4"/>
  <c r="H53" i="1" s="1"/>
  <c r="AY120" i="4"/>
  <c r="E54" i="1" s="1"/>
  <c r="AW121" i="4"/>
  <c r="AW122" i="4" s="1"/>
  <c r="D53" i="1" s="1"/>
  <c r="Q63" i="4"/>
  <c r="I67" i="1"/>
  <c r="AE62" i="4"/>
  <c r="AE63" i="4" s="1"/>
  <c r="AS75" i="4"/>
  <c r="AS79" i="4"/>
  <c r="AS70" i="4"/>
  <c r="AS80" i="4"/>
  <c r="AS77" i="4"/>
  <c r="AS78" i="4"/>
  <c r="AS71" i="4"/>
  <c r="AS76" i="4"/>
  <c r="AS74" i="4"/>
  <c r="AS72" i="4"/>
  <c r="AS73" i="4"/>
  <c r="AS66" i="4"/>
  <c r="AS62" i="4"/>
  <c r="AS61" i="4"/>
  <c r="AS60" i="4"/>
  <c r="AS68" i="4"/>
  <c r="AS59" i="4"/>
  <c r="AS64" i="4"/>
  <c r="AS67" i="4"/>
  <c r="AS69" i="4"/>
  <c r="AS56" i="4"/>
  <c r="AS57" i="4"/>
  <c r="AS65" i="4"/>
  <c r="AS58" i="4"/>
  <c r="AS63" i="4"/>
  <c r="AW119" i="4"/>
  <c r="AW120" i="4" s="1"/>
  <c r="D54" i="1" s="1"/>
  <c r="AQ119" i="4"/>
  <c r="AQ120" i="4" s="1"/>
  <c r="H34" i="1" s="1"/>
  <c r="F11" i="1" l="1"/>
  <c r="F10" i="1"/>
  <c r="G11" i="1"/>
  <c r="E11" i="1"/>
  <c r="M54" i="1"/>
  <c r="D34" i="1"/>
  <c r="E10" i="1" s="1"/>
  <c r="P33" i="1"/>
  <c r="L53" i="1"/>
  <c r="M53" i="1"/>
  <c r="N54" i="1"/>
  <c r="P54" i="1"/>
  <c r="N34" i="1"/>
  <c r="Q67" i="1"/>
  <c r="O67" i="1"/>
  <c r="Q54" i="1"/>
  <c r="O54" i="1"/>
  <c r="P53" i="1"/>
  <c r="N53" i="1"/>
  <c r="Q53" i="1"/>
  <c r="O53" i="1"/>
  <c r="L54" i="1"/>
  <c r="M34" i="1"/>
  <c r="N33" i="1"/>
  <c r="M33" i="1"/>
  <c r="L33" i="1"/>
  <c r="AS121" i="4"/>
  <c r="AS122" i="4" s="1"/>
  <c r="I33" i="1" s="1"/>
  <c r="AS119" i="4"/>
  <c r="AS120" i="4" s="1"/>
  <c r="I34" i="1" s="1"/>
  <c r="G10" i="1" s="1"/>
  <c r="K10" i="21" l="1"/>
  <c r="M10" i="21"/>
  <c r="G12" i="21"/>
  <c r="K8" i="21"/>
  <c r="F12" i="21"/>
  <c r="H11" i="1"/>
  <c r="E12" i="21"/>
  <c r="G14" i="1"/>
  <c r="F14" i="1"/>
  <c r="J11" i="1"/>
  <c r="I11" i="1"/>
  <c r="L34" i="1"/>
  <c r="P34" i="1"/>
  <c r="Q34" i="1"/>
  <c r="O34" i="1"/>
  <c r="O33" i="1"/>
  <c r="Q33" i="1"/>
  <c r="M12" i="21" l="1"/>
  <c r="M8" i="21"/>
  <c r="K12" i="21"/>
  <c r="H10" i="1"/>
  <c r="E14" i="1"/>
  <c r="J10" i="1"/>
  <c r="I10" i="1"/>
  <c r="CE85" i="11"/>
  <c r="CE86" i="11"/>
  <c r="DX91" i="11"/>
  <c r="DQ85" i="11"/>
  <c r="DQ86" i="11"/>
  <c r="DQ91" i="11"/>
  <c r="DQ88" i="11"/>
  <c r="CE91" i="11"/>
  <c r="CE89" i="11"/>
  <c r="DQ93" i="11"/>
  <c r="DQ94" i="11"/>
  <c r="DQ82" i="11"/>
  <c r="DQ75" i="11"/>
  <c r="DQ77" i="11"/>
  <c r="DQ80" i="11"/>
  <c r="DQ83" i="11"/>
  <c r="DQ72" i="11"/>
  <c r="DQ71" i="11"/>
  <c r="DQ78" i="11"/>
  <c r="DQ73" i="11"/>
  <c r="DQ87" i="11"/>
  <c r="DQ79" i="11"/>
  <c r="DQ74" i="11"/>
  <c r="DQ81" i="11"/>
  <c r="DQ84" i="11"/>
  <c r="DQ76" i="11"/>
  <c r="DQ92" i="11"/>
  <c r="DQ90" i="11"/>
  <c r="CE94" i="11"/>
  <c r="CE78" i="11"/>
  <c r="CE75" i="11"/>
  <c r="CE81" i="11"/>
  <c r="CE76" i="11"/>
  <c r="CE82" i="11"/>
  <c r="CE80" i="11"/>
  <c r="CE74" i="11"/>
  <c r="CE71" i="11"/>
  <c r="CE83" i="11"/>
  <c r="CE73" i="11"/>
  <c r="CE72" i="11"/>
  <c r="CE77" i="11"/>
  <c r="CE79" i="11"/>
  <c r="CE84" i="11"/>
  <c r="CE92" i="11"/>
  <c r="CE90" i="11"/>
  <c r="CE87" i="11"/>
  <c r="CE88" i="11"/>
  <c r="DX94" i="11"/>
  <c r="DX82" i="11"/>
  <c r="DX83" i="11"/>
  <c r="DX80" i="11"/>
  <c r="DX79" i="11"/>
  <c r="DX72" i="11"/>
  <c r="DX81" i="11"/>
  <c r="DX78" i="11"/>
  <c r="DX84" i="11"/>
  <c r="DX76" i="11"/>
  <c r="DX75" i="11"/>
  <c r="DX73" i="11"/>
  <c r="DX77" i="11"/>
  <c r="DX71" i="11"/>
  <c r="DX74" i="11"/>
  <c r="DX88" i="11"/>
  <c r="DX85" i="11"/>
  <c r="DX90" i="11"/>
  <c r="DX86" i="11"/>
  <c r="DX87" i="11"/>
  <c r="DX92" i="11"/>
  <c r="DX89" i="11"/>
  <c r="CL94" i="11"/>
  <c r="CL82" i="11"/>
  <c r="CL73" i="11"/>
  <c r="CL74" i="11"/>
  <c r="CL72" i="11"/>
  <c r="CL71" i="11"/>
  <c r="CL78" i="11"/>
  <c r="CL79" i="11"/>
  <c r="CL83" i="11"/>
  <c r="CL76" i="11"/>
  <c r="CL81" i="11"/>
  <c r="CL80" i="11"/>
  <c r="CL75" i="11"/>
  <c r="CL77" i="11"/>
  <c r="CL84" i="11"/>
  <c r="CL87" i="11"/>
  <c r="CL91" i="11"/>
  <c r="CL89" i="11"/>
  <c r="CL92" i="11"/>
  <c r="CL86" i="11"/>
  <c r="CL90" i="11"/>
  <c r="CL88" i="11"/>
  <c r="CL85" i="11"/>
  <c r="H14" i="1" l="1"/>
  <c r="I14" i="1"/>
  <c r="J14" i="1"/>
  <c r="DQ89" i="11"/>
  <c r="CE93" i="11"/>
  <c r="DX93" i="11"/>
  <c r="CL93" i="11"/>
  <c r="EV94" i="11"/>
  <c r="DJ94" i="11"/>
  <c r="EO94" i="11"/>
  <c r="DC94" i="11"/>
  <c r="D33" i="2"/>
  <c r="C56" i="12" l="1"/>
  <c r="D56" i="12" s="1"/>
  <c r="E56" i="12" s="1"/>
  <c r="F56" i="12" s="1"/>
  <c r="G56" i="12" s="1"/>
  <c r="H56" i="12" s="1"/>
  <c r="I56" i="12" s="1"/>
  <c r="J56" i="12" s="1"/>
  <c r="K56" i="12" s="1"/>
  <c r="L56" i="12" s="1"/>
  <c r="M56" i="12" s="1"/>
  <c r="N56" i="12" s="1"/>
  <c r="O56" i="12" s="1"/>
  <c r="P56" i="12" s="1"/>
  <c r="Q56" i="12" s="1"/>
  <c r="R56" i="12" s="1"/>
  <c r="S56" i="12" s="1"/>
  <c r="T56" i="12" s="1"/>
  <c r="U56" i="12" s="1"/>
  <c r="V56" i="12" s="1"/>
  <c r="W56" i="12" s="1"/>
  <c r="C6" i="12"/>
  <c r="D6" i="12" s="1"/>
  <c r="E6" i="12" s="1"/>
  <c r="F6" i="12" s="1"/>
  <c r="G6" i="12" s="1"/>
  <c r="H6" i="12" s="1"/>
  <c r="I6" i="12" s="1"/>
  <c r="J6" i="12" s="1"/>
  <c r="K6" i="12" s="1"/>
  <c r="L6" i="12" s="1"/>
  <c r="M6" i="12" s="1"/>
  <c r="N6" i="12" s="1"/>
  <c r="O6" i="12" s="1"/>
  <c r="P6" i="12" s="1"/>
  <c r="Q6" i="12" s="1"/>
  <c r="R6" i="12" s="1"/>
  <c r="S6" i="12" s="1"/>
  <c r="T6" i="12" s="1"/>
  <c r="U6" i="12" s="1"/>
  <c r="V6" i="12" s="1"/>
  <c r="W6" i="12" s="1"/>
  <c r="N28" i="21"/>
  <c r="N30" i="21" s="1"/>
  <c r="L28" i="21"/>
  <c r="L30" i="21" s="1"/>
  <c r="C31" i="12"/>
  <c r="D31" i="12" s="1"/>
  <c r="E31" i="12" s="1"/>
  <c r="F31" i="12" s="1"/>
  <c r="G31" i="12" s="1"/>
  <c r="H31" i="12" s="1"/>
  <c r="I31" i="12" s="1"/>
  <c r="J31" i="12" s="1"/>
  <c r="K31" i="12" s="1"/>
  <c r="L31" i="12" s="1"/>
  <c r="M31" i="12" s="1"/>
  <c r="N31" i="12" s="1"/>
  <c r="O31" i="12" s="1"/>
  <c r="P31" i="12" s="1"/>
  <c r="Q31" i="12" s="1"/>
  <c r="R31" i="12" s="1"/>
  <c r="S31" i="12" s="1"/>
  <c r="T31" i="12" s="1"/>
  <c r="U31" i="12" s="1"/>
  <c r="V31" i="12" s="1"/>
  <c r="W31" i="12" s="1"/>
  <c r="I95" i="12"/>
  <c r="I147" i="12"/>
  <c r="O96" i="12"/>
  <c r="K116" i="12"/>
  <c r="C132" i="12"/>
  <c r="G94" i="12"/>
  <c r="O123" i="12"/>
  <c r="I117" i="12"/>
  <c r="H92" i="12"/>
  <c r="C98" i="12"/>
  <c r="D149" i="12"/>
  <c r="E146" i="12"/>
  <c r="C91" i="12"/>
  <c r="E119" i="12"/>
  <c r="C107" i="12"/>
  <c r="F95" i="12"/>
  <c r="H120" i="12"/>
  <c r="M126" i="12"/>
  <c r="H118" i="12"/>
  <c r="I120" i="12"/>
  <c r="G90" i="12"/>
  <c r="K151" i="12"/>
  <c r="P149" i="12"/>
  <c r="G139" i="12"/>
  <c r="N96" i="12"/>
  <c r="K147" i="12"/>
  <c r="D108" i="12"/>
  <c r="F138" i="12"/>
  <c r="J93" i="12"/>
  <c r="I113" i="12"/>
  <c r="R151" i="12"/>
  <c r="G101" i="12"/>
  <c r="C147" i="12"/>
  <c r="C136" i="12"/>
  <c r="E149" i="12"/>
  <c r="G146" i="12"/>
  <c r="Q151" i="12"/>
  <c r="I149" i="12"/>
  <c r="F148" i="12"/>
  <c r="J122" i="12"/>
  <c r="E101" i="12"/>
  <c r="K99" i="12"/>
  <c r="H146" i="12"/>
  <c r="H112" i="12"/>
  <c r="C101" i="12"/>
  <c r="J99" i="12"/>
  <c r="G123" i="12"/>
  <c r="I99" i="12"/>
  <c r="D93" i="12"/>
  <c r="N122" i="12"/>
  <c r="Q122" i="12"/>
  <c r="M119" i="12"/>
  <c r="T151" i="12"/>
  <c r="C93" i="12"/>
  <c r="H115" i="12"/>
  <c r="E86" i="12"/>
  <c r="S123" i="12"/>
  <c r="Q124" i="12"/>
  <c r="J141" i="12"/>
  <c r="H101" i="12"/>
  <c r="Q97" i="12"/>
  <c r="K95" i="12"/>
  <c r="P126" i="12"/>
  <c r="D120" i="12"/>
  <c r="P96" i="12"/>
  <c r="V101" i="12"/>
  <c r="M147" i="12"/>
  <c r="C113" i="12"/>
  <c r="L97" i="12"/>
  <c r="C143" i="12"/>
  <c r="C146" i="12"/>
  <c r="T100" i="12"/>
  <c r="F114" i="12"/>
  <c r="C99" i="12"/>
  <c r="F124" i="12"/>
  <c r="M117" i="12"/>
  <c r="I143" i="12"/>
  <c r="K93" i="12"/>
  <c r="D112" i="12"/>
  <c r="C144" i="12"/>
  <c r="I146" i="12"/>
  <c r="R101" i="12"/>
  <c r="C140" i="12"/>
  <c r="D94" i="12"/>
  <c r="F86" i="12"/>
  <c r="M120" i="12"/>
  <c r="E88" i="12"/>
  <c r="R126" i="12"/>
  <c r="Q125" i="12"/>
  <c r="J98" i="12"/>
  <c r="I88" i="12"/>
  <c r="K150" i="12"/>
  <c r="E100" i="12"/>
  <c r="F120" i="12"/>
  <c r="E112" i="12"/>
  <c r="R150" i="12"/>
  <c r="J91" i="12"/>
  <c r="P150" i="12"/>
  <c r="H144" i="12"/>
  <c r="N100" i="12"/>
  <c r="S101" i="12"/>
  <c r="F116" i="12"/>
  <c r="E151" i="12"/>
  <c r="R122" i="12"/>
  <c r="J144" i="12"/>
  <c r="C92" i="12"/>
  <c r="C151" i="12"/>
  <c r="E84" i="12"/>
  <c r="C111" i="12"/>
  <c r="N123" i="12"/>
  <c r="L92" i="12"/>
  <c r="M124" i="12"/>
  <c r="H114" i="12"/>
  <c r="P124" i="12"/>
  <c r="D86" i="12"/>
  <c r="P123" i="12"/>
  <c r="G117" i="12"/>
  <c r="J143" i="12"/>
  <c r="F145" i="12"/>
  <c r="I98" i="12"/>
  <c r="I148" i="12"/>
  <c r="N126" i="12"/>
  <c r="I116" i="12"/>
  <c r="C115" i="12"/>
  <c r="J118" i="12"/>
  <c r="I123" i="12"/>
  <c r="D118" i="12"/>
  <c r="E110" i="12"/>
  <c r="L125" i="12"/>
  <c r="K123" i="12"/>
  <c r="G99" i="12"/>
  <c r="S151" i="12"/>
  <c r="J120" i="12"/>
  <c r="N124" i="12"/>
  <c r="C96" i="12"/>
  <c r="L94" i="12"/>
  <c r="R125" i="12"/>
  <c r="E93" i="12"/>
  <c r="Q101" i="12"/>
  <c r="C141" i="12"/>
  <c r="G145" i="12"/>
  <c r="L151" i="12"/>
  <c r="E99" i="12"/>
  <c r="L100" i="12"/>
  <c r="F150" i="12"/>
  <c r="F147" i="12"/>
  <c r="Q96" i="12"/>
  <c r="E141" i="12"/>
  <c r="V126" i="12"/>
  <c r="Q121" i="12"/>
  <c r="C138" i="12"/>
  <c r="O149" i="12"/>
  <c r="E87" i="12"/>
  <c r="R149" i="12"/>
  <c r="D145" i="12"/>
  <c r="F115" i="12"/>
  <c r="O122" i="12"/>
  <c r="F118" i="12"/>
  <c r="H141" i="12"/>
  <c r="E85" i="12"/>
  <c r="O126" i="12"/>
  <c r="C109" i="12"/>
  <c r="O100" i="12"/>
  <c r="E96" i="12"/>
  <c r="D136" i="12"/>
  <c r="D110" i="12"/>
  <c r="D111" i="12"/>
  <c r="Q147" i="12"/>
  <c r="L120" i="12"/>
  <c r="J96" i="12"/>
  <c r="G97" i="12"/>
  <c r="K92" i="12"/>
  <c r="D92" i="12"/>
  <c r="D96" i="12"/>
  <c r="G147" i="12"/>
  <c r="E124" i="12"/>
  <c r="H116" i="12"/>
  <c r="I142" i="12"/>
  <c r="N148" i="12"/>
  <c r="L122" i="12"/>
  <c r="F91" i="12"/>
  <c r="E139" i="12"/>
  <c r="E137" i="12"/>
  <c r="S98" i="12"/>
  <c r="H119" i="12"/>
  <c r="G137" i="12"/>
  <c r="C94" i="12"/>
  <c r="D147" i="12"/>
  <c r="R124" i="12"/>
  <c r="S126" i="12"/>
  <c r="D144" i="12"/>
  <c r="K140" i="12"/>
  <c r="L145" i="12"/>
  <c r="I144" i="12"/>
  <c r="K141" i="12"/>
  <c r="K96" i="12"/>
  <c r="O95" i="12"/>
  <c r="C121" i="12"/>
  <c r="F141" i="12"/>
  <c r="O119" i="12"/>
  <c r="L101" i="12"/>
  <c r="H97" i="12"/>
  <c r="E120" i="12"/>
  <c r="K142" i="12"/>
  <c r="C133" i="12"/>
  <c r="I92" i="12"/>
  <c r="H93" i="12"/>
  <c r="F139" i="12"/>
  <c r="N125" i="12"/>
  <c r="F136" i="12"/>
  <c r="G96" i="12"/>
  <c r="Q150" i="12"/>
  <c r="M100" i="12"/>
  <c r="F146" i="12"/>
  <c r="G114" i="12"/>
  <c r="O125" i="12"/>
  <c r="J90" i="12"/>
  <c r="F98" i="12"/>
  <c r="C114" i="12"/>
  <c r="M149" i="12"/>
  <c r="G140" i="12"/>
  <c r="I139" i="12"/>
  <c r="C124" i="12"/>
  <c r="C150" i="12"/>
  <c r="G95" i="12"/>
  <c r="I138" i="12"/>
  <c r="S125" i="12"/>
  <c r="P121" i="12"/>
  <c r="G143" i="12"/>
  <c r="F112" i="12"/>
  <c r="Q99" i="12"/>
  <c r="E117" i="12"/>
  <c r="I89" i="12"/>
  <c r="D140" i="12"/>
  <c r="C134" i="12"/>
  <c r="J116" i="12"/>
  <c r="K145" i="12"/>
  <c r="D91" i="12"/>
  <c r="P98" i="12"/>
  <c r="G100" i="12"/>
  <c r="E121" i="12"/>
  <c r="P147" i="12"/>
  <c r="D85" i="12"/>
  <c r="L143" i="12"/>
  <c r="C119" i="12"/>
  <c r="U126" i="12"/>
  <c r="M142" i="12"/>
  <c r="G113" i="12"/>
  <c r="K118" i="12"/>
  <c r="D117" i="12"/>
  <c r="F94" i="12"/>
  <c r="C88" i="12"/>
  <c r="D139" i="12"/>
  <c r="S149" i="12"/>
  <c r="P99" i="12"/>
  <c r="E125" i="12"/>
  <c r="J151" i="12"/>
  <c r="F123" i="12"/>
  <c r="L147" i="12"/>
  <c r="F122" i="12"/>
  <c r="E122" i="12"/>
  <c r="I101" i="12"/>
  <c r="J126" i="12"/>
  <c r="E143" i="12"/>
  <c r="H90" i="12"/>
  <c r="K122" i="12"/>
  <c r="E150" i="12"/>
  <c r="M118" i="12"/>
  <c r="L93" i="12"/>
  <c r="H98" i="12"/>
  <c r="L116" i="12"/>
  <c r="J146" i="12"/>
  <c r="M144" i="12"/>
  <c r="O124" i="12"/>
  <c r="H95" i="12"/>
  <c r="C145" i="12"/>
  <c r="Q148" i="12"/>
  <c r="G150" i="12"/>
  <c r="O99" i="12"/>
  <c r="M150" i="12"/>
  <c r="J149" i="12"/>
  <c r="I121" i="12"/>
  <c r="I150" i="12"/>
  <c r="H100" i="12"/>
  <c r="H145" i="12"/>
  <c r="C125" i="12"/>
  <c r="I100" i="12"/>
  <c r="D88" i="12"/>
  <c r="N101" i="12"/>
  <c r="C116" i="12"/>
  <c r="I125" i="12"/>
  <c r="K125" i="12"/>
  <c r="M98" i="12"/>
  <c r="D146" i="12"/>
  <c r="R99" i="12"/>
  <c r="D98" i="12"/>
  <c r="C84" i="12"/>
  <c r="O97" i="12"/>
  <c r="F144" i="12"/>
  <c r="E147" i="12"/>
  <c r="J117" i="12"/>
  <c r="G87" i="12"/>
  <c r="D114" i="12"/>
  <c r="M148" i="12"/>
  <c r="O148" i="12"/>
  <c r="G92" i="12"/>
  <c r="G112" i="12"/>
  <c r="F113" i="12"/>
  <c r="I140" i="12"/>
  <c r="L96" i="12"/>
  <c r="K149" i="12"/>
  <c r="M92" i="12"/>
  <c r="V151" i="12"/>
  <c r="E95" i="12"/>
  <c r="E148" i="12"/>
  <c r="M97" i="12"/>
  <c r="I96" i="12"/>
  <c r="E136" i="12"/>
  <c r="R97" i="12"/>
  <c r="C135" i="12"/>
  <c r="K121" i="12"/>
  <c r="P148" i="12"/>
  <c r="F137" i="12"/>
  <c r="C117" i="12"/>
  <c r="G88" i="12"/>
  <c r="L142" i="12"/>
  <c r="F135" i="12"/>
  <c r="E142" i="12"/>
  <c r="H126" i="12"/>
  <c r="O101" i="12"/>
  <c r="F110" i="12"/>
  <c r="C108" i="12"/>
  <c r="L144" i="12"/>
  <c r="D141" i="12"/>
  <c r="C137" i="12"/>
  <c r="K90" i="12"/>
  <c r="H94" i="12"/>
  <c r="D150" i="12"/>
  <c r="G86" i="12"/>
  <c r="G111" i="12"/>
  <c r="J147" i="12"/>
  <c r="E90" i="12"/>
  <c r="I91" i="12"/>
  <c r="C87" i="12"/>
  <c r="N118" i="12"/>
  <c r="L146" i="12"/>
  <c r="K120" i="12"/>
  <c r="F99" i="12"/>
  <c r="G142" i="12"/>
  <c r="G148" i="12"/>
  <c r="N146" i="12"/>
  <c r="J114" i="12"/>
  <c r="H143" i="12"/>
  <c r="L98" i="12"/>
  <c r="D119" i="12"/>
  <c r="C89" i="12"/>
  <c r="C85" i="12"/>
  <c r="T126" i="12"/>
  <c r="U100" i="12"/>
  <c r="E89" i="12"/>
  <c r="M123" i="12"/>
  <c r="E92" i="12"/>
  <c r="G141" i="12"/>
  <c r="O146" i="12"/>
  <c r="K144" i="12"/>
  <c r="C112" i="12"/>
  <c r="E111" i="12"/>
  <c r="H122" i="12"/>
  <c r="O94" i="12"/>
  <c r="N147" i="12"/>
  <c r="H142" i="12"/>
  <c r="T101" i="12"/>
  <c r="T149" i="12"/>
  <c r="R100" i="12"/>
  <c r="O151" i="12"/>
  <c r="Q98" i="12"/>
  <c r="M95" i="12"/>
  <c r="J124" i="12"/>
  <c r="D90" i="12"/>
  <c r="H124" i="12"/>
  <c r="M94" i="12"/>
  <c r="U125" i="12"/>
  <c r="P151" i="12"/>
  <c r="C123" i="12"/>
  <c r="H147" i="12"/>
  <c r="C142" i="12"/>
  <c r="L95" i="12"/>
  <c r="S150" i="12"/>
  <c r="J92" i="12"/>
  <c r="O145" i="12"/>
  <c r="M143" i="12"/>
  <c r="C118" i="12"/>
  <c r="O120" i="12"/>
  <c r="E116" i="12"/>
  <c r="J121" i="12"/>
  <c r="R148" i="12"/>
  <c r="G151" i="12"/>
  <c r="D99" i="12"/>
  <c r="F121" i="12"/>
  <c r="H140" i="12"/>
  <c r="I124" i="12"/>
  <c r="M122" i="12"/>
  <c r="R147" i="12"/>
  <c r="D34" i="2"/>
  <c r="G89" i="12"/>
  <c r="G120" i="12"/>
  <c r="L99" i="12"/>
  <c r="F89" i="12"/>
  <c r="K124" i="12"/>
  <c r="H139" i="12"/>
  <c r="D134" i="12"/>
  <c r="Q149" i="12"/>
  <c r="H125" i="12"/>
  <c r="H99" i="12"/>
  <c r="P101" i="12"/>
  <c r="J139" i="12"/>
  <c r="R98" i="12"/>
  <c r="H96" i="12"/>
  <c r="G122" i="12"/>
  <c r="C139" i="12"/>
  <c r="C120" i="12"/>
  <c r="S148" i="12"/>
  <c r="I90" i="12"/>
  <c r="E145" i="12"/>
  <c r="D115" i="12"/>
  <c r="C110" i="12"/>
  <c r="F149" i="12"/>
  <c r="O147" i="12"/>
  <c r="J100" i="12"/>
  <c r="E113" i="12"/>
  <c r="H113" i="12"/>
  <c r="G121" i="12"/>
  <c r="N98" i="12"/>
  <c r="K117" i="12"/>
  <c r="G144" i="12"/>
  <c r="F142" i="12"/>
  <c r="N120" i="12"/>
  <c r="E98" i="12"/>
  <c r="D89" i="12"/>
  <c r="L150" i="12"/>
  <c r="U101" i="12"/>
  <c r="D143" i="12"/>
  <c r="G124" i="12"/>
  <c r="K91" i="12"/>
  <c r="C82" i="12"/>
  <c r="E135" i="12"/>
  <c r="T99" i="12"/>
  <c r="I141" i="12"/>
  <c r="L117" i="12"/>
  <c r="N94" i="12"/>
  <c r="M145" i="12"/>
  <c r="Q146" i="12"/>
  <c r="I145" i="12"/>
  <c r="I114" i="12"/>
  <c r="H117" i="12"/>
  <c r="F117" i="12"/>
  <c r="E118" i="12"/>
  <c r="G125" i="12"/>
  <c r="F87" i="12"/>
  <c r="D148" i="12"/>
  <c r="J150" i="12"/>
  <c r="I115" i="12"/>
  <c r="C100" i="12"/>
  <c r="K148" i="12"/>
  <c r="K119" i="12"/>
  <c r="P97" i="12"/>
  <c r="C148" i="12"/>
  <c r="D133" i="12"/>
  <c r="H88" i="12"/>
  <c r="D113" i="12"/>
  <c r="D83" i="12"/>
  <c r="H151" i="12"/>
  <c r="D101" i="12"/>
  <c r="C95" i="12"/>
  <c r="J148" i="12"/>
  <c r="D97" i="12"/>
  <c r="E114" i="12"/>
  <c r="L148" i="12"/>
  <c r="D122" i="12"/>
  <c r="N149" i="12"/>
  <c r="P120" i="12"/>
  <c r="S100" i="12"/>
  <c r="Q100" i="12"/>
  <c r="K98" i="12"/>
  <c r="F93" i="12"/>
  <c r="H121" i="12"/>
  <c r="F101" i="12"/>
  <c r="P100" i="12"/>
  <c r="M101" i="12"/>
  <c r="C97" i="12"/>
  <c r="L118" i="12"/>
  <c r="J140" i="12"/>
  <c r="H123" i="12"/>
  <c r="G119" i="12"/>
  <c r="O98" i="12"/>
  <c r="I97" i="12"/>
  <c r="H148" i="12"/>
  <c r="C90" i="12"/>
  <c r="M151" i="12"/>
  <c r="M93" i="12"/>
  <c r="E138" i="12"/>
  <c r="G115" i="12"/>
  <c r="F126" i="12"/>
  <c r="C126" i="12"/>
  <c r="Q126" i="12"/>
  <c r="K94" i="12"/>
  <c r="T124" i="12"/>
  <c r="I122" i="12"/>
  <c r="F119" i="12"/>
  <c r="F100" i="12"/>
  <c r="L124" i="12"/>
  <c r="N150" i="12"/>
  <c r="D138" i="12"/>
  <c r="N97" i="12"/>
  <c r="M96" i="12"/>
  <c r="E109" i="12"/>
  <c r="D135" i="12"/>
  <c r="C149" i="12"/>
  <c r="S99" i="12"/>
  <c r="M121" i="12"/>
  <c r="G93" i="12"/>
  <c r="D125" i="12"/>
  <c r="M125" i="12"/>
  <c r="E134" i="12"/>
  <c r="J95" i="12"/>
  <c r="N145" i="12"/>
  <c r="J145" i="12"/>
  <c r="P95" i="12"/>
  <c r="G136" i="12"/>
  <c r="N93" i="12"/>
  <c r="G126" i="12"/>
  <c r="U151" i="12"/>
  <c r="D116" i="12"/>
  <c r="G98" i="12"/>
  <c r="J119" i="12"/>
  <c r="D100" i="12"/>
  <c r="K101" i="12"/>
  <c r="L141" i="12"/>
  <c r="I94" i="12"/>
  <c r="E97" i="12"/>
  <c r="L91" i="12"/>
  <c r="C122" i="12"/>
  <c r="N121" i="12"/>
  <c r="D126" i="12"/>
  <c r="F88" i="12"/>
  <c r="S124" i="12"/>
  <c r="D84" i="12"/>
  <c r="K115" i="12"/>
  <c r="D124" i="12"/>
  <c r="D151" i="12"/>
  <c r="N143" i="12"/>
  <c r="P146" i="12"/>
  <c r="J97" i="12"/>
  <c r="H89" i="12"/>
  <c r="D123" i="12"/>
  <c r="H149" i="12"/>
  <c r="I151" i="12"/>
  <c r="F143" i="12"/>
  <c r="G91" i="12"/>
  <c r="E123" i="12"/>
  <c r="M146" i="12"/>
  <c r="F140" i="12"/>
  <c r="F96" i="12"/>
  <c r="I93" i="12"/>
  <c r="H87" i="12"/>
  <c r="D95" i="12"/>
  <c r="C86" i="12"/>
  <c r="G149" i="12"/>
  <c r="H91" i="12"/>
  <c r="T150" i="12"/>
  <c r="D109" i="12"/>
  <c r="F85" i="12"/>
  <c r="N151" i="12"/>
  <c r="F151" i="12"/>
  <c r="E94" i="12"/>
  <c r="K97" i="12"/>
  <c r="H150" i="12"/>
  <c r="G138" i="12"/>
  <c r="K100" i="12"/>
  <c r="L149" i="12"/>
  <c r="F125" i="12"/>
  <c r="L126" i="12"/>
  <c r="O121" i="12"/>
  <c r="P145" i="12"/>
  <c r="F92" i="12"/>
  <c r="N95" i="12"/>
  <c r="N119" i="12"/>
  <c r="N144" i="12"/>
  <c r="H138" i="12"/>
  <c r="I118" i="12"/>
  <c r="L119" i="12"/>
  <c r="U150" i="12"/>
  <c r="E115" i="12"/>
  <c r="G116" i="12"/>
  <c r="K146" i="12"/>
  <c r="K143" i="12"/>
  <c r="J94" i="12"/>
  <c r="J115" i="12"/>
  <c r="I119" i="12"/>
  <c r="K126" i="12"/>
  <c r="R123" i="12"/>
  <c r="I126" i="12"/>
  <c r="F90" i="12"/>
  <c r="E126" i="12"/>
  <c r="D87" i="12"/>
  <c r="F111" i="12"/>
  <c r="L123" i="12"/>
  <c r="P125" i="12"/>
  <c r="C83" i="12"/>
  <c r="J142" i="12"/>
  <c r="D142" i="12"/>
  <c r="E91" i="12"/>
  <c r="T125" i="12"/>
  <c r="J125" i="12"/>
  <c r="J123" i="12"/>
  <c r="M99" i="12"/>
  <c r="O150" i="12"/>
  <c r="D137" i="12"/>
  <c r="E140" i="12"/>
  <c r="H137" i="12"/>
  <c r="O144" i="12"/>
  <c r="G118" i="12"/>
  <c r="Q123" i="12"/>
  <c r="E144" i="12"/>
  <c r="L121" i="12"/>
  <c r="D121" i="12"/>
  <c r="N99" i="12"/>
  <c r="J101" i="12"/>
  <c r="J89" i="12"/>
  <c r="F97" i="12"/>
  <c r="P122" i="12"/>
  <c r="D57" i="12" l="1"/>
  <c r="E57" i="12" s="1"/>
  <c r="D7" i="12"/>
  <c r="E7" i="12" s="1"/>
  <c r="F7" i="12" s="1"/>
  <c r="D32" i="12"/>
  <c r="E32" i="12" s="1"/>
  <c r="C81" i="12"/>
  <c r="C102" i="12" s="1"/>
  <c r="C27" i="12"/>
  <c r="L114" i="9" s="1"/>
  <c r="C131" i="12"/>
  <c r="C152" i="12" s="1"/>
  <c r="C77" i="12"/>
  <c r="J114" i="9" s="1"/>
  <c r="C52" i="12"/>
  <c r="K114" i="9" s="1"/>
  <c r="C106" i="12"/>
  <c r="C127" i="12" s="1"/>
  <c r="E8" i="12" l="1"/>
  <c r="F8" i="12" s="1"/>
  <c r="G8" i="12" s="1"/>
  <c r="H8" i="12" s="1"/>
  <c r="I8" i="12" s="1"/>
  <c r="J8" i="12" s="1"/>
  <c r="K8" i="12" s="1"/>
  <c r="L8" i="12" s="1"/>
  <c r="M8" i="12" s="1"/>
  <c r="N8" i="12" s="1"/>
  <c r="O8" i="12" s="1"/>
  <c r="P8" i="12" s="1"/>
  <c r="Q8" i="12" s="1"/>
  <c r="R8" i="12" s="1"/>
  <c r="S8" i="12" s="1"/>
  <c r="T8" i="12" s="1"/>
  <c r="U8" i="12" s="1"/>
  <c r="V8" i="12" s="1"/>
  <c r="W8" i="12" s="1"/>
  <c r="F57" i="12"/>
  <c r="E58" i="12"/>
  <c r="F58" i="12" s="1"/>
  <c r="G58" i="12" s="1"/>
  <c r="H58" i="12" s="1"/>
  <c r="I58" i="12" s="1"/>
  <c r="J58" i="12" s="1"/>
  <c r="K58" i="12" s="1"/>
  <c r="L58" i="12" s="1"/>
  <c r="M58" i="12" s="1"/>
  <c r="N58" i="12" s="1"/>
  <c r="O58" i="12" s="1"/>
  <c r="P58" i="12" s="1"/>
  <c r="Q58" i="12" s="1"/>
  <c r="R58" i="12" s="1"/>
  <c r="S58" i="12" s="1"/>
  <c r="T58" i="12" s="1"/>
  <c r="U58" i="12" s="1"/>
  <c r="V58" i="12" s="1"/>
  <c r="W58" i="12" s="1"/>
  <c r="F32" i="12"/>
  <c r="E33" i="12"/>
  <c r="F33" i="12" s="1"/>
  <c r="G33" i="12" s="1"/>
  <c r="H33" i="12" s="1"/>
  <c r="I33" i="12" s="1"/>
  <c r="J33" i="12" s="1"/>
  <c r="K33" i="12" s="1"/>
  <c r="L33" i="12" s="1"/>
  <c r="M33" i="12" s="1"/>
  <c r="N33" i="12" s="1"/>
  <c r="O33" i="12" s="1"/>
  <c r="P33" i="12" s="1"/>
  <c r="Q33" i="12" s="1"/>
  <c r="R33" i="12" s="1"/>
  <c r="S33" i="12" s="1"/>
  <c r="T33" i="12" s="1"/>
  <c r="U33" i="12" s="1"/>
  <c r="V33" i="12" s="1"/>
  <c r="W33" i="12" s="1"/>
  <c r="G7" i="12"/>
  <c r="D106" i="12"/>
  <c r="P172" i="10"/>
  <c r="P198" i="10" s="1"/>
  <c r="P224" i="10" s="1"/>
  <c r="P64" i="10" s="1"/>
  <c r="C172" i="10"/>
  <c r="AK35" i="8"/>
  <c r="AT35" i="8" s="1"/>
  <c r="AK62" i="8"/>
  <c r="AT62" i="8" s="1"/>
  <c r="AK88" i="8"/>
  <c r="E35" i="8"/>
  <c r="N35" i="8" s="1"/>
  <c r="E62" i="8"/>
  <c r="N62" i="8" s="1"/>
  <c r="E88" i="8"/>
  <c r="BL172" i="10"/>
  <c r="AY172" i="10"/>
  <c r="U62" i="8"/>
  <c r="AD62" i="8" s="1"/>
  <c r="U35" i="8"/>
  <c r="AD35" i="8" s="1"/>
  <c r="U88" i="8"/>
  <c r="AN172" i="10"/>
  <c r="AN198" i="10" s="1"/>
  <c r="AN224" i="10" s="1"/>
  <c r="AN64" i="10" s="1"/>
  <c r="AA172" i="10"/>
  <c r="D131" i="12"/>
  <c r="D81" i="12"/>
  <c r="F9" i="12" l="1"/>
  <c r="G9" i="12" s="1"/>
  <c r="H9" i="12" s="1"/>
  <c r="I9" i="12" s="1"/>
  <c r="J9" i="12" s="1"/>
  <c r="K9" i="12" s="1"/>
  <c r="L9" i="12" s="1"/>
  <c r="M9" i="12" s="1"/>
  <c r="N9" i="12" s="1"/>
  <c r="O9" i="12" s="1"/>
  <c r="P9" i="12" s="1"/>
  <c r="Q9" i="12" s="1"/>
  <c r="R9" i="12" s="1"/>
  <c r="S9" i="12" s="1"/>
  <c r="T9" i="12" s="1"/>
  <c r="U9" i="12" s="1"/>
  <c r="V9" i="12" s="1"/>
  <c r="W9" i="12" s="1"/>
  <c r="G57" i="12"/>
  <c r="F59" i="12"/>
  <c r="G59" i="12" s="1"/>
  <c r="H59" i="12" s="1"/>
  <c r="I59" i="12" s="1"/>
  <c r="J59" i="12" s="1"/>
  <c r="K59" i="12" s="1"/>
  <c r="L59" i="12" s="1"/>
  <c r="M59" i="12" s="1"/>
  <c r="N59" i="12" s="1"/>
  <c r="O59" i="12" s="1"/>
  <c r="P59" i="12" s="1"/>
  <c r="Q59" i="12" s="1"/>
  <c r="R59" i="12" s="1"/>
  <c r="S59" i="12" s="1"/>
  <c r="T59" i="12" s="1"/>
  <c r="U59" i="12" s="1"/>
  <c r="V59" i="12" s="1"/>
  <c r="W59" i="12" s="1"/>
  <c r="H7" i="12"/>
  <c r="G32" i="12"/>
  <c r="F34" i="12"/>
  <c r="G34" i="12" s="1"/>
  <c r="H34" i="12" s="1"/>
  <c r="I34" i="12" s="1"/>
  <c r="J34" i="12" s="1"/>
  <c r="K34" i="12" s="1"/>
  <c r="L34" i="12" s="1"/>
  <c r="M34" i="12" s="1"/>
  <c r="N34" i="12" s="1"/>
  <c r="O34" i="12" s="1"/>
  <c r="P34" i="12" s="1"/>
  <c r="Q34" i="12" s="1"/>
  <c r="R34" i="12" s="1"/>
  <c r="S34" i="12" s="1"/>
  <c r="T34" i="12" s="1"/>
  <c r="U34" i="12" s="1"/>
  <c r="V34" i="12" s="1"/>
  <c r="W34" i="12" s="1"/>
  <c r="BL198" i="10"/>
  <c r="E81" i="12"/>
  <c r="AH172" i="10"/>
  <c r="AT172" i="10" s="1"/>
  <c r="AA198" i="10"/>
  <c r="J8" i="10"/>
  <c r="T24" i="18"/>
  <c r="T24" i="20"/>
  <c r="T24" i="19"/>
  <c r="T24" i="13"/>
  <c r="D132" i="12"/>
  <c r="D152" i="12" s="1"/>
  <c r="D77" i="12"/>
  <c r="J115" i="9" s="1"/>
  <c r="V8" i="10"/>
  <c r="AR24" i="13"/>
  <c r="AR24" i="20"/>
  <c r="AR24" i="18"/>
  <c r="AR24" i="19"/>
  <c r="E8" i="8"/>
  <c r="N88" i="8"/>
  <c r="N8" i="8" s="1"/>
  <c r="D107" i="12"/>
  <c r="D127" i="12" s="1"/>
  <c r="D52" i="12"/>
  <c r="K115" i="9" s="1"/>
  <c r="D82" i="12"/>
  <c r="D102" i="12" s="1"/>
  <c r="D27" i="12"/>
  <c r="E131" i="12"/>
  <c r="U8" i="8"/>
  <c r="AD88" i="8"/>
  <c r="AD8" i="8" s="1"/>
  <c r="AK8" i="8"/>
  <c r="AT88" i="8"/>
  <c r="AT8" i="8" s="1"/>
  <c r="E106" i="12"/>
  <c r="BF172" i="10"/>
  <c r="BR172" i="10" s="1"/>
  <c r="AY198" i="10"/>
  <c r="J172" i="10"/>
  <c r="V172" i="10" s="1"/>
  <c r="C198" i="10"/>
  <c r="L115" i="9" l="1"/>
  <c r="AK63" i="8" s="1"/>
  <c r="AT63" i="8" s="1"/>
  <c r="D28" i="12"/>
  <c r="G10" i="12"/>
  <c r="H10" i="12" s="1"/>
  <c r="I10" i="12" s="1"/>
  <c r="J10" i="12" s="1"/>
  <c r="K10" i="12" s="1"/>
  <c r="L10" i="12" s="1"/>
  <c r="M10" i="12" s="1"/>
  <c r="N10" i="12" s="1"/>
  <c r="O10" i="12" s="1"/>
  <c r="P10" i="12" s="1"/>
  <c r="Q10" i="12" s="1"/>
  <c r="R10" i="12" s="1"/>
  <c r="S10" i="12" s="1"/>
  <c r="T10" i="12" s="1"/>
  <c r="U10" i="12" s="1"/>
  <c r="V10" i="12" s="1"/>
  <c r="W10" i="12" s="1"/>
  <c r="H57" i="12"/>
  <c r="G60" i="12"/>
  <c r="H60" i="12" s="1"/>
  <c r="I60" i="12" s="1"/>
  <c r="J60" i="12" s="1"/>
  <c r="K60" i="12" s="1"/>
  <c r="L60" i="12" s="1"/>
  <c r="M60" i="12" s="1"/>
  <c r="N60" i="12" s="1"/>
  <c r="O60" i="12" s="1"/>
  <c r="P60" i="12" s="1"/>
  <c r="Q60" i="12" s="1"/>
  <c r="R60" i="12" s="1"/>
  <c r="S60" i="12" s="1"/>
  <c r="T60" i="12" s="1"/>
  <c r="U60" i="12" s="1"/>
  <c r="V60" i="12" s="1"/>
  <c r="W60" i="12" s="1"/>
  <c r="I7" i="12"/>
  <c r="H32" i="12"/>
  <c r="G35" i="12"/>
  <c r="H35" i="12" s="1"/>
  <c r="I35" i="12" s="1"/>
  <c r="J35" i="12" s="1"/>
  <c r="K35" i="12" s="1"/>
  <c r="L35" i="12" s="1"/>
  <c r="M35" i="12" s="1"/>
  <c r="N35" i="12" s="1"/>
  <c r="O35" i="12" s="1"/>
  <c r="P35" i="12" s="1"/>
  <c r="Q35" i="12" s="1"/>
  <c r="R35" i="12" s="1"/>
  <c r="S35" i="12" s="1"/>
  <c r="T35" i="12" s="1"/>
  <c r="U35" i="12" s="1"/>
  <c r="V35" i="12" s="1"/>
  <c r="W35" i="12" s="1"/>
  <c r="N110" i="21"/>
  <c r="N136" i="21" s="1"/>
  <c r="J110" i="21"/>
  <c r="J136" i="21" s="1"/>
  <c r="M110" i="21"/>
  <c r="M136" i="21" s="1"/>
  <c r="L110" i="21"/>
  <c r="L136" i="21" s="1"/>
  <c r="K110" i="21"/>
  <c r="K136" i="21" s="1"/>
  <c r="O110" i="21"/>
  <c r="O136" i="21" s="1"/>
  <c r="H110" i="21"/>
  <c r="H136" i="21" s="1"/>
  <c r="F110" i="21"/>
  <c r="F136" i="21" s="1"/>
  <c r="G110" i="21"/>
  <c r="G136" i="21" s="1"/>
  <c r="E110" i="21"/>
  <c r="E136" i="21" s="1"/>
  <c r="I110" i="21"/>
  <c r="I136" i="21" s="1"/>
  <c r="D110" i="21"/>
  <c r="D136" i="21" s="1"/>
  <c r="BL224" i="10"/>
  <c r="AY173" i="10"/>
  <c r="BF173" i="10" s="1"/>
  <c r="BR173" i="10" s="1"/>
  <c r="BL173" i="10"/>
  <c r="AN173" i="10"/>
  <c r="AN199" i="10" s="1"/>
  <c r="AN225" i="10" s="1"/>
  <c r="AN65" i="10" s="1"/>
  <c r="AR25" i="19" s="1"/>
  <c r="AA173" i="10"/>
  <c r="AA199" i="10" s="1"/>
  <c r="P173" i="10"/>
  <c r="P199" i="10" s="1"/>
  <c r="C173" i="10"/>
  <c r="C199" i="10" s="1"/>
  <c r="P225" i="10"/>
  <c r="AE50" i="11"/>
  <c r="J198" i="10"/>
  <c r="V198" i="10" s="1"/>
  <c r="C224" i="10"/>
  <c r="F106" i="12"/>
  <c r="Z50" i="11"/>
  <c r="E107" i="12"/>
  <c r="AR51" i="19"/>
  <c r="E132" i="12"/>
  <c r="T51" i="13"/>
  <c r="S50" i="11"/>
  <c r="AK89" i="8"/>
  <c r="AR51" i="18"/>
  <c r="T51" i="19"/>
  <c r="E83" i="12"/>
  <c r="E27" i="12"/>
  <c r="BF198" i="10"/>
  <c r="BR198" i="10" s="1"/>
  <c r="AY224" i="10"/>
  <c r="AL50" i="11"/>
  <c r="E133" i="12"/>
  <c r="E77" i="12"/>
  <c r="J116" i="9" s="1"/>
  <c r="E82" i="12"/>
  <c r="N50" i="11"/>
  <c r="AR51" i="20"/>
  <c r="T51" i="20"/>
  <c r="F81" i="12"/>
  <c r="E108" i="12"/>
  <c r="E52" i="12"/>
  <c r="K116" i="9" s="1"/>
  <c r="F131" i="12"/>
  <c r="U63" i="8"/>
  <c r="AD63" i="8" s="1"/>
  <c r="U36" i="8"/>
  <c r="AD36" i="8" s="1"/>
  <c r="U89" i="8"/>
  <c r="G50" i="11"/>
  <c r="AR51" i="13"/>
  <c r="E63" i="8"/>
  <c r="N63" i="8" s="1"/>
  <c r="E36" i="8"/>
  <c r="N36" i="8" s="1"/>
  <c r="E89" i="8"/>
  <c r="T51" i="18"/>
  <c r="AH198" i="10"/>
  <c r="AT198" i="10" s="1"/>
  <c r="AA224" i="10"/>
  <c r="L116" i="9" l="1"/>
  <c r="AK64" i="8" s="1"/>
  <c r="AT64" i="8" s="1"/>
  <c r="E28" i="12"/>
  <c r="AK36" i="8"/>
  <c r="AT36" i="8" s="1"/>
  <c r="H11" i="12"/>
  <c r="I11" i="12" s="1"/>
  <c r="J11" i="12" s="1"/>
  <c r="K11" i="12" s="1"/>
  <c r="L11" i="12" s="1"/>
  <c r="M11" i="12" s="1"/>
  <c r="N11" i="12" s="1"/>
  <c r="O11" i="12" s="1"/>
  <c r="P11" i="12" s="1"/>
  <c r="Q11" i="12" s="1"/>
  <c r="R11" i="12" s="1"/>
  <c r="S11" i="12" s="1"/>
  <c r="T11" i="12" s="1"/>
  <c r="U11" i="12" s="1"/>
  <c r="V11" i="12" s="1"/>
  <c r="W11" i="12" s="1"/>
  <c r="I57" i="12"/>
  <c r="H61" i="12"/>
  <c r="I61" i="12" s="1"/>
  <c r="J61" i="12" s="1"/>
  <c r="K61" i="12" s="1"/>
  <c r="L61" i="12" s="1"/>
  <c r="M61" i="12" s="1"/>
  <c r="N61" i="12" s="1"/>
  <c r="O61" i="12" s="1"/>
  <c r="P61" i="12" s="1"/>
  <c r="Q61" i="12" s="1"/>
  <c r="R61" i="12" s="1"/>
  <c r="S61" i="12" s="1"/>
  <c r="T61" i="12" s="1"/>
  <c r="U61" i="12" s="1"/>
  <c r="V61" i="12" s="1"/>
  <c r="W61" i="12" s="1"/>
  <c r="I32" i="12"/>
  <c r="H36" i="12"/>
  <c r="I36" i="12" s="1"/>
  <c r="J36" i="12" s="1"/>
  <c r="K36" i="12" s="1"/>
  <c r="L36" i="12" s="1"/>
  <c r="M36" i="12" s="1"/>
  <c r="N36" i="12" s="1"/>
  <c r="O36" i="12" s="1"/>
  <c r="P36" i="12" s="1"/>
  <c r="Q36" i="12" s="1"/>
  <c r="R36" i="12" s="1"/>
  <c r="S36" i="12" s="1"/>
  <c r="T36" i="12" s="1"/>
  <c r="U36" i="12" s="1"/>
  <c r="V36" i="12" s="1"/>
  <c r="W36" i="12" s="1"/>
  <c r="J7" i="12"/>
  <c r="J173" i="10"/>
  <c r="V173" i="10" s="1"/>
  <c r="F134" i="12"/>
  <c r="AY199" i="10"/>
  <c r="BF199" i="10" s="1"/>
  <c r="BR199" i="10" s="1"/>
  <c r="AH173" i="10"/>
  <c r="AT173" i="10" s="1"/>
  <c r="P65" i="10"/>
  <c r="T25" i="20" s="1"/>
  <c r="T52" i="20" s="1"/>
  <c r="F84" i="12"/>
  <c r="E102" i="12"/>
  <c r="AY174" i="10" s="1"/>
  <c r="BF174" i="10" s="1"/>
  <c r="BR174" i="10" s="1"/>
  <c r="AR25" i="13"/>
  <c r="AR52" i="13" s="1"/>
  <c r="AR25" i="20"/>
  <c r="AR52" i="20" s="1"/>
  <c r="E152" i="12"/>
  <c r="C174" i="10" s="1"/>
  <c r="BL199" i="10"/>
  <c r="F52" i="12"/>
  <c r="K117" i="9" s="1"/>
  <c r="V9" i="10"/>
  <c r="E127" i="12"/>
  <c r="AA174" i="10" s="1"/>
  <c r="BL64" i="10"/>
  <c r="AR52" i="19"/>
  <c r="AR25" i="18"/>
  <c r="E9" i="8"/>
  <c r="N89" i="8"/>
  <c r="N9" i="8" s="1"/>
  <c r="U64" i="8"/>
  <c r="AD64" i="8" s="1"/>
  <c r="U37" i="8"/>
  <c r="AD37" i="8" s="1"/>
  <c r="U90" i="8"/>
  <c r="E37" i="8"/>
  <c r="N37" i="8" s="1"/>
  <c r="E64" i="8"/>
  <c r="N64" i="8" s="1"/>
  <c r="E90" i="8"/>
  <c r="AY64" i="10"/>
  <c r="BF224" i="10"/>
  <c r="F83" i="12"/>
  <c r="F132" i="12"/>
  <c r="AA64" i="10"/>
  <c r="O8" i="10" s="1"/>
  <c r="AH224" i="10"/>
  <c r="U9" i="8"/>
  <c r="AD89" i="8"/>
  <c r="AD9" i="8" s="1"/>
  <c r="G131" i="12"/>
  <c r="G81" i="12"/>
  <c r="AZ50" i="11"/>
  <c r="FJ50" i="11"/>
  <c r="F82" i="12"/>
  <c r="AK37" i="8"/>
  <c r="AT37" i="8" s="1"/>
  <c r="AK90" i="8"/>
  <c r="AK9" i="8"/>
  <c r="AT89" i="8"/>
  <c r="AT9" i="8" s="1"/>
  <c r="C64" i="10"/>
  <c r="J224" i="10"/>
  <c r="AH199" i="10"/>
  <c r="AT199" i="10" s="1"/>
  <c r="AA225" i="10"/>
  <c r="J199" i="10"/>
  <c r="V199" i="10" s="1"/>
  <c r="C225" i="10"/>
  <c r="GH50" i="11"/>
  <c r="BX50" i="11"/>
  <c r="BE50" i="11"/>
  <c r="FO50" i="11"/>
  <c r="F107" i="12"/>
  <c r="G106" i="12"/>
  <c r="AS50" i="11"/>
  <c r="FC50" i="11"/>
  <c r="F108" i="12"/>
  <c r="F133" i="12"/>
  <c r="BL50" i="11"/>
  <c r="FV50" i="11"/>
  <c r="GA50" i="11"/>
  <c r="BQ50" i="11"/>
  <c r="I12" i="12" l="1"/>
  <c r="J12" i="12" s="1"/>
  <c r="K12" i="12" s="1"/>
  <c r="L12" i="12" s="1"/>
  <c r="M12" i="12" s="1"/>
  <c r="N12" i="12" s="1"/>
  <c r="O12" i="12" s="1"/>
  <c r="P12" i="12" s="1"/>
  <c r="Q12" i="12" s="1"/>
  <c r="R12" i="12" s="1"/>
  <c r="S12" i="12" s="1"/>
  <c r="T12" i="12" s="1"/>
  <c r="U12" i="12" s="1"/>
  <c r="V12" i="12" s="1"/>
  <c r="W12" i="12" s="1"/>
  <c r="J57" i="12"/>
  <c r="I62" i="12"/>
  <c r="J62" i="12" s="1"/>
  <c r="K62" i="12" s="1"/>
  <c r="L62" i="12" s="1"/>
  <c r="M62" i="12" s="1"/>
  <c r="N62" i="12" s="1"/>
  <c r="O62" i="12" s="1"/>
  <c r="P62" i="12" s="1"/>
  <c r="Q62" i="12" s="1"/>
  <c r="R62" i="12" s="1"/>
  <c r="S62" i="12" s="1"/>
  <c r="T62" i="12" s="1"/>
  <c r="U62" i="12" s="1"/>
  <c r="V62" i="12" s="1"/>
  <c r="W62" i="12" s="1"/>
  <c r="K7" i="12"/>
  <c r="J32" i="12"/>
  <c r="I37" i="12"/>
  <c r="J37" i="12" s="1"/>
  <c r="K37" i="12" s="1"/>
  <c r="L37" i="12" s="1"/>
  <c r="M37" i="12" s="1"/>
  <c r="N37" i="12" s="1"/>
  <c r="O37" i="12" s="1"/>
  <c r="P37" i="12" s="1"/>
  <c r="Q37" i="12" s="1"/>
  <c r="R37" i="12" s="1"/>
  <c r="S37" i="12" s="1"/>
  <c r="T37" i="12" s="1"/>
  <c r="U37" i="12" s="1"/>
  <c r="V37" i="12" s="1"/>
  <c r="W37" i="12" s="1"/>
  <c r="K111" i="21"/>
  <c r="K137" i="21" s="1"/>
  <c r="O111" i="21"/>
  <c r="O137" i="21" s="1"/>
  <c r="L111" i="21"/>
  <c r="L137" i="21" s="1"/>
  <c r="M111" i="21"/>
  <c r="M137" i="21" s="1"/>
  <c r="J111" i="21"/>
  <c r="J137" i="21" s="1"/>
  <c r="N111" i="21"/>
  <c r="N137" i="21" s="1"/>
  <c r="F111" i="21"/>
  <c r="F137" i="21" s="1"/>
  <c r="G111" i="21"/>
  <c r="G137" i="21" s="1"/>
  <c r="H111" i="21"/>
  <c r="H137" i="21" s="1"/>
  <c r="D111" i="21"/>
  <c r="D137" i="21" s="1"/>
  <c r="I111" i="21"/>
  <c r="I137" i="21" s="1"/>
  <c r="E111" i="21"/>
  <c r="E137" i="21" s="1"/>
  <c r="T25" i="13"/>
  <c r="T52" i="13" s="1"/>
  <c r="F77" i="12"/>
  <c r="J117" i="9" s="1"/>
  <c r="E91" i="8" s="1"/>
  <c r="G135" i="12"/>
  <c r="T25" i="18"/>
  <c r="T52" i="18" s="1"/>
  <c r="AY225" i="10"/>
  <c r="BF225" i="10" s="1"/>
  <c r="G84" i="12"/>
  <c r="F27" i="12"/>
  <c r="P174" i="10"/>
  <c r="P200" i="10" s="1"/>
  <c r="P226" i="10"/>
  <c r="J9" i="10"/>
  <c r="C200" i="10"/>
  <c r="C226" i="10" s="1"/>
  <c r="J174" i="10"/>
  <c r="V174" i="10" s="1"/>
  <c r="T25" i="19"/>
  <c r="T52" i="19" s="1"/>
  <c r="F109" i="12"/>
  <c r="F127" i="12" s="1"/>
  <c r="AN175" i="10" s="1"/>
  <c r="AN201" i="10" s="1"/>
  <c r="AN227" i="10" s="1"/>
  <c r="AN67" i="10" s="1"/>
  <c r="BL174" i="10"/>
  <c r="BL200" i="10" s="1"/>
  <c r="AN174" i="10"/>
  <c r="AN200" i="10" s="1"/>
  <c r="AN226" i="10" s="1"/>
  <c r="AN66" i="10" s="1"/>
  <c r="AA200" i="10"/>
  <c r="AH200" i="10" s="1"/>
  <c r="AT200" i="10" s="1"/>
  <c r="AH174" i="10"/>
  <c r="AT174" i="10" s="1"/>
  <c r="AY200" i="10"/>
  <c r="BF200" i="10" s="1"/>
  <c r="BR200" i="10" s="1"/>
  <c r="F102" i="12"/>
  <c r="AY175" i="10" s="1"/>
  <c r="BF175" i="10" s="1"/>
  <c r="BR175" i="10" s="1"/>
  <c r="AH8" i="10"/>
  <c r="BP24" i="19"/>
  <c r="BP51" i="19" s="1"/>
  <c r="BP24" i="18"/>
  <c r="BP51" i="18" s="1"/>
  <c r="BP24" i="20"/>
  <c r="BP51" i="20" s="1"/>
  <c r="BP24" i="13"/>
  <c r="BP51" i="13" s="1"/>
  <c r="F152" i="12"/>
  <c r="P227" i="10" s="1"/>
  <c r="BL225" i="10"/>
  <c r="AL51" i="11"/>
  <c r="GH51" i="11" s="1"/>
  <c r="EV51" i="11" s="1"/>
  <c r="Z51" i="11"/>
  <c r="BL51" i="11" s="1"/>
  <c r="AR52" i="18"/>
  <c r="AE51" i="11"/>
  <c r="BQ51" i="11" s="1"/>
  <c r="S51" i="11"/>
  <c r="BE51" i="11" s="1"/>
  <c r="N51" i="11"/>
  <c r="FJ51" i="11" s="1"/>
  <c r="G51" i="11"/>
  <c r="AS51" i="11" s="1"/>
  <c r="G133" i="12"/>
  <c r="EC50" i="11"/>
  <c r="DJ50" i="11"/>
  <c r="DC50" i="11"/>
  <c r="EO50" i="11"/>
  <c r="CX50" i="11"/>
  <c r="CQ50" i="11"/>
  <c r="AH225" i="10"/>
  <c r="AA65" i="10"/>
  <c r="AE24" i="20"/>
  <c r="AE24" i="13"/>
  <c r="AE24" i="18"/>
  <c r="AE24" i="19"/>
  <c r="G132" i="12"/>
  <c r="BR224" i="10"/>
  <c r="BR64" i="10" s="1"/>
  <c r="BF64" i="10"/>
  <c r="U38" i="8"/>
  <c r="AD38" i="8" s="1"/>
  <c r="U65" i="8"/>
  <c r="AD65" i="8" s="1"/>
  <c r="U91" i="8"/>
  <c r="DX50" i="11"/>
  <c r="AA8" i="10"/>
  <c r="BC24" i="19"/>
  <c r="BC24" i="20"/>
  <c r="BC24" i="18"/>
  <c r="BC24" i="13"/>
  <c r="G108" i="12"/>
  <c r="G107" i="12"/>
  <c r="AK10" i="8"/>
  <c r="AT90" i="8"/>
  <c r="AT10" i="8" s="1"/>
  <c r="AL52" i="11" s="1"/>
  <c r="CL50" i="11"/>
  <c r="H131" i="12"/>
  <c r="G83" i="12"/>
  <c r="E10" i="8"/>
  <c r="N90" i="8"/>
  <c r="N10" i="8" s="1"/>
  <c r="N52" i="11" s="1"/>
  <c r="U10" i="8"/>
  <c r="S52" i="11" s="1"/>
  <c r="AD90" i="8"/>
  <c r="AD10" i="8" s="1"/>
  <c r="Z52" i="11" s="1"/>
  <c r="CE50" i="11"/>
  <c r="V224" i="10"/>
  <c r="V64" i="10" s="1"/>
  <c r="J64" i="10"/>
  <c r="F8" i="10" s="1"/>
  <c r="EJ50" i="11"/>
  <c r="DQ50" i="11"/>
  <c r="H106" i="12"/>
  <c r="EV50" i="11"/>
  <c r="C65" i="10"/>
  <c r="J225" i="10"/>
  <c r="G24" i="13"/>
  <c r="G24" i="20"/>
  <c r="G24" i="18"/>
  <c r="G24" i="19"/>
  <c r="C8" i="10"/>
  <c r="G82" i="12"/>
  <c r="H81" i="12"/>
  <c r="AT224" i="10"/>
  <c r="AT64" i="10" s="1"/>
  <c r="AH64" i="10"/>
  <c r="L117" i="9" l="1"/>
  <c r="AK38" i="8" s="1"/>
  <c r="AT38" i="8" s="1"/>
  <c r="F28" i="12"/>
  <c r="J13" i="12"/>
  <c r="K13" i="12" s="1"/>
  <c r="L13" i="12" s="1"/>
  <c r="M13" i="12" s="1"/>
  <c r="N13" i="12" s="1"/>
  <c r="O13" i="12" s="1"/>
  <c r="P13" i="12" s="1"/>
  <c r="Q13" i="12" s="1"/>
  <c r="R13" i="12" s="1"/>
  <c r="S13" i="12" s="1"/>
  <c r="T13" i="12" s="1"/>
  <c r="U13" i="12" s="1"/>
  <c r="V13" i="12" s="1"/>
  <c r="W13" i="12" s="1"/>
  <c r="K57" i="12"/>
  <c r="J63" i="12"/>
  <c r="K63" i="12" s="1"/>
  <c r="L63" i="12" s="1"/>
  <c r="M63" i="12" s="1"/>
  <c r="N63" i="12" s="1"/>
  <c r="O63" i="12" s="1"/>
  <c r="P63" i="12" s="1"/>
  <c r="Q63" i="12" s="1"/>
  <c r="R63" i="12" s="1"/>
  <c r="S63" i="12" s="1"/>
  <c r="T63" i="12" s="1"/>
  <c r="U63" i="12" s="1"/>
  <c r="V63" i="12" s="1"/>
  <c r="W63" i="12" s="1"/>
  <c r="K32" i="12"/>
  <c r="J38" i="12"/>
  <c r="K38" i="12" s="1"/>
  <c r="L38" i="12" s="1"/>
  <c r="M38" i="12" s="1"/>
  <c r="N38" i="12" s="1"/>
  <c r="O38" i="12" s="1"/>
  <c r="P38" i="12" s="1"/>
  <c r="Q38" i="12" s="1"/>
  <c r="R38" i="12" s="1"/>
  <c r="S38" i="12" s="1"/>
  <c r="T38" i="12" s="1"/>
  <c r="U38" i="12" s="1"/>
  <c r="V38" i="12" s="1"/>
  <c r="W38" i="12" s="1"/>
  <c r="L7" i="12"/>
  <c r="AY65" i="10"/>
  <c r="AA9" i="10" s="1"/>
  <c r="E65" i="8"/>
  <c r="N65" i="8" s="1"/>
  <c r="AK91" i="8"/>
  <c r="AT91" i="8" s="1"/>
  <c r="E38" i="8"/>
  <c r="N38" i="8" s="1"/>
  <c r="AE52" i="11"/>
  <c r="GA52" i="11" s="1"/>
  <c r="M112" i="21"/>
  <c r="M138" i="21" s="1"/>
  <c r="J112" i="21"/>
  <c r="J138" i="21" s="1"/>
  <c r="N112" i="21"/>
  <c r="N138" i="21" s="1"/>
  <c r="K112" i="21"/>
  <c r="K138" i="21" s="1"/>
  <c r="O112" i="21"/>
  <c r="O138" i="21" s="1"/>
  <c r="L112" i="21"/>
  <c r="L138" i="21" s="1"/>
  <c r="G52" i="11"/>
  <c r="AS52" i="11" s="1"/>
  <c r="G112" i="21"/>
  <c r="G138" i="21" s="1"/>
  <c r="H112" i="21"/>
  <c r="H138" i="21" s="1"/>
  <c r="D112" i="21"/>
  <c r="D138" i="21" s="1"/>
  <c r="I112" i="21"/>
  <c r="I138" i="21" s="1"/>
  <c r="E112" i="21"/>
  <c r="E138" i="21" s="1"/>
  <c r="F112" i="21"/>
  <c r="F138" i="21" s="1"/>
  <c r="G134" i="12"/>
  <c r="G152" i="12" s="1"/>
  <c r="H134" i="12"/>
  <c r="AK65" i="8"/>
  <c r="AT65" i="8" s="1"/>
  <c r="H84" i="12"/>
  <c r="G85" i="12"/>
  <c r="G102" i="12" s="1"/>
  <c r="G77" i="12"/>
  <c r="J118" i="9" s="1"/>
  <c r="J200" i="10"/>
  <c r="V200" i="10" s="1"/>
  <c r="AA226" i="10"/>
  <c r="AA66" i="10" s="1"/>
  <c r="P66" i="10"/>
  <c r="T26" i="19" s="1"/>
  <c r="T53" i="19" s="1"/>
  <c r="H109" i="12"/>
  <c r="BL175" i="10"/>
  <c r="BL201" i="10" s="1"/>
  <c r="AY201" i="10"/>
  <c r="BF201" i="10" s="1"/>
  <c r="BR201" i="10" s="1"/>
  <c r="AY226" i="10"/>
  <c r="AY66" i="10" s="1"/>
  <c r="GA51" i="11"/>
  <c r="EO51" i="11" s="1"/>
  <c r="FC51" i="11"/>
  <c r="DQ51" i="11" s="1"/>
  <c r="C175" i="10"/>
  <c r="J175" i="10" s="1"/>
  <c r="P175" i="10"/>
  <c r="P201" i="10" s="1"/>
  <c r="AR26" i="13"/>
  <c r="AR53" i="13" s="1"/>
  <c r="AR26" i="19"/>
  <c r="AR53" i="19" s="1"/>
  <c r="V10" i="10"/>
  <c r="AR26" i="18"/>
  <c r="AR53" i="18" s="1"/>
  <c r="AR26" i="20"/>
  <c r="AR53" i="20" s="1"/>
  <c r="H110" i="12"/>
  <c r="G110" i="12"/>
  <c r="G52" i="12"/>
  <c r="K118" i="9" s="1"/>
  <c r="G109" i="12"/>
  <c r="AR27" i="19"/>
  <c r="AR54" i="19" s="1"/>
  <c r="AR27" i="18"/>
  <c r="AR54" i="18" s="1"/>
  <c r="AR27" i="13"/>
  <c r="AR54" i="13" s="1"/>
  <c r="V11" i="10"/>
  <c r="AR27" i="20"/>
  <c r="AR54" i="20" s="1"/>
  <c r="AA175" i="10"/>
  <c r="FV51" i="11"/>
  <c r="EJ51" i="11" s="1"/>
  <c r="AZ51" i="11"/>
  <c r="CL51" i="11" s="1"/>
  <c r="BX51" i="11"/>
  <c r="DJ51" i="11" s="1"/>
  <c r="FO51" i="11"/>
  <c r="EC51" i="11" s="1"/>
  <c r="BL65" i="10"/>
  <c r="BL226" i="10"/>
  <c r="CE51" i="11"/>
  <c r="DC51" i="11"/>
  <c r="CQ51" i="11"/>
  <c r="DX51" i="11"/>
  <c r="CX51" i="11"/>
  <c r="G51" i="20"/>
  <c r="V225" i="10"/>
  <c r="V65" i="10" s="1"/>
  <c r="J65" i="10"/>
  <c r="L8" i="10"/>
  <c r="Z24" i="18"/>
  <c r="Z24" i="20"/>
  <c r="Z24" i="13"/>
  <c r="Z24" i="19"/>
  <c r="AZ52" i="11"/>
  <c r="FJ52" i="11"/>
  <c r="I131" i="12"/>
  <c r="BC51" i="19"/>
  <c r="U11" i="8"/>
  <c r="S53" i="11" s="1"/>
  <c r="AD91" i="8"/>
  <c r="AD11" i="8" s="1"/>
  <c r="Z53" i="11" s="1"/>
  <c r="N91" i="8"/>
  <c r="BC51" i="13"/>
  <c r="H132" i="12"/>
  <c r="AE51" i="18"/>
  <c r="AL24" i="13"/>
  <c r="AL24" i="18"/>
  <c r="R8" i="10"/>
  <c r="AL24" i="20"/>
  <c r="AL24" i="19"/>
  <c r="T19" i="3"/>
  <c r="I81" i="12"/>
  <c r="G25" i="13"/>
  <c r="G52" i="13" s="1"/>
  <c r="C9" i="10"/>
  <c r="G25" i="19"/>
  <c r="G52" i="19" s="1"/>
  <c r="G25" i="18"/>
  <c r="G52" i="18" s="1"/>
  <c r="G25" i="20"/>
  <c r="G52" i="20" s="1"/>
  <c r="FV52" i="11"/>
  <c r="BL52" i="11"/>
  <c r="H83" i="12"/>
  <c r="BX52" i="11"/>
  <c r="GH52" i="11"/>
  <c r="H107" i="12"/>
  <c r="H108" i="12"/>
  <c r="BC51" i="18"/>
  <c r="BJ24" i="20"/>
  <c r="BJ24" i="19"/>
  <c r="BJ24" i="13"/>
  <c r="AD8" i="10"/>
  <c r="BJ24" i="18"/>
  <c r="AF19" i="3"/>
  <c r="AE51" i="13"/>
  <c r="BC25" i="20"/>
  <c r="BC52" i="20" s="1"/>
  <c r="AE25" i="18"/>
  <c r="O9" i="10"/>
  <c r="AE25" i="20"/>
  <c r="AE52" i="20" s="1"/>
  <c r="AE25" i="13"/>
  <c r="AE52" i="13" s="1"/>
  <c r="AE25" i="19"/>
  <c r="AE52" i="19" s="1"/>
  <c r="H133" i="12"/>
  <c r="G51" i="13"/>
  <c r="X8" i="10"/>
  <c r="AX24" i="19"/>
  <c r="AX24" i="20"/>
  <c r="AX24" i="13"/>
  <c r="AX24" i="18"/>
  <c r="G51" i="19"/>
  <c r="I106" i="12"/>
  <c r="H82" i="12"/>
  <c r="C66" i="10"/>
  <c r="J226" i="10"/>
  <c r="G51" i="18"/>
  <c r="N24" i="18"/>
  <c r="N24" i="13"/>
  <c r="N24" i="20"/>
  <c r="N24" i="19"/>
  <c r="H19" i="3"/>
  <c r="FO52" i="11"/>
  <c r="BE52" i="11"/>
  <c r="BC51" i="20"/>
  <c r="BV24" i="18"/>
  <c r="AJ8" i="10"/>
  <c r="BV24" i="13"/>
  <c r="BV24" i="20"/>
  <c r="BV24" i="19"/>
  <c r="AE51" i="19"/>
  <c r="AE51" i="20"/>
  <c r="BR225" i="10"/>
  <c r="BR65" i="10" s="1"/>
  <c r="BF65" i="10"/>
  <c r="AT225" i="10"/>
  <c r="AT65" i="10" s="1"/>
  <c r="AH65" i="10"/>
  <c r="K14" i="12" l="1"/>
  <c r="L14" i="12" s="1"/>
  <c r="M14" i="12" s="1"/>
  <c r="N14" i="12" s="1"/>
  <c r="O14" i="12" s="1"/>
  <c r="P14" i="12" s="1"/>
  <c r="Q14" i="12" s="1"/>
  <c r="R14" i="12" s="1"/>
  <c r="S14" i="12" s="1"/>
  <c r="T14" i="12" s="1"/>
  <c r="U14" i="12" s="1"/>
  <c r="V14" i="12" s="1"/>
  <c r="W14" i="12" s="1"/>
  <c r="N11" i="8"/>
  <c r="N53" i="11" s="1"/>
  <c r="AZ53" i="11" s="1"/>
  <c r="E11" i="8"/>
  <c r="G113" i="21" s="1"/>
  <c r="G139" i="21" s="1"/>
  <c r="BC25" i="13"/>
  <c r="BC52" i="13" s="1"/>
  <c r="BC25" i="19"/>
  <c r="BC52" i="19" s="1"/>
  <c r="BC25" i="18"/>
  <c r="BC52" i="18" s="1"/>
  <c r="L57" i="12"/>
  <c r="K64" i="12"/>
  <c r="L64" i="12" s="1"/>
  <c r="M64" i="12" s="1"/>
  <c r="N64" i="12" s="1"/>
  <c r="O64" i="12" s="1"/>
  <c r="P64" i="12" s="1"/>
  <c r="Q64" i="12" s="1"/>
  <c r="R64" i="12" s="1"/>
  <c r="S64" i="12" s="1"/>
  <c r="T64" i="12" s="1"/>
  <c r="U64" i="12" s="1"/>
  <c r="V64" i="12" s="1"/>
  <c r="W64" i="12" s="1"/>
  <c r="M7" i="12"/>
  <c r="L15" i="12"/>
  <c r="M15" i="12" s="1"/>
  <c r="N15" i="12" s="1"/>
  <c r="O15" i="12" s="1"/>
  <c r="P15" i="12" s="1"/>
  <c r="Q15" i="12" s="1"/>
  <c r="R15" i="12" s="1"/>
  <c r="S15" i="12" s="1"/>
  <c r="T15" i="12" s="1"/>
  <c r="U15" i="12" s="1"/>
  <c r="V15" i="12" s="1"/>
  <c r="W15" i="12" s="1"/>
  <c r="L32" i="12"/>
  <c r="K39" i="12"/>
  <c r="L39" i="12" s="1"/>
  <c r="M39" i="12" s="1"/>
  <c r="N39" i="12" s="1"/>
  <c r="O39" i="12" s="1"/>
  <c r="P39" i="12" s="1"/>
  <c r="Q39" i="12" s="1"/>
  <c r="R39" i="12" s="1"/>
  <c r="S39" i="12" s="1"/>
  <c r="T39" i="12" s="1"/>
  <c r="U39" i="12" s="1"/>
  <c r="V39" i="12" s="1"/>
  <c r="W39" i="12" s="1"/>
  <c r="BQ52" i="11"/>
  <c r="DC52" i="11" s="1"/>
  <c r="E66" i="8"/>
  <c r="N66" i="8" s="1"/>
  <c r="U92" i="8"/>
  <c r="AD92" i="8" s="1"/>
  <c r="AT11" i="8"/>
  <c r="AL53" i="11" s="1"/>
  <c r="BX53" i="11" s="1"/>
  <c r="I134" i="12"/>
  <c r="FC52" i="11"/>
  <c r="DQ52" i="11" s="1"/>
  <c r="I84" i="12"/>
  <c r="AK11" i="8"/>
  <c r="I136" i="12"/>
  <c r="BF226" i="10"/>
  <c r="BR226" i="10" s="1"/>
  <c r="BR66" i="10" s="1"/>
  <c r="H85" i="12"/>
  <c r="AH226" i="10"/>
  <c r="AT226" i="10" s="1"/>
  <c r="AT66" i="10" s="1"/>
  <c r="U39" i="8"/>
  <c r="AD39" i="8" s="1"/>
  <c r="G27" i="12"/>
  <c r="H135" i="12"/>
  <c r="E39" i="8"/>
  <c r="N39" i="8" s="1"/>
  <c r="AY227" i="10"/>
  <c r="AY67" i="10" s="1"/>
  <c r="E92" i="8"/>
  <c r="N92" i="8" s="1"/>
  <c r="T26" i="20"/>
  <c r="T53" i="20" s="1"/>
  <c r="T26" i="18"/>
  <c r="T53" i="18" s="1"/>
  <c r="T26" i="13"/>
  <c r="T53" i="13" s="1"/>
  <c r="J10" i="10"/>
  <c r="I110" i="12"/>
  <c r="G127" i="12"/>
  <c r="AN176" i="10" s="1"/>
  <c r="AN202" i="10" s="1"/>
  <c r="AN228" i="10" s="1"/>
  <c r="AN68" i="10" s="1"/>
  <c r="AR28" i="18" s="1"/>
  <c r="AR55" i="18" s="1"/>
  <c r="U66" i="8"/>
  <c r="AD66" i="8" s="1"/>
  <c r="C201" i="10"/>
  <c r="V175" i="10"/>
  <c r="P67" i="10"/>
  <c r="AH175" i="10"/>
  <c r="AT175" i="10" s="1"/>
  <c r="AA201" i="10"/>
  <c r="AH9" i="10"/>
  <c r="BP25" i="20"/>
  <c r="BP52" i="20" s="1"/>
  <c r="BP25" i="13"/>
  <c r="BP52" i="13" s="1"/>
  <c r="BP25" i="19"/>
  <c r="BP52" i="19" s="1"/>
  <c r="BP25" i="18"/>
  <c r="BP52" i="18" s="1"/>
  <c r="BL66" i="10"/>
  <c r="BL227" i="10"/>
  <c r="AE52" i="18"/>
  <c r="EO52" i="11"/>
  <c r="CQ52" i="11"/>
  <c r="EC52" i="11"/>
  <c r="EJ52" i="11"/>
  <c r="CL52" i="11"/>
  <c r="P176" i="10"/>
  <c r="P202" i="10" s="1"/>
  <c r="C176" i="10"/>
  <c r="J176" i="10" s="1"/>
  <c r="P228" i="10"/>
  <c r="EV52" i="11"/>
  <c r="DJ52" i="11"/>
  <c r="DX52" i="11"/>
  <c r="CE52" i="11"/>
  <c r="CX52" i="11"/>
  <c r="AY176" i="10"/>
  <c r="BL176" i="10"/>
  <c r="BJ25" i="19"/>
  <c r="BJ52" i="19" s="1"/>
  <c r="AD9" i="10"/>
  <c r="AF20" i="3"/>
  <c r="BJ25" i="13"/>
  <c r="BJ52" i="13" s="1"/>
  <c r="BJ25" i="18"/>
  <c r="BJ52" i="18" s="1"/>
  <c r="BJ25" i="20"/>
  <c r="BJ52" i="20" s="1"/>
  <c r="N19" i="3"/>
  <c r="N44" i="3" s="1"/>
  <c r="H44" i="3"/>
  <c r="I82" i="12"/>
  <c r="AL51" i="18"/>
  <c r="R9" i="10"/>
  <c r="AL25" i="19"/>
  <c r="AL52" i="19" s="1"/>
  <c r="AL25" i="20"/>
  <c r="AL52" i="20" s="1"/>
  <c r="T20" i="3"/>
  <c r="AL25" i="18"/>
  <c r="AL52" i="18" s="1"/>
  <c r="AL25" i="13"/>
  <c r="AL52" i="13" s="1"/>
  <c r="BV51" i="19"/>
  <c r="N51" i="19"/>
  <c r="V226" i="10"/>
  <c r="V66" i="10" s="1"/>
  <c r="J66" i="10"/>
  <c r="AX51" i="13"/>
  <c r="I133" i="12"/>
  <c r="AF44" i="3"/>
  <c r="AL19" i="3"/>
  <c r="AL44" i="3" s="1"/>
  <c r="BJ51" i="19"/>
  <c r="I108" i="12"/>
  <c r="I83" i="12"/>
  <c r="J81" i="12"/>
  <c r="AL51" i="20"/>
  <c r="Z51" i="18"/>
  <c r="AX51" i="19"/>
  <c r="I107" i="12"/>
  <c r="BV51" i="18"/>
  <c r="AX25" i="13"/>
  <c r="X9" i="10"/>
  <c r="AX25" i="19"/>
  <c r="AX25" i="20"/>
  <c r="AX52" i="20" s="1"/>
  <c r="AX25" i="18"/>
  <c r="AX52" i="18" s="1"/>
  <c r="BV51" i="20"/>
  <c r="N51" i="20"/>
  <c r="C10" i="10"/>
  <c r="G26" i="13"/>
  <c r="G26" i="18"/>
  <c r="G26" i="19"/>
  <c r="G26" i="20"/>
  <c r="AX51" i="20"/>
  <c r="AA10" i="10"/>
  <c r="BC26" i="18"/>
  <c r="BC26" i="13"/>
  <c r="BC26" i="20"/>
  <c r="BC26" i="19"/>
  <c r="BJ51" i="18"/>
  <c r="BJ51" i="20"/>
  <c r="J131" i="12"/>
  <c r="Z51" i="19"/>
  <c r="BV51" i="13"/>
  <c r="N51" i="13"/>
  <c r="Z19" i="3"/>
  <c r="Z44" i="3" s="1"/>
  <c r="T44" i="3"/>
  <c r="FV53" i="11"/>
  <c r="BL53" i="11"/>
  <c r="Z51" i="13"/>
  <c r="F9" i="10"/>
  <c r="N25" i="13"/>
  <c r="N52" i="13" s="1"/>
  <c r="N25" i="19"/>
  <c r="N25" i="20"/>
  <c r="N25" i="18"/>
  <c r="N52" i="18" s="1"/>
  <c r="H20" i="3"/>
  <c r="AJ9" i="10"/>
  <c r="BV25" i="20"/>
  <c r="BV25" i="18"/>
  <c r="BV25" i="19"/>
  <c r="BV25" i="13"/>
  <c r="BV52" i="13" s="1"/>
  <c r="N51" i="18"/>
  <c r="J106" i="12"/>
  <c r="AX51" i="18"/>
  <c r="BJ51" i="13"/>
  <c r="AL51" i="19"/>
  <c r="AL51" i="13"/>
  <c r="AE26" i="20"/>
  <c r="O10" i="10"/>
  <c r="AE26" i="18"/>
  <c r="AE26" i="19"/>
  <c r="AE26" i="13"/>
  <c r="I132" i="12"/>
  <c r="FO53" i="11"/>
  <c r="BE53" i="11"/>
  <c r="Z51" i="20"/>
  <c r="L9" i="10"/>
  <c r="Z25" i="20"/>
  <c r="Z52" i="20" s="1"/>
  <c r="Z25" i="19"/>
  <c r="Z52" i="19" s="1"/>
  <c r="Z25" i="13"/>
  <c r="Z52" i="13" s="1"/>
  <c r="Z25" i="18"/>
  <c r="L118" i="9" l="1"/>
  <c r="AK92" i="8" s="1"/>
  <c r="G28" i="12"/>
  <c r="FJ53" i="11"/>
  <c r="DX53" i="11" s="1"/>
  <c r="H113" i="21"/>
  <c r="H139" i="21" s="1"/>
  <c r="D113" i="21"/>
  <c r="D139" i="21" s="1"/>
  <c r="G53" i="11"/>
  <c r="FC53" i="11" s="1"/>
  <c r="DQ53" i="11" s="1"/>
  <c r="F113" i="21"/>
  <c r="F139" i="21" s="1"/>
  <c r="E113" i="21"/>
  <c r="E139" i="21" s="1"/>
  <c r="I113" i="21"/>
  <c r="I139" i="21" s="1"/>
  <c r="M57" i="12"/>
  <c r="L65" i="12"/>
  <c r="M65" i="12" s="1"/>
  <c r="N65" i="12" s="1"/>
  <c r="O65" i="12" s="1"/>
  <c r="P65" i="12" s="1"/>
  <c r="Q65" i="12" s="1"/>
  <c r="R65" i="12" s="1"/>
  <c r="S65" i="12" s="1"/>
  <c r="T65" i="12" s="1"/>
  <c r="U65" i="12" s="1"/>
  <c r="V65" i="12" s="1"/>
  <c r="W65" i="12" s="1"/>
  <c r="M32" i="12"/>
  <c r="L40" i="12"/>
  <c r="M40" i="12" s="1"/>
  <c r="N40" i="12" s="1"/>
  <c r="O40" i="12" s="1"/>
  <c r="P40" i="12" s="1"/>
  <c r="Q40" i="12" s="1"/>
  <c r="R40" i="12" s="1"/>
  <c r="S40" i="12" s="1"/>
  <c r="T40" i="12" s="1"/>
  <c r="U40" i="12" s="1"/>
  <c r="V40" i="12" s="1"/>
  <c r="W40" i="12" s="1"/>
  <c r="N7" i="12"/>
  <c r="O7" i="12" s="1"/>
  <c r="P7" i="12" s="1"/>
  <c r="Q7" i="12" s="1"/>
  <c r="R7" i="12" s="1"/>
  <c r="S7" i="12" s="1"/>
  <c r="T7" i="12" s="1"/>
  <c r="U7" i="12" s="1"/>
  <c r="V7" i="12" s="1"/>
  <c r="W7" i="12" s="1"/>
  <c r="M16" i="12"/>
  <c r="N16" i="12" s="1"/>
  <c r="O16" i="12" s="1"/>
  <c r="P16" i="12" s="1"/>
  <c r="Q16" i="12" s="1"/>
  <c r="R16" i="12" s="1"/>
  <c r="S16" i="12" s="1"/>
  <c r="T16" i="12" s="1"/>
  <c r="U16" i="12" s="1"/>
  <c r="V16" i="12" s="1"/>
  <c r="W16" i="12" s="1"/>
  <c r="AK66" i="8"/>
  <c r="AT66" i="8" s="1"/>
  <c r="GH53" i="11"/>
  <c r="EV53" i="11" s="1"/>
  <c r="J134" i="12"/>
  <c r="AE53" i="11"/>
  <c r="K113" i="21"/>
  <c r="K139" i="21" s="1"/>
  <c r="O113" i="21"/>
  <c r="O139" i="21" s="1"/>
  <c r="M113" i="21"/>
  <c r="M139" i="21" s="1"/>
  <c r="L113" i="21"/>
  <c r="L139" i="21" s="1"/>
  <c r="J113" i="21"/>
  <c r="J139" i="21" s="1"/>
  <c r="N113" i="21"/>
  <c r="N139" i="21" s="1"/>
  <c r="BF66" i="10"/>
  <c r="BJ26" i="18" s="1"/>
  <c r="H77" i="12"/>
  <c r="J119" i="9" s="1"/>
  <c r="I137" i="12"/>
  <c r="H136" i="12"/>
  <c r="H152" i="12" s="1"/>
  <c r="C177" i="10" s="1"/>
  <c r="J177" i="10" s="1"/>
  <c r="H27" i="12"/>
  <c r="AH66" i="10"/>
  <c r="R10" i="10" s="1"/>
  <c r="I109" i="12"/>
  <c r="J135" i="12"/>
  <c r="BF227" i="10"/>
  <c r="BR227" i="10" s="1"/>
  <c r="BR67" i="10" s="1"/>
  <c r="I135" i="12"/>
  <c r="E12" i="8"/>
  <c r="N12" i="8"/>
  <c r="N54" i="11" s="1"/>
  <c r="FJ54" i="11" s="1"/>
  <c r="AK39" i="8"/>
  <c r="AT39" i="8" s="1"/>
  <c r="AD12" i="8"/>
  <c r="Z54" i="11" s="1"/>
  <c r="BL54" i="11" s="1"/>
  <c r="U12" i="8"/>
  <c r="S54" i="11" s="1"/>
  <c r="FO54" i="11" s="1"/>
  <c r="H52" i="12"/>
  <c r="K119" i="9" s="1"/>
  <c r="H111" i="12"/>
  <c r="H127" i="12" s="1"/>
  <c r="AA177" i="10" s="1"/>
  <c r="I112" i="12"/>
  <c r="I111" i="12"/>
  <c r="V12" i="10"/>
  <c r="AR28" i="19"/>
  <c r="AR55" i="19" s="1"/>
  <c r="AR28" i="13"/>
  <c r="AR55" i="13" s="1"/>
  <c r="AA176" i="10"/>
  <c r="AH176" i="10" s="1"/>
  <c r="AT176" i="10" s="1"/>
  <c r="AR28" i="20"/>
  <c r="AR55" i="20" s="1"/>
  <c r="P68" i="10"/>
  <c r="J12" i="10" s="1"/>
  <c r="J201" i="10"/>
  <c r="V201" i="10" s="1"/>
  <c r="C227" i="10"/>
  <c r="T27" i="19"/>
  <c r="T54" i="19" s="1"/>
  <c r="T27" i="20"/>
  <c r="T54" i="20" s="1"/>
  <c r="T27" i="13"/>
  <c r="T54" i="13" s="1"/>
  <c r="J11" i="10"/>
  <c r="T27" i="18"/>
  <c r="T54" i="18" s="1"/>
  <c r="AH201" i="10"/>
  <c r="AT201" i="10" s="1"/>
  <c r="AA227" i="10"/>
  <c r="BP26" i="18"/>
  <c r="BP53" i="18" s="1"/>
  <c r="BP26" i="19"/>
  <c r="BP53" i="19" s="1"/>
  <c r="AH10" i="10"/>
  <c r="BP26" i="13"/>
  <c r="BP53" i="13" s="1"/>
  <c r="BP26" i="20"/>
  <c r="BP53" i="20" s="1"/>
  <c r="BL202" i="10"/>
  <c r="BL67" i="10"/>
  <c r="BV52" i="19"/>
  <c r="EJ53" i="11"/>
  <c r="BC53" i="19"/>
  <c r="CL53" i="11"/>
  <c r="BV52" i="18"/>
  <c r="G53" i="13"/>
  <c r="AX52" i="13"/>
  <c r="AE53" i="13"/>
  <c r="AE53" i="20"/>
  <c r="CQ53" i="11"/>
  <c r="AE53" i="19"/>
  <c r="BV52" i="20"/>
  <c r="N52" i="20"/>
  <c r="DJ53" i="11"/>
  <c r="BC53" i="13"/>
  <c r="G53" i="20"/>
  <c r="Z52" i="18"/>
  <c r="EC53" i="11"/>
  <c r="AE53" i="18"/>
  <c r="N52" i="19"/>
  <c r="CX53" i="11"/>
  <c r="BC53" i="18"/>
  <c r="G53" i="19"/>
  <c r="AX52" i="19"/>
  <c r="AY202" i="10"/>
  <c r="BF176" i="10"/>
  <c r="BR176" i="10" s="1"/>
  <c r="BC53" i="20"/>
  <c r="G53" i="18"/>
  <c r="V176" i="10"/>
  <c r="C202" i="10"/>
  <c r="J132" i="12"/>
  <c r="K106" i="12"/>
  <c r="K131" i="12"/>
  <c r="K81" i="12"/>
  <c r="J108" i="12"/>
  <c r="J133" i="12"/>
  <c r="F10" i="10"/>
  <c r="N26" i="18"/>
  <c r="H21" i="3"/>
  <c r="N26" i="20"/>
  <c r="N26" i="13"/>
  <c r="N26" i="19"/>
  <c r="T45" i="3"/>
  <c r="Z20" i="3"/>
  <c r="Z45" i="3" s="1"/>
  <c r="L10" i="10"/>
  <c r="Z26" i="13"/>
  <c r="Z26" i="18"/>
  <c r="Z26" i="20"/>
  <c r="Z26" i="19"/>
  <c r="J82" i="12"/>
  <c r="J109" i="12"/>
  <c r="J83" i="12"/>
  <c r="BV26" i="19"/>
  <c r="BV26" i="20"/>
  <c r="AJ10" i="10"/>
  <c r="BV26" i="18"/>
  <c r="BV26" i="13"/>
  <c r="X10" i="10"/>
  <c r="AX26" i="13"/>
  <c r="AX26" i="18"/>
  <c r="AX26" i="19"/>
  <c r="AX26" i="20"/>
  <c r="H45" i="3"/>
  <c r="N20" i="3"/>
  <c r="N45" i="3" s="1"/>
  <c r="AA11" i="10"/>
  <c r="BC27" i="18"/>
  <c r="BC27" i="20"/>
  <c r="BC54" i="20" s="1"/>
  <c r="BC27" i="13"/>
  <c r="BC27" i="19"/>
  <c r="J107" i="12"/>
  <c r="AF45" i="3"/>
  <c r="AL20" i="3"/>
  <c r="AL45" i="3" s="1"/>
  <c r="L119" i="9" l="1"/>
  <c r="H28" i="12"/>
  <c r="AS53" i="11"/>
  <c r="CE53" i="11" s="1"/>
  <c r="N57" i="12"/>
  <c r="O57" i="12" s="1"/>
  <c r="P57" i="12" s="1"/>
  <c r="Q57" i="12" s="1"/>
  <c r="R57" i="12" s="1"/>
  <c r="S57" i="12" s="1"/>
  <c r="T57" i="12" s="1"/>
  <c r="U57" i="12" s="1"/>
  <c r="V57" i="12" s="1"/>
  <c r="W57" i="12" s="1"/>
  <c r="M66" i="12"/>
  <c r="N66" i="12" s="1"/>
  <c r="O66" i="12" s="1"/>
  <c r="P66" i="12" s="1"/>
  <c r="Q66" i="12" s="1"/>
  <c r="R66" i="12" s="1"/>
  <c r="S66" i="12" s="1"/>
  <c r="T66" i="12" s="1"/>
  <c r="U66" i="12" s="1"/>
  <c r="V66" i="12" s="1"/>
  <c r="W66" i="12" s="1"/>
  <c r="N32" i="12"/>
  <c r="O32" i="12" s="1"/>
  <c r="P32" i="12" s="1"/>
  <c r="Q32" i="12" s="1"/>
  <c r="R32" i="12" s="1"/>
  <c r="S32" i="12" s="1"/>
  <c r="T32" i="12" s="1"/>
  <c r="U32" i="12" s="1"/>
  <c r="V32" i="12" s="1"/>
  <c r="W32" i="12" s="1"/>
  <c r="M41" i="12"/>
  <c r="N41" i="12" s="1"/>
  <c r="O41" i="12" s="1"/>
  <c r="P41" i="12" s="1"/>
  <c r="Q41" i="12" s="1"/>
  <c r="R41" i="12" s="1"/>
  <c r="S41" i="12" s="1"/>
  <c r="T41" i="12" s="1"/>
  <c r="U41" i="12" s="1"/>
  <c r="V41" i="12" s="1"/>
  <c r="W41" i="12" s="1"/>
  <c r="E67" i="8"/>
  <c r="N67" i="8" s="1"/>
  <c r="U67" i="8"/>
  <c r="AD67" i="8" s="1"/>
  <c r="K134" i="12"/>
  <c r="J84" i="12"/>
  <c r="J136" i="12"/>
  <c r="AF21" i="3"/>
  <c r="AF46" i="3" s="1"/>
  <c r="BJ26" i="20"/>
  <c r="BJ53" i="20" s="1"/>
  <c r="BJ26" i="13"/>
  <c r="BJ53" i="13" s="1"/>
  <c r="BJ26" i="19"/>
  <c r="BJ53" i="19" s="1"/>
  <c r="AD10" i="10"/>
  <c r="BQ53" i="11"/>
  <c r="DC53" i="11" s="1"/>
  <c r="GA53" i="11"/>
  <c r="EO53" i="11" s="1"/>
  <c r="G54" i="11"/>
  <c r="AS54" i="11" s="1"/>
  <c r="I114" i="21"/>
  <c r="I140" i="21" s="1"/>
  <c r="E114" i="21"/>
  <c r="E140" i="21" s="1"/>
  <c r="F114" i="21"/>
  <c r="F140" i="21" s="1"/>
  <c r="G114" i="21"/>
  <c r="G140" i="21" s="1"/>
  <c r="H114" i="21"/>
  <c r="H140" i="21" s="1"/>
  <c r="D114" i="21"/>
  <c r="D140" i="21" s="1"/>
  <c r="E40" i="8"/>
  <c r="N40" i="8" s="1"/>
  <c r="P177" i="10"/>
  <c r="P203" i="10" s="1"/>
  <c r="P229" i="10"/>
  <c r="BF67" i="10"/>
  <c r="AD11" i="10" s="1"/>
  <c r="AL26" i="18"/>
  <c r="AL53" i="18" s="1"/>
  <c r="AL26" i="19"/>
  <c r="AL53" i="19" s="1"/>
  <c r="AL26" i="20"/>
  <c r="AL53" i="20" s="1"/>
  <c r="E93" i="8"/>
  <c r="N93" i="8" s="1"/>
  <c r="H86" i="12"/>
  <c r="H102" i="12" s="1"/>
  <c r="BL177" i="10" s="1"/>
  <c r="BL203" i="10" s="1"/>
  <c r="BL229" i="10" s="1"/>
  <c r="I86" i="12"/>
  <c r="T21" i="3"/>
  <c r="T46" i="3" s="1"/>
  <c r="AL26" i="13"/>
  <c r="AL53" i="13" s="1"/>
  <c r="I77" i="12"/>
  <c r="J120" i="9" s="1"/>
  <c r="I152" i="12"/>
  <c r="P178" i="10" s="1"/>
  <c r="P204" i="10" s="1"/>
  <c r="I85" i="12"/>
  <c r="J110" i="12"/>
  <c r="AZ54" i="11"/>
  <c r="CL54" i="11" s="1"/>
  <c r="AT92" i="8"/>
  <c r="AT12" i="8" s="1"/>
  <c r="AL54" i="11" s="1"/>
  <c r="BX54" i="11" s="1"/>
  <c r="DJ54" i="11" s="1"/>
  <c r="AK12" i="8"/>
  <c r="U40" i="8"/>
  <c r="U93" i="8"/>
  <c r="AD93" i="8" s="1"/>
  <c r="I127" i="12"/>
  <c r="AA178" i="10" s="1"/>
  <c r="AN177" i="10"/>
  <c r="AN203" i="10" s="1"/>
  <c r="AN229" i="10" s="1"/>
  <c r="AN69" i="10" s="1"/>
  <c r="AR29" i="20" s="1"/>
  <c r="AR56" i="20" s="1"/>
  <c r="T28" i="20"/>
  <c r="T55" i="20" s="1"/>
  <c r="I52" i="12"/>
  <c r="K120" i="9" s="1"/>
  <c r="T28" i="18"/>
  <c r="T55" i="18" s="1"/>
  <c r="T28" i="13"/>
  <c r="T55" i="13" s="1"/>
  <c r="T28" i="19"/>
  <c r="T55" i="19" s="1"/>
  <c r="J111" i="12"/>
  <c r="AA202" i="10"/>
  <c r="AH202" i="10" s="1"/>
  <c r="AT202" i="10" s="1"/>
  <c r="AK67" i="8"/>
  <c r="AK40" i="8"/>
  <c r="AT40" i="8" s="1"/>
  <c r="AK93" i="8"/>
  <c r="AT93" i="8" s="1"/>
  <c r="J227" i="10"/>
  <c r="C67" i="10"/>
  <c r="FV54" i="11"/>
  <c r="EJ54" i="11" s="1"/>
  <c r="AA67" i="10"/>
  <c r="AH227" i="10"/>
  <c r="BE54" i="11"/>
  <c r="CQ54" i="11" s="1"/>
  <c r="BP27" i="18"/>
  <c r="BP54" i="18" s="1"/>
  <c r="BP27" i="19"/>
  <c r="BP54" i="19" s="1"/>
  <c r="BP27" i="13"/>
  <c r="BP54" i="13" s="1"/>
  <c r="BP27" i="20"/>
  <c r="BP54" i="20" s="1"/>
  <c r="AH11" i="10"/>
  <c r="BL228" i="10"/>
  <c r="AH177" i="10"/>
  <c r="AT177" i="10" s="1"/>
  <c r="AA203" i="10"/>
  <c r="BC54" i="18"/>
  <c r="AX53" i="18"/>
  <c r="BV53" i="18"/>
  <c r="Z53" i="20"/>
  <c r="BJ53" i="18"/>
  <c r="BC54" i="19"/>
  <c r="CX54" i="11"/>
  <c r="AX53" i="13"/>
  <c r="Z53" i="18"/>
  <c r="DX54" i="11"/>
  <c r="N53" i="19"/>
  <c r="N53" i="18"/>
  <c r="BC54" i="13"/>
  <c r="AX53" i="20"/>
  <c r="BV53" i="20"/>
  <c r="Z53" i="13"/>
  <c r="N53" i="13"/>
  <c r="AX53" i="19"/>
  <c r="BV53" i="13"/>
  <c r="BV53" i="19"/>
  <c r="Z53" i="19"/>
  <c r="N53" i="20"/>
  <c r="EC54" i="11"/>
  <c r="V177" i="10"/>
  <c r="C203" i="10"/>
  <c r="C228" i="10"/>
  <c r="J202" i="10"/>
  <c r="V202" i="10" s="1"/>
  <c r="BF202" i="10"/>
  <c r="BR202" i="10" s="1"/>
  <c r="AY228" i="10"/>
  <c r="K109" i="12"/>
  <c r="K82" i="12"/>
  <c r="H46" i="3"/>
  <c r="N21" i="3"/>
  <c r="N46" i="3" s="1"/>
  <c r="K133" i="12"/>
  <c r="K108" i="12"/>
  <c r="K83" i="12"/>
  <c r="AJ11" i="10"/>
  <c r="BV27" i="20"/>
  <c r="BV54" i="20" s="1"/>
  <c r="BV27" i="13"/>
  <c r="BV54" i="13" s="1"/>
  <c r="BV27" i="18"/>
  <c r="BV54" i="18" s="1"/>
  <c r="BV27" i="19"/>
  <c r="BV54" i="19" s="1"/>
  <c r="L81" i="12"/>
  <c r="K84" i="12"/>
  <c r="L106" i="12"/>
  <c r="K107" i="12"/>
  <c r="K136" i="12"/>
  <c r="K110" i="12"/>
  <c r="L131" i="12"/>
  <c r="K132" i="12"/>
  <c r="CE54" i="11" l="1"/>
  <c r="N13" i="8"/>
  <c r="N55" i="11" s="1"/>
  <c r="AZ55" i="11" s="1"/>
  <c r="CL55" i="11" s="1"/>
  <c r="E41" i="8"/>
  <c r="N41" i="8" s="1"/>
  <c r="AL21" i="3"/>
  <c r="AL46" i="3" s="1"/>
  <c r="P69" i="10"/>
  <c r="J13" i="10" s="1"/>
  <c r="FC54" i="11"/>
  <c r="DQ54" i="11" s="1"/>
  <c r="AE54" i="11"/>
  <c r="BQ54" i="11" s="1"/>
  <c r="DC54" i="11" s="1"/>
  <c r="M114" i="21"/>
  <c r="M140" i="21" s="1"/>
  <c r="O114" i="21"/>
  <c r="O140" i="21" s="1"/>
  <c r="J114" i="21"/>
  <c r="J140" i="21" s="1"/>
  <c r="N114" i="21"/>
  <c r="N140" i="21" s="1"/>
  <c r="K114" i="21"/>
  <c r="K140" i="21" s="1"/>
  <c r="L114" i="21"/>
  <c r="L140" i="21" s="1"/>
  <c r="K135" i="12"/>
  <c r="BJ27" i="20"/>
  <c r="BJ54" i="20" s="1"/>
  <c r="BJ27" i="13"/>
  <c r="BJ54" i="13" s="1"/>
  <c r="AF22" i="3"/>
  <c r="AL22" i="3" s="1"/>
  <c r="AL47" i="3" s="1"/>
  <c r="BJ27" i="18"/>
  <c r="BJ54" i="18" s="1"/>
  <c r="J86" i="12"/>
  <c r="BJ27" i="19"/>
  <c r="BJ54" i="19" s="1"/>
  <c r="K137" i="12"/>
  <c r="E13" i="8"/>
  <c r="AY177" i="10"/>
  <c r="BF177" i="10" s="1"/>
  <c r="BR177" i="10" s="1"/>
  <c r="E68" i="8"/>
  <c r="N68" i="8" s="1"/>
  <c r="J137" i="12"/>
  <c r="J77" i="12"/>
  <c r="J121" i="9" s="1"/>
  <c r="E94" i="8"/>
  <c r="N94" i="8" s="1"/>
  <c r="Z21" i="3"/>
  <c r="Z46" i="3" s="1"/>
  <c r="J138" i="12"/>
  <c r="P230" i="10"/>
  <c r="P70" i="10" s="1"/>
  <c r="T30" i="19" s="1"/>
  <c r="T57" i="19" s="1"/>
  <c r="C178" i="10"/>
  <c r="C204" i="10" s="1"/>
  <c r="C230" i="10" s="1"/>
  <c r="C70" i="10" s="1"/>
  <c r="J85" i="12"/>
  <c r="AN178" i="10"/>
  <c r="AN204" i="10" s="1"/>
  <c r="AN230" i="10" s="1"/>
  <c r="AN70" i="10" s="1"/>
  <c r="AR30" i="20" s="1"/>
  <c r="J112" i="12"/>
  <c r="GH54" i="11"/>
  <c r="EV54" i="11" s="1"/>
  <c r="AR29" i="18"/>
  <c r="AR56" i="18" s="1"/>
  <c r="V13" i="10"/>
  <c r="AD40" i="8"/>
  <c r="AD13" i="8" s="1"/>
  <c r="Z55" i="11" s="1"/>
  <c r="BL55" i="11" s="1"/>
  <c r="CX55" i="11" s="1"/>
  <c r="U13" i="8"/>
  <c r="S55" i="11" s="1"/>
  <c r="FO55" i="11" s="1"/>
  <c r="EC55" i="11" s="1"/>
  <c r="AR29" i="13"/>
  <c r="AR56" i="13" s="1"/>
  <c r="AR29" i="19"/>
  <c r="AR56" i="19" s="1"/>
  <c r="K113" i="12"/>
  <c r="J113" i="12"/>
  <c r="L111" i="12"/>
  <c r="K111" i="12"/>
  <c r="J52" i="12"/>
  <c r="K121" i="9" s="1"/>
  <c r="U94" i="8"/>
  <c r="AD94" i="8" s="1"/>
  <c r="U68" i="8"/>
  <c r="U41" i="8"/>
  <c r="AD41" i="8" s="1"/>
  <c r="AA228" i="10"/>
  <c r="AH228" i="10" s="1"/>
  <c r="AT67" i="8"/>
  <c r="AT13" i="8" s="1"/>
  <c r="AL55" i="11" s="1"/>
  <c r="AK13" i="8"/>
  <c r="C11" i="10"/>
  <c r="G27" i="13"/>
  <c r="G54" i="13" s="1"/>
  <c r="G27" i="20"/>
  <c r="G54" i="20" s="1"/>
  <c r="G27" i="19"/>
  <c r="G54" i="19" s="1"/>
  <c r="G27" i="18"/>
  <c r="G54" i="18" s="1"/>
  <c r="V227" i="10"/>
  <c r="V67" i="10" s="1"/>
  <c r="J67" i="10"/>
  <c r="AT227" i="10"/>
  <c r="AT67" i="10" s="1"/>
  <c r="AH67" i="10"/>
  <c r="O11" i="10"/>
  <c r="AE27" i="18"/>
  <c r="AE54" i="18" s="1"/>
  <c r="AE27" i="13"/>
  <c r="AE54" i="13" s="1"/>
  <c r="AE27" i="19"/>
  <c r="AE54" i="19" s="1"/>
  <c r="AE27" i="20"/>
  <c r="AE54" i="20" s="1"/>
  <c r="BL68" i="10"/>
  <c r="BL69" i="10"/>
  <c r="AH203" i="10"/>
  <c r="AT203" i="10" s="1"/>
  <c r="AA229" i="10"/>
  <c r="J203" i="10"/>
  <c r="V203" i="10" s="1"/>
  <c r="C229" i="10"/>
  <c r="AY68" i="10"/>
  <c r="BF228" i="10"/>
  <c r="J228" i="10"/>
  <c r="C68" i="10"/>
  <c r="AH178" i="10"/>
  <c r="AT178" i="10" s="1"/>
  <c r="AA204" i="10"/>
  <c r="M131" i="12"/>
  <c r="L107" i="12"/>
  <c r="L108" i="12"/>
  <c r="L135" i="12"/>
  <c r="M106" i="12"/>
  <c r="M81" i="12"/>
  <c r="L83" i="12"/>
  <c r="L109" i="12"/>
  <c r="L134" i="12"/>
  <c r="L136" i="12"/>
  <c r="L84" i="12"/>
  <c r="L133" i="12"/>
  <c r="L132" i="12"/>
  <c r="L110" i="12"/>
  <c r="L82" i="12"/>
  <c r="FJ55" i="11" l="1"/>
  <c r="DX55" i="11" s="1"/>
  <c r="T29" i="18"/>
  <c r="T56" i="18" s="1"/>
  <c r="N14" i="8"/>
  <c r="N56" i="11" s="1"/>
  <c r="FJ56" i="11" s="1"/>
  <c r="T29" i="20"/>
  <c r="T56" i="20" s="1"/>
  <c r="L137" i="12"/>
  <c r="U69" i="8"/>
  <c r="AD69" i="8" s="1"/>
  <c r="E42" i="8"/>
  <c r="N42" i="8" s="1"/>
  <c r="T29" i="13"/>
  <c r="T56" i="13" s="1"/>
  <c r="T29" i="19"/>
  <c r="T56" i="19" s="1"/>
  <c r="GA54" i="11"/>
  <c r="EO54" i="11" s="1"/>
  <c r="G55" i="11"/>
  <c r="FC55" i="11" s="1"/>
  <c r="DQ55" i="11" s="1"/>
  <c r="F115" i="21"/>
  <c r="F141" i="21" s="1"/>
  <c r="G115" i="21"/>
  <c r="G141" i="21" s="1"/>
  <c r="H115" i="21"/>
  <c r="H141" i="21" s="1"/>
  <c r="D115" i="21"/>
  <c r="D141" i="21" s="1"/>
  <c r="I115" i="21"/>
  <c r="I141" i="21" s="1"/>
  <c r="E115" i="21"/>
  <c r="E141" i="21" s="1"/>
  <c r="AE55" i="11"/>
  <c r="GA55" i="11" s="1"/>
  <c r="K115" i="21"/>
  <c r="K141" i="21" s="1"/>
  <c r="O115" i="21"/>
  <c r="O141" i="21" s="1"/>
  <c r="L115" i="21"/>
  <c r="L141" i="21" s="1"/>
  <c r="M115" i="21"/>
  <c r="M141" i="21" s="1"/>
  <c r="N115" i="21"/>
  <c r="N141" i="21" s="1"/>
  <c r="J115" i="21"/>
  <c r="J141" i="21" s="1"/>
  <c r="K86" i="12"/>
  <c r="J230" i="10"/>
  <c r="V230" i="10" s="1"/>
  <c r="J178" i="10"/>
  <c r="V178" i="10" s="1"/>
  <c r="AF47" i="3"/>
  <c r="AY203" i="10"/>
  <c r="BF203" i="10" s="1"/>
  <c r="L138" i="12"/>
  <c r="AR30" i="13"/>
  <c r="AR57" i="13" s="1"/>
  <c r="I87" i="12"/>
  <c r="I102" i="12" s="1"/>
  <c r="BL178" i="10" s="1"/>
  <c r="BL204" i="10" s="1"/>
  <c r="BL230" i="10" s="1"/>
  <c r="J204" i="10"/>
  <c r="V204" i="10" s="1"/>
  <c r="I27" i="12"/>
  <c r="E14" i="8"/>
  <c r="J152" i="12"/>
  <c r="P179" i="10" s="1"/>
  <c r="P205" i="10" s="1"/>
  <c r="E69" i="8"/>
  <c r="N69" i="8" s="1"/>
  <c r="E95" i="8"/>
  <c r="N95" i="8" s="1"/>
  <c r="T30" i="20"/>
  <c r="T57" i="20" s="1"/>
  <c r="T30" i="18"/>
  <c r="T57" i="18" s="1"/>
  <c r="K138" i="12"/>
  <c r="J14" i="10"/>
  <c r="T30" i="13"/>
  <c r="T57" i="13" s="1"/>
  <c r="AR30" i="18"/>
  <c r="AR57" i="18" s="1"/>
  <c r="V14" i="10"/>
  <c r="AR30" i="19"/>
  <c r="AR57" i="19" s="1"/>
  <c r="K85" i="12"/>
  <c r="AA68" i="10"/>
  <c r="AE28" i="20" s="1"/>
  <c r="AE55" i="20" s="1"/>
  <c r="K114" i="12"/>
  <c r="L114" i="12"/>
  <c r="J127" i="12"/>
  <c r="AA179" i="10" s="1"/>
  <c r="AH179" i="10" s="1"/>
  <c r="AT179" i="10" s="1"/>
  <c r="M111" i="12"/>
  <c r="K112" i="12"/>
  <c r="L115" i="12"/>
  <c r="L113" i="12"/>
  <c r="BE55" i="11"/>
  <c r="CQ55" i="11" s="1"/>
  <c r="FV55" i="11"/>
  <c r="EJ55" i="11" s="1"/>
  <c r="AD68" i="8"/>
  <c r="AD14" i="8" s="1"/>
  <c r="Z56" i="11" s="1"/>
  <c r="U14" i="8"/>
  <c r="S56" i="11" s="1"/>
  <c r="U42" i="8"/>
  <c r="AD42" i="8" s="1"/>
  <c r="U95" i="8"/>
  <c r="AD95" i="8" s="1"/>
  <c r="K52" i="12"/>
  <c r="K122" i="9" s="1"/>
  <c r="GH55" i="11"/>
  <c r="EV55" i="11" s="1"/>
  <c r="BX55" i="11"/>
  <c r="DJ55" i="11" s="1"/>
  <c r="J87" i="12"/>
  <c r="F11" i="10"/>
  <c r="N27" i="19"/>
  <c r="N54" i="19" s="1"/>
  <c r="N27" i="13"/>
  <c r="N54" i="13" s="1"/>
  <c r="N27" i="20"/>
  <c r="N54" i="20" s="1"/>
  <c r="H22" i="3"/>
  <c r="N27" i="18"/>
  <c r="N54" i="18" s="1"/>
  <c r="Z27" i="18"/>
  <c r="Z54" i="18" s="1"/>
  <c r="Z27" i="13"/>
  <c r="Z54" i="13" s="1"/>
  <c r="Z27" i="20"/>
  <c r="Z54" i="20" s="1"/>
  <c r="Z27" i="19"/>
  <c r="Z54" i="19" s="1"/>
  <c r="L11" i="10"/>
  <c r="R11" i="10"/>
  <c r="AL27" i="20"/>
  <c r="AL54" i="20" s="1"/>
  <c r="AL27" i="13"/>
  <c r="AL54" i="13" s="1"/>
  <c r="AL27" i="18"/>
  <c r="AL54" i="18" s="1"/>
  <c r="AL27" i="19"/>
  <c r="AL54" i="19" s="1"/>
  <c r="T22" i="3"/>
  <c r="AX27" i="18"/>
  <c r="AX54" i="18" s="1"/>
  <c r="AX27" i="13"/>
  <c r="AX54" i="13" s="1"/>
  <c r="X11" i="10"/>
  <c r="AX27" i="20"/>
  <c r="AX54" i="20" s="1"/>
  <c r="AX27" i="19"/>
  <c r="AX54" i="19" s="1"/>
  <c r="AH68" i="10"/>
  <c r="AT228" i="10"/>
  <c r="AT68" i="10" s="1"/>
  <c r="BP29" i="20"/>
  <c r="BP56" i="20" s="1"/>
  <c r="AH13" i="10"/>
  <c r="BP29" i="18"/>
  <c r="BP56" i="18" s="1"/>
  <c r="BP29" i="13"/>
  <c r="BP56" i="13" s="1"/>
  <c r="BP29" i="19"/>
  <c r="BP56" i="19" s="1"/>
  <c r="AA69" i="10"/>
  <c r="AH229" i="10"/>
  <c r="BP28" i="19"/>
  <c r="BP55" i="19" s="1"/>
  <c r="AH12" i="10"/>
  <c r="BP28" i="20"/>
  <c r="BP55" i="20" s="1"/>
  <c r="BP28" i="18"/>
  <c r="BP55" i="18" s="1"/>
  <c r="BP28" i="13"/>
  <c r="BP55" i="13" s="1"/>
  <c r="AR57" i="20"/>
  <c r="J68" i="10"/>
  <c r="V228" i="10"/>
  <c r="V68" i="10" s="1"/>
  <c r="BR228" i="10"/>
  <c r="BR68" i="10" s="1"/>
  <c r="BF68" i="10"/>
  <c r="BC28" i="20"/>
  <c r="BC28" i="13"/>
  <c r="BC28" i="18"/>
  <c r="AA12" i="10"/>
  <c r="BC28" i="19"/>
  <c r="J229" i="10"/>
  <c r="C69" i="10"/>
  <c r="AA230" i="10"/>
  <c r="AH204" i="10"/>
  <c r="AT204" i="10" s="1"/>
  <c r="C12" i="10"/>
  <c r="G28" i="13"/>
  <c r="G28" i="18"/>
  <c r="G28" i="19"/>
  <c r="G28" i="20"/>
  <c r="M109" i="12"/>
  <c r="M83" i="12"/>
  <c r="N106" i="12"/>
  <c r="M84" i="12"/>
  <c r="M134" i="12"/>
  <c r="N81" i="12"/>
  <c r="M135" i="12"/>
  <c r="M114" i="12"/>
  <c r="M110" i="12"/>
  <c r="M113" i="12"/>
  <c r="G30" i="20"/>
  <c r="G57" i="20" s="1"/>
  <c r="G30" i="18"/>
  <c r="G57" i="18" s="1"/>
  <c r="C14" i="10"/>
  <c r="G30" i="19"/>
  <c r="G57" i="19" s="1"/>
  <c r="G30" i="13"/>
  <c r="G57" i="13" s="1"/>
  <c r="M82" i="12"/>
  <c r="M132" i="12"/>
  <c r="M133" i="12"/>
  <c r="M136" i="12"/>
  <c r="M138" i="12"/>
  <c r="M108" i="12"/>
  <c r="M107" i="12"/>
  <c r="N131" i="12"/>
  <c r="L120" i="9" l="1"/>
  <c r="AK68" i="8" s="1"/>
  <c r="AT68" i="8" s="1"/>
  <c r="I28" i="12"/>
  <c r="M137" i="12"/>
  <c r="L140" i="12"/>
  <c r="AZ56" i="11"/>
  <c r="U70" i="8"/>
  <c r="AD70" i="8" s="1"/>
  <c r="EO55" i="11"/>
  <c r="L86" i="12"/>
  <c r="AY229" i="10"/>
  <c r="BF229" i="10" s="1"/>
  <c r="BR229" i="10" s="1"/>
  <c r="BQ55" i="11"/>
  <c r="DC55" i="11" s="1"/>
  <c r="G56" i="11"/>
  <c r="FC56" i="11" s="1"/>
  <c r="G116" i="21"/>
  <c r="G142" i="21" s="1"/>
  <c r="H116" i="21"/>
  <c r="H142" i="21" s="1"/>
  <c r="D116" i="21"/>
  <c r="D142" i="21" s="1"/>
  <c r="I116" i="21"/>
  <c r="I142" i="21" s="1"/>
  <c r="E116" i="21"/>
  <c r="E142" i="21" s="1"/>
  <c r="F116" i="21"/>
  <c r="F142" i="21" s="1"/>
  <c r="AS55" i="11"/>
  <c r="CE55" i="11" s="1"/>
  <c r="AY178" i="10"/>
  <c r="AY204" i="10" s="1"/>
  <c r="V70" i="10"/>
  <c r="L14" i="10" s="1"/>
  <c r="J70" i="10"/>
  <c r="N30" i="20" s="1"/>
  <c r="N57" i="20" s="1"/>
  <c r="N15" i="8"/>
  <c r="N57" i="11" s="1"/>
  <c r="FJ57" i="11" s="1"/>
  <c r="AK94" i="8"/>
  <c r="AT94" i="8" s="1"/>
  <c r="P231" i="10"/>
  <c r="P71" i="10" s="1"/>
  <c r="T31" i="13" s="1"/>
  <c r="T58" i="13" s="1"/>
  <c r="C179" i="10"/>
  <c r="J179" i="10" s="1"/>
  <c r="V179" i="10" s="1"/>
  <c r="E15" i="8"/>
  <c r="L139" i="12"/>
  <c r="K77" i="12"/>
  <c r="J122" i="9" s="1"/>
  <c r="M139" i="12"/>
  <c r="K139" i="12"/>
  <c r="K152" i="12" s="1"/>
  <c r="P232" i="10" s="1"/>
  <c r="N137" i="12"/>
  <c r="L85" i="12"/>
  <c r="K127" i="12"/>
  <c r="AN180" i="10" s="1"/>
  <c r="AN206" i="10" s="1"/>
  <c r="AN232" i="10" s="1"/>
  <c r="AN72" i="10" s="1"/>
  <c r="V16" i="10" s="1"/>
  <c r="AE28" i="18"/>
  <c r="AE55" i="18" s="1"/>
  <c r="AE28" i="13"/>
  <c r="AE55" i="13" s="1"/>
  <c r="AE28" i="19"/>
  <c r="AE55" i="19" s="1"/>
  <c r="O12" i="10"/>
  <c r="AA205" i="10"/>
  <c r="AA231" i="10" s="1"/>
  <c r="AN179" i="10"/>
  <c r="AN205" i="10" s="1"/>
  <c r="AN231" i="10" s="1"/>
  <c r="AN71" i="10" s="1"/>
  <c r="AR31" i="13" s="1"/>
  <c r="AR58" i="13" s="1"/>
  <c r="L112" i="12"/>
  <c r="L127" i="12" s="1"/>
  <c r="AN181" i="10" s="1"/>
  <c r="AN207" i="10" s="1"/>
  <c r="AN233" i="10" s="1"/>
  <c r="AN73" i="10" s="1"/>
  <c r="AR33" i="13" s="1"/>
  <c r="AR60" i="13" s="1"/>
  <c r="L52" i="12"/>
  <c r="K123" i="9" s="1"/>
  <c r="U15" i="8"/>
  <c r="S57" i="11" s="1"/>
  <c r="U43" i="8"/>
  <c r="BE56" i="11"/>
  <c r="FO56" i="11"/>
  <c r="U96" i="8"/>
  <c r="AD96" i="8" s="1"/>
  <c r="AD15" i="8"/>
  <c r="Z57" i="11" s="1"/>
  <c r="FV56" i="11"/>
  <c r="EJ56" i="11" s="1"/>
  <c r="BL56" i="11"/>
  <c r="BR203" i="10"/>
  <c r="J27" i="12"/>
  <c r="J88" i="12"/>
  <c r="J102" i="12" s="1"/>
  <c r="K87" i="12"/>
  <c r="H47" i="3"/>
  <c r="N22" i="3"/>
  <c r="N47" i="3" s="1"/>
  <c r="T47" i="3"/>
  <c r="Z22" i="3"/>
  <c r="Z47" i="3" s="1"/>
  <c r="AL28" i="19"/>
  <c r="AL55" i="19" s="1"/>
  <c r="R12" i="10"/>
  <c r="AL28" i="20"/>
  <c r="AL55" i="20" s="1"/>
  <c r="AL28" i="13"/>
  <c r="AL55" i="13" s="1"/>
  <c r="T23" i="3"/>
  <c r="AL28" i="18"/>
  <c r="AL55" i="18" s="1"/>
  <c r="AX28" i="18"/>
  <c r="AX55" i="18" s="1"/>
  <c r="X12" i="10"/>
  <c r="AX28" i="20"/>
  <c r="AX55" i="20" s="1"/>
  <c r="AX28" i="13"/>
  <c r="AX55" i="13" s="1"/>
  <c r="AX28" i="19"/>
  <c r="AX55" i="19" s="1"/>
  <c r="AT229" i="10"/>
  <c r="AT69" i="10" s="1"/>
  <c r="AH69" i="10"/>
  <c r="BL70" i="10"/>
  <c r="AE29" i="19"/>
  <c r="AE29" i="20"/>
  <c r="AE29" i="13"/>
  <c r="O13" i="10"/>
  <c r="AE29" i="18"/>
  <c r="G55" i="19"/>
  <c r="J69" i="10"/>
  <c r="V229" i="10"/>
  <c r="V69" i="10" s="1"/>
  <c r="BV28" i="13"/>
  <c r="BV28" i="18"/>
  <c r="AJ12" i="10"/>
  <c r="BV28" i="19"/>
  <c r="BV28" i="20"/>
  <c r="N28" i="20"/>
  <c r="H23" i="3"/>
  <c r="N28" i="18"/>
  <c r="N28" i="19"/>
  <c r="F12" i="10"/>
  <c r="N28" i="13"/>
  <c r="G55" i="18"/>
  <c r="BC55" i="18"/>
  <c r="G55" i="13"/>
  <c r="BC55" i="13"/>
  <c r="G55" i="20"/>
  <c r="AH230" i="10"/>
  <c r="AA70" i="10"/>
  <c r="C13" i="10"/>
  <c r="G29" i="19"/>
  <c r="G29" i="13"/>
  <c r="G29" i="20"/>
  <c r="G29" i="18"/>
  <c r="BC55" i="19"/>
  <c r="BC55" i="20"/>
  <c r="BJ28" i="18"/>
  <c r="BJ28" i="13"/>
  <c r="AF23" i="3"/>
  <c r="AD12" i="10"/>
  <c r="BJ28" i="19"/>
  <c r="BJ28" i="20"/>
  <c r="L12" i="10"/>
  <c r="Z28" i="13"/>
  <c r="Z28" i="18"/>
  <c r="Z28" i="19"/>
  <c r="Z28" i="20"/>
  <c r="N107" i="12"/>
  <c r="O131" i="12"/>
  <c r="N132" i="12"/>
  <c r="N113" i="12"/>
  <c r="O81" i="12"/>
  <c r="O106" i="12"/>
  <c r="N135" i="12"/>
  <c r="N83" i="12"/>
  <c r="N109" i="12"/>
  <c r="N133" i="12"/>
  <c r="N82" i="12"/>
  <c r="N110" i="12"/>
  <c r="N114" i="12"/>
  <c r="N134" i="12"/>
  <c r="N84" i="12"/>
  <c r="N108" i="12"/>
  <c r="N138" i="12"/>
  <c r="N136" i="12"/>
  <c r="AK41" i="8" l="1"/>
  <c r="AT41" i="8" s="1"/>
  <c r="AT14" i="8" s="1"/>
  <c r="AL56" i="11" s="1"/>
  <c r="BX56" i="11" s="1"/>
  <c r="L121" i="9"/>
  <c r="J28" i="12"/>
  <c r="AE56" i="19"/>
  <c r="G56" i="19"/>
  <c r="AE56" i="20"/>
  <c r="G56" i="20"/>
  <c r="AE56" i="18"/>
  <c r="G56" i="18"/>
  <c r="AE56" i="13"/>
  <c r="G56" i="13"/>
  <c r="M140" i="12"/>
  <c r="L152" i="12"/>
  <c r="P181" i="10" s="1"/>
  <c r="P207" i="10" s="1"/>
  <c r="E96" i="8"/>
  <c r="N96" i="8" s="1"/>
  <c r="H25" i="3"/>
  <c r="N25" i="3" s="1"/>
  <c r="N50" i="3" s="1"/>
  <c r="J15" i="10"/>
  <c r="BF178" i="10"/>
  <c r="BR178" i="10" s="1"/>
  <c r="BR69" i="10"/>
  <c r="BV29" i="19" s="1"/>
  <c r="BV56" i="19" s="1"/>
  <c r="BF69" i="10"/>
  <c r="AF24" i="3" s="1"/>
  <c r="AY69" i="10"/>
  <c r="BC29" i="18" s="1"/>
  <c r="Z30" i="18"/>
  <c r="Z57" i="18" s="1"/>
  <c r="Z30" i="20"/>
  <c r="Z57" i="20" s="1"/>
  <c r="AS56" i="11"/>
  <c r="G57" i="11"/>
  <c r="AS57" i="11" s="1"/>
  <c r="H117" i="21"/>
  <c r="H143" i="21" s="1"/>
  <c r="D117" i="21"/>
  <c r="D143" i="21" s="1"/>
  <c r="I117" i="21"/>
  <c r="I143" i="21" s="1"/>
  <c r="E117" i="21"/>
  <c r="E143" i="21" s="1"/>
  <c r="F117" i="21"/>
  <c r="F143" i="21" s="1"/>
  <c r="G117" i="21"/>
  <c r="G143" i="21" s="1"/>
  <c r="Z30" i="13"/>
  <c r="Z57" i="13" s="1"/>
  <c r="Z30" i="19"/>
  <c r="Z57" i="19" s="1"/>
  <c r="N30" i="19"/>
  <c r="N57" i="19" s="1"/>
  <c r="F14" i="10"/>
  <c r="N30" i="13"/>
  <c r="N57" i="13" s="1"/>
  <c r="T31" i="20"/>
  <c r="T58" i="20" s="1"/>
  <c r="N30" i="18"/>
  <c r="N57" i="18" s="1"/>
  <c r="T31" i="18"/>
  <c r="T58" i="18" s="1"/>
  <c r="T31" i="19"/>
  <c r="T58" i="19" s="1"/>
  <c r="AZ57" i="11"/>
  <c r="O137" i="12"/>
  <c r="N139" i="12"/>
  <c r="C205" i="10"/>
  <c r="J205" i="10" s="1"/>
  <c r="V205" i="10" s="1"/>
  <c r="E43" i="8"/>
  <c r="N43" i="8" s="1"/>
  <c r="P180" i="10"/>
  <c r="P206" i="10" s="1"/>
  <c r="P72" i="10" s="1"/>
  <c r="T32" i="19" s="1"/>
  <c r="T59" i="19" s="1"/>
  <c r="E70" i="8"/>
  <c r="N70" i="8" s="1"/>
  <c r="L77" i="12"/>
  <c r="J123" i="9" s="1"/>
  <c r="C180" i="10"/>
  <c r="J180" i="10" s="1"/>
  <c r="V180" i="10" s="1"/>
  <c r="AR32" i="20"/>
  <c r="AR59" i="20" s="1"/>
  <c r="AR32" i="19"/>
  <c r="AR59" i="19" s="1"/>
  <c r="AA180" i="10"/>
  <c r="AH180" i="10" s="1"/>
  <c r="AT180" i="10" s="1"/>
  <c r="AR32" i="18"/>
  <c r="AR59" i="18" s="1"/>
  <c r="AR32" i="13"/>
  <c r="AR59" i="13" s="1"/>
  <c r="M85" i="12"/>
  <c r="N141" i="12"/>
  <c r="AH205" i="10"/>
  <c r="AT205" i="10" s="1"/>
  <c r="N111" i="12"/>
  <c r="V15" i="10"/>
  <c r="AR31" i="18"/>
  <c r="AR58" i="18" s="1"/>
  <c r="N140" i="12"/>
  <c r="AA181" i="10"/>
  <c r="AH181" i="10" s="1"/>
  <c r="AT181" i="10" s="1"/>
  <c r="AR31" i="19"/>
  <c r="AR58" i="19" s="1"/>
  <c r="AR31" i="20"/>
  <c r="AR58" i="20" s="1"/>
  <c r="AR33" i="19"/>
  <c r="AR60" i="19" s="1"/>
  <c r="AR33" i="20"/>
  <c r="AR60" i="20" s="1"/>
  <c r="V17" i="10"/>
  <c r="AR33" i="18"/>
  <c r="AR60" i="18" s="1"/>
  <c r="M112" i="12"/>
  <c r="AH231" i="10"/>
  <c r="AA71" i="10"/>
  <c r="M115" i="12"/>
  <c r="M52" i="12"/>
  <c r="K124" i="9" s="1"/>
  <c r="H125" i="9" s="1"/>
  <c r="AD43" i="8"/>
  <c r="AD16" i="8" s="1"/>
  <c r="Z58" i="11" s="1"/>
  <c r="U16" i="8"/>
  <c r="S58" i="11" s="1"/>
  <c r="FO57" i="11"/>
  <c r="BE57" i="11"/>
  <c r="U71" i="8"/>
  <c r="AD71" i="8" s="1"/>
  <c r="U97" i="8"/>
  <c r="AD97" i="8" s="1"/>
  <c r="U44" i="8"/>
  <c r="BL57" i="11"/>
  <c r="FV57" i="11"/>
  <c r="BL179" i="10"/>
  <c r="BL205" i="10" s="1"/>
  <c r="BL231" i="10" s="1"/>
  <c r="AY179" i="10"/>
  <c r="AK69" i="8"/>
  <c r="AK42" i="8"/>
  <c r="AT42" i="8" s="1"/>
  <c r="AK95" i="8"/>
  <c r="AT95" i="8" s="1"/>
  <c r="M86" i="12"/>
  <c r="K88" i="12"/>
  <c r="L87" i="12"/>
  <c r="AY230" i="10"/>
  <c r="BF204" i="10"/>
  <c r="BR204" i="10" s="1"/>
  <c r="T48" i="3"/>
  <c r="Z23" i="3"/>
  <c r="Z48" i="3" s="1"/>
  <c r="BP30" i="20"/>
  <c r="BP57" i="20" s="1"/>
  <c r="BP30" i="19"/>
  <c r="BP57" i="19" s="1"/>
  <c r="BP30" i="13"/>
  <c r="BP57" i="13" s="1"/>
  <c r="BP30" i="18"/>
  <c r="BP57" i="18" s="1"/>
  <c r="AH14" i="10"/>
  <c r="AL29" i="20"/>
  <c r="AL56" i="20" s="1"/>
  <c r="T24" i="3"/>
  <c r="AL29" i="19"/>
  <c r="AL56" i="19" s="1"/>
  <c r="AL29" i="18"/>
  <c r="AL56" i="18" s="1"/>
  <c r="R13" i="10"/>
  <c r="AL29" i="13"/>
  <c r="X13" i="10"/>
  <c r="AX29" i="20"/>
  <c r="AX56" i="20" s="1"/>
  <c r="AX29" i="19"/>
  <c r="AX56" i="19" s="1"/>
  <c r="AX29" i="13"/>
  <c r="AX56" i="13" s="1"/>
  <c r="AX29" i="18"/>
  <c r="AX56" i="18" s="1"/>
  <c r="Z55" i="19"/>
  <c r="N55" i="19"/>
  <c r="BV55" i="19"/>
  <c r="N29" i="20"/>
  <c r="N56" i="20" s="1"/>
  <c r="N29" i="13"/>
  <c r="N56" i="13" s="1"/>
  <c r="N29" i="19"/>
  <c r="N56" i="19" s="1"/>
  <c r="N29" i="18"/>
  <c r="N56" i="18" s="1"/>
  <c r="F13" i="10"/>
  <c r="H24" i="3"/>
  <c r="Z55" i="18"/>
  <c r="AF48" i="3"/>
  <c r="AL23" i="3"/>
  <c r="AL48" i="3" s="1"/>
  <c r="N55" i="18"/>
  <c r="Z55" i="13"/>
  <c r="BJ55" i="20"/>
  <c r="BJ55" i="13"/>
  <c r="O14" i="10"/>
  <c r="AE30" i="18"/>
  <c r="AE57" i="18" s="1"/>
  <c r="AE30" i="20"/>
  <c r="AE30" i="19"/>
  <c r="AE30" i="13"/>
  <c r="N55" i="13"/>
  <c r="H48" i="3"/>
  <c r="N23" i="3"/>
  <c r="N48" i="3" s="1"/>
  <c r="BV55" i="18"/>
  <c r="Z55" i="20"/>
  <c r="BJ55" i="19"/>
  <c r="BJ55" i="18"/>
  <c r="AH70" i="10"/>
  <c r="AT230" i="10"/>
  <c r="AT70" i="10" s="1"/>
  <c r="N55" i="20"/>
  <c r="BV55" i="20"/>
  <c r="BV55" i="13"/>
  <c r="Z29" i="18"/>
  <c r="Z56" i="18" s="1"/>
  <c r="Z29" i="13"/>
  <c r="Z56" i="13" s="1"/>
  <c r="Z29" i="20"/>
  <c r="Z56" i="20" s="1"/>
  <c r="Z29" i="19"/>
  <c r="Z56" i="19" s="1"/>
  <c r="L13" i="10"/>
  <c r="O114" i="12"/>
  <c r="O83" i="12"/>
  <c r="P106" i="12"/>
  <c r="O108" i="12"/>
  <c r="O107" i="12"/>
  <c r="O84" i="12"/>
  <c r="O110" i="12"/>
  <c r="O111" i="12"/>
  <c r="O133" i="12"/>
  <c r="O109" i="12"/>
  <c r="O135" i="12"/>
  <c r="P81" i="12"/>
  <c r="O113" i="12"/>
  <c r="O132" i="12"/>
  <c r="O82" i="12"/>
  <c r="O136" i="12"/>
  <c r="O138" i="12"/>
  <c r="O134" i="12"/>
  <c r="P131" i="12"/>
  <c r="AK14" i="8" l="1"/>
  <c r="K116" i="21" s="1"/>
  <c r="K142" i="21" s="1"/>
  <c r="E203" i="21"/>
  <c r="D203" i="21"/>
  <c r="E202" i="21"/>
  <c r="D202" i="21"/>
  <c r="E201" i="21"/>
  <c r="D201" i="21"/>
  <c r="BC56" i="18"/>
  <c r="AL56" i="13"/>
  <c r="E200" i="21"/>
  <c r="D200" i="21"/>
  <c r="M116" i="21"/>
  <c r="M142" i="21" s="1"/>
  <c r="GH56" i="11"/>
  <c r="EV56" i="11" s="1"/>
  <c r="BC29" i="13"/>
  <c r="J116" i="21"/>
  <c r="J142" i="21" s="1"/>
  <c r="AE56" i="11"/>
  <c r="GA56" i="11" s="1"/>
  <c r="O116" i="21"/>
  <c r="O142" i="21" s="1"/>
  <c r="C181" i="10"/>
  <c r="J181" i="10" s="1"/>
  <c r="V181" i="10" s="1"/>
  <c r="P233" i="10"/>
  <c r="P73" i="10" s="1"/>
  <c r="T33" i="20" s="1"/>
  <c r="T60" i="20" s="1"/>
  <c r="N16" i="8"/>
  <c r="N58" i="11" s="1"/>
  <c r="AZ58" i="11" s="1"/>
  <c r="E97" i="8"/>
  <c r="N97" i="8" s="1"/>
  <c r="H50" i="3"/>
  <c r="BV29" i="13"/>
  <c r="BV56" i="13" s="1"/>
  <c r="BJ29" i="19"/>
  <c r="BJ56" i="19" s="1"/>
  <c r="AJ13" i="10"/>
  <c r="BV29" i="20"/>
  <c r="BV56" i="20" s="1"/>
  <c r="BV29" i="18"/>
  <c r="BV56" i="18" s="1"/>
  <c r="BC29" i="19"/>
  <c r="AA13" i="10"/>
  <c r="BC29" i="20"/>
  <c r="BJ29" i="18"/>
  <c r="BJ56" i="18" s="1"/>
  <c r="BJ29" i="20"/>
  <c r="BJ56" i="20" s="1"/>
  <c r="BJ29" i="13"/>
  <c r="BJ56" i="13" s="1"/>
  <c r="AD13" i="10"/>
  <c r="P137" i="12"/>
  <c r="C231" i="10"/>
  <c r="J231" i="10" s="1"/>
  <c r="J71" i="10" s="1"/>
  <c r="FC57" i="11"/>
  <c r="E16" i="8"/>
  <c r="O139" i="12"/>
  <c r="AA206" i="10"/>
  <c r="E71" i="8"/>
  <c r="N71" i="8" s="1"/>
  <c r="E44" i="8"/>
  <c r="N44" i="8" s="1"/>
  <c r="C206" i="10"/>
  <c r="J206" i="10" s="1"/>
  <c r="V206" i="10" s="1"/>
  <c r="M141" i="12"/>
  <c r="M152" i="12" s="1"/>
  <c r="C182" i="10" s="1"/>
  <c r="J182" i="10" s="1"/>
  <c r="V182" i="10" s="1"/>
  <c r="N85" i="12"/>
  <c r="M77" i="12"/>
  <c r="J124" i="9" s="1"/>
  <c r="H124" i="9" s="1"/>
  <c r="O141" i="12"/>
  <c r="T32" i="20"/>
  <c r="T59" i="20" s="1"/>
  <c r="T32" i="18"/>
  <c r="T59" i="18" s="1"/>
  <c r="J16" i="10"/>
  <c r="AA207" i="10"/>
  <c r="AH207" i="10" s="1"/>
  <c r="AT207" i="10" s="1"/>
  <c r="T32" i="13"/>
  <c r="T59" i="13" s="1"/>
  <c r="N142" i="12"/>
  <c r="N152" i="12" s="1"/>
  <c r="P235" i="10" s="1"/>
  <c r="O140" i="12"/>
  <c r="N112" i="12"/>
  <c r="AE31" i="18"/>
  <c r="AE58" i="18" s="1"/>
  <c r="O15" i="10"/>
  <c r="AE31" i="13"/>
  <c r="AE58" i="13" s="1"/>
  <c r="AE31" i="19"/>
  <c r="AE58" i="19" s="1"/>
  <c r="AE31" i="20"/>
  <c r="AE58" i="20" s="1"/>
  <c r="AT231" i="10"/>
  <c r="AT71" i="10" s="1"/>
  <c r="AH71" i="10"/>
  <c r="N115" i="12"/>
  <c r="M116" i="12"/>
  <c r="M127" i="12" s="1"/>
  <c r="BL58" i="11"/>
  <c r="FV58" i="11"/>
  <c r="AD44" i="8"/>
  <c r="AD17" i="8" s="1"/>
  <c r="Z59" i="11" s="1"/>
  <c r="U17" i="8"/>
  <c r="S59" i="11" s="1"/>
  <c r="FO58" i="11"/>
  <c r="BE58" i="11"/>
  <c r="U45" i="8"/>
  <c r="U72" i="8"/>
  <c r="AD72" i="8" s="1"/>
  <c r="U98" i="8"/>
  <c r="AD98" i="8" s="1"/>
  <c r="F150" i="2"/>
  <c r="BL71" i="10"/>
  <c r="BP31" i="19" s="1"/>
  <c r="BP58" i="19" s="1"/>
  <c r="BF230" i="10"/>
  <c r="AY70" i="10"/>
  <c r="L88" i="12"/>
  <c r="AT69" i="8"/>
  <c r="AT15" i="8" s="1"/>
  <c r="AL57" i="11" s="1"/>
  <c r="AK15" i="8"/>
  <c r="M87" i="12"/>
  <c r="BF179" i="10"/>
  <c r="BR179" i="10" s="1"/>
  <c r="AY205" i="10"/>
  <c r="K89" i="12"/>
  <c r="K102" i="12" s="1"/>
  <c r="K27" i="12"/>
  <c r="AF49" i="3"/>
  <c r="AL24" i="3"/>
  <c r="AL49" i="3" s="1"/>
  <c r="N86" i="12"/>
  <c r="T49" i="3"/>
  <c r="Z24" i="3"/>
  <c r="Z49" i="3" s="1"/>
  <c r="AE57" i="13"/>
  <c r="AE57" i="19"/>
  <c r="H49" i="3"/>
  <c r="N24" i="3"/>
  <c r="N49" i="3" s="1"/>
  <c r="X14" i="10"/>
  <c r="AX30" i="18"/>
  <c r="AX30" i="13"/>
  <c r="AX57" i="13" s="1"/>
  <c r="AX30" i="20"/>
  <c r="AX30" i="19"/>
  <c r="AX57" i="19" s="1"/>
  <c r="AE57" i="20"/>
  <c r="R14" i="10"/>
  <c r="AL30" i="13"/>
  <c r="AL30" i="19"/>
  <c r="AL30" i="18"/>
  <c r="AL30" i="20"/>
  <c r="T25" i="3"/>
  <c r="P136" i="12"/>
  <c r="P113" i="12"/>
  <c r="P108" i="12"/>
  <c r="Q81" i="12"/>
  <c r="P109" i="12"/>
  <c r="P111" i="12"/>
  <c r="P84" i="12"/>
  <c r="P107" i="12"/>
  <c r="P138" i="12"/>
  <c r="P82" i="12"/>
  <c r="P132" i="12"/>
  <c r="P133" i="12"/>
  <c r="P83" i="12"/>
  <c r="P114" i="12"/>
  <c r="Q131" i="12"/>
  <c r="P134" i="12"/>
  <c r="P135" i="12"/>
  <c r="P110" i="12"/>
  <c r="Q106" i="12"/>
  <c r="L116" i="21" l="1"/>
  <c r="L142" i="21" s="1"/>
  <c r="N116" i="21"/>
  <c r="N142" i="21" s="1"/>
  <c r="L122" i="9"/>
  <c r="K28" i="12"/>
  <c r="BC56" i="19"/>
  <c r="F203" i="21"/>
  <c r="BC56" i="20"/>
  <c r="F202" i="21"/>
  <c r="F201" i="21"/>
  <c r="BC56" i="13"/>
  <c r="F200" i="21"/>
  <c r="T33" i="18"/>
  <c r="T60" i="18" s="1"/>
  <c r="C207" i="10"/>
  <c r="C233" i="10" s="1"/>
  <c r="J233" i="10" s="1"/>
  <c r="T33" i="13"/>
  <c r="T60" i="13" s="1"/>
  <c r="T33" i="19"/>
  <c r="T60" i="19" s="1"/>
  <c r="J17" i="10"/>
  <c r="BQ56" i="11"/>
  <c r="N17" i="8"/>
  <c r="N59" i="11" s="1"/>
  <c r="FJ59" i="11" s="1"/>
  <c r="FJ58" i="11"/>
  <c r="E98" i="8"/>
  <c r="N98" i="8" s="1"/>
  <c r="Q137" i="12"/>
  <c r="C71" i="10"/>
  <c r="C15" i="10" s="1"/>
  <c r="V231" i="10"/>
  <c r="V71" i="10" s="1"/>
  <c r="Z31" i="13" s="1"/>
  <c r="Z58" i="13" s="1"/>
  <c r="G58" i="11"/>
  <c r="FC58" i="11" s="1"/>
  <c r="I118" i="21"/>
  <c r="I144" i="21" s="1"/>
  <c r="E118" i="21"/>
  <c r="E144" i="21" s="1"/>
  <c r="F118" i="21"/>
  <c r="F144" i="21" s="1"/>
  <c r="G118" i="21"/>
  <c r="G144" i="21" s="1"/>
  <c r="H118" i="21"/>
  <c r="H144" i="21" s="1"/>
  <c r="D118" i="21"/>
  <c r="D144" i="21" s="1"/>
  <c r="AE57" i="11"/>
  <c r="GA57" i="11" s="1"/>
  <c r="K117" i="21"/>
  <c r="K143" i="21" s="1"/>
  <c r="O117" i="21"/>
  <c r="O143" i="21" s="1"/>
  <c r="L117" i="21"/>
  <c r="L143" i="21" s="1"/>
  <c r="M117" i="21"/>
  <c r="M143" i="21" s="1"/>
  <c r="N117" i="21"/>
  <c r="J117" i="21"/>
  <c r="J143" i="21" s="1"/>
  <c r="AA232" i="10"/>
  <c r="AH206" i="10"/>
  <c r="AT206" i="10" s="1"/>
  <c r="E17" i="8"/>
  <c r="C232" i="10"/>
  <c r="P234" i="10"/>
  <c r="C208" i="10"/>
  <c r="C234" i="10" s="1"/>
  <c r="J234" i="10" s="1"/>
  <c r="V234" i="10" s="1"/>
  <c r="P182" i="10"/>
  <c r="P208" i="10" s="1"/>
  <c r="E45" i="8"/>
  <c r="N45" i="8" s="1"/>
  <c r="E72" i="8"/>
  <c r="N72" i="8" s="1"/>
  <c r="D150" i="2"/>
  <c r="D144" i="2" s="1"/>
  <c r="J144" i="2" s="1"/>
  <c r="O85" i="12"/>
  <c r="Q141" i="12"/>
  <c r="AA233" i="10"/>
  <c r="AH233" i="10" s="1"/>
  <c r="N77" i="12"/>
  <c r="J125" i="9" s="1"/>
  <c r="O112" i="12"/>
  <c r="P183" i="10"/>
  <c r="P209" i="10" s="1"/>
  <c r="P75" i="10" s="1"/>
  <c r="AL31" i="19"/>
  <c r="AL58" i="19" s="1"/>
  <c r="AL31" i="13"/>
  <c r="AL58" i="13" s="1"/>
  <c r="T26" i="3"/>
  <c r="AL31" i="18"/>
  <c r="AL58" i="18" s="1"/>
  <c r="R15" i="10"/>
  <c r="AL31" i="20"/>
  <c r="AL58" i="20" s="1"/>
  <c r="AX31" i="19"/>
  <c r="AX58" i="19" s="1"/>
  <c r="AX31" i="20"/>
  <c r="AX58" i="20" s="1"/>
  <c r="AX31" i="13"/>
  <c r="AX58" i="13" s="1"/>
  <c r="AX31" i="18"/>
  <c r="AX58" i="18" s="1"/>
  <c r="X15" i="10"/>
  <c r="AA182" i="10"/>
  <c r="AN182" i="10"/>
  <c r="AN208" i="10" s="1"/>
  <c r="AN234" i="10" s="1"/>
  <c r="AN74" i="10" s="1"/>
  <c r="C34" i="7" s="1"/>
  <c r="N116" i="12"/>
  <c r="O115" i="12"/>
  <c r="F147" i="2"/>
  <c r="L147" i="2" s="1"/>
  <c r="F139" i="2"/>
  <c r="L139" i="2" s="1"/>
  <c r="F144" i="2"/>
  <c r="L144" i="2" s="1"/>
  <c r="G150" i="2"/>
  <c r="F141" i="2"/>
  <c r="L141" i="2" s="1"/>
  <c r="F143" i="2"/>
  <c r="L143" i="2" s="1"/>
  <c r="F145" i="2"/>
  <c r="L145" i="2" s="1"/>
  <c r="F140" i="2"/>
  <c r="L140" i="2" s="1"/>
  <c r="F146" i="2"/>
  <c r="L146" i="2" s="1"/>
  <c r="F142" i="2"/>
  <c r="L142" i="2" s="1"/>
  <c r="FV59" i="11"/>
  <c r="BL59" i="11"/>
  <c r="FO59" i="11"/>
  <c r="BE59" i="11"/>
  <c r="AD45" i="8"/>
  <c r="AD18" i="8" s="1"/>
  <c r="Z60" i="11" s="1"/>
  <c r="U18" i="8"/>
  <c r="S60" i="11" s="1"/>
  <c r="BP31" i="13"/>
  <c r="BP58" i="13" s="1"/>
  <c r="AH15" i="10"/>
  <c r="BP31" i="20"/>
  <c r="BP58" i="20" s="1"/>
  <c r="BP31" i="18"/>
  <c r="BP58" i="18" s="1"/>
  <c r="C183" i="10"/>
  <c r="J183" i="10" s="1"/>
  <c r="V183" i="10" s="1"/>
  <c r="AA14" i="10"/>
  <c r="BC30" i="18"/>
  <c r="BC57" i="18" s="1"/>
  <c r="BC30" i="19"/>
  <c r="BC57" i="19" s="1"/>
  <c r="BC30" i="13"/>
  <c r="BC57" i="13" s="1"/>
  <c r="BC30" i="20"/>
  <c r="BC57" i="20" s="1"/>
  <c r="BR230" i="10"/>
  <c r="BR70" i="10" s="1"/>
  <c r="BF70" i="10"/>
  <c r="L90" i="12"/>
  <c r="L27" i="12"/>
  <c r="AK96" i="8"/>
  <c r="AT96" i="8" s="1"/>
  <c r="AK70" i="8"/>
  <c r="AK43" i="8"/>
  <c r="AT43" i="8" s="1"/>
  <c r="N87" i="12"/>
  <c r="O86" i="12"/>
  <c r="AY231" i="10"/>
  <c r="BF231" i="10" s="1"/>
  <c r="BR231" i="10" s="1"/>
  <c r="BF205" i="10"/>
  <c r="BX57" i="11"/>
  <c r="GH57" i="11"/>
  <c r="M88" i="12"/>
  <c r="AY180" i="10"/>
  <c r="BL180" i="10"/>
  <c r="BL206" i="10" s="1"/>
  <c r="L89" i="12"/>
  <c r="T50" i="3"/>
  <c r="Z25" i="3"/>
  <c r="Z50" i="3" s="1"/>
  <c r="AL57" i="13"/>
  <c r="F15" i="10"/>
  <c r="N31" i="19"/>
  <c r="N58" i="19" s="1"/>
  <c r="N31" i="20"/>
  <c r="N31" i="13"/>
  <c r="N31" i="18"/>
  <c r="H26" i="3"/>
  <c r="AL57" i="20"/>
  <c r="AX57" i="18"/>
  <c r="AL57" i="18"/>
  <c r="AL57" i="19"/>
  <c r="AX57" i="20"/>
  <c r="Q114" i="12"/>
  <c r="Q133" i="12"/>
  <c r="Q82" i="12"/>
  <c r="Q138" i="12"/>
  <c r="Q111" i="12"/>
  <c r="Q136" i="12"/>
  <c r="Q110" i="12"/>
  <c r="R106" i="12"/>
  <c r="Q135" i="12"/>
  <c r="Q84" i="12"/>
  <c r="R81" i="12"/>
  <c r="Q134" i="12"/>
  <c r="Q83" i="12"/>
  <c r="Q109" i="12"/>
  <c r="Q108" i="12"/>
  <c r="R131" i="12"/>
  <c r="Q132" i="12"/>
  <c r="Q107" i="12"/>
  <c r="Q113" i="12"/>
  <c r="N143" i="21" l="1"/>
  <c r="L123" i="9"/>
  <c r="L28" i="12"/>
  <c r="J207" i="10"/>
  <c r="V207" i="10" s="1"/>
  <c r="C73" i="10"/>
  <c r="C17" i="10" s="1"/>
  <c r="C74" i="10"/>
  <c r="G34" i="18" s="1"/>
  <c r="AZ59" i="11"/>
  <c r="G31" i="20"/>
  <c r="G58" i="20" s="1"/>
  <c r="E99" i="8"/>
  <c r="N99" i="8" s="1"/>
  <c r="L15" i="10"/>
  <c r="Z31" i="20"/>
  <c r="Z58" i="20" s="1"/>
  <c r="Z31" i="18"/>
  <c r="Z58" i="18" s="1"/>
  <c r="Z31" i="19"/>
  <c r="Z58" i="19" s="1"/>
  <c r="G31" i="19"/>
  <c r="G58" i="19" s="1"/>
  <c r="G31" i="18"/>
  <c r="G58" i="18" s="1"/>
  <c r="G31" i="13"/>
  <c r="G58" i="13" s="1"/>
  <c r="AS58" i="11"/>
  <c r="BQ57" i="11"/>
  <c r="G59" i="11"/>
  <c r="FC59" i="11" s="1"/>
  <c r="F119" i="21"/>
  <c r="F145" i="21" s="1"/>
  <c r="G119" i="21"/>
  <c r="G145" i="21" s="1"/>
  <c r="H119" i="21"/>
  <c r="H145" i="21" s="1"/>
  <c r="D119" i="21"/>
  <c r="D145" i="21" s="1"/>
  <c r="I119" i="21"/>
  <c r="I145" i="21" s="1"/>
  <c r="E119" i="21"/>
  <c r="E145" i="21" s="1"/>
  <c r="E18" i="8"/>
  <c r="N18" i="8"/>
  <c r="N60" i="11" s="1"/>
  <c r="FJ60" i="11" s="1"/>
  <c r="P139" i="12"/>
  <c r="AH232" i="10"/>
  <c r="AA72" i="10"/>
  <c r="P74" i="10"/>
  <c r="J18" i="10" s="1"/>
  <c r="J232" i="10"/>
  <c r="C72" i="10"/>
  <c r="AA73" i="10"/>
  <c r="AE33" i="20" s="1"/>
  <c r="AE60" i="20" s="1"/>
  <c r="J208" i="10"/>
  <c r="V208" i="10" s="1"/>
  <c r="V74" i="10" s="1"/>
  <c r="L18" i="10" s="1"/>
  <c r="E73" i="8"/>
  <c r="N73" i="8" s="1"/>
  <c r="R141" i="12"/>
  <c r="P141" i="12"/>
  <c r="D141" i="2"/>
  <c r="J141" i="2" s="1"/>
  <c r="D143" i="2"/>
  <c r="J143" i="2" s="1"/>
  <c r="E46" i="8"/>
  <c r="N46" i="8" s="1"/>
  <c r="D146" i="2"/>
  <c r="J146" i="2" s="1"/>
  <c r="O77" i="12"/>
  <c r="J126" i="9" s="1"/>
  <c r="D139" i="2"/>
  <c r="J139" i="2" s="1"/>
  <c r="D142" i="2"/>
  <c r="J142" i="2" s="1"/>
  <c r="D145" i="2"/>
  <c r="J145" i="2" s="1"/>
  <c r="D147" i="2"/>
  <c r="J147" i="2" s="1"/>
  <c r="E150" i="2"/>
  <c r="E145" i="2" s="1"/>
  <c r="K145" i="2" s="1"/>
  <c r="D140" i="2"/>
  <c r="J140" i="2" s="1"/>
  <c r="P85" i="12"/>
  <c r="O142" i="12"/>
  <c r="P140" i="12"/>
  <c r="P112" i="12"/>
  <c r="T51" i="3"/>
  <c r="Z26" i="3"/>
  <c r="Z51" i="3" s="1"/>
  <c r="O116" i="12"/>
  <c r="N117" i="12"/>
  <c r="N127" i="12" s="1"/>
  <c r="N52" i="12"/>
  <c r="K125" i="9" s="1"/>
  <c r="AR34" i="18"/>
  <c r="AR61" i="18" s="1"/>
  <c r="AR34" i="20"/>
  <c r="AR61" i="20" s="1"/>
  <c r="AR34" i="13"/>
  <c r="AR61" i="13" s="1"/>
  <c r="AR34" i="19"/>
  <c r="AR61" i="19" s="1"/>
  <c r="V18" i="10"/>
  <c r="AA208" i="10"/>
  <c r="AH182" i="10"/>
  <c r="P115" i="12"/>
  <c r="BL60" i="11"/>
  <c r="FV60" i="11"/>
  <c r="FO60" i="11"/>
  <c r="BE60" i="11"/>
  <c r="G142" i="2"/>
  <c r="M142" i="2" s="1"/>
  <c r="G147" i="2"/>
  <c r="M147" i="2" s="1"/>
  <c r="G144" i="2"/>
  <c r="M144" i="2" s="1"/>
  <c r="G141" i="2"/>
  <c r="M141" i="2" s="1"/>
  <c r="G146" i="2"/>
  <c r="M146" i="2" s="1"/>
  <c r="G143" i="2"/>
  <c r="M143" i="2" s="1"/>
  <c r="G145" i="2"/>
  <c r="M145" i="2" s="1"/>
  <c r="G140" i="2"/>
  <c r="M140" i="2" s="1"/>
  <c r="G139" i="2"/>
  <c r="M139" i="2" s="1"/>
  <c r="F148" i="2"/>
  <c r="L148" i="2"/>
  <c r="C209" i="10"/>
  <c r="C235" i="10" s="1"/>
  <c r="P142" i="12"/>
  <c r="L102" i="12"/>
  <c r="AY181" i="10" s="1"/>
  <c r="AY71" i="10"/>
  <c r="BC31" i="13" s="1"/>
  <c r="BC58" i="13" s="1"/>
  <c r="BJ30" i="13"/>
  <c r="BJ57" i="13" s="1"/>
  <c r="BJ30" i="20"/>
  <c r="BJ57" i="20" s="1"/>
  <c r="AD14" i="10"/>
  <c r="BJ30" i="19"/>
  <c r="BJ57" i="19" s="1"/>
  <c r="BJ30" i="18"/>
  <c r="BJ57" i="18" s="1"/>
  <c r="AF25" i="3"/>
  <c r="AJ14" i="10"/>
  <c r="BV30" i="20"/>
  <c r="BV57" i="20" s="1"/>
  <c r="BV30" i="18"/>
  <c r="BV57" i="18" s="1"/>
  <c r="BV30" i="13"/>
  <c r="BV57" i="13" s="1"/>
  <c r="BV30" i="19"/>
  <c r="BV57" i="19" s="1"/>
  <c r="AY206" i="10"/>
  <c r="BF180" i="10"/>
  <c r="BR180" i="10" s="1"/>
  <c r="BR205" i="10"/>
  <c r="BR71" i="10" s="1"/>
  <c r="BF71" i="10"/>
  <c r="N88" i="12"/>
  <c r="BL232" i="10"/>
  <c r="BL72" i="10" s="1"/>
  <c r="O87" i="12"/>
  <c r="M90" i="12"/>
  <c r="AT70" i="8"/>
  <c r="AT16" i="8" s="1"/>
  <c r="AL58" i="11" s="1"/>
  <c r="AK16" i="8"/>
  <c r="M89" i="12"/>
  <c r="AK44" i="8"/>
  <c r="AT44" i="8" s="1"/>
  <c r="AK71" i="8"/>
  <c r="AK97" i="8"/>
  <c r="AT97" i="8" s="1"/>
  <c r="P86" i="12"/>
  <c r="AT233" i="10"/>
  <c r="AT73" i="10" s="1"/>
  <c r="AH73" i="10"/>
  <c r="T35" i="19"/>
  <c r="T62" i="19" s="1"/>
  <c r="T35" i="20"/>
  <c r="T62" i="20" s="1"/>
  <c r="T35" i="13"/>
  <c r="T62" i="13" s="1"/>
  <c r="J19" i="10"/>
  <c r="T35" i="18"/>
  <c r="T62" i="18" s="1"/>
  <c r="J73" i="10"/>
  <c r="V233" i="10"/>
  <c r="V73" i="10" s="1"/>
  <c r="G33" i="20"/>
  <c r="G60" i="20" s="1"/>
  <c r="G33" i="13"/>
  <c r="G60" i="13" s="1"/>
  <c r="G33" i="19"/>
  <c r="G60" i="19" s="1"/>
  <c r="G33" i="18"/>
  <c r="G60" i="18" s="1"/>
  <c r="N58" i="13"/>
  <c r="N58" i="20"/>
  <c r="H51" i="3"/>
  <c r="N26" i="3"/>
  <c r="N51" i="3" s="1"/>
  <c r="N58" i="18"/>
  <c r="R83" i="12"/>
  <c r="R114" i="12"/>
  <c r="S81" i="12"/>
  <c r="R110" i="12"/>
  <c r="S106" i="12"/>
  <c r="R113" i="12"/>
  <c r="R107" i="12"/>
  <c r="R109" i="12"/>
  <c r="R84" i="12"/>
  <c r="R137" i="12"/>
  <c r="R136" i="12"/>
  <c r="R135" i="12"/>
  <c r="R132" i="12"/>
  <c r="S131" i="12"/>
  <c r="R108" i="12"/>
  <c r="R134" i="12"/>
  <c r="R111" i="12"/>
  <c r="R138" i="12"/>
  <c r="R82" i="12"/>
  <c r="R133" i="12"/>
  <c r="G61" i="18" l="1"/>
  <c r="C18" i="10"/>
  <c r="G34" i="20"/>
  <c r="G34" i="19"/>
  <c r="G34" i="13"/>
  <c r="AE33" i="13"/>
  <c r="AE60" i="13" s="1"/>
  <c r="H14" i="5"/>
  <c r="H24" i="5" s="1"/>
  <c r="AS59" i="11"/>
  <c r="AE58" i="11"/>
  <c r="GA58" i="11" s="1"/>
  <c r="M118" i="21"/>
  <c r="M144" i="21" s="1"/>
  <c r="J118" i="21"/>
  <c r="J144" i="21" s="1"/>
  <c r="N118" i="21"/>
  <c r="N144" i="21" s="1"/>
  <c r="O118" i="21"/>
  <c r="O144" i="21" s="1"/>
  <c r="K118" i="21"/>
  <c r="K144" i="21" s="1"/>
  <c r="L118" i="21"/>
  <c r="L144" i="21" s="1"/>
  <c r="G60" i="11"/>
  <c r="AS60" i="11" s="1"/>
  <c r="G120" i="21"/>
  <c r="G146" i="21" s="1"/>
  <c r="H120" i="21"/>
  <c r="H146" i="21" s="1"/>
  <c r="D120" i="21"/>
  <c r="D146" i="21" s="1"/>
  <c r="I120" i="21"/>
  <c r="I146" i="21" s="1"/>
  <c r="E120" i="21"/>
  <c r="E146" i="21" s="1"/>
  <c r="F120" i="21"/>
  <c r="F146" i="21" s="1"/>
  <c r="N19" i="8"/>
  <c r="N61" i="11" s="1"/>
  <c r="AZ61" i="11" s="1"/>
  <c r="J74" i="10"/>
  <c r="N34" i="13" s="1"/>
  <c r="N61" i="13" s="1"/>
  <c r="T34" i="20"/>
  <c r="T61" i="20" s="1"/>
  <c r="T34" i="18"/>
  <c r="T61" i="18" s="1"/>
  <c r="C35" i="7"/>
  <c r="AZ60" i="11"/>
  <c r="E19" i="8"/>
  <c r="Q139" i="12"/>
  <c r="AE33" i="19"/>
  <c r="AE60" i="19" s="1"/>
  <c r="O17" i="10"/>
  <c r="AE33" i="18"/>
  <c r="AE60" i="18" s="1"/>
  <c r="AE32" i="13"/>
  <c r="AE59" i="13" s="1"/>
  <c r="O16" i="10"/>
  <c r="AE32" i="19"/>
  <c r="AE59" i="19" s="1"/>
  <c r="AE32" i="18"/>
  <c r="AE59" i="18" s="1"/>
  <c r="AE32" i="20"/>
  <c r="AE59" i="20" s="1"/>
  <c r="AT232" i="10"/>
  <c r="AT72" i="10" s="1"/>
  <c r="AH72" i="10"/>
  <c r="T34" i="13"/>
  <c r="T61" i="13" s="1"/>
  <c r="T34" i="19"/>
  <c r="T61" i="19" s="1"/>
  <c r="C16" i="10"/>
  <c r="G32" i="13"/>
  <c r="G59" i="13" s="1"/>
  <c r="G32" i="19"/>
  <c r="G59" i="19" s="1"/>
  <c r="G32" i="18"/>
  <c r="G59" i="18" s="1"/>
  <c r="G32" i="20"/>
  <c r="G59" i="20" s="1"/>
  <c r="J72" i="10"/>
  <c r="V232" i="10"/>
  <c r="V72" i="10" s="1"/>
  <c r="S141" i="12"/>
  <c r="O143" i="12"/>
  <c r="O152" i="12" s="1"/>
  <c r="C184" i="10" s="1"/>
  <c r="Z34" i="20"/>
  <c r="Z61" i="20" s="1"/>
  <c r="G35" i="7"/>
  <c r="Z34" i="13"/>
  <c r="Z61" i="13" s="1"/>
  <c r="Z34" i="19"/>
  <c r="Z61" i="19" s="1"/>
  <c r="Z34" i="18"/>
  <c r="Z61" i="18" s="1"/>
  <c r="E144" i="2"/>
  <c r="K144" i="2" s="1"/>
  <c r="E141" i="2"/>
  <c r="K141" i="2" s="1"/>
  <c r="J148" i="2"/>
  <c r="E147" i="2"/>
  <c r="K147" i="2" s="1"/>
  <c r="E146" i="2"/>
  <c r="K146" i="2" s="1"/>
  <c r="E139" i="2"/>
  <c r="K139" i="2" s="1"/>
  <c r="E142" i="2"/>
  <c r="K142" i="2" s="1"/>
  <c r="E140" i="2"/>
  <c r="K140" i="2" s="1"/>
  <c r="E143" i="2"/>
  <c r="K143" i="2" s="1"/>
  <c r="D148" i="2"/>
  <c r="Q85" i="12"/>
  <c r="Q140" i="12"/>
  <c r="J209" i="10"/>
  <c r="V209" i="10" s="1"/>
  <c r="Q112" i="12"/>
  <c r="AN183" i="10"/>
  <c r="AN209" i="10" s="1"/>
  <c r="AN235" i="10" s="1"/>
  <c r="AN75" i="10" s="1"/>
  <c r="AA183" i="10"/>
  <c r="AA234" i="10"/>
  <c r="AH208" i="10"/>
  <c r="AT208" i="10" s="1"/>
  <c r="U46" i="8"/>
  <c r="U73" i="8"/>
  <c r="AD73" i="8" s="1"/>
  <c r="U99" i="8"/>
  <c r="AD99" i="8" s="1"/>
  <c r="O117" i="12"/>
  <c r="Q115" i="12"/>
  <c r="P116" i="12"/>
  <c r="AT182" i="10"/>
  <c r="G148" i="2"/>
  <c r="M148" i="2"/>
  <c r="BL181" i="10"/>
  <c r="BL207" i="10" s="1"/>
  <c r="BL233" i="10" s="1"/>
  <c r="BL73" i="10" s="1"/>
  <c r="Q142" i="12"/>
  <c r="E100" i="8"/>
  <c r="N100" i="8" s="1"/>
  <c r="E47" i="8"/>
  <c r="E74" i="8"/>
  <c r="N74" i="8" s="1"/>
  <c r="BC31" i="18"/>
  <c r="BC58" i="18" s="1"/>
  <c r="AA15" i="10"/>
  <c r="BC31" i="20"/>
  <c r="BC58" i="20" s="1"/>
  <c r="BC31" i="19"/>
  <c r="BC58" i="19" s="1"/>
  <c r="AL25" i="3"/>
  <c r="AL50" i="3" s="1"/>
  <c r="AF50" i="3"/>
  <c r="N89" i="12"/>
  <c r="BJ31" i="18"/>
  <c r="BJ58" i="18" s="1"/>
  <c r="BJ31" i="13"/>
  <c r="BJ58" i="13" s="1"/>
  <c r="BJ31" i="19"/>
  <c r="BJ58" i="19" s="1"/>
  <c r="BJ31" i="20"/>
  <c r="BJ58" i="20" s="1"/>
  <c r="AD15" i="10"/>
  <c r="AF26" i="3"/>
  <c r="M91" i="12"/>
  <c r="M102" i="12" s="1"/>
  <c r="M27" i="12"/>
  <c r="P87" i="12"/>
  <c r="AJ15" i="10"/>
  <c r="BV31" i="13"/>
  <c r="BV58" i="13" s="1"/>
  <c r="BV31" i="18"/>
  <c r="BV58" i="18" s="1"/>
  <c r="BV31" i="19"/>
  <c r="BV58" i="19" s="1"/>
  <c r="BV31" i="20"/>
  <c r="BV58" i="20" s="1"/>
  <c r="O88" i="12"/>
  <c r="Q86" i="12"/>
  <c r="AT71" i="8"/>
  <c r="AT17" i="8" s="1"/>
  <c r="AL59" i="11" s="1"/>
  <c r="AK17" i="8"/>
  <c r="BF181" i="10"/>
  <c r="BR181" i="10" s="1"/>
  <c r="AY207" i="10"/>
  <c r="BF206" i="10"/>
  <c r="AY232" i="10"/>
  <c r="BF232" i="10" s="1"/>
  <c r="BR232" i="10" s="1"/>
  <c r="BP32" i="18"/>
  <c r="BP59" i="18" s="1"/>
  <c r="BP32" i="13"/>
  <c r="BP59" i="13" s="1"/>
  <c r="AH16" i="10"/>
  <c r="BP32" i="20"/>
  <c r="BP59" i="20" s="1"/>
  <c r="BP32" i="19"/>
  <c r="BP59" i="19" s="1"/>
  <c r="N90" i="12"/>
  <c r="GH58" i="11"/>
  <c r="BX58" i="11"/>
  <c r="AL33" i="20"/>
  <c r="AL60" i="20" s="1"/>
  <c r="AL33" i="18"/>
  <c r="AL60" i="18" s="1"/>
  <c r="R17" i="10"/>
  <c r="AL33" i="19"/>
  <c r="AL60" i="19" s="1"/>
  <c r="AL33" i="13"/>
  <c r="AL60" i="13" s="1"/>
  <c r="T28" i="3"/>
  <c r="X17" i="10"/>
  <c r="AX33" i="20"/>
  <c r="AX60" i="20" s="1"/>
  <c r="AX33" i="13"/>
  <c r="AX60" i="13" s="1"/>
  <c r="AX33" i="19"/>
  <c r="AX60" i="19" s="1"/>
  <c r="AX33" i="18"/>
  <c r="AX60" i="18" s="1"/>
  <c r="J235" i="10"/>
  <c r="C75" i="10"/>
  <c r="L17" i="10"/>
  <c r="Z33" i="13"/>
  <c r="Z60" i="13" s="1"/>
  <c r="Z33" i="19"/>
  <c r="Z60" i="19" s="1"/>
  <c r="Z33" i="18"/>
  <c r="Z60" i="18" s="1"/>
  <c r="Z33" i="20"/>
  <c r="Z60" i="20" s="1"/>
  <c r="N33" i="20"/>
  <c r="N60" i="20" s="1"/>
  <c r="N33" i="13"/>
  <c r="N60" i="13" s="1"/>
  <c r="H28" i="3"/>
  <c r="F17" i="10"/>
  <c r="N33" i="18"/>
  <c r="N60" i="18" s="1"/>
  <c r="N33" i="19"/>
  <c r="N60" i="19" s="1"/>
  <c r="S133" i="12"/>
  <c r="S138" i="12"/>
  <c r="S109" i="12"/>
  <c r="S135" i="12"/>
  <c r="S136" i="12"/>
  <c r="S137" i="12"/>
  <c r="S113" i="12"/>
  <c r="S110" i="12"/>
  <c r="S82" i="12"/>
  <c r="S111" i="12"/>
  <c r="T131" i="12"/>
  <c r="S84" i="12"/>
  <c r="S107" i="12"/>
  <c r="S134" i="12"/>
  <c r="S108" i="12"/>
  <c r="S132" i="12"/>
  <c r="T106" i="12"/>
  <c r="T81" i="12"/>
  <c r="S114" i="12"/>
  <c r="S83" i="12"/>
  <c r="L124" i="9" l="1"/>
  <c r="H126" i="9" s="1"/>
  <c r="M28" i="12"/>
  <c r="G61" i="19"/>
  <c r="G61" i="20"/>
  <c r="G61" i="13"/>
  <c r="G200" i="21"/>
  <c r="T141" i="12"/>
  <c r="FJ61" i="11"/>
  <c r="N34" i="19"/>
  <c r="N61" i="19" s="1"/>
  <c r="I14" i="5"/>
  <c r="F14" i="5"/>
  <c r="F19" i="5" s="1"/>
  <c r="BQ58" i="11"/>
  <c r="AE59" i="11"/>
  <c r="GA59" i="11" s="1"/>
  <c r="K119" i="21"/>
  <c r="K145" i="21" s="1"/>
  <c r="O119" i="21"/>
  <c r="O145" i="21" s="1"/>
  <c r="L119" i="21"/>
  <c r="L145" i="21" s="1"/>
  <c r="J119" i="21"/>
  <c r="J145" i="21" s="1"/>
  <c r="M119" i="21"/>
  <c r="M145" i="21" s="1"/>
  <c r="N119" i="21"/>
  <c r="N145" i="21" s="1"/>
  <c r="G61" i="11"/>
  <c r="FC61" i="11" s="1"/>
  <c r="F121" i="21"/>
  <c r="F147" i="21" s="1"/>
  <c r="H121" i="21"/>
  <c r="H147" i="21" s="1"/>
  <c r="G121" i="21"/>
  <c r="G147" i="21" s="1"/>
  <c r="D121" i="21"/>
  <c r="D147" i="21" s="1"/>
  <c r="E121" i="21"/>
  <c r="E147" i="21" s="1"/>
  <c r="I121" i="21"/>
  <c r="I147" i="21" s="1"/>
  <c r="FC60" i="11"/>
  <c r="F18" i="10"/>
  <c r="H29" i="3"/>
  <c r="H54" i="3" s="1"/>
  <c r="N34" i="18"/>
  <c r="N34" i="20"/>
  <c r="N61" i="20" s="1"/>
  <c r="P143" i="12"/>
  <c r="R139" i="12"/>
  <c r="AX32" i="19"/>
  <c r="AX59" i="19" s="1"/>
  <c r="AX32" i="18"/>
  <c r="AX59" i="18" s="1"/>
  <c r="AX32" i="13"/>
  <c r="AX59" i="13" s="1"/>
  <c r="AX32" i="20"/>
  <c r="AX59" i="20" s="1"/>
  <c r="X16" i="10"/>
  <c r="AL32" i="20"/>
  <c r="AL59" i="20" s="1"/>
  <c r="T27" i="3"/>
  <c r="AL32" i="18"/>
  <c r="AL59" i="18" s="1"/>
  <c r="AL32" i="19"/>
  <c r="AL59" i="19" s="1"/>
  <c r="AL32" i="13"/>
  <c r="AL59" i="13" s="1"/>
  <c r="R16" i="10"/>
  <c r="N32" i="13"/>
  <c r="N59" i="13" s="1"/>
  <c r="N32" i="19"/>
  <c r="N59" i="19" s="1"/>
  <c r="N32" i="18"/>
  <c r="N59" i="18" s="1"/>
  <c r="N32" i="20"/>
  <c r="N59" i="20" s="1"/>
  <c r="F16" i="10"/>
  <c r="H27" i="3"/>
  <c r="Z32" i="18"/>
  <c r="Z59" i="18" s="1"/>
  <c r="L16" i="10"/>
  <c r="Z32" i="19"/>
  <c r="Z59" i="19" s="1"/>
  <c r="Z32" i="20"/>
  <c r="Z59" i="20" s="1"/>
  <c r="Z32" i="13"/>
  <c r="Z59" i="13" s="1"/>
  <c r="P236" i="10"/>
  <c r="K148" i="2"/>
  <c r="P184" i="10"/>
  <c r="P210" i="10" s="1"/>
  <c r="E148" i="2"/>
  <c r="R85" i="12"/>
  <c r="R140" i="12"/>
  <c r="R112" i="12"/>
  <c r="H25" i="5"/>
  <c r="H26" i="5"/>
  <c r="AY72" i="10"/>
  <c r="BC32" i="20" s="1"/>
  <c r="BC59" i="20" s="1"/>
  <c r="H19" i="5"/>
  <c r="H21" i="5"/>
  <c r="AH234" i="10"/>
  <c r="AA74" i="10"/>
  <c r="H20" i="5"/>
  <c r="R115" i="12"/>
  <c r="AD46" i="8"/>
  <c r="AD19" i="8" s="1"/>
  <c r="Z61" i="11" s="1"/>
  <c r="U19" i="8"/>
  <c r="S61" i="11" s="1"/>
  <c r="O52" i="12"/>
  <c r="K126" i="9" s="1"/>
  <c r="O118" i="12"/>
  <c r="O127" i="12" s="1"/>
  <c r="P117" i="12"/>
  <c r="AA209" i="10"/>
  <c r="AH183" i="10"/>
  <c r="Q116" i="12"/>
  <c r="AR35" i="20"/>
  <c r="AR62" i="20" s="1"/>
  <c r="V19" i="10"/>
  <c r="AR35" i="13"/>
  <c r="AR62" i="13" s="1"/>
  <c r="AR35" i="18"/>
  <c r="AR62" i="18" s="1"/>
  <c r="AR35" i="19"/>
  <c r="AR62" i="19" s="1"/>
  <c r="H27" i="5"/>
  <c r="H29" i="5"/>
  <c r="H30" i="5"/>
  <c r="H23" i="5"/>
  <c r="H28" i="5"/>
  <c r="H22" i="5"/>
  <c r="J184" i="10"/>
  <c r="V184" i="10" s="1"/>
  <c r="C210" i="10"/>
  <c r="R142" i="12"/>
  <c r="Q143" i="12"/>
  <c r="N47" i="8"/>
  <c r="N20" i="8" s="1"/>
  <c r="N62" i="11" s="1"/>
  <c r="E20" i="8"/>
  <c r="AY182" i="10"/>
  <c r="BL182" i="10"/>
  <c r="BL208" i="10" s="1"/>
  <c r="BP33" i="13"/>
  <c r="BP60" i="13" s="1"/>
  <c r="BP33" i="20"/>
  <c r="BP60" i="20" s="1"/>
  <c r="BP33" i="19"/>
  <c r="BP60" i="19" s="1"/>
  <c r="AH17" i="10"/>
  <c r="BP33" i="18"/>
  <c r="BP60" i="18" s="1"/>
  <c r="BR206" i="10"/>
  <c r="BR72" i="10" s="1"/>
  <c r="BF72" i="10"/>
  <c r="N91" i="12"/>
  <c r="BF207" i="10"/>
  <c r="AY233" i="10"/>
  <c r="BF233" i="10" s="1"/>
  <c r="BR233" i="10" s="1"/>
  <c r="R86" i="12"/>
  <c r="BX59" i="11"/>
  <c r="GH59" i="11"/>
  <c r="AK72" i="8"/>
  <c r="AK45" i="8"/>
  <c r="AT45" i="8" s="1"/>
  <c r="H150" i="2"/>
  <c r="AK98" i="8"/>
  <c r="AT98" i="8" s="1"/>
  <c r="O90" i="12"/>
  <c r="Q87" i="12"/>
  <c r="P88" i="12"/>
  <c r="AF51" i="3"/>
  <c r="AL26" i="3"/>
  <c r="AL51" i="3" s="1"/>
  <c r="O89" i="12"/>
  <c r="V235" i="10"/>
  <c r="V75" i="10" s="1"/>
  <c r="J75" i="10"/>
  <c r="T53" i="3"/>
  <c r="Z28" i="3"/>
  <c r="Z53" i="3" s="1"/>
  <c r="G35" i="18"/>
  <c r="G62" i="18" s="1"/>
  <c r="C19" i="10"/>
  <c r="G35" i="20"/>
  <c r="G62" i="20" s="1"/>
  <c r="G35" i="19"/>
  <c r="G62" i="19" s="1"/>
  <c r="G35" i="13"/>
  <c r="G62" i="13" s="1"/>
  <c r="H53" i="3"/>
  <c r="N28" i="3"/>
  <c r="N53" i="3" s="1"/>
  <c r="T114" i="12"/>
  <c r="U131" i="12"/>
  <c r="T110" i="12"/>
  <c r="T133" i="12"/>
  <c r="T134" i="12"/>
  <c r="U81" i="12"/>
  <c r="T82" i="12"/>
  <c r="T136" i="12"/>
  <c r="T135" i="12"/>
  <c r="T109" i="12"/>
  <c r="T83" i="12"/>
  <c r="U106" i="12"/>
  <c r="T132" i="12"/>
  <c r="T107" i="12"/>
  <c r="T111" i="12"/>
  <c r="T137" i="12"/>
  <c r="T138" i="12"/>
  <c r="T108" i="12"/>
  <c r="T84" i="12"/>
  <c r="T113" i="12"/>
  <c r="G203" i="21" l="1"/>
  <c r="G202" i="21"/>
  <c r="N61" i="18"/>
  <c r="G201" i="21"/>
  <c r="G14" i="5"/>
  <c r="G28" i="5" s="1"/>
  <c r="BQ59" i="11"/>
  <c r="P144" i="12"/>
  <c r="P152" i="12" s="1"/>
  <c r="C185" i="10" s="1"/>
  <c r="P77" i="12"/>
  <c r="J127" i="9" s="1"/>
  <c r="AS61" i="11"/>
  <c r="G62" i="11"/>
  <c r="FC62" i="11" s="1"/>
  <c r="F122" i="21"/>
  <c r="F148" i="21" s="1"/>
  <c r="H122" i="21"/>
  <c r="H148" i="21" s="1"/>
  <c r="G122" i="21"/>
  <c r="G148" i="21" s="1"/>
  <c r="D122" i="21"/>
  <c r="D148" i="21" s="1"/>
  <c r="E122" i="21"/>
  <c r="E148" i="21" s="1"/>
  <c r="I122" i="21"/>
  <c r="I148" i="21" s="1"/>
  <c r="G21" i="7"/>
  <c r="G27" i="7" s="1"/>
  <c r="H27" i="7" s="1"/>
  <c r="J27" i="7" s="1"/>
  <c r="D43" i="1" s="1"/>
  <c r="E43" i="1" s="1"/>
  <c r="N29" i="3"/>
  <c r="N54" i="3" s="1"/>
  <c r="S139" i="12"/>
  <c r="T52" i="3"/>
  <c r="Z27" i="3"/>
  <c r="Z52" i="3" s="1"/>
  <c r="P76" i="10"/>
  <c r="J20" i="10" s="1"/>
  <c r="N27" i="3"/>
  <c r="N52" i="3" s="1"/>
  <c r="H52" i="3"/>
  <c r="F31" i="5"/>
  <c r="F24" i="5"/>
  <c r="F30" i="5"/>
  <c r="F29" i="5"/>
  <c r="F28" i="5"/>
  <c r="F22" i="5"/>
  <c r="F21" i="5"/>
  <c r="F20" i="5"/>
  <c r="N20" i="5" s="1"/>
  <c r="F23" i="5"/>
  <c r="F27" i="5"/>
  <c r="F25" i="5"/>
  <c r="F26" i="5"/>
  <c r="N19" i="5"/>
  <c r="S85" i="12"/>
  <c r="S140" i="12"/>
  <c r="AA16" i="10"/>
  <c r="P21" i="5"/>
  <c r="BC32" i="13"/>
  <c r="BC59" i="13" s="1"/>
  <c r="BC32" i="19"/>
  <c r="BC59" i="19" s="1"/>
  <c r="BC32" i="18"/>
  <c r="BC59" i="18" s="1"/>
  <c r="S112" i="12"/>
  <c r="AE34" i="20"/>
  <c r="O18" i="10"/>
  <c r="AE34" i="19"/>
  <c r="AE34" i="13"/>
  <c r="AE34" i="18"/>
  <c r="AT234" i="10"/>
  <c r="AT74" i="10" s="1"/>
  <c r="G34" i="7" s="1"/>
  <c r="AH74" i="10"/>
  <c r="P20" i="5"/>
  <c r="P19" i="5"/>
  <c r="P118" i="12"/>
  <c r="U100" i="8"/>
  <c r="AD100" i="8" s="1"/>
  <c r="U74" i="8"/>
  <c r="AD74" i="8" s="1"/>
  <c r="U47" i="8"/>
  <c r="H31" i="5"/>
  <c r="P31" i="5" s="1"/>
  <c r="AA235" i="10"/>
  <c r="AH209" i="10"/>
  <c r="AT209" i="10" s="1"/>
  <c r="FO61" i="11"/>
  <c r="BE61" i="11"/>
  <c r="AT183" i="10"/>
  <c r="P119" i="12"/>
  <c r="P52" i="12"/>
  <c r="K127" i="9" s="1"/>
  <c r="BL61" i="11"/>
  <c r="FV61" i="11"/>
  <c r="Q117" i="12"/>
  <c r="R116" i="12"/>
  <c r="AN184" i="10"/>
  <c r="AN210" i="10" s="1"/>
  <c r="AN236" i="10" s="1"/>
  <c r="AN76" i="10" s="1"/>
  <c r="AA184" i="10"/>
  <c r="S115" i="12"/>
  <c r="P30" i="5"/>
  <c r="I19" i="5"/>
  <c r="I21" i="5"/>
  <c r="I30" i="5"/>
  <c r="I25" i="5"/>
  <c r="I24" i="5"/>
  <c r="I20" i="5"/>
  <c r="I31" i="5"/>
  <c r="I29" i="5"/>
  <c r="I22" i="5"/>
  <c r="I27" i="5"/>
  <c r="I26" i="5"/>
  <c r="I28" i="5"/>
  <c r="I23" i="5"/>
  <c r="P27" i="5"/>
  <c r="P24" i="5"/>
  <c r="P22" i="5"/>
  <c r="P29" i="5"/>
  <c r="P23" i="5"/>
  <c r="P26" i="5"/>
  <c r="P25" i="5"/>
  <c r="P28" i="5"/>
  <c r="Q144" i="12"/>
  <c r="S142" i="12"/>
  <c r="FJ62" i="11"/>
  <c r="AZ62" i="11"/>
  <c r="R143" i="12"/>
  <c r="J210" i="10"/>
  <c r="V210" i="10" s="1"/>
  <c r="C236" i="10"/>
  <c r="J236" i="10" s="1"/>
  <c r="V236" i="10" s="1"/>
  <c r="AY73" i="10"/>
  <c r="AA17" i="10" s="1"/>
  <c r="BJ32" i="13"/>
  <c r="BJ59" i="13" s="1"/>
  <c r="AF27" i="3"/>
  <c r="AD16" i="10"/>
  <c r="BJ32" i="18"/>
  <c r="BJ59" i="18" s="1"/>
  <c r="BJ32" i="19"/>
  <c r="BJ59" i="19" s="1"/>
  <c r="BJ32" i="20"/>
  <c r="BJ59" i="20" s="1"/>
  <c r="P89" i="12"/>
  <c r="Q88" i="12"/>
  <c r="N27" i="12"/>
  <c r="L125" i="9" s="1"/>
  <c r="N92" i="12"/>
  <c r="N102" i="12" s="1"/>
  <c r="BV32" i="20"/>
  <c r="BV59" i="20" s="1"/>
  <c r="AJ16" i="10"/>
  <c r="BV32" i="19"/>
  <c r="BV59" i="19" s="1"/>
  <c r="BV32" i="13"/>
  <c r="BV59" i="13" s="1"/>
  <c r="BV32" i="18"/>
  <c r="BV59" i="18" s="1"/>
  <c r="AT72" i="8"/>
  <c r="AT18" i="8" s="1"/>
  <c r="AL60" i="11" s="1"/>
  <c r="AK18" i="8"/>
  <c r="R87" i="12"/>
  <c r="BR207" i="10"/>
  <c r="BR73" i="10" s="1"/>
  <c r="BF73" i="10"/>
  <c r="O91" i="12"/>
  <c r="H143" i="2"/>
  <c r="N143" i="2" s="1"/>
  <c r="I150" i="2"/>
  <c r="H146" i="2"/>
  <c r="N146" i="2" s="1"/>
  <c r="H139" i="2"/>
  <c r="N139" i="2" s="1"/>
  <c r="H141" i="2"/>
  <c r="N141" i="2" s="1"/>
  <c r="H147" i="2"/>
  <c r="N147" i="2" s="1"/>
  <c r="H145" i="2"/>
  <c r="N145" i="2" s="1"/>
  <c r="H140" i="2"/>
  <c r="N140" i="2" s="1"/>
  <c r="H144" i="2"/>
  <c r="N144" i="2" s="1"/>
  <c r="H142" i="2"/>
  <c r="N142" i="2" s="1"/>
  <c r="BL234" i="10"/>
  <c r="BL74" i="10" s="1"/>
  <c r="C33" i="7" s="1"/>
  <c r="P90" i="12"/>
  <c r="S86" i="12"/>
  <c r="AY208" i="10"/>
  <c r="BF182" i="10"/>
  <c r="BR182" i="10" s="1"/>
  <c r="H30" i="3"/>
  <c r="N35" i="20"/>
  <c r="N62" i="20" s="1"/>
  <c r="N35" i="13"/>
  <c r="N62" i="13" s="1"/>
  <c r="N35" i="18"/>
  <c r="N62" i="18" s="1"/>
  <c r="F19" i="10"/>
  <c r="N35" i="19"/>
  <c r="N62" i="19" s="1"/>
  <c r="Z35" i="18"/>
  <c r="Z62" i="18" s="1"/>
  <c r="Z35" i="13"/>
  <c r="Z62" i="13" s="1"/>
  <c r="Z35" i="20"/>
  <c r="Z62" i="20" s="1"/>
  <c r="Z35" i="19"/>
  <c r="Z62" i="19" s="1"/>
  <c r="L19" i="10"/>
  <c r="U138" i="12"/>
  <c r="V81" i="12"/>
  <c r="U134" i="12"/>
  <c r="U133" i="12"/>
  <c r="U84" i="12"/>
  <c r="U113" i="12"/>
  <c r="U137" i="12"/>
  <c r="V106" i="12"/>
  <c r="U109" i="12"/>
  <c r="U136" i="12"/>
  <c r="U82" i="12"/>
  <c r="U110" i="12"/>
  <c r="V131" i="12"/>
  <c r="U108" i="12"/>
  <c r="U141" i="12"/>
  <c r="U114" i="12"/>
  <c r="U111" i="12"/>
  <c r="U107" i="12"/>
  <c r="U132" i="12"/>
  <c r="U83" i="12"/>
  <c r="U135" i="12"/>
  <c r="AE61" i="19" l="1"/>
  <c r="AE61" i="20"/>
  <c r="AE61" i="18"/>
  <c r="AE61" i="13"/>
  <c r="E48" i="8"/>
  <c r="N48" i="8" s="1"/>
  <c r="AS62" i="11"/>
  <c r="F32" i="5"/>
  <c r="N32" i="5" s="1"/>
  <c r="P237" i="10"/>
  <c r="P185" i="10"/>
  <c r="P211" i="10" s="1"/>
  <c r="E101" i="8"/>
  <c r="N101" i="8" s="1"/>
  <c r="E75" i="8"/>
  <c r="N75" i="8" s="1"/>
  <c r="AE60" i="11"/>
  <c r="BQ60" i="11" s="1"/>
  <c r="M120" i="21"/>
  <c r="M146" i="21" s="1"/>
  <c r="J120" i="21"/>
  <c r="J146" i="21" s="1"/>
  <c r="N120" i="21"/>
  <c r="N146" i="21" s="1"/>
  <c r="K120" i="21"/>
  <c r="K146" i="21" s="1"/>
  <c r="L120" i="21"/>
  <c r="L146" i="21" s="1"/>
  <c r="O120" i="21"/>
  <c r="O146" i="21" s="1"/>
  <c r="K27" i="7"/>
  <c r="D44" i="1" s="1"/>
  <c r="E44" i="1" s="1"/>
  <c r="E16" i="1" s="1"/>
  <c r="I27" i="7"/>
  <c r="T36" i="19"/>
  <c r="T63" i="19" s="1"/>
  <c r="T36" i="13"/>
  <c r="T63" i="13" s="1"/>
  <c r="T36" i="20"/>
  <c r="T63" i="20" s="1"/>
  <c r="T36" i="18"/>
  <c r="T63" i="18" s="1"/>
  <c r="T139" i="12"/>
  <c r="N21" i="5"/>
  <c r="N24" i="5"/>
  <c r="N25" i="5"/>
  <c r="N26" i="5"/>
  <c r="N23" i="5"/>
  <c r="N22" i="5"/>
  <c r="G21" i="5"/>
  <c r="G23" i="5"/>
  <c r="G32" i="5"/>
  <c r="G24" i="5"/>
  <c r="G25" i="5"/>
  <c r="N28" i="5"/>
  <c r="G26" i="5"/>
  <c r="G31" i="5"/>
  <c r="G22" i="5"/>
  <c r="N27" i="5"/>
  <c r="G30" i="5"/>
  <c r="N29" i="5"/>
  <c r="G19" i="5"/>
  <c r="O19" i="5" s="1"/>
  <c r="G20" i="5"/>
  <c r="N31" i="5"/>
  <c r="G27" i="5"/>
  <c r="G29" i="5"/>
  <c r="N30" i="5"/>
  <c r="T85" i="12"/>
  <c r="T140" i="12"/>
  <c r="T112" i="12"/>
  <c r="V76" i="10"/>
  <c r="Z36" i="18" s="1"/>
  <c r="Z63" i="18" s="1"/>
  <c r="J76" i="10"/>
  <c r="N36" i="13" s="1"/>
  <c r="N63" i="13" s="1"/>
  <c r="AH235" i="10"/>
  <c r="AA75" i="10"/>
  <c r="AL34" i="13"/>
  <c r="AL61" i="13" s="1"/>
  <c r="R18" i="10"/>
  <c r="AL34" i="19"/>
  <c r="AL61" i="19" s="1"/>
  <c r="AL34" i="20"/>
  <c r="AL61" i="20" s="1"/>
  <c r="T29" i="3"/>
  <c r="AL34" i="18"/>
  <c r="AL61" i="18" s="1"/>
  <c r="P127" i="12"/>
  <c r="AN185" i="10" s="1"/>
  <c r="AN211" i="10" s="1"/>
  <c r="AN237" i="10" s="1"/>
  <c r="AN77" i="10" s="1"/>
  <c r="AX34" i="19"/>
  <c r="AX61" i="19" s="1"/>
  <c r="AX34" i="20"/>
  <c r="AX61" i="20" s="1"/>
  <c r="X18" i="10"/>
  <c r="AX34" i="13"/>
  <c r="AX61" i="13" s="1"/>
  <c r="AX34" i="18"/>
  <c r="AX61" i="18" s="1"/>
  <c r="C76" i="10"/>
  <c r="AR36" i="20"/>
  <c r="AR63" i="20" s="1"/>
  <c r="AR36" i="13"/>
  <c r="AR63" i="13" s="1"/>
  <c r="AR36" i="18"/>
  <c r="AR63" i="18" s="1"/>
  <c r="AR36" i="19"/>
  <c r="AR63" i="19" s="1"/>
  <c r="V20" i="10"/>
  <c r="S116" i="12"/>
  <c r="U48" i="8"/>
  <c r="U75" i="8"/>
  <c r="AD75" i="8" s="1"/>
  <c r="U101" i="8"/>
  <c r="AD101" i="8" s="1"/>
  <c r="H32" i="5"/>
  <c r="P32" i="5" s="1"/>
  <c r="Q119" i="12"/>
  <c r="AD47" i="8"/>
  <c r="AD20" i="8" s="1"/>
  <c r="Z62" i="11" s="1"/>
  <c r="U20" i="8"/>
  <c r="S62" i="11" s="1"/>
  <c r="T115" i="12"/>
  <c r="R117" i="12"/>
  <c r="I32" i="5"/>
  <c r="Q32" i="5" s="1"/>
  <c r="AA210" i="10"/>
  <c r="AH184" i="10"/>
  <c r="Q118" i="12"/>
  <c r="Q19" i="5"/>
  <c r="Q20" i="5"/>
  <c r="Q21" i="5"/>
  <c r="Q27" i="5"/>
  <c r="Q23" i="5"/>
  <c r="Q24" i="5"/>
  <c r="Q31" i="5"/>
  <c r="Q30" i="5"/>
  <c r="Q29" i="5"/>
  <c r="Q22" i="5"/>
  <c r="Q28" i="5"/>
  <c r="Q26" i="5"/>
  <c r="Q25" i="5"/>
  <c r="T142" i="12"/>
  <c r="Q77" i="12"/>
  <c r="J128" i="9" s="1"/>
  <c r="Q145" i="12"/>
  <c r="Q152" i="12" s="1"/>
  <c r="S143" i="12"/>
  <c r="R144" i="12"/>
  <c r="J185" i="10"/>
  <c r="C211" i="10"/>
  <c r="BC33" i="18"/>
  <c r="BC60" i="18" s="1"/>
  <c r="BC33" i="13"/>
  <c r="BC60" i="13" s="1"/>
  <c r="BC33" i="20"/>
  <c r="BC60" i="20" s="1"/>
  <c r="BC33" i="19"/>
  <c r="BC60" i="19" s="1"/>
  <c r="BV33" i="19"/>
  <c r="BV60" i="19" s="1"/>
  <c r="BV33" i="20"/>
  <c r="BV60" i="20" s="1"/>
  <c r="BV33" i="18"/>
  <c r="BV60" i="18" s="1"/>
  <c r="BV33" i="13"/>
  <c r="BV60" i="13" s="1"/>
  <c r="AJ17" i="10"/>
  <c r="BJ33" i="20"/>
  <c r="BJ60" i="20" s="1"/>
  <c r="AD17" i="10"/>
  <c r="BJ33" i="19"/>
  <c r="BJ60" i="19" s="1"/>
  <c r="BJ33" i="13"/>
  <c r="BJ60" i="13" s="1"/>
  <c r="BJ33" i="18"/>
  <c r="BJ60" i="18" s="1"/>
  <c r="AF28" i="3"/>
  <c r="R88" i="12"/>
  <c r="AH18" i="10"/>
  <c r="BP34" i="19"/>
  <c r="BP61" i="19" s="1"/>
  <c r="BP34" i="13"/>
  <c r="BP61" i="13" s="1"/>
  <c r="BP34" i="20"/>
  <c r="BP61" i="20" s="1"/>
  <c r="BP34" i="18"/>
  <c r="BP61" i="18" s="1"/>
  <c r="O93" i="12"/>
  <c r="O27" i="12"/>
  <c r="L126" i="9" s="1"/>
  <c r="AY234" i="10"/>
  <c r="BF234" i="10" s="1"/>
  <c r="BR234" i="10" s="1"/>
  <c r="BF208" i="10"/>
  <c r="P91" i="12"/>
  <c r="S87" i="12"/>
  <c r="BL183" i="10"/>
  <c r="BL209" i="10" s="1"/>
  <c r="AY183" i="10"/>
  <c r="T86" i="12"/>
  <c r="H148" i="2"/>
  <c r="N148" i="2"/>
  <c r="AK99" i="8"/>
  <c r="AT99" i="8" s="1"/>
  <c r="AK46" i="8"/>
  <c r="AT46" i="8" s="1"/>
  <c r="AK73" i="8"/>
  <c r="Q89" i="12"/>
  <c r="AL27" i="3"/>
  <c r="AL52" i="3" s="1"/>
  <c r="AF52" i="3"/>
  <c r="O92" i="12"/>
  <c r="Q90" i="12"/>
  <c r="I144" i="2"/>
  <c r="O144" i="2" s="1"/>
  <c r="I141" i="2"/>
  <c r="O141" i="2" s="1"/>
  <c r="I147" i="2"/>
  <c r="O147" i="2" s="1"/>
  <c r="I145" i="2"/>
  <c r="O145" i="2" s="1"/>
  <c r="I139" i="2"/>
  <c r="O139" i="2" s="1"/>
  <c r="I143" i="2"/>
  <c r="O143" i="2" s="1"/>
  <c r="I142" i="2"/>
  <c r="O142" i="2" s="1"/>
  <c r="I146" i="2"/>
  <c r="O146" i="2" s="1"/>
  <c r="I140" i="2"/>
  <c r="O140" i="2" s="1"/>
  <c r="BX60" i="11"/>
  <c r="GH60" i="11"/>
  <c r="H55" i="3"/>
  <c r="N30" i="3"/>
  <c r="N55" i="3" s="1"/>
  <c r="V111" i="12"/>
  <c r="W111" i="12"/>
  <c r="V137" i="12"/>
  <c r="W137" i="12"/>
  <c r="V83" i="12"/>
  <c r="W83" i="12"/>
  <c r="V141" i="12"/>
  <c r="W141" i="12"/>
  <c r="W131" i="12"/>
  <c r="V136" i="12"/>
  <c r="W136" i="12"/>
  <c r="W106" i="12"/>
  <c r="W113" i="12"/>
  <c r="V113" i="12"/>
  <c r="W81" i="12"/>
  <c r="V132" i="12"/>
  <c r="W132" i="12"/>
  <c r="V107" i="12"/>
  <c r="W107" i="12"/>
  <c r="W114" i="12"/>
  <c r="V114" i="12"/>
  <c r="V84" i="12"/>
  <c r="W84" i="12"/>
  <c r="V134" i="12"/>
  <c r="W134" i="12"/>
  <c r="V138" i="12"/>
  <c r="W138" i="12"/>
  <c r="V135" i="12"/>
  <c r="W135" i="12"/>
  <c r="V108" i="12"/>
  <c r="W108" i="12"/>
  <c r="V110" i="12"/>
  <c r="W110" i="12"/>
  <c r="V82" i="12"/>
  <c r="W82" i="12"/>
  <c r="V109" i="12"/>
  <c r="W109" i="12"/>
  <c r="V133" i="12"/>
  <c r="W133" i="12"/>
  <c r="H203" i="21" l="1"/>
  <c r="H202" i="21"/>
  <c r="H201" i="21"/>
  <c r="H200" i="21"/>
  <c r="P77" i="10"/>
  <c r="T37" i="13" s="1"/>
  <c r="T64" i="13" s="1"/>
  <c r="J14" i="5"/>
  <c r="J30" i="5" s="1"/>
  <c r="GA60" i="11"/>
  <c r="E21" i="8"/>
  <c r="F123" i="21" s="1"/>
  <c r="F149" i="21" s="1"/>
  <c r="N21" i="8"/>
  <c r="N63" i="11" s="1"/>
  <c r="FJ63" i="11" s="1"/>
  <c r="H16" i="1"/>
  <c r="U139" i="12"/>
  <c r="O32" i="5"/>
  <c r="O31" i="5"/>
  <c r="O25" i="5"/>
  <c r="O24" i="5"/>
  <c r="O30" i="5"/>
  <c r="O27" i="5"/>
  <c r="O21" i="5"/>
  <c r="O26" i="5"/>
  <c r="O22" i="5"/>
  <c r="O20" i="5"/>
  <c r="O28" i="5"/>
  <c r="O23" i="5"/>
  <c r="O29" i="5"/>
  <c r="U85" i="12"/>
  <c r="N36" i="19"/>
  <c r="N63" i="19" s="1"/>
  <c r="H31" i="3"/>
  <c r="N31" i="3" s="1"/>
  <c r="N56" i="3" s="1"/>
  <c r="N36" i="20"/>
  <c r="N63" i="20" s="1"/>
  <c r="Z36" i="13"/>
  <c r="Z63" i="13" s="1"/>
  <c r="Z36" i="19"/>
  <c r="Z63" i="19" s="1"/>
  <c r="L20" i="10"/>
  <c r="Z36" i="20"/>
  <c r="Z63" i="20" s="1"/>
  <c r="U140" i="12"/>
  <c r="F20" i="10"/>
  <c r="N36" i="18"/>
  <c r="N63" i="18" s="1"/>
  <c r="U112" i="12"/>
  <c r="AA185" i="10"/>
  <c r="AH185" i="10" s="1"/>
  <c r="C20" i="10"/>
  <c r="G36" i="20"/>
  <c r="G63" i="20" s="1"/>
  <c r="G36" i="13"/>
  <c r="G63" i="13" s="1"/>
  <c r="G36" i="18"/>
  <c r="G63" i="18" s="1"/>
  <c r="G36" i="19"/>
  <c r="G63" i="19" s="1"/>
  <c r="AE35" i="19"/>
  <c r="AE62" i="19" s="1"/>
  <c r="AE35" i="13"/>
  <c r="AE62" i="13" s="1"/>
  <c r="AE35" i="20"/>
  <c r="AE62" i="20" s="1"/>
  <c r="O19" i="10"/>
  <c r="AE35" i="18"/>
  <c r="AE62" i="18" s="1"/>
  <c r="Z29" i="3"/>
  <c r="Z54" i="3" s="1"/>
  <c r="G20" i="7"/>
  <c r="G26" i="7" s="1"/>
  <c r="H26" i="7" s="1"/>
  <c r="T54" i="3"/>
  <c r="AT235" i="10"/>
  <c r="AT75" i="10" s="1"/>
  <c r="AX35" i="19" s="1"/>
  <c r="AX62" i="19" s="1"/>
  <c r="AH75" i="10"/>
  <c r="FV62" i="11"/>
  <c r="BL62" i="11"/>
  <c r="BE62" i="11"/>
  <c r="FO62" i="11"/>
  <c r="Q120" i="12"/>
  <c r="Q127" i="12" s="1"/>
  <c r="Q52" i="12"/>
  <c r="K128" i="9" s="1"/>
  <c r="T116" i="12"/>
  <c r="AT184" i="10"/>
  <c r="V21" i="10"/>
  <c r="AR37" i="13"/>
  <c r="AR64" i="13" s="1"/>
  <c r="AR37" i="20"/>
  <c r="AR64" i="20" s="1"/>
  <c r="AR37" i="19"/>
  <c r="AR64" i="19" s="1"/>
  <c r="AR37" i="18"/>
  <c r="AR64" i="18" s="1"/>
  <c r="AH210" i="10"/>
  <c r="AT210" i="10" s="1"/>
  <c r="AA236" i="10"/>
  <c r="S117" i="12"/>
  <c r="R118" i="12"/>
  <c r="U115" i="12"/>
  <c r="R119" i="12"/>
  <c r="AD48" i="8"/>
  <c r="AD21" i="8" s="1"/>
  <c r="Z63" i="11" s="1"/>
  <c r="U21" i="8"/>
  <c r="S63" i="11" s="1"/>
  <c r="P27" i="12"/>
  <c r="L127" i="9" s="1"/>
  <c r="C237" i="10"/>
  <c r="J211" i="10"/>
  <c r="V211" i="10" s="1"/>
  <c r="R145" i="12"/>
  <c r="T37" i="20"/>
  <c r="T64" i="20" s="1"/>
  <c r="V185" i="10"/>
  <c r="S144" i="12"/>
  <c r="U142" i="12"/>
  <c r="P186" i="10"/>
  <c r="P212" i="10" s="1"/>
  <c r="P238" i="10"/>
  <c r="C186" i="10"/>
  <c r="R146" i="12"/>
  <c r="R77" i="12"/>
  <c r="J129" i="9" s="1"/>
  <c r="T143" i="12"/>
  <c r="F33" i="5"/>
  <c r="E76" i="8"/>
  <c r="N76" i="8" s="1"/>
  <c r="E49" i="8"/>
  <c r="E102" i="8"/>
  <c r="N102" i="8" s="1"/>
  <c r="G33" i="5"/>
  <c r="AY74" i="10"/>
  <c r="BC34" i="19" s="1"/>
  <c r="P92" i="12"/>
  <c r="S88" i="12"/>
  <c r="AT73" i="8"/>
  <c r="AT19" i="8" s="1"/>
  <c r="AL61" i="11" s="1"/>
  <c r="AK19" i="8"/>
  <c r="Q91" i="12"/>
  <c r="AK100" i="8"/>
  <c r="AT100" i="8" s="1"/>
  <c r="AK74" i="8"/>
  <c r="AK47" i="8"/>
  <c r="AT47" i="8" s="1"/>
  <c r="AF53" i="3"/>
  <c r="AL28" i="3"/>
  <c r="AL53" i="3" s="1"/>
  <c r="U86" i="12"/>
  <c r="BF183" i="10"/>
  <c r="BR183" i="10" s="1"/>
  <c r="AY209" i="10"/>
  <c r="O102" i="12"/>
  <c r="R90" i="12"/>
  <c r="R89" i="12"/>
  <c r="BL235" i="10"/>
  <c r="BL75" i="10" s="1"/>
  <c r="P93" i="12"/>
  <c r="I148" i="2"/>
  <c r="O148" i="2"/>
  <c r="T87" i="12"/>
  <c r="BR208" i="10"/>
  <c r="BR74" i="10" s="1"/>
  <c r="G33" i="7" s="1"/>
  <c r="BF74" i="10"/>
  <c r="J21" i="10" l="1"/>
  <c r="T37" i="18"/>
  <c r="T64" i="18" s="1"/>
  <c r="T37" i="19"/>
  <c r="T64" i="19" s="1"/>
  <c r="BC61" i="19"/>
  <c r="J31" i="5"/>
  <c r="G63" i="11"/>
  <c r="AS63" i="11" s="1"/>
  <c r="K14" i="5"/>
  <c r="K32" i="5" s="1"/>
  <c r="AZ63" i="11"/>
  <c r="I123" i="21"/>
  <c r="I149" i="21" s="1"/>
  <c r="H123" i="21"/>
  <c r="H149" i="21" s="1"/>
  <c r="G123" i="21"/>
  <c r="G149" i="21" s="1"/>
  <c r="D123" i="21"/>
  <c r="D149" i="21" s="1"/>
  <c r="E123" i="21"/>
  <c r="E149" i="21" s="1"/>
  <c r="AE61" i="11"/>
  <c r="GA61" i="11" s="1"/>
  <c r="J121" i="21"/>
  <c r="J147" i="21" s="1"/>
  <c r="N121" i="21"/>
  <c r="N147" i="21" s="1"/>
  <c r="K121" i="21"/>
  <c r="K147" i="21" s="1"/>
  <c r="O121" i="21"/>
  <c r="O147" i="21" s="1"/>
  <c r="L121" i="21"/>
  <c r="L147" i="21" s="1"/>
  <c r="M121" i="21"/>
  <c r="M147" i="21" s="1"/>
  <c r="V139" i="12"/>
  <c r="W139" i="12"/>
  <c r="J26" i="7"/>
  <c r="F43" i="1" s="1"/>
  <c r="G43" i="1" s="1"/>
  <c r="I26" i="7"/>
  <c r="H56" i="3"/>
  <c r="W85" i="12"/>
  <c r="V85" i="12"/>
  <c r="AA211" i="10"/>
  <c r="AH211" i="10" s="1"/>
  <c r="AT211" i="10" s="1"/>
  <c r="W140" i="12"/>
  <c r="V140" i="12"/>
  <c r="V112" i="12"/>
  <c r="W112" i="12"/>
  <c r="P94" i="12"/>
  <c r="P102" i="12" s="1"/>
  <c r="AY185" i="10" s="1"/>
  <c r="AX35" i="13"/>
  <c r="AX62" i="13" s="1"/>
  <c r="J237" i="10"/>
  <c r="V237" i="10" s="1"/>
  <c r="V77" i="10" s="1"/>
  <c r="Z37" i="20" s="1"/>
  <c r="Z64" i="20" s="1"/>
  <c r="C77" i="10"/>
  <c r="AH236" i="10"/>
  <c r="AA76" i="10"/>
  <c r="AL35" i="13"/>
  <c r="AL62" i="13" s="1"/>
  <c r="AL35" i="18"/>
  <c r="AL62" i="18" s="1"/>
  <c r="AL35" i="19"/>
  <c r="AL62" i="19" s="1"/>
  <c r="R19" i="10"/>
  <c r="AL35" i="20"/>
  <c r="AL62" i="20" s="1"/>
  <c r="T30" i="3"/>
  <c r="AX35" i="18"/>
  <c r="AX62" i="18" s="1"/>
  <c r="AX35" i="20"/>
  <c r="AX62" i="20" s="1"/>
  <c r="X19" i="10"/>
  <c r="I33" i="5"/>
  <c r="Q33" i="5" s="1"/>
  <c r="U76" i="8"/>
  <c r="AD76" i="8" s="1"/>
  <c r="H33" i="5"/>
  <c r="U49" i="8"/>
  <c r="U102" i="8"/>
  <c r="AD102" i="8" s="1"/>
  <c r="S119" i="12"/>
  <c r="AT185" i="10"/>
  <c r="S118" i="12"/>
  <c r="R120" i="12"/>
  <c r="AN186" i="10"/>
  <c r="AN212" i="10" s="1"/>
  <c r="AN238" i="10" s="1"/>
  <c r="AN78" i="10" s="1"/>
  <c r="AA186" i="10"/>
  <c r="T117" i="12"/>
  <c r="FO63" i="11"/>
  <c r="BE63" i="11"/>
  <c r="W115" i="12"/>
  <c r="V115" i="12"/>
  <c r="BL63" i="11"/>
  <c r="FV63" i="11"/>
  <c r="U116" i="12"/>
  <c r="J19" i="5"/>
  <c r="R19" i="5" s="1"/>
  <c r="BC34" i="13"/>
  <c r="S147" i="12"/>
  <c r="R152" i="12"/>
  <c r="P187" i="10" s="1"/>
  <c r="AA18" i="10"/>
  <c r="F34" i="5"/>
  <c r="N34" i="5" s="1"/>
  <c r="E103" i="8"/>
  <c r="N103" i="8" s="1"/>
  <c r="G34" i="5"/>
  <c r="O34" i="5" s="1"/>
  <c r="E50" i="8"/>
  <c r="E77" i="8"/>
  <c r="N77" i="8" s="1"/>
  <c r="J25" i="5"/>
  <c r="O33" i="5"/>
  <c r="U143" i="12"/>
  <c r="P78" i="10"/>
  <c r="V142" i="12"/>
  <c r="S145" i="12"/>
  <c r="N49" i="8"/>
  <c r="N22" i="8" s="1"/>
  <c r="N64" i="11" s="1"/>
  <c r="E22" i="8"/>
  <c r="S146" i="12"/>
  <c r="T144" i="12"/>
  <c r="J29" i="5"/>
  <c r="N33" i="5"/>
  <c r="J26" i="5"/>
  <c r="J186" i="10"/>
  <c r="C212" i="10"/>
  <c r="BC34" i="18"/>
  <c r="J24" i="5"/>
  <c r="BC34" i="20"/>
  <c r="J21" i="5"/>
  <c r="J20" i="5"/>
  <c r="J23" i="5"/>
  <c r="J27" i="5"/>
  <c r="J22" i="5"/>
  <c r="J28" i="5"/>
  <c r="BV34" i="18"/>
  <c r="BV61" i="18" s="1"/>
  <c r="BV34" i="13"/>
  <c r="BV61" i="13" s="1"/>
  <c r="AJ18" i="10"/>
  <c r="BV34" i="19"/>
  <c r="BV61" i="19" s="1"/>
  <c r="BV34" i="20"/>
  <c r="BV61" i="20" s="1"/>
  <c r="Q93" i="12"/>
  <c r="AY235" i="10"/>
  <c r="BF235" i="10" s="1"/>
  <c r="BR235" i="10" s="1"/>
  <c r="BF209" i="10"/>
  <c r="U87" i="12"/>
  <c r="AH19" i="10"/>
  <c r="BP35" i="20"/>
  <c r="BP62" i="20" s="1"/>
  <c r="BP35" i="13"/>
  <c r="BP62" i="13" s="1"/>
  <c r="BP35" i="19"/>
  <c r="BP62" i="19" s="1"/>
  <c r="BP35" i="18"/>
  <c r="BP62" i="18" s="1"/>
  <c r="S90" i="12"/>
  <c r="R91" i="12"/>
  <c r="BX61" i="11"/>
  <c r="GH61" i="11"/>
  <c r="V86" i="12"/>
  <c r="W86" i="12"/>
  <c r="Q92" i="12"/>
  <c r="AF29" i="3"/>
  <c r="AD18" i="10"/>
  <c r="BJ34" i="13"/>
  <c r="BJ61" i="13" s="1"/>
  <c r="BJ34" i="18"/>
  <c r="BJ61" i="18" s="1"/>
  <c r="BJ34" i="20"/>
  <c r="BJ61" i="20" s="1"/>
  <c r="BJ34" i="19"/>
  <c r="BJ61" i="19" s="1"/>
  <c r="AK48" i="8"/>
  <c r="AT48" i="8" s="1"/>
  <c r="AK101" i="8"/>
  <c r="AT101" i="8" s="1"/>
  <c r="AK75" i="8"/>
  <c r="J32" i="5"/>
  <c r="S89" i="12"/>
  <c r="AT74" i="8"/>
  <c r="AT20" i="8" s="1"/>
  <c r="AL62" i="11" s="1"/>
  <c r="AK20" i="8"/>
  <c r="Q94" i="12"/>
  <c r="AY184" i="10"/>
  <c r="BL184" i="10"/>
  <c r="BL210" i="10" s="1"/>
  <c r="T88" i="12"/>
  <c r="I203" i="21" l="1"/>
  <c r="BC61" i="20"/>
  <c r="I202" i="21"/>
  <c r="BC61" i="18"/>
  <c r="I201" i="21"/>
  <c r="BC61" i="13"/>
  <c r="I200" i="21"/>
  <c r="FC63" i="11"/>
  <c r="BQ61" i="11"/>
  <c r="Q95" i="12"/>
  <c r="Q102" i="12" s="1"/>
  <c r="AE62" i="11"/>
  <c r="GA62" i="11" s="1"/>
  <c r="J122" i="21"/>
  <c r="J148" i="21" s="1"/>
  <c r="N122" i="21"/>
  <c r="N148" i="21" s="1"/>
  <c r="K122" i="21"/>
  <c r="K148" i="21" s="1"/>
  <c r="O122" i="21"/>
  <c r="O148" i="21" s="1"/>
  <c r="L122" i="21"/>
  <c r="L148" i="21" s="1"/>
  <c r="M122" i="21"/>
  <c r="M148" i="21" s="1"/>
  <c r="G64" i="11"/>
  <c r="FC64" i="11" s="1"/>
  <c r="F124" i="21"/>
  <c r="F150" i="21" s="1"/>
  <c r="D124" i="21"/>
  <c r="D150" i="21" s="1"/>
  <c r="G124" i="21"/>
  <c r="G150" i="21" s="1"/>
  <c r="H124" i="21"/>
  <c r="H150" i="21" s="1"/>
  <c r="I124" i="21"/>
  <c r="I150" i="21" s="1"/>
  <c r="E124" i="21"/>
  <c r="E150" i="21" s="1"/>
  <c r="AA237" i="10"/>
  <c r="AH237" i="10" s="1"/>
  <c r="K26" i="7"/>
  <c r="L43" i="1"/>
  <c r="J77" i="10"/>
  <c r="N37" i="20" s="1"/>
  <c r="N64" i="20" s="1"/>
  <c r="AY75" i="10"/>
  <c r="BC35" i="20" s="1"/>
  <c r="BC62" i="20" s="1"/>
  <c r="Z30" i="3"/>
  <c r="Z55" i="3" s="1"/>
  <c r="T55" i="3"/>
  <c r="O20" i="10"/>
  <c r="AE36" i="19"/>
  <c r="AE63" i="19" s="1"/>
  <c r="AE36" i="18"/>
  <c r="AE63" i="18" s="1"/>
  <c r="AE36" i="20"/>
  <c r="AE63" i="20" s="1"/>
  <c r="AE36" i="13"/>
  <c r="AE63" i="13" s="1"/>
  <c r="AT236" i="10"/>
  <c r="AT76" i="10" s="1"/>
  <c r="AX36" i="20" s="1"/>
  <c r="AX63" i="20" s="1"/>
  <c r="AH76" i="10"/>
  <c r="C21" i="10"/>
  <c r="G37" i="13"/>
  <c r="G64" i="13" s="1"/>
  <c r="G37" i="19"/>
  <c r="G64" i="19" s="1"/>
  <c r="G37" i="18"/>
  <c r="G64" i="18" s="1"/>
  <c r="G37" i="20"/>
  <c r="G64" i="20" s="1"/>
  <c r="L21" i="10"/>
  <c r="Z37" i="13"/>
  <c r="Z64" i="13" s="1"/>
  <c r="Z37" i="19"/>
  <c r="Z64" i="19" s="1"/>
  <c r="Z37" i="18"/>
  <c r="Z64" i="18" s="1"/>
  <c r="R121" i="12"/>
  <c r="R127" i="12" s="1"/>
  <c r="R52" i="12"/>
  <c r="K129" i="9" s="1"/>
  <c r="S120" i="12"/>
  <c r="AR38" i="13"/>
  <c r="AR65" i="13" s="1"/>
  <c r="AR38" i="19"/>
  <c r="AR65" i="19" s="1"/>
  <c r="AR38" i="20"/>
  <c r="AR65" i="20" s="1"/>
  <c r="V22" i="10"/>
  <c r="AR38" i="18"/>
  <c r="AR65" i="18" s="1"/>
  <c r="T119" i="12"/>
  <c r="P33" i="5"/>
  <c r="U117" i="12"/>
  <c r="V116" i="12"/>
  <c r="W116" i="12"/>
  <c r="T118" i="12"/>
  <c r="AD49" i="8"/>
  <c r="AD22" i="8" s="1"/>
  <c r="Z64" i="11" s="1"/>
  <c r="U22" i="8"/>
  <c r="S64" i="11" s="1"/>
  <c r="AA212" i="10"/>
  <c r="AH186" i="10"/>
  <c r="R20" i="5"/>
  <c r="BL185" i="10"/>
  <c r="BL211" i="10" s="1"/>
  <c r="BL237" i="10" s="1"/>
  <c r="BL77" i="10" s="1"/>
  <c r="S77" i="12"/>
  <c r="J130" i="9" s="1"/>
  <c r="C187" i="10"/>
  <c r="J187" i="10" s="1"/>
  <c r="R23" i="5"/>
  <c r="P239" i="10"/>
  <c r="R25" i="5"/>
  <c r="R28" i="5"/>
  <c r="AZ64" i="11"/>
  <c r="FJ64" i="11"/>
  <c r="V143" i="12"/>
  <c r="W143" i="12"/>
  <c r="S152" i="12"/>
  <c r="R31" i="5"/>
  <c r="T146" i="12"/>
  <c r="W142" i="12"/>
  <c r="C238" i="10"/>
  <c r="J238" i="10" s="1"/>
  <c r="V238" i="10" s="1"/>
  <c r="J212" i="10"/>
  <c r="V212" i="10" s="1"/>
  <c r="P213" i="10"/>
  <c r="V186" i="10"/>
  <c r="T38" i="20"/>
  <c r="T65" i="20" s="1"/>
  <c r="J22" i="10"/>
  <c r="T38" i="13"/>
  <c r="T65" i="13" s="1"/>
  <c r="T38" i="19"/>
  <c r="T65" i="19" s="1"/>
  <c r="T38" i="18"/>
  <c r="T65" i="18" s="1"/>
  <c r="N50" i="8"/>
  <c r="N23" i="8" s="1"/>
  <c r="N65" i="11" s="1"/>
  <c r="E23" i="8"/>
  <c r="U144" i="12"/>
  <c r="T145" i="12"/>
  <c r="R26" i="5"/>
  <c r="R21" i="5"/>
  <c r="R30" i="5"/>
  <c r="R27" i="5"/>
  <c r="R24" i="5"/>
  <c r="R22" i="5"/>
  <c r="R29" i="5"/>
  <c r="BL236" i="10"/>
  <c r="BL76" i="10" s="1"/>
  <c r="T89" i="12"/>
  <c r="AF54" i="3"/>
  <c r="AL29" i="3"/>
  <c r="AL54" i="3" s="1"/>
  <c r="G19" i="7"/>
  <c r="G25" i="7" s="1"/>
  <c r="H25" i="7" s="1"/>
  <c r="BR209" i="10"/>
  <c r="BR75" i="10" s="1"/>
  <c r="BF75" i="10"/>
  <c r="BF184" i="10"/>
  <c r="BR184" i="10" s="1"/>
  <c r="AY210" i="10"/>
  <c r="T90" i="12"/>
  <c r="R92" i="12"/>
  <c r="K22" i="5"/>
  <c r="K21" i="5"/>
  <c r="K25" i="5"/>
  <c r="K20" i="5"/>
  <c r="K19" i="5"/>
  <c r="K26" i="5"/>
  <c r="K24" i="5"/>
  <c r="K28" i="5"/>
  <c r="K27" i="5"/>
  <c r="K23" i="5"/>
  <c r="K29" i="5"/>
  <c r="K30" i="5"/>
  <c r="K31" i="5"/>
  <c r="R93" i="12"/>
  <c r="U88" i="12"/>
  <c r="R94" i="12"/>
  <c r="BF185" i="10"/>
  <c r="BR185" i="10" s="1"/>
  <c r="AY211" i="10"/>
  <c r="R32" i="5"/>
  <c r="AT75" i="8"/>
  <c r="AT21" i="8" s="1"/>
  <c r="AL63" i="11" s="1"/>
  <c r="AK21" i="8"/>
  <c r="V87" i="12"/>
  <c r="W87" i="12"/>
  <c r="BX62" i="11"/>
  <c r="GH62" i="11"/>
  <c r="Q27" i="12"/>
  <c r="L128" i="9" s="1"/>
  <c r="S91" i="12"/>
  <c r="F35" i="5" l="1"/>
  <c r="N35" i="5" s="1"/>
  <c r="BQ62" i="11"/>
  <c r="AS64" i="11"/>
  <c r="AE63" i="11"/>
  <c r="GA63" i="11" s="1"/>
  <c r="J123" i="21"/>
  <c r="J149" i="21" s="1"/>
  <c r="N123" i="21"/>
  <c r="N149" i="21" s="1"/>
  <c r="K123" i="21"/>
  <c r="K149" i="21" s="1"/>
  <c r="O123" i="21"/>
  <c r="O149" i="21" s="1"/>
  <c r="L123" i="21"/>
  <c r="L149" i="21" s="1"/>
  <c r="M123" i="21"/>
  <c r="M149" i="21" s="1"/>
  <c r="G65" i="11"/>
  <c r="FC65" i="11" s="1"/>
  <c r="F125" i="21"/>
  <c r="F151" i="21" s="1"/>
  <c r="H125" i="21"/>
  <c r="H151" i="21" s="1"/>
  <c r="G125" i="21"/>
  <c r="G151" i="21" s="1"/>
  <c r="D125" i="21"/>
  <c r="D151" i="21" s="1"/>
  <c r="E125" i="21"/>
  <c r="E151" i="21" s="1"/>
  <c r="I125" i="21"/>
  <c r="I151" i="21" s="1"/>
  <c r="AA77" i="10"/>
  <c r="O21" i="10" s="1"/>
  <c r="BC35" i="18"/>
  <c r="BC62" i="18" s="1"/>
  <c r="F44" i="1"/>
  <c r="M43" i="1"/>
  <c r="BC35" i="13"/>
  <c r="BC62" i="13" s="1"/>
  <c r="AA19" i="10"/>
  <c r="BC35" i="19"/>
  <c r="BC62" i="19" s="1"/>
  <c r="F21" i="10"/>
  <c r="N37" i="19"/>
  <c r="N64" i="19" s="1"/>
  <c r="H32" i="3"/>
  <c r="N32" i="3" s="1"/>
  <c r="N57" i="3" s="1"/>
  <c r="N37" i="13"/>
  <c r="N64" i="13" s="1"/>
  <c r="N37" i="18"/>
  <c r="N64" i="18" s="1"/>
  <c r="J25" i="7"/>
  <c r="H43" i="1" s="1"/>
  <c r="I43" i="1" s="1"/>
  <c r="I25" i="7"/>
  <c r="T148" i="12"/>
  <c r="AX36" i="13"/>
  <c r="AX63" i="13" s="1"/>
  <c r="AX36" i="19"/>
  <c r="AX63" i="19" s="1"/>
  <c r="X20" i="10"/>
  <c r="AX36" i="18"/>
  <c r="AX63" i="18" s="1"/>
  <c r="P79" i="10"/>
  <c r="T39" i="18" s="1"/>
  <c r="T66" i="18" s="1"/>
  <c r="C78" i="10"/>
  <c r="G38" i="19" s="1"/>
  <c r="G65" i="19" s="1"/>
  <c r="AT237" i="10"/>
  <c r="AT77" i="10" s="1"/>
  <c r="AX37" i="13" s="1"/>
  <c r="AX64" i="13" s="1"/>
  <c r="AH77" i="10"/>
  <c r="AL36" i="20"/>
  <c r="AL63" i="20" s="1"/>
  <c r="AL36" i="19"/>
  <c r="AL63" i="19" s="1"/>
  <c r="R20" i="10"/>
  <c r="AL36" i="18"/>
  <c r="AL63" i="18" s="1"/>
  <c r="AL36" i="13"/>
  <c r="AL63" i="13" s="1"/>
  <c r="T31" i="3"/>
  <c r="C213" i="10"/>
  <c r="FV64" i="11"/>
  <c r="BL64" i="11"/>
  <c r="AT186" i="10"/>
  <c r="AA238" i="10"/>
  <c r="AH212" i="10"/>
  <c r="AT212" i="10" s="1"/>
  <c r="I34" i="5"/>
  <c r="Q34" i="5" s="1"/>
  <c r="U77" i="8"/>
  <c r="AD77" i="8" s="1"/>
  <c r="U50" i="8"/>
  <c r="H34" i="5"/>
  <c r="P34" i="5" s="1"/>
  <c r="U103" i="8"/>
  <c r="AD103" i="8" s="1"/>
  <c r="T147" i="12"/>
  <c r="FO64" i="11"/>
  <c r="BE64" i="11"/>
  <c r="U119" i="12"/>
  <c r="S121" i="12"/>
  <c r="T120" i="12"/>
  <c r="S122" i="12"/>
  <c r="S52" i="12"/>
  <c r="K130" i="9" s="1"/>
  <c r="U118" i="12"/>
  <c r="V117" i="12"/>
  <c r="W117" i="12"/>
  <c r="AN187" i="10"/>
  <c r="AN213" i="10" s="1"/>
  <c r="AN239" i="10" s="1"/>
  <c r="AN79" i="10" s="1"/>
  <c r="AA187" i="10"/>
  <c r="E78" i="8"/>
  <c r="N78" i="8" s="1"/>
  <c r="G35" i="5"/>
  <c r="O35" i="5" s="1"/>
  <c r="J78" i="10"/>
  <c r="N38" i="18" s="1"/>
  <c r="N65" i="18" s="1"/>
  <c r="E104" i="8"/>
  <c r="N104" i="8" s="1"/>
  <c r="E51" i="8"/>
  <c r="N51" i="8" s="1"/>
  <c r="P240" i="10"/>
  <c r="C188" i="10"/>
  <c r="P188" i="10"/>
  <c r="U146" i="12"/>
  <c r="V187" i="10"/>
  <c r="U145" i="12"/>
  <c r="V78" i="10"/>
  <c r="U147" i="12"/>
  <c r="V144" i="12"/>
  <c r="W144" i="12"/>
  <c r="FJ65" i="11"/>
  <c r="AZ65" i="11"/>
  <c r="J33" i="5"/>
  <c r="AK49" i="8"/>
  <c r="AT49" i="8" s="1"/>
  <c r="AK76" i="8"/>
  <c r="AK102" i="8"/>
  <c r="AT102" i="8" s="1"/>
  <c r="K33" i="5"/>
  <c r="S33" i="5" s="1"/>
  <c r="S94" i="12"/>
  <c r="U90" i="12"/>
  <c r="U89" i="12"/>
  <c r="R95" i="12"/>
  <c r="BP36" i="13"/>
  <c r="BP63" i="13" s="1"/>
  <c r="BP36" i="19"/>
  <c r="BP63" i="19" s="1"/>
  <c r="AH20" i="10"/>
  <c r="BP36" i="20"/>
  <c r="BP63" i="20" s="1"/>
  <c r="BP36" i="18"/>
  <c r="BP63" i="18" s="1"/>
  <c r="AY186" i="10"/>
  <c r="BL186" i="10"/>
  <c r="BL212" i="10" s="1"/>
  <c r="S28" i="5"/>
  <c r="GH63" i="11"/>
  <c r="BX63" i="11"/>
  <c r="BP37" i="19"/>
  <c r="BP64" i="19" s="1"/>
  <c r="BP37" i="13"/>
  <c r="BP64" i="13" s="1"/>
  <c r="BP37" i="18"/>
  <c r="BP64" i="18" s="1"/>
  <c r="AH21" i="10"/>
  <c r="BP37" i="20"/>
  <c r="BP64" i="20" s="1"/>
  <c r="V88" i="12"/>
  <c r="S29" i="5"/>
  <c r="S21" i="5"/>
  <c r="S19" i="5"/>
  <c r="S20" i="5"/>
  <c r="S25" i="5"/>
  <c r="S22" i="5"/>
  <c r="S31" i="5"/>
  <c r="S26" i="5"/>
  <c r="S24" i="5"/>
  <c r="S23" i="5"/>
  <c r="S30" i="5"/>
  <c r="S27" i="5"/>
  <c r="S32" i="5"/>
  <c r="S92" i="12"/>
  <c r="AY236" i="10"/>
  <c r="BF236" i="10" s="1"/>
  <c r="BR236" i="10" s="1"/>
  <c r="BF210" i="10"/>
  <c r="T91" i="12"/>
  <c r="BF211" i="10"/>
  <c r="AY237" i="10"/>
  <c r="BF237" i="10" s="1"/>
  <c r="BR237" i="10" s="1"/>
  <c r="S93" i="12"/>
  <c r="BV35" i="18"/>
  <c r="BV62" i="18" s="1"/>
  <c r="AJ19" i="10"/>
  <c r="BV35" i="20"/>
  <c r="BV62" i="20" s="1"/>
  <c r="BV35" i="13"/>
  <c r="BV62" i="13" s="1"/>
  <c r="BV35" i="19"/>
  <c r="BV62" i="19" s="1"/>
  <c r="AD19" i="10"/>
  <c r="BJ35" i="20"/>
  <c r="BJ62" i="20" s="1"/>
  <c r="BJ35" i="18"/>
  <c r="BJ62" i="18" s="1"/>
  <c r="AF30" i="3"/>
  <c r="BJ35" i="13"/>
  <c r="BJ62" i="13" s="1"/>
  <c r="BJ35" i="19"/>
  <c r="BJ62" i="19" s="1"/>
  <c r="AE37" i="13" l="1"/>
  <c r="AE64" i="13" s="1"/>
  <c r="AE37" i="20"/>
  <c r="AE64" i="20" s="1"/>
  <c r="AS65" i="11"/>
  <c r="BQ63" i="11"/>
  <c r="DC63" i="11" s="1"/>
  <c r="G44" i="1"/>
  <c r="AE37" i="18"/>
  <c r="AE64" i="18" s="1"/>
  <c r="AE37" i="19"/>
  <c r="AE64" i="19" s="1"/>
  <c r="T152" i="12"/>
  <c r="P189" i="10" s="1"/>
  <c r="P215" i="10" s="1"/>
  <c r="H57" i="3"/>
  <c r="T77" i="12"/>
  <c r="J131" i="9" s="1"/>
  <c r="F36" i="5" s="1"/>
  <c r="N36" i="5" s="1"/>
  <c r="L44" i="1"/>
  <c r="K25" i="7"/>
  <c r="H44" i="1" s="1"/>
  <c r="U148" i="12"/>
  <c r="AX37" i="18"/>
  <c r="AX64" i="18" s="1"/>
  <c r="T39" i="20"/>
  <c r="T66" i="20" s="1"/>
  <c r="J23" i="10"/>
  <c r="T39" i="19"/>
  <c r="T66" i="19" s="1"/>
  <c r="T39" i="13"/>
  <c r="T66" i="13" s="1"/>
  <c r="X21" i="10"/>
  <c r="AX37" i="20"/>
  <c r="AX64" i="20" s="1"/>
  <c r="AX37" i="19"/>
  <c r="AX64" i="19" s="1"/>
  <c r="G38" i="20"/>
  <c r="G65" i="20" s="1"/>
  <c r="N24" i="8"/>
  <c r="N66" i="11" s="1"/>
  <c r="G38" i="18"/>
  <c r="G65" i="18" s="1"/>
  <c r="C22" i="10"/>
  <c r="G38" i="13"/>
  <c r="G65" i="13" s="1"/>
  <c r="C239" i="10"/>
  <c r="J239" i="10" s="1"/>
  <c r="V239" i="10" s="1"/>
  <c r="Z31" i="3"/>
  <c r="Z56" i="3" s="1"/>
  <c r="T56" i="3"/>
  <c r="AH238" i="10"/>
  <c r="AA78" i="10"/>
  <c r="J213" i="10"/>
  <c r="V213" i="10" s="1"/>
  <c r="T32" i="3"/>
  <c r="AL37" i="13"/>
  <c r="AL64" i="13" s="1"/>
  <c r="R21" i="10"/>
  <c r="AL37" i="19"/>
  <c r="AL64" i="19" s="1"/>
  <c r="AL37" i="18"/>
  <c r="AL64" i="18" s="1"/>
  <c r="AL37" i="20"/>
  <c r="AL64" i="20" s="1"/>
  <c r="T121" i="12"/>
  <c r="AD50" i="8"/>
  <c r="AD23" i="8" s="1"/>
  <c r="Z65" i="11" s="1"/>
  <c r="U23" i="8"/>
  <c r="S65" i="11" s="1"/>
  <c r="AR39" i="19"/>
  <c r="AR66" i="19" s="1"/>
  <c r="AR39" i="20"/>
  <c r="AR66" i="20" s="1"/>
  <c r="AR39" i="18"/>
  <c r="AR66" i="18" s="1"/>
  <c r="AR39" i="13"/>
  <c r="AR66" i="13" s="1"/>
  <c r="V23" i="10"/>
  <c r="T122" i="12"/>
  <c r="W119" i="12"/>
  <c r="V119" i="12"/>
  <c r="AA213" i="10"/>
  <c r="AH187" i="10"/>
  <c r="U51" i="8"/>
  <c r="H35" i="5"/>
  <c r="P35" i="5" s="1"/>
  <c r="I35" i="5"/>
  <c r="Q35" i="5" s="1"/>
  <c r="U104" i="8"/>
  <c r="AD104" i="8" s="1"/>
  <c r="U78" i="8"/>
  <c r="AD78" i="8" s="1"/>
  <c r="E24" i="8"/>
  <c r="U120" i="12"/>
  <c r="W118" i="12"/>
  <c r="V118" i="12"/>
  <c r="S127" i="12"/>
  <c r="N38" i="13"/>
  <c r="N65" i="13" s="1"/>
  <c r="H33" i="3"/>
  <c r="H58" i="3" s="1"/>
  <c r="N38" i="20"/>
  <c r="N65" i="20" s="1"/>
  <c r="N38" i="19"/>
  <c r="N65" i="19" s="1"/>
  <c r="F22" i="10"/>
  <c r="V147" i="12"/>
  <c r="W147" i="12"/>
  <c r="P214" i="10"/>
  <c r="P80" i="10" s="1"/>
  <c r="J188" i="10"/>
  <c r="C214" i="10"/>
  <c r="Z38" i="18"/>
  <c r="Z65" i="18" s="1"/>
  <c r="Z38" i="19"/>
  <c r="Z65" i="19" s="1"/>
  <c r="L22" i="10"/>
  <c r="Z38" i="20"/>
  <c r="Z65" i="20" s="1"/>
  <c r="Z38" i="13"/>
  <c r="Z65" i="13" s="1"/>
  <c r="W145" i="12"/>
  <c r="V145" i="12"/>
  <c r="V146" i="12"/>
  <c r="W146" i="12"/>
  <c r="AY76" i="10"/>
  <c r="BC36" i="13" s="1"/>
  <c r="BC63" i="13" s="1"/>
  <c r="AY77" i="10"/>
  <c r="AA21" i="10" s="1"/>
  <c r="BR211" i="10"/>
  <c r="BR77" i="10" s="1"/>
  <c r="BF77" i="10"/>
  <c r="T92" i="12"/>
  <c r="T93" i="12"/>
  <c r="U91" i="12"/>
  <c r="V89" i="12"/>
  <c r="W89" i="12"/>
  <c r="R96" i="12"/>
  <c r="R102" i="12" s="1"/>
  <c r="R27" i="12"/>
  <c r="L129" i="9" s="1"/>
  <c r="AF55" i="3"/>
  <c r="AL30" i="3"/>
  <c r="AL55" i="3" s="1"/>
  <c r="W88" i="12"/>
  <c r="AT76" i="8"/>
  <c r="AT22" i="8" s="1"/>
  <c r="AL64" i="11" s="1"/>
  <c r="AK22" i="8"/>
  <c r="BR210" i="10"/>
  <c r="BR76" i="10" s="1"/>
  <c r="BF76" i="10"/>
  <c r="BL238" i="10"/>
  <c r="BL78" i="10" s="1"/>
  <c r="W90" i="12"/>
  <c r="V90" i="12"/>
  <c r="BF186" i="10"/>
  <c r="BR186" i="10" s="1"/>
  <c r="AY212" i="10"/>
  <c r="S95" i="12"/>
  <c r="T94" i="12"/>
  <c r="R33" i="5"/>
  <c r="EC64" i="11"/>
  <c r="EC57" i="11"/>
  <c r="EC60" i="11"/>
  <c r="EC56" i="11"/>
  <c r="EC61" i="11"/>
  <c r="EC63" i="11"/>
  <c r="EC58" i="11"/>
  <c r="EC62" i="11"/>
  <c r="EC59" i="11"/>
  <c r="DQ64" i="11"/>
  <c r="DQ59" i="11"/>
  <c r="DQ62" i="11"/>
  <c r="DQ61" i="11"/>
  <c r="DQ56" i="11"/>
  <c r="DQ58" i="11"/>
  <c r="DQ60" i="11"/>
  <c r="DQ57" i="11"/>
  <c r="DQ63" i="11"/>
  <c r="DQ65" i="11"/>
  <c r="EO56" i="11"/>
  <c r="EO58" i="11"/>
  <c r="EO63" i="11"/>
  <c r="EO61" i="11"/>
  <c r="EO62" i="11"/>
  <c r="EO59" i="11"/>
  <c r="EO57" i="11"/>
  <c r="EO60" i="11"/>
  <c r="DX58" i="11"/>
  <c r="DX57" i="11"/>
  <c r="DX56" i="11"/>
  <c r="DX65" i="11"/>
  <c r="DX64" i="11"/>
  <c r="DX59" i="11"/>
  <c r="DX60" i="11"/>
  <c r="DX61" i="11"/>
  <c r="DX62" i="11"/>
  <c r="DX63" i="11"/>
  <c r="DC57" i="11"/>
  <c r="DC56" i="11"/>
  <c r="DC59" i="11"/>
  <c r="DC58" i="11"/>
  <c r="DC61" i="11"/>
  <c r="DC60" i="11"/>
  <c r="DC62" i="11"/>
  <c r="CL65" i="11"/>
  <c r="CL63" i="11"/>
  <c r="CL58" i="11"/>
  <c r="CL60" i="11"/>
  <c r="CL59" i="11"/>
  <c r="CL61" i="11"/>
  <c r="CL64" i="11"/>
  <c r="CL56" i="11"/>
  <c r="CL62" i="11"/>
  <c r="CL57" i="11"/>
  <c r="EJ64" i="11"/>
  <c r="EJ62" i="11"/>
  <c r="EJ59" i="11"/>
  <c r="EJ60" i="11"/>
  <c r="EJ57" i="11"/>
  <c r="EJ63" i="11"/>
  <c r="EJ61" i="11"/>
  <c r="EJ58" i="11"/>
  <c r="CQ57" i="11"/>
  <c r="CQ56" i="11"/>
  <c r="CQ61" i="11"/>
  <c r="CQ58" i="11"/>
  <c r="CQ62" i="11"/>
  <c r="CQ63" i="11"/>
  <c r="CQ60" i="11"/>
  <c r="CQ64" i="11"/>
  <c r="CQ59" i="11"/>
  <c r="CX61" i="11"/>
  <c r="CX59" i="11"/>
  <c r="CX60" i="11"/>
  <c r="CX56" i="11"/>
  <c r="CX62" i="11"/>
  <c r="CX57" i="11"/>
  <c r="CX63" i="11"/>
  <c r="CX64" i="11"/>
  <c r="CX58" i="11"/>
  <c r="P241" i="10" l="1"/>
  <c r="P81" i="10" s="1"/>
  <c r="T41" i="20" s="1"/>
  <c r="T68" i="20" s="1"/>
  <c r="E105" i="8"/>
  <c r="N105" i="8" s="1"/>
  <c r="M44" i="1"/>
  <c r="F16" i="1"/>
  <c r="AE64" i="11"/>
  <c r="BQ64" i="11" s="1"/>
  <c r="J124" i="21"/>
  <c r="J150" i="21" s="1"/>
  <c r="N124" i="21"/>
  <c r="N150" i="21" s="1"/>
  <c r="L124" i="21"/>
  <c r="L150" i="21" s="1"/>
  <c r="K124" i="21"/>
  <c r="K150" i="21" s="1"/>
  <c r="O124" i="21"/>
  <c r="O150" i="21" s="1"/>
  <c r="M124" i="21"/>
  <c r="M150" i="21" s="1"/>
  <c r="G66" i="11"/>
  <c r="FC66" i="11" s="1"/>
  <c r="DQ66" i="11" s="1"/>
  <c r="F126" i="21"/>
  <c r="F152" i="21" s="1"/>
  <c r="D126" i="21"/>
  <c r="D152" i="21" s="1"/>
  <c r="G126" i="21"/>
  <c r="G152" i="21" s="1"/>
  <c r="H126" i="21"/>
  <c r="H152" i="21" s="1"/>
  <c r="E126" i="21"/>
  <c r="E152" i="21" s="1"/>
  <c r="I126" i="21"/>
  <c r="I152" i="21" s="1"/>
  <c r="I44" i="1"/>
  <c r="G16" i="1" s="1"/>
  <c r="C189" i="10"/>
  <c r="J189" i="10" s="1"/>
  <c r="V189" i="10" s="1"/>
  <c r="U77" i="12"/>
  <c r="J132" i="9" s="1"/>
  <c r="W148" i="12"/>
  <c r="G36" i="5"/>
  <c r="O36" i="5" s="1"/>
  <c r="E52" i="8"/>
  <c r="N52" i="8" s="1"/>
  <c r="E79" i="8"/>
  <c r="N79" i="8" s="1"/>
  <c r="P43" i="1"/>
  <c r="N43" i="1"/>
  <c r="N44" i="1"/>
  <c r="P44" i="1"/>
  <c r="V79" i="10"/>
  <c r="Z39" i="19" s="1"/>
  <c r="Z66" i="19" s="1"/>
  <c r="C79" i="10"/>
  <c r="C23" i="10" s="1"/>
  <c r="J79" i="10"/>
  <c r="F23" i="10" s="1"/>
  <c r="O22" i="10"/>
  <c r="AE38" i="13"/>
  <c r="AE65" i="13" s="1"/>
  <c r="AE38" i="20"/>
  <c r="AE65" i="20" s="1"/>
  <c r="AE38" i="19"/>
  <c r="AE65" i="19" s="1"/>
  <c r="AE38" i="18"/>
  <c r="AE65" i="18" s="1"/>
  <c r="AT238" i="10"/>
  <c r="AT78" i="10" s="1"/>
  <c r="AH78" i="10"/>
  <c r="T57" i="3"/>
  <c r="Z32" i="3"/>
  <c r="Z57" i="3" s="1"/>
  <c r="N33" i="3"/>
  <c r="N58" i="3" s="1"/>
  <c r="AA188" i="10"/>
  <c r="AN188" i="10"/>
  <c r="AN214" i="10" s="1"/>
  <c r="AN240" i="10" s="1"/>
  <c r="AN80" i="10" s="1"/>
  <c r="AD51" i="8"/>
  <c r="AD24" i="8" s="1"/>
  <c r="Z66" i="11" s="1"/>
  <c r="U24" i="8"/>
  <c r="S66" i="11" s="1"/>
  <c r="U122" i="12"/>
  <c r="T52" i="12"/>
  <c r="K131" i="9" s="1"/>
  <c r="T123" i="12"/>
  <c r="T127" i="12" s="1"/>
  <c r="BE65" i="11"/>
  <c r="FO65" i="11"/>
  <c r="AA239" i="10"/>
  <c r="AH213" i="10"/>
  <c r="AT213" i="10" s="1"/>
  <c r="FV65" i="11"/>
  <c r="BL65" i="11"/>
  <c r="V120" i="12"/>
  <c r="W120" i="12"/>
  <c r="AT187" i="10"/>
  <c r="U121" i="12"/>
  <c r="BC36" i="20"/>
  <c r="BC63" i="20" s="1"/>
  <c r="BC37" i="18"/>
  <c r="BC64" i="18" s="1"/>
  <c r="BC37" i="13"/>
  <c r="BC64" i="13" s="1"/>
  <c r="BC36" i="18"/>
  <c r="BC63" i="18" s="1"/>
  <c r="BC36" i="19"/>
  <c r="BC63" i="19" s="1"/>
  <c r="AA20" i="10"/>
  <c r="BC37" i="20"/>
  <c r="BC64" i="20" s="1"/>
  <c r="BC37" i="19"/>
  <c r="BC64" i="19" s="1"/>
  <c r="C240" i="10"/>
  <c r="J240" i="10" s="1"/>
  <c r="V240" i="10" s="1"/>
  <c r="J214" i="10"/>
  <c r="V214" i="10" s="1"/>
  <c r="V188" i="10"/>
  <c r="T40" i="18"/>
  <c r="T40" i="13"/>
  <c r="J24" i="10"/>
  <c r="T40" i="20"/>
  <c r="T40" i="19"/>
  <c r="AZ66" i="11"/>
  <c r="FJ66" i="11"/>
  <c r="BX64" i="11"/>
  <c r="DJ64" i="11" s="1"/>
  <c r="GH64" i="11"/>
  <c r="EV64" i="11" s="1"/>
  <c r="AJ20" i="10"/>
  <c r="BV36" i="20"/>
  <c r="BV63" i="20" s="1"/>
  <c r="BV36" i="19"/>
  <c r="BV63" i="19" s="1"/>
  <c r="BV36" i="18"/>
  <c r="BV63" i="18" s="1"/>
  <c r="BV36" i="13"/>
  <c r="BV63" i="13" s="1"/>
  <c r="U93" i="12"/>
  <c r="BJ36" i="20"/>
  <c r="BJ63" i="20" s="1"/>
  <c r="BJ36" i="18"/>
  <c r="BJ63" i="18" s="1"/>
  <c r="AD20" i="10"/>
  <c r="AF31" i="3"/>
  <c r="BJ36" i="13"/>
  <c r="BJ63" i="13" s="1"/>
  <c r="BJ36" i="19"/>
  <c r="BJ63" i="19" s="1"/>
  <c r="U94" i="12"/>
  <c r="BV37" i="20"/>
  <c r="BV64" i="20" s="1"/>
  <c r="AJ21" i="10"/>
  <c r="BV37" i="13"/>
  <c r="BV64" i="13" s="1"/>
  <c r="BV37" i="19"/>
  <c r="BV64" i="19" s="1"/>
  <c r="BV37" i="18"/>
  <c r="BV64" i="18" s="1"/>
  <c r="AK103" i="8"/>
  <c r="AT103" i="8" s="1"/>
  <c r="AK50" i="8"/>
  <c r="AT50" i="8" s="1"/>
  <c r="J34" i="5"/>
  <c r="K34" i="5"/>
  <c r="AK77" i="8"/>
  <c r="U92" i="12"/>
  <c r="T95" i="12"/>
  <c r="S96" i="12"/>
  <c r="AY187" i="10"/>
  <c r="BL187" i="10"/>
  <c r="BL213" i="10" s="1"/>
  <c r="W91" i="12"/>
  <c r="V91" i="12"/>
  <c r="AD21" i="10"/>
  <c r="BJ37" i="13"/>
  <c r="BJ64" i="13" s="1"/>
  <c r="BJ37" i="19"/>
  <c r="BJ64" i="19" s="1"/>
  <c r="BJ37" i="20"/>
  <c r="BJ64" i="20" s="1"/>
  <c r="AF32" i="3"/>
  <c r="BJ37" i="18"/>
  <c r="BJ64" i="18" s="1"/>
  <c r="AY238" i="10"/>
  <c r="BF238" i="10" s="1"/>
  <c r="BR238" i="10" s="1"/>
  <c r="BF212" i="10"/>
  <c r="BP38" i="19"/>
  <c r="BP65" i="19" s="1"/>
  <c r="BP38" i="20"/>
  <c r="BP65" i="20" s="1"/>
  <c r="AH22" i="10"/>
  <c r="BP38" i="18"/>
  <c r="BP65" i="18" s="1"/>
  <c r="BP38" i="13"/>
  <c r="BP65" i="13" s="1"/>
  <c r="DJ60" i="11"/>
  <c r="DJ59" i="11"/>
  <c r="DJ57" i="11"/>
  <c r="DJ56" i="11"/>
  <c r="DJ61" i="11"/>
  <c r="DJ58" i="11"/>
  <c r="DJ62" i="11"/>
  <c r="DJ63" i="11"/>
  <c r="CE63" i="11"/>
  <c r="CE60" i="11"/>
  <c r="CE59" i="11"/>
  <c r="CE64" i="11"/>
  <c r="CE57" i="11"/>
  <c r="CE62" i="11"/>
  <c r="CE56" i="11"/>
  <c r="CE65" i="11"/>
  <c r="CE61" i="11"/>
  <c r="CE58" i="11"/>
  <c r="EV59" i="11"/>
  <c r="EV57" i="11"/>
  <c r="EV63" i="11"/>
  <c r="EV62" i="11"/>
  <c r="EV58" i="11"/>
  <c r="EV60" i="11"/>
  <c r="EV61" i="11"/>
  <c r="N25" i="8" l="1"/>
  <c r="N67" i="11" s="1"/>
  <c r="FJ67" i="11" s="1"/>
  <c r="I16" i="1"/>
  <c r="E106" i="8"/>
  <c r="N106" i="8" s="1"/>
  <c r="GA64" i="11"/>
  <c r="EO64" i="11" s="1"/>
  <c r="U149" i="12"/>
  <c r="U152" i="12" s="1"/>
  <c r="C190" i="10" s="1"/>
  <c r="C216" i="10" s="1"/>
  <c r="AS66" i="11"/>
  <c r="CE66" i="11" s="1"/>
  <c r="E25" i="8"/>
  <c r="G67" i="11" s="1"/>
  <c r="J16" i="1"/>
  <c r="C215" i="10"/>
  <c r="C241" i="10" s="1"/>
  <c r="C81" i="10" s="1"/>
  <c r="G37" i="5"/>
  <c r="O37" i="5" s="1"/>
  <c r="F37" i="5"/>
  <c r="N37" i="5" s="1"/>
  <c r="W150" i="12"/>
  <c r="L23" i="10"/>
  <c r="E80" i="8"/>
  <c r="N80" i="8" s="1"/>
  <c r="E53" i="8"/>
  <c r="N53" i="8" s="1"/>
  <c r="V148" i="12"/>
  <c r="G39" i="13"/>
  <c r="G66" i="13" s="1"/>
  <c r="O44" i="1"/>
  <c r="Q44" i="1"/>
  <c r="Q43" i="1"/>
  <c r="O43" i="1"/>
  <c r="Z39" i="20"/>
  <c r="Z66" i="20" s="1"/>
  <c r="Z39" i="13"/>
  <c r="Z66" i="13" s="1"/>
  <c r="Z39" i="18"/>
  <c r="Z66" i="18" s="1"/>
  <c r="T41" i="18"/>
  <c r="T68" i="18" s="1"/>
  <c r="G39" i="20"/>
  <c r="G66" i="20" s="1"/>
  <c r="G39" i="18"/>
  <c r="G66" i="18" s="1"/>
  <c r="H34" i="3"/>
  <c r="N34" i="3" s="1"/>
  <c r="N59" i="3" s="1"/>
  <c r="N39" i="20"/>
  <c r="N66" i="20" s="1"/>
  <c r="N39" i="13"/>
  <c r="N66" i="13" s="1"/>
  <c r="G39" i="19"/>
  <c r="G66" i="19" s="1"/>
  <c r="N39" i="18"/>
  <c r="N66" i="18" s="1"/>
  <c r="J25" i="10"/>
  <c r="T41" i="19"/>
  <c r="T68" i="19" s="1"/>
  <c r="N39" i="19"/>
  <c r="N66" i="19" s="1"/>
  <c r="T41" i="13"/>
  <c r="T68" i="13" s="1"/>
  <c r="AX38" i="19"/>
  <c r="AX65" i="19" s="1"/>
  <c r="X22" i="10"/>
  <c r="AX38" i="13"/>
  <c r="AX65" i="13" s="1"/>
  <c r="AX38" i="20"/>
  <c r="AX65" i="20" s="1"/>
  <c r="AX38" i="18"/>
  <c r="AX65" i="18" s="1"/>
  <c r="C80" i="10"/>
  <c r="J80" i="10"/>
  <c r="N40" i="18" s="1"/>
  <c r="N67" i="18" s="1"/>
  <c r="AH239" i="10"/>
  <c r="AA79" i="10"/>
  <c r="AL38" i="13"/>
  <c r="AL65" i="13" s="1"/>
  <c r="R22" i="10"/>
  <c r="T33" i="3"/>
  <c r="AL38" i="20"/>
  <c r="AL65" i="20" s="1"/>
  <c r="AL38" i="19"/>
  <c r="AL65" i="19" s="1"/>
  <c r="AL38" i="18"/>
  <c r="AL65" i="18" s="1"/>
  <c r="BL66" i="11"/>
  <c r="CX66" i="11" s="1"/>
  <c r="FV66" i="11"/>
  <c r="EJ66" i="11" s="1"/>
  <c r="W121" i="12"/>
  <c r="V121" i="12"/>
  <c r="EJ65" i="11"/>
  <c r="EC65" i="11"/>
  <c r="V122" i="12"/>
  <c r="W122" i="12"/>
  <c r="CQ65" i="11"/>
  <c r="BE66" i="11"/>
  <c r="FO66" i="11"/>
  <c r="EC66" i="11" s="1"/>
  <c r="AA189" i="10"/>
  <c r="AN189" i="10"/>
  <c r="AN215" i="10" s="1"/>
  <c r="AN241" i="10" s="1"/>
  <c r="AN81" i="10" s="1"/>
  <c r="U123" i="12"/>
  <c r="AR40" i="20"/>
  <c r="AR67" i="20" s="1"/>
  <c r="AR40" i="13"/>
  <c r="AR67" i="13" s="1"/>
  <c r="AR40" i="18"/>
  <c r="AR67" i="18" s="1"/>
  <c r="V24" i="10"/>
  <c r="AR40" i="19"/>
  <c r="AR67" i="19" s="1"/>
  <c r="CX65" i="11"/>
  <c r="U52" i="8"/>
  <c r="U105" i="8"/>
  <c r="AD105" i="8" s="1"/>
  <c r="U79" i="8"/>
  <c r="AD79" i="8" s="1"/>
  <c r="I36" i="5"/>
  <c r="Q36" i="5" s="1"/>
  <c r="H36" i="5"/>
  <c r="P36" i="5" s="1"/>
  <c r="AH188" i="10"/>
  <c r="AA214" i="10"/>
  <c r="T67" i="13"/>
  <c r="V80" i="10"/>
  <c r="DX66" i="11"/>
  <c r="T67" i="19"/>
  <c r="T67" i="18"/>
  <c r="CL66" i="11"/>
  <c r="T67" i="20"/>
  <c r="AY78" i="10"/>
  <c r="BC38" i="18" s="1"/>
  <c r="BC65" i="18" s="1"/>
  <c r="AF57" i="3"/>
  <c r="AL32" i="3"/>
  <c r="AL57" i="3" s="1"/>
  <c r="V92" i="12"/>
  <c r="DC64" i="11"/>
  <c r="T96" i="12"/>
  <c r="AT77" i="8"/>
  <c r="AT23" i="8" s="1"/>
  <c r="AL65" i="11" s="1"/>
  <c r="AK23" i="8"/>
  <c r="W94" i="12"/>
  <c r="V94" i="12"/>
  <c r="BL239" i="10"/>
  <c r="BL79" i="10" s="1"/>
  <c r="S97" i="12"/>
  <c r="S102" i="12" s="1"/>
  <c r="S27" i="12"/>
  <c r="L130" i="9" s="1"/>
  <c r="S34" i="5"/>
  <c r="BR212" i="10"/>
  <c r="BR78" i="10" s="1"/>
  <c r="BF78" i="10"/>
  <c r="AY213" i="10"/>
  <c r="BF187" i="10"/>
  <c r="BR187" i="10" s="1"/>
  <c r="U95" i="12"/>
  <c r="R34" i="5"/>
  <c r="V93" i="12"/>
  <c r="W93" i="12"/>
  <c r="AF56" i="3"/>
  <c r="AL31" i="3"/>
  <c r="AL56" i="3" s="1"/>
  <c r="AZ67" i="11" l="1"/>
  <c r="CL67" i="11" s="1"/>
  <c r="J190" i="10"/>
  <c r="V190" i="10" s="1"/>
  <c r="P242" i="10"/>
  <c r="P190" i="10"/>
  <c r="P216" i="10" s="1"/>
  <c r="E26" i="8"/>
  <c r="F128" i="21" s="1"/>
  <c r="G127" i="21"/>
  <c r="G153" i="21" s="1"/>
  <c r="AS67" i="11"/>
  <c r="CE67" i="11" s="1"/>
  <c r="FC67" i="11"/>
  <c r="DQ67" i="11" s="1"/>
  <c r="I127" i="21"/>
  <c r="I153" i="21" s="1"/>
  <c r="D127" i="21"/>
  <c r="D153" i="21" s="1"/>
  <c r="E127" i="21"/>
  <c r="E153" i="21" s="1"/>
  <c r="F127" i="21"/>
  <c r="F153" i="21" s="1"/>
  <c r="H127" i="21"/>
  <c r="H153" i="21" s="1"/>
  <c r="AE65" i="11"/>
  <c r="BQ65" i="11" s="1"/>
  <c r="J125" i="21"/>
  <c r="J151" i="21" s="1"/>
  <c r="N125" i="21"/>
  <c r="N151" i="21" s="1"/>
  <c r="K125" i="21"/>
  <c r="K151" i="21" s="1"/>
  <c r="O125" i="21"/>
  <c r="O151" i="21" s="1"/>
  <c r="L125" i="21"/>
  <c r="L151" i="21" s="1"/>
  <c r="M125" i="21"/>
  <c r="M151" i="21" s="1"/>
  <c r="J241" i="10"/>
  <c r="V241" i="10" s="1"/>
  <c r="J215" i="10"/>
  <c r="V215" i="10" s="1"/>
  <c r="N26" i="8"/>
  <c r="N68" i="11" s="1"/>
  <c r="W149" i="12"/>
  <c r="V150" i="12"/>
  <c r="V77" i="12"/>
  <c r="J133" i="9" s="1"/>
  <c r="V149" i="12"/>
  <c r="H59" i="3"/>
  <c r="H35" i="3"/>
  <c r="H60" i="3" s="1"/>
  <c r="N40" i="13"/>
  <c r="N67" i="13" s="1"/>
  <c r="F24" i="10"/>
  <c r="N40" i="20"/>
  <c r="N67" i="20" s="1"/>
  <c r="N40" i="19"/>
  <c r="N67" i="19" s="1"/>
  <c r="Z33" i="3"/>
  <c r="Z58" i="3" s="1"/>
  <c r="T58" i="3"/>
  <c r="G40" i="19"/>
  <c r="G67" i="19" s="1"/>
  <c r="G40" i="18"/>
  <c r="G67" i="18" s="1"/>
  <c r="C24" i="10"/>
  <c r="G40" i="20"/>
  <c r="G67" i="20" s="1"/>
  <c r="G40" i="13"/>
  <c r="G67" i="13" s="1"/>
  <c r="AE39" i="20"/>
  <c r="AE66" i="20" s="1"/>
  <c r="O23" i="10"/>
  <c r="AE39" i="19"/>
  <c r="AE66" i="19" s="1"/>
  <c r="AE39" i="18"/>
  <c r="AE66" i="18" s="1"/>
  <c r="AE39" i="13"/>
  <c r="AE66" i="13" s="1"/>
  <c r="AT239" i="10"/>
  <c r="AT79" i="10" s="1"/>
  <c r="AX39" i="18" s="1"/>
  <c r="AX66" i="18" s="1"/>
  <c r="AH79" i="10"/>
  <c r="CQ66" i="11"/>
  <c r="V123" i="12"/>
  <c r="AA240" i="10"/>
  <c r="AH214" i="10"/>
  <c r="AT214" i="10" s="1"/>
  <c r="AD52" i="8"/>
  <c r="AD25" i="8" s="1"/>
  <c r="Z67" i="11" s="1"/>
  <c r="U25" i="8"/>
  <c r="S67" i="11" s="1"/>
  <c r="AT188" i="10"/>
  <c r="U52" i="12"/>
  <c r="K132" i="9" s="1"/>
  <c r="U124" i="12"/>
  <c r="U127" i="12" s="1"/>
  <c r="AR41" i="13"/>
  <c r="AR68" i="13" s="1"/>
  <c r="AR41" i="18"/>
  <c r="AR68" i="18" s="1"/>
  <c r="AR41" i="20"/>
  <c r="AR68" i="20" s="1"/>
  <c r="V25" i="10"/>
  <c r="AR41" i="19"/>
  <c r="AR68" i="19" s="1"/>
  <c r="AA215" i="10"/>
  <c r="AH189" i="10"/>
  <c r="BC38" i="19"/>
  <c r="BC65" i="19" s="1"/>
  <c r="BC38" i="20"/>
  <c r="BC65" i="20" s="1"/>
  <c r="AA22" i="10"/>
  <c r="C25" i="10"/>
  <c r="G41" i="20"/>
  <c r="G41" i="18"/>
  <c r="G41" i="13"/>
  <c r="G41" i="19"/>
  <c r="DX67" i="11"/>
  <c r="L24" i="10"/>
  <c r="Z40" i="18"/>
  <c r="Z40" i="13"/>
  <c r="Z40" i="20"/>
  <c r="Z40" i="19"/>
  <c r="BC38" i="13"/>
  <c r="BC65" i="13" s="1"/>
  <c r="J216" i="10"/>
  <c r="V216" i="10" s="1"/>
  <c r="C242" i="10"/>
  <c r="J242" i="10" s="1"/>
  <c r="V242" i="10" s="1"/>
  <c r="BV38" i="18"/>
  <c r="BV65" i="18" s="1"/>
  <c r="BV38" i="20"/>
  <c r="BV65" i="20" s="1"/>
  <c r="BV38" i="13"/>
  <c r="BV65" i="13" s="1"/>
  <c r="AJ22" i="10"/>
  <c r="BV38" i="19"/>
  <c r="BV65" i="19" s="1"/>
  <c r="T97" i="12"/>
  <c r="W95" i="12"/>
  <c r="V95" i="12"/>
  <c r="AY188" i="10"/>
  <c r="BL188" i="10"/>
  <c r="BL214" i="10" s="1"/>
  <c r="U96" i="12"/>
  <c r="BP39" i="18"/>
  <c r="BP39" i="13"/>
  <c r="AH23" i="10"/>
  <c r="BP39" i="19"/>
  <c r="BP39" i="20"/>
  <c r="W92" i="12"/>
  <c r="AY239" i="10"/>
  <c r="BF239" i="10" s="1"/>
  <c r="BR239" i="10" s="1"/>
  <c r="BF213" i="10"/>
  <c r="BX65" i="11"/>
  <c r="GH65" i="11"/>
  <c r="BJ38" i="13"/>
  <c r="BJ65" i="13" s="1"/>
  <c r="AF33" i="3"/>
  <c r="BJ38" i="20"/>
  <c r="BJ65" i="20" s="1"/>
  <c r="BJ38" i="18"/>
  <c r="BJ65" i="18" s="1"/>
  <c r="BJ38" i="19"/>
  <c r="BJ65" i="19" s="1"/>
  <c r="AD22" i="10"/>
  <c r="AK78" i="8"/>
  <c r="AK51" i="8"/>
  <c r="AT51" i="8" s="1"/>
  <c r="AK104" i="8"/>
  <c r="AT104" i="8" s="1"/>
  <c r="K35" i="5"/>
  <c r="J35" i="5"/>
  <c r="G68" i="11" l="1"/>
  <c r="AS68" i="11" s="1"/>
  <c r="P82" i="10"/>
  <c r="T42" i="18" s="1"/>
  <c r="T69" i="18" s="1"/>
  <c r="E107" i="8"/>
  <c r="N107" i="8" s="1"/>
  <c r="E128" i="21"/>
  <c r="E154" i="21" s="1"/>
  <c r="D128" i="21"/>
  <c r="D154" i="21" s="1"/>
  <c r="G128" i="21"/>
  <c r="G154" i="21" s="1"/>
  <c r="H128" i="21"/>
  <c r="H154" i="21" s="1"/>
  <c r="I128" i="21"/>
  <c r="I154" i="21" s="1"/>
  <c r="F154" i="21"/>
  <c r="GA65" i="11"/>
  <c r="EO65" i="11" s="1"/>
  <c r="V81" i="10"/>
  <c r="Z41" i="13" s="1"/>
  <c r="Z68" i="13" s="1"/>
  <c r="J81" i="10"/>
  <c r="N41" i="18" s="1"/>
  <c r="N68" i="18" s="1"/>
  <c r="G38" i="5"/>
  <c r="O38" i="5" s="1"/>
  <c r="W151" i="12"/>
  <c r="W152" i="12" s="1"/>
  <c r="P192" i="10" s="1"/>
  <c r="P218" i="10" s="1"/>
  <c r="V152" i="12"/>
  <c r="P243" i="10" s="1"/>
  <c r="E54" i="8"/>
  <c r="N54" i="8" s="1"/>
  <c r="E81" i="8"/>
  <c r="N81" i="8" s="1"/>
  <c r="F38" i="5"/>
  <c r="N38" i="5" s="1"/>
  <c r="N35" i="3"/>
  <c r="N60" i="3" s="1"/>
  <c r="AX39" i="13"/>
  <c r="AX66" i="13" s="1"/>
  <c r="AX39" i="20"/>
  <c r="AX66" i="20" s="1"/>
  <c r="AX39" i="19"/>
  <c r="AX66" i="19" s="1"/>
  <c r="X23" i="10"/>
  <c r="C82" i="10"/>
  <c r="AL39" i="20"/>
  <c r="AL66" i="20" s="1"/>
  <c r="AL39" i="18"/>
  <c r="AL66" i="18" s="1"/>
  <c r="R23" i="10"/>
  <c r="AL39" i="13"/>
  <c r="AL66" i="13" s="1"/>
  <c r="AL39" i="19"/>
  <c r="AL66" i="19" s="1"/>
  <c r="T34" i="3"/>
  <c r="AH240" i="10"/>
  <c r="AA80" i="10"/>
  <c r="BL67" i="11"/>
  <c r="CX67" i="11" s="1"/>
  <c r="FV67" i="11"/>
  <c r="EJ67" i="11" s="1"/>
  <c r="V124" i="12"/>
  <c r="W124" i="12"/>
  <c r="AH215" i="10"/>
  <c r="AT215" i="10" s="1"/>
  <c r="AA241" i="10"/>
  <c r="I37" i="5"/>
  <c r="Q37" i="5" s="1"/>
  <c r="U106" i="8"/>
  <c r="AD106" i="8" s="1"/>
  <c r="H37" i="5"/>
  <c r="P37" i="5" s="1"/>
  <c r="U80" i="8"/>
  <c r="AD80" i="8" s="1"/>
  <c r="U53" i="8"/>
  <c r="AA190" i="10"/>
  <c r="AN190" i="10"/>
  <c r="AN216" i="10" s="1"/>
  <c r="AN242" i="10" s="1"/>
  <c r="AN82" i="10" s="1"/>
  <c r="W123" i="12"/>
  <c r="AT189" i="10"/>
  <c r="FO67" i="11"/>
  <c r="EC67" i="11" s="1"/>
  <c r="BE67" i="11"/>
  <c r="CQ67" i="11" s="1"/>
  <c r="V82" i="10"/>
  <c r="Z42" i="18" s="1"/>
  <c r="Z69" i="18" s="1"/>
  <c r="J82" i="10"/>
  <c r="N42" i="19" s="1"/>
  <c r="G68" i="13"/>
  <c r="Z67" i="19"/>
  <c r="G68" i="18"/>
  <c r="Z67" i="20"/>
  <c r="G68" i="20"/>
  <c r="Z67" i="13"/>
  <c r="FJ68" i="11"/>
  <c r="AZ68" i="11"/>
  <c r="Z67" i="18"/>
  <c r="G68" i="19"/>
  <c r="AY79" i="10"/>
  <c r="BC39" i="13" s="1"/>
  <c r="BC66" i="13" s="1"/>
  <c r="R35" i="5"/>
  <c r="DJ65" i="11"/>
  <c r="BR213" i="10"/>
  <c r="BR79" i="10" s="1"/>
  <c r="BF79" i="10"/>
  <c r="BP66" i="20"/>
  <c r="S35" i="5"/>
  <c r="BP66" i="19"/>
  <c r="DC65" i="11"/>
  <c r="V96" i="12"/>
  <c r="AL33" i="3"/>
  <c r="AL58" i="3" s="1"/>
  <c r="AF58" i="3"/>
  <c r="BP66" i="13"/>
  <c r="BL240" i="10"/>
  <c r="BL80" i="10" s="1"/>
  <c r="U97" i="12"/>
  <c r="AT78" i="8"/>
  <c r="AT24" i="8" s="1"/>
  <c r="AK24" i="8"/>
  <c r="T27" i="12"/>
  <c r="L131" i="9" s="1"/>
  <c r="T98" i="12"/>
  <c r="T102" i="12" s="1"/>
  <c r="BP66" i="18"/>
  <c r="BF188" i="10"/>
  <c r="BR188" i="10" s="1"/>
  <c r="AY214" i="10"/>
  <c r="EV65" i="11"/>
  <c r="FC68" i="11" l="1"/>
  <c r="DQ68" i="11" s="1"/>
  <c r="T42" i="20"/>
  <c r="T69" i="20" s="1"/>
  <c r="J26" i="10"/>
  <c r="T42" i="19"/>
  <c r="T69" i="19" s="1"/>
  <c r="T42" i="13"/>
  <c r="T69" i="13" s="1"/>
  <c r="N27" i="8"/>
  <c r="N69" i="11" s="1"/>
  <c r="FJ69" i="11" s="1"/>
  <c r="DX69" i="11" s="1"/>
  <c r="J126" i="21"/>
  <c r="J152" i="21" s="1"/>
  <c r="N126" i="21"/>
  <c r="N152" i="21" s="1"/>
  <c r="K126" i="21"/>
  <c r="K152" i="21" s="1"/>
  <c r="O126" i="21"/>
  <c r="O152" i="21" s="1"/>
  <c r="L126" i="21"/>
  <c r="L152" i="21" s="1"/>
  <c r="M126" i="21"/>
  <c r="M152" i="21" s="1"/>
  <c r="L25" i="10"/>
  <c r="N41" i="19"/>
  <c r="N68" i="19" s="1"/>
  <c r="Z41" i="20"/>
  <c r="Z68" i="20" s="1"/>
  <c r="Z41" i="19"/>
  <c r="Z68" i="19" s="1"/>
  <c r="Z41" i="18"/>
  <c r="Z68" i="18" s="1"/>
  <c r="N41" i="20"/>
  <c r="N68" i="20" s="1"/>
  <c r="N41" i="13"/>
  <c r="N68" i="13" s="1"/>
  <c r="H36" i="3"/>
  <c r="N36" i="3" s="1"/>
  <c r="N61" i="3" s="1"/>
  <c r="F25" i="10"/>
  <c r="W77" i="12"/>
  <c r="J134" i="9" s="1"/>
  <c r="P244" i="10"/>
  <c r="P84" i="10" s="1"/>
  <c r="P191" i="10"/>
  <c r="P217" i="10" s="1"/>
  <c r="P83" i="10" s="1"/>
  <c r="T43" i="20" s="1"/>
  <c r="T70" i="20" s="1"/>
  <c r="C192" i="10"/>
  <c r="C218" i="10" s="1"/>
  <c r="C244" i="10" s="1"/>
  <c r="J244" i="10" s="1"/>
  <c r="V244" i="10" s="1"/>
  <c r="C191" i="10"/>
  <c r="C217" i="10" s="1"/>
  <c r="E27" i="8"/>
  <c r="AE40" i="13"/>
  <c r="AE67" i="13" s="1"/>
  <c r="AE40" i="20"/>
  <c r="AE67" i="20" s="1"/>
  <c r="AE40" i="19"/>
  <c r="AE67" i="19" s="1"/>
  <c r="O24" i="10"/>
  <c r="AE40" i="18"/>
  <c r="AE67" i="18" s="1"/>
  <c r="AT240" i="10"/>
  <c r="AT80" i="10" s="1"/>
  <c r="AX40" i="20" s="1"/>
  <c r="AX67" i="20" s="1"/>
  <c r="AH80" i="10"/>
  <c r="AH241" i="10"/>
  <c r="AA81" i="10"/>
  <c r="Z34" i="3"/>
  <c r="Z59" i="3" s="1"/>
  <c r="T59" i="3"/>
  <c r="G42" i="20"/>
  <c r="G69" i="20" s="1"/>
  <c r="G42" i="13"/>
  <c r="G69" i="13" s="1"/>
  <c r="G42" i="19"/>
  <c r="G69" i="19" s="1"/>
  <c r="G42" i="18"/>
  <c r="G69" i="18" s="1"/>
  <c r="C26" i="10"/>
  <c r="N42" i="18"/>
  <c r="N69" i="18" s="1"/>
  <c r="N42" i="20"/>
  <c r="N69" i="20" s="1"/>
  <c r="F26" i="10"/>
  <c r="AR42" i="20"/>
  <c r="AR69" i="20" s="1"/>
  <c r="AR42" i="18"/>
  <c r="AR69" i="18" s="1"/>
  <c r="V26" i="10"/>
  <c r="AR42" i="19"/>
  <c r="AR69" i="19" s="1"/>
  <c r="AR42" i="13"/>
  <c r="AR69" i="13" s="1"/>
  <c r="AA216" i="10"/>
  <c r="AH190" i="10"/>
  <c r="N42" i="13"/>
  <c r="N69" i="13" s="1"/>
  <c r="AD53" i="8"/>
  <c r="AD26" i="8" s="1"/>
  <c r="Z68" i="11" s="1"/>
  <c r="U26" i="8"/>
  <c r="S68" i="11" s="1"/>
  <c r="H37" i="3"/>
  <c r="N37" i="3" s="1"/>
  <c r="N62" i="3" s="1"/>
  <c r="V125" i="12"/>
  <c r="V127" i="12" s="1"/>
  <c r="V52" i="12"/>
  <c r="K133" i="9" s="1"/>
  <c r="Z42" i="19"/>
  <c r="Z69" i="19" s="1"/>
  <c r="Z42" i="20"/>
  <c r="Z69" i="20" s="1"/>
  <c r="L26" i="10"/>
  <c r="Z42" i="13"/>
  <c r="Z69" i="13" s="1"/>
  <c r="BC39" i="18"/>
  <c r="BC66" i="18" s="1"/>
  <c r="BC39" i="19"/>
  <c r="BC66" i="19" s="1"/>
  <c r="N69" i="19"/>
  <c r="BC39" i="20"/>
  <c r="BC66" i="20" s="1"/>
  <c r="CL68" i="11"/>
  <c r="AA23" i="10"/>
  <c r="DX68" i="11"/>
  <c r="CE68" i="11"/>
  <c r="AY240" i="10"/>
  <c r="BF240" i="10" s="1"/>
  <c r="BR240" i="10" s="1"/>
  <c r="BF214" i="10"/>
  <c r="AK52" i="8"/>
  <c r="AT52" i="8" s="1"/>
  <c r="AK79" i="8"/>
  <c r="J36" i="5"/>
  <c r="K36" i="5"/>
  <c r="AK105" i="8"/>
  <c r="AT105" i="8" s="1"/>
  <c r="AL66" i="11"/>
  <c r="AE66" i="11"/>
  <c r="BJ39" i="13"/>
  <c r="BJ66" i="13" s="1"/>
  <c r="BJ39" i="18"/>
  <c r="BJ66" i="18" s="1"/>
  <c r="AD23" i="10"/>
  <c r="AF34" i="3"/>
  <c r="BJ39" i="19"/>
  <c r="BJ66" i="19" s="1"/>
  <c r="BJ39" i="20"/>
  <c r="BJ66" i="20" s="1"/>
  <c r="V97" i="12"/>
  <c r="W97" i="12"/>
  <c r="BV39" i="19"/>
  <c r="BV66" i="19" s="1"/>
  <c r="AJ23" i="10"/>
  <c r="BV39" i="13"/>
  <c r="BV66" i="13" s="1"/>
  <c r="BV39" i="20"/>
  <c r="BV66" i="20" s="1"/>
  <c r="BV39" i="18"/>
  <c r="BV66" i="18" s="1"/>
  <c r="U98" i="12"/>
  <c r="BL189" i="10"/>
  <c r="BL215" i="10" s="1"/>
  <c r="AY189" i="10"/>
  <c r="AH24" i="10"/>
  <c r="BP40" i="19"/>
  <c r="BP40" i="20"/>
  <c r="BP40" i="18"/>
  <c r="BP40" i="13"/>
  <c r="W96" i="12"/>
  <c r="AZ69" i="11" l="1"/>
  <c r="CL69" i="11" s="1"/>
  <c r="G39" i="5"/>
  <c r="O39" i="5" s="1"/>
  <c r="O98" i="5" s="1"/>
  <c r="E39" i="1" s="1"/>
  <c r="G69" i="11"/>
  <c r="FC69" i="11" s="1"/>
  <c r="DQ69" i="11" s="1"/>
  <c r="F129" i="21"/>
  <c r="F155" i="21" s="1"/>
  <c r="D129" i="21"/>
  <c r="D155" i="21" s="1"/>
  <c r="G129" i="21"/>
  <c r="G155" i="21" s="1"/>
  <c r="H129" i="21"/>
  <c r="H155" i="21" s="1"/>
  <c r="E129" i="21"/>
  <c r="E155" i="21" s="1"/>
  <c r="I129" i="21"/>
  <c r="I155" i="21" s="1"/>
  <c r="E82" i="8"/>
  <c r="N82" i="8" s="1"/>
  <c r="H61" i="3"/>
  <c r="J218" i="10"/>
  <c r="V218" i="10" s="1"/>
  <c r="E55" i="8"/>
  <c r="N55" i="8" s="1"/>
  <c r="F39" i="5"/>
  <c r="F40" i="5" s="1"/>
  <c r="E108" i="8"/>
  <c r="N108" i="8" s="1"/>
  <c r="J191" i="10"/>
  <c r="V191" i="10" s="1"/>
  <c r="T43" i="19"/>
  <c r="T70" i="19" s="1"/>
  <c r="T43" i="13"/>
  <c r="T70" i="13" s="1"/>
  <c r="P85" i="10"/>
  <c r="J192" i="10"/>
  <c r="V192" i="10" s="1"/>
  <c r="J27" i="10"/>
  <c r="T43" i="18"/>
  <c r="T70" i="18" s="1"/>
  <c r="J217" i="10"/>
  <c r="V217" i="10" s="1"/>
  <c r="C243" i="10"/>
  <c r="T44" i="20"/>
  <c r="T71" i="20" s="1"/>
  <c r="T73" i="20" s="1"/>
  <c r="T44" i="18"/>
  <c r="T71" i="18" s="1"/>
  <c r="J28" i="10"/>
  <c r="T44" i="13"/>
  <c r="T71" i="13" s="1"/>
  <c r="T44" i="19"/>
  <c r="T71" i="19" s="1"/>
  <c r="P86" i="10"/>
  <c r="AY80" i="10"/>
  <c r="BC40" i="13" s="1"/>
  <c r="AX40" i="13"/>
  <c r="AX67" i="13" s="1"/>
  <c r="X24" i="10"/>
  <c r="C84" i="10"/>
  <c r="AX40" i="19"/>
  <c r="AX67" i="19" s="1"/>
  <c r="AE41" i="20"/>
  <c r="AE68" i="20" s="1"/>
  <c r="AE41" i="13"/>
  <c r="AE68" i="13" s="1"/>
  <c r="O25" i="10"/>
  <c r="AE41" i="19"/>
  <c r="AE68" i="19" s="1"/>
  <c r="AE41" i="18"/>
  <c r="AE68" i="18" s="1"/>
  <c r="AT241" i="10"/>
  <c r="AT81" i="10" s="1"/>
  <c r="AX41" i="13" s="1"/>
  <c r="AX68" i="13" s="1"/>
  <c r="AH81" i="10"/>
  <c r="AX40" i="18"/>
  <c r="AX67" i="18" s="1"/>
  <c r="AL40" i="18"/>
  <c r="AL67" i="18" s="1"/>
  <c r="AL40" i="20"/>
  <c r="AL67" i="20" s="1"/>
  <c r="AL40" i="19"/>
  <c r="AL67" i="19" s="1"/>
  <c r="AL40" i="13"/>
  <c r="AL67" i="13" s="1"/>
  <c r="R24" i="10"/>
  <c r="T35" i="3"/>
  <c r="H62" i="3"/>
  <c r="FO68" i="11"/>
  <c r="BE68" i="11"/>
  <c r="AA242" i="10"/>
  <c r="AH216" i="10"/>
  <c r="AT216" i="10" s="1"/>
  <c r="U107" i="8"/>
  <c r="AD107" i="8" s="1"/>
  <c r="H38" i="5"/>
  <c r="U54" i="8"/>
  <c r="U81" i="8"/>
  <c r="AD81" i="8" s="1"/>
  <c r="I38" i="5"/>
  <c r="FV68" i="11"/>
  <c r="BL68" i="11"/>
  <c r="AN191" i="10"/>
  <c r="AN217" i="10" s="1"/>
  <c r="AN243" i="10" s="1"/>
  <c r="AN83" i="10" s="1"/>
  <c r="AA191" i="10"/>
  <c r="W125" i="12"/>
  <c r="AT190" i="10"/>
  <c r="BP67" i="20"/>
  <c r="BP67" i="19"/>
  <c r="GA66" i="11"/>
  <c r="BQ66" i="11"/>
  <c r="AT79" i="8"/>
  <c r="AT25" i="8" s="1"/>
  <c r="AK25" i="8"/>
  <c r="AY215" i="10"/>
  <c r="BF189" i="10"/>
  <c r="BR189" i="10" s="1"/>
  <c r="U99" i="12"/>
  <c r="U102" i="12" s="1"/>
  <c r="U27" i="12"/>
  <c r="L132" i="9" s="1"/>
  <c r="GH66" i="11"/>
  <c r="BX66" i="11"/>
  <c r="BP67" i="13"/>
  <c r="BL241" i="10"/>
  <c r="BL81" i="10" s="1"/>
  <c r="V98" i="12"/>
  <c r="AL34" i="3"/>
  <c r="AL59" i="3" s="1"/>
  <c r="AF59" i="3"/>
  <c r="BR214" i="10"/>
  <c r="BR80" i="10" s="1"/>
  <c r="BF80" i="10"/>
  <c r="BP67" i="18"/>
  <c r="S36" i="5"/>
  <c r="V84" i="10" l="1"/>
  <c r="Z44" i="13" s="1"/>
  <c r="Z71" i="13" s="1"/>
  <c r="J84" i="10"/>
  <c r="F28" i="10" s="1"/>
  <c r="G40" i="5"/>
  <c r="O97" i="5"/>
  <c r="E40" i="1" s="1"/>
  <c r="AS69" i="11"/>
  <c r="CE69" i="11" s="1"/>
  <c r="N39" i="5"/>
  <c r="N98" i="5" s="1"/>
  <c r="D39" i="1" s="1"/>
  <c r="N28" i="8"/>
  <c r="J127" i="21"/>
  <c r="J153" i="21" s="1"/>
  <c r="N127" i="21"/>
  <c r="N153" i="21" s="1"/>
  <c r="L127" i="21"/>
  <c r="L153" i="21" s="1"/>
  <c r="K127" i="21"/>
  <c r="K153" i="21" s="1"/>
  <c r="O127" i="21"/>
  <c r="O153" i="21" s="1"/>
  <c r="M127" i="21"/>
  <c r="M153" i="21" s="1"/>
  <c r="E28" i="8"/>
  <c r="G70" i="11" s="1"/>
  <c r="T73" i="19"/>
  <c r="T45" i="18"/>
  <c r="T45" i="20"/>
  <c r="T72" i="20"/>
  <c r="T72" i="19"/>
  <c r="J29" i="10"/>
  <c r="T72" i="18"/>
  <c r="T73" i="18"/>
  <c r="T45" i="19"/>
  <c r="J243" i="10"/>
  <c r="C83" i="10"/>
  <c r="C85" i="10" s="1"/>
  <c r="J30" i="10"/>
  <c r="BC40" i="18"/>
  <c r="BC67" i="18" s="1"/>
  <c r="T45" i="13"/>
  <c r="BC40" i="19"/>
  <c r="BC67" i="19" s="1"/>
  <c r="AA24" i="10"/>
  <c r="BC40" i="20"/>
  <c r="BC67" i="20" s="1"/>
  <c r="AX41" i="18"/>
  <c r="AX68" i="18" s="1"/>
  <c r="AX41" i="20"/>
  <c r="AX68" i="20" s="1"/>
  <c r="Z35" i="3"/>
  <c r="Z60" i="3" s="1"/>
  <c r="T60" i="3"/>
  <c r="AL41" i="18"/>
  <c r="AL68" i="18" s="1"/>
  <c r="AL41" i="19"/>
  <c r="AL68" i="19" s="1"/>
  <c r="R25" i="10"/>
  <c r="AL41" i="20"/>
  <c r="AL68" i="20" s="1"/>
  <c r="AL41" i="13"/>
  <c r="AL68" i="13" s="1"/>
  <c r="T36" i="3"/>
  <c r="AX41" i="19"/>
  <c r="AX68" i="19" s="1"/>
  <c r="X25" i="10"/>
  <c r="AH242" i="10"/>
  <c r="AA82" i="10"/>
  <c r="G44" i="18"/>
  <c r="G44" i="20"/>
  <c r="G44" i="19"/>
  <c r="G44" i="13"/>
  <c r="C28" i="10"/>
  <c r="AR43" i="19"/>
  <c r="V27" i="10"/>
  <c r="AR43" i="20"/>
  <c r="AR43" i="13"/>
  <c r="AR43" i="18"/>
  <c r="P38" i="5"/>
  <c r="EJ68" i="11"/>
  <c r="CX68" i="11"/>
  <c r="W52" i="12"/>
  <c r="K134" i="9" s="1"/>
  <c r="W126" i="12"/>
  <c r="W127" i="12" s="1"/>
  <c r="Q38" i="5"/>
  <c r="CQ68" i="11"/>
  <c r="AH191" i="10"/>
  <c r="AA217" i="10"/>
  <c r="AD54" i="8"/>
  <c r="AD27" i="8" s="1"/>
  <c r="U27" i="8"/>
  <c r="EC68" i="11"/>
  <c r="T73" i="13"/>
  <c r="T72" i="13"/>
  <c r="EV66" i="11"/>
  <c r="J37" i="5"/>
  <c r="AK106" i="8"/>
  <c r="AT106" i="8" s="1"/>
  <c r="K37" i="5"/>
  <c r="AK53" i="8"/>
  <c r="AT53" i="8" s="1"/>
  <c r="AK80" i="8"/>
  <c r="AE67" i="11"/>
  <c r="V100" i="12"/>
  <c r="V27" i="12"/>
  <c r="L133" i="9" s="1"/>
  <c r="W100" i="12"/>
  <c r="BC67" i="13"/>
  <c r="W99" i="12"/>
  <c r="V99" i="12"/>
  <c r="AJ24" i="10"/>
  <c r="BV40" i="20"/>
  <c r="BV40" i="18"/>
  <c r="BV40" i="19"/>
  <c r="BV40" i="13"/>
  <c r="BJ40" i="20"/>
  <c r="AF35" i="3"/>
  <c r="BJ40" i="18"/>
  <c r="BJ40" i="19"/>
  <c r="BJ40" i="13"/>
  <c r="AD24" i="10"/>
  <c r="W98" i="12"/>
  <c r="BL190" i="10"/>
  <c r="BL216" i="10" s="1"/>
  <c r="AY190" i="10"/>
  <c r="DC66" i="11"/>
  <c r="AL67" i="11"/>
  <c r="AH25" i="10"/>
  <c r="BP41" i="13"/>
  <c r="BP41" i="19"/>
  <c r="BP41" i="20"/>
  <c r="BP41" i="18"/>
  <c r="DJ66" i="11"/>
  <c r="AY241" i="10"/>
  <c r="BF241" i="10" s="1"/>
  <c r="BR241" i="10" s="1"/>
  <c r="BF215" i="10"/>
  <c r="EO66" i="11"/>
  <c r="Z44" i="18" l="1"/>
  <c r="Z71" i="18" s="1"/>
  <c r="Z44" i="20"/>
  <c r="Z71" i="20" s="1"/>
  <c r="Z44" i="19"/>
  <c r="Z71" i="19" s="1"/>
  <c r="L28" i="10"/>
  <c r="G71" i="19"/>
  <c r="N44" i="18"/>
  <c r="N71" i="18" s="1"/>
  <c r="H39" i="3"/>
  <c r="H64" i="3" s="1"/>
  <c r="N44" i="20"/>
  <c r="N71" i="20" s="1"/>
  <c r="N44" i="19"/>
  <c r="N71" i="19" s="1"/>
  <c r="N44" i="13"/>
  <c r="N71" i="13" s="1"/>
  <c r="C86" i="10"/>
  <c r="N97" i="5"/>
  <c r="D40" i="1" s="1"/>
  <c r="E25" i="1" s="1"/>
  <c r="N29" i="8"/>
  <c r="N70" i="11"/>
  <c r="E29" i="8"/>
  <c r="F130" i="21"/>
  <c r="F156" i="21" s="1"/>
  <c r="H130" i="21"/>
  <c r="H156" i="21" s="1"/>
  <c r="G130" i="21"/>
  <c r="G156" i="21" s="1"/>
  <c r="D130" i="21"/>
  <c r="D156" i="21" s="1"/>
  <c r="E130" i="21"/>
  <c r="E156" i="21" s="1"/>
  <c r="I130" i="21"/>
  <c r="I156" i="21" s="1"/>
  <c r="C27" i="10"/>
  <c r="C29" i="10" s="1"/>
  <c r="G43" i="19"/>
  <c r="G70" i="19" s="1"/>
  <c r="G43" i="20"/>
  <c r="G70" i="20" s="1"/>
  <c r="G43" i="13"/>
  <c r="G70" i="13" s="1"/>
  <c r="G43" i="18"/>
  <c r="G70" i="18" s="1"/>
  <c r="V243" i="10"/>
  <c r="V83" i="10" s="1"/>
  <c r="J83" i="10"/>
  <c r="AS70" i="11"/>
  <c r="FC70" i="11"/>
  <c r="G71" i="11"/>
  <c r="G71" i="20"/>
  <c r="G71" i="13"/>
  <c r="AT242" i="10"/>
  <c r="AT82" i="10" s="1"/>
  <c r="X26" i="10" s="1"/>
  <c r="AH82" i="10"/>
  <c r="G71" i="18"/>
  <c r="T61" i="3"/>
  <c r="Z36" i="3"/>
  <c r="Z61" i="3" s="1"/>
  <c r="AE42" i="18"/>
  <c r="AE69" i="18" s="1"/>
  <c r="O26" i="10"/>
  <c r="AE42" i="13"/>
  <c r="AE69" i="13" s="1"/>
  <c r="AE42" i="19"/>
  <c r="AE69" i="19" s="1"/>
  <c r="AE42" i="20"/>
  <c r="AE69" i="20" s="1"/>
  <c r="S69" i="11"/>
  <c r="AR70" i="18"/>
  <c r="Z69" i="11"/>
  <c r="AN192" i="10"/>
  <c r="AN218" i="10" s="1"/>
  <c r="AN244" i="10" s="1"/>
  <c r="AN84" i="10" s="1"/>
  <c r="AA192" i="10"/>
  <c r="AR70" i="13"/>
  <c r="U108" i="8"/>
  <c r="AD108" i="8" s="1"/>
  <c r="H39" i="5"/>
  <c r="I39" i="5"/>
  <c r="U82" i="8"/>
  <c r="AD82" i="8" s="1"/>
  <c r="U55" i="8"/>
  <c r="AR70" i="20"/>
  <c r="AH217" i="10"/>
  <c r="AT217" i="10" s="1"/>
  <c r="AA243" i="10"/>
  <c r="AT191" i="10"/>
  <c r="AR70" i="19"/>
  <c r="AY81" i="10"/>
  <c r="BC41" i="19" s="1"/>
  <c r="W101" i="12"/>
  <c r="W102" i="12" s="1"/>
  <c r="V102" i="12"/>
  <c r="BL191" i="10" s="1"/>
  <c r="BL217" i="10" s="1"/>
  <c r="BL242" i="10"/>
  <c r="BL82" i="10" s="1"/>
  <c r="BJ67" i="20"/>
  <c r="BV67" i="20"/>
  <c r="R37" i="5"/>
  <c r="BP68" i="18"/>
  <c r="BX67" i="11"/>
  <c r="GH67" i="11"/>
  <c r="BJ67" i="13"/>
  <c r="GA67" i="11"/>
  <c r="BQ67" i="11"/>
  <c r="BR215" i="10"/>
  <c r="BR81" i="10" s="1"/>
  <c r="BF81" i="10"/>
  <c r="BP68" i="20"/>
  <c r="BJ67" i="19"/>
  <c r="BV67" i="13"/>
  <c r="J38" i="5"/>
  <c r="AK81" i="8"/>
  <c r="AK54" i="8"/>
  <c r="AT54" i="8" s="1"/>
  <c r="K38" i="5"/>
  <c r="S38" i="5" s="1"/>
  <c r="AK107" i="8"/>
  <c r="AT107" i="8" s="1"/>
  <c r="AT80" i="8"/>
  <c r="AT26" i="8" s="1"/>
  <c r="AK26" i="8"/>
  <c r="BP68" i="19"/>
  <c r="BJ67" i="18"/>
  <c r="BV67" i="19"/>
  <c r="BP68" i="13"/>
  <c r="BF190" i="10"/>
  <c r="BR190" i="10" s="1"/>
  <c r="AY216" i="10"/>
  <c r="AF60" i="3"/>
  <c r="AL35" i="3"/>
  <c r="AL60" i="3" s="1"/>
  <c r="BV67" i="18"/>
  <c r="S37" i="5"/>
  <c r="G73" i="19" l="1"/>
  <c r="J203" i="21"/>
  <c r="J202" i="21"/>
  <c r="J201" i="21"/>
  <c r="J200" i="21"/>
  <c r="H25" i="1"/>
  <c r="N39" i="3"/>
  <c r="N64" i="3" s="1"/>
  <c r="G157" i="21"/>
  <c r="D157" i="21"/>
  <c r="AZ70" i="11"/>
  <c r="N71" i="11"/>
  <c r="M72" i="11" s="1"/>
  <c r="FJ70" i="11"/>
  <c r="J128" i="21"/>
  <c r="J154" i="21" s="1"/>
  <c r="N128" i="21"/>
  <c r="N154" i="21" s="1"/>
  <c r="K128" i="21"/>
  <c r="K154" i="21" s="1"/>
  <c r="O128" i="21"/>
  <c r="O154" i="21" s="1"/>
  <c r="L128" i="21"/>
  <c r="L154" i="21" s="1"/>
  <c r="M128" i="21"/>
  <c r="M154" i="21" s="1"/>
  <c r="C30" i="10"/>
  <c r="D62" i="1" s="1"/>
  <c r="E62" i="1" s="1"/>
  <c r="G45" i="13"/>
  <c r="G45" i="19"/>
  <c r="G72" i="19"/>
  <c r="G45" i="18"/>
  <c r="G45" i="20"/>
  <c r="Z43" i="19"/>
  <c r="Z43" i="20"/>
  <c r="Z43" i="18"/>
  <c r="Z43" i="13"/>
  <c r="L27" i="10"/>
  <c r="V86" i="10"/>
  <c r="V85" i="10"/>
  <c r="H38" i="3"/>
  <c r="N43" i="19"/>
  <c r="F27" i="10"/>
  <c r="N43" i="18"/>
  <c r="N43" i="13"/>
  <c r="N43" i="20"/>
  <c r="J85" i="10"/>
  <c r="J86" i="10"/>
  <c r="D70" i="1"/>
  <c r="E70" i="1" s="1"/>
  <c r="G72" i="11"/>
  <c r="FC71" i="11"/>
  <c r="DQ70" i="11"/>
  <c r="CE70" i="11"/>
  <c r="AS71" i="11"/>
  <c r="AS72" i="11" s="1"/>
  <c r="AX42" i="18"/>
  <c r="AX69" i="18" s="1"/>
  <c r="AX42" i="20"/>
  <c r="AX69" i="20" s="1"/>
  <c r="AX42" i="19"/>
  <c r="AX69" i="19" s="1"/>
  <c r="AX42" i="13"/>
  <c r="AX69" i="13" s="1"/>
  <c r="G73" i="18"/>
  <c r="G72" i="18"/>
  <c r="G72" i="20"/>
  <c r="G73" i="20"/>
  <c r="G73" i="13"/>
  <c r="G72" i="13"/>
  <c r="AL42" i="19"/>
  <c r="AL69" i="19" s="1"/>
  <c r="AL42" i="18"/>
  <c r="AL69" i="18" s="1"/>
  <c r="AL42" i="13"/>
  <c r="AL69" i="13" s="1"/>
  <c r="AL42" i="20"/>
  <c r="AL69" i="20" s="1"/>
  <c r="T37" i="3"/>
  <c r="R26" i="10"/>
  <c r="AH243" i="10"/>
  <c r="AA83" i="10"/>
  <c r="AR44" i="18"/>
  <c r="AR44" i="13"/>
  <c r="AR44" i="20"/>
  <c r="AR44" i="19"/>
  <c r="V28" i="10"/>
  <c r="AN86" i="10"/>
  <c r="AN85" i="10"/>
  <c r="P39" i="5"/>
  <c r="H40" i="5"/>
  <c r="FV69" i="11"/>
  <c r="BL69" i="11"/>
  <c r="Q39" i="5"/>
  <c r="I40" i="5"/>
  <c r="FO69" i="11"/>
  <c r="BE69" i="11"/>
  <c r="AD55" i="8"/>
  <c r="AD28" i="8" s="1"/>
  <c r="U28" i="8"/>
  <c r="AA218" i="10"/>
  <c r="AH192" i="10"/>
  <c r="AY191" i="10"/>
  <c r="AY217" i="10" s="1"/>
  <c r="W27" i="12"/>
  <c r="L134" i="9" s="1"/>
  <c r="BC41" i="18"/>
  <c r="BC68" i="18" s="1"/>
  <c r="BC41" i="13"/>
  <c r="BC68" i="13" s="1"/>
  <c r="AA25" i="10"/>
  <c r="BC41" i="20"/>
  <c r="BC68" i="20" s="1"/>
  <c r="AT81" i="8"/>
  <c r="AT27" i="8" s="1"/>
  <c r="AK27" i="8"/>
  <c r="BL192" i="10"/>
  <c r="BL218" i="10" s="1"/>
  <c r="AY192" i="10"/>
  <c r="BC68" i="19"/>
  <c r="AH26" i="10"/>
  <c r="BP42" i="13"/>
  <c r="BP42" i="18"/>
  <c r="BP42" i="19"/>
  <c r="BP42" i="20"/>
  <c r="AE68" i="11"/>
  <c r="R38" i="5"/>
  <c r="BL243" i="10"/>
  <c r="BL83" i="10" s="1"/>
  <c r="AL68" i="11"/>
  <c r="EV67" i="11"/>
  <c r="DC67" i="11"/>
  <c r="DJ67" i="11"/>
  <c r="BF216" i="10"/>
  <c r="AY242" i="10"/>
  <c r="BF242" i="10" s="1"/>
  <c r="BR242" i="10" s="1"/>
  <c r="BV41" i="19"/>
  <c r="BV41" i="20"/>
  <c r="BV41" i="13"/>
  <c r="BV41" i="18"/>
  <c r="AJ25" i="10"/>
  <c r="BJ41" i="13"/>
  <c r="BJ41" i="19"/>
  <c r="BJ41" i="18"/>
  <c r="AD25" i="10"/>
  <c r="AF36" i="3"/>
  <c r="BJ41" i="20"/>
  <c r="EO67" i="11"/>
  <c r="AK55" i="8" l="1"/>
  <c r="AT55" i="8" s="1"/>
  <c r="DX70" i="11"/>
  <c r="FJ71" i="11"/>
  <c r="AZ71" i="11"/>
  <c r="AY72" i="11" s="1"/>
  <c r="CL70" i="11"/>
  <c r="AE69" i="11"/>
  <c r="BQ69" i="11" s="1"/>
  <c r="J129" i="21"/>
  <c r="J155" i="21" s="1"/>
  <c r="N129" i="21"/>
  <c r="N155" i="21" s="1"/>
  <c r="L129" i="21"/>
  <c r="L155" i="21" s="1"/>
  <c r="K129" i="21"/>
  <c r="K155" i="21" s="1"/>
  <c r="O129" i="21"/>
  <c r="O155" i="21" s="1"/>
  <c r="M129" i="21"/>
  <c r="M155" i="21" s="1"/>
  <c r="N70" i="20"/>
  <c r="N45" i="20"/>
  <c r="G46" i="20" s="1"/>
  <c r="L29" i="10"/>
  <c r="L30" i="10"/>
  <c r="N70" i="13"/>
  <c r="N45" i="13"/>
  <c r="G46" i="13" s="1"/>
  <c r="D59" i="1" s="1"/>
  <c r="Z70" i="13"/>
  <c r="Z45" i="13"/>
  <c r="S46" i="13" s="1"/>
  <c r="E59" i="1" s="1"/>
  <c r="N70" i="18"/>
  <c r="N45" i="18"/>
  <c r="G46" i="18" s="1"/>
  <c r="Z70" i="18"/>
  <c r="Z45" i="18"/>
  <c r="S46" i="18" s="1"/>
  <c r="F30" i="10"/>
  <c r="D64" i="1" s="1"/>
  <c r="E64" i="1" s="1"/>
  <c r="F29" i="10"/>
  <c r="Z70" i="20"/>
  <c r="Z45" i="20"/>
  <c r="S46" i="20" s="1"/>
  <c r="N70" i="19"/>
  <c r="N45" i="19"/>
  <c r="G46" i="19" s="1"/>
  <c r="Z70" i="19"/>
  <c r="Z45" i="19"/>
  <c r="S46" i="19" s="1"/>
  <c r="H63" i="3"/>
  <c r="H66" i="3" s="1"/>
  <c r="N38" i="3"/>
  <c r="N63" i="3" s="1"/>
  <c r="CE128" i="11"/>
  <c r="CE129" i="11" s="1"/>
  <c r="D36" i="1" s="1"/>
  <c r="CE130" i="11"/>
  <c r="CE131" i="11" s="1"/>
  <c r="D35" i="1" s="1"/>
  <c r="D37" i="1" s="1"/>
  <c r="DQ130" i="11"/>
  <c r="DQ131" i="11" s="1"/>
  <c r="D55" i="1" s="1"/>
  <c r="D57" i="1" s="1"/>
  <c r="DQ128" i="11"/>
  <c r="DQ129" i="11" s="1"/>
  <c r="D56" i="1" s="1"/>
  <c r="AT243" i="10"/>
  <c r="AT83" i="10" s="1"/>
  <c r="AX43" i="20" s="1"/>
  <c r="AX70" i="20" s="1"/>
  <c r="AH83" i="10"/>
  <c r="T62" i="3"/>
  <c r="Z37" i="3"/>
  <c r="Z62" i="3" s="1"/>
  <c r="O27" i="10"/>
  <c r="AE43" i="18"/>
  <c r="AE70" i="18" s="1"/>
  <c r="AE43" i="20"/>
  <c r="AE70" i="20" s="1"/>
  <c r="AE43" i="19"/>
  <c r="AE70" i="19" s="1"/>
  <c r="AE43" i="13"/>
  <c r="AE70" i="13" s="1"/>
  <c r="AA244" i="10"/>
  <c r="AH218" i="10"/>
  <c r="AT218" i="10" s="1"/>
  <c r="AR71" i="20"/>
  <c r="AR45" i="20"/>
  <c r="S70" i="11"/>
  <c r="U29" i="8"/>
  <c r="EC69" i="11"/>
  <c r="AR71" i="18"/>
  <c r="AR45" i="18"/>
  <c r="CQ69" i="11"/>
  <c r="Z70" i="11"/>
  <c r="AD29" i="8"/>
  <c r="AR71" i="13"/>
  <c r="AR45" i="13"/>
  <c r="Q97" i="5"/>
  <c r="G40" i="1" s="1"/>
  <c r="Q98" i="5"/>
  <c r="G39" i="1" s="1"/>
  <c r="CX69" i="11"/>
  <c r="V29" i="10"/>
  <c r="V30" i="10"/>
  <c r="AT192" i="10"/>
  <c r="EJ69" i="11"/>
  <c r="P98" i="5"/>
  <c r="F39" i="1" s="1"/>
  <c r="P97" i="5"/>
  <c r="F40" i="1" s="1"/>
  <c r="AR71" i="19"/>
  <c r="AR45" i="19"/>
  <c r="K39" i="5"/>
  <c r="K40" i="5" s="1"/>
  <c r="AK108" i="8"/>
  <c r="AT108" i="8" s="1"/>
  <c r="BF191" i="10"/>
  <c r="BR191" i="10" s="1"/>
  <c r="J39" i="5"/>
  <c r="J40" i="5" s="1"/>
  <c r="AK82" i="8"/>
  <c r="AY82" i="10"/>
  <c r="BC42" i="19" s="1"/>
  <c r="AL69" i="11"/>
  <c r="AL36" i="3"/>
  <c r="AL61" i="3" s="1"/>
  <c r="AF61" i="3"/>
  <c r="BP43" i="18"/>
  <c r="BP70" i="18" s="1"/>
  <c r="BP43" i="19"/>
  <c r="BP70" i="19" s="1"/>
  <c r="BP43" i="13"/>
  <c r="BP70" i="13" s="1"/>
  <c r="BP43" i="20"/>
  <c r="BP70" i="20" s="1"/>
  <c r="AH27" i="10"/>
  <c r="R36" i="5"/>
  <c r="BP69" i="20"/>
  <c r="BJ68" i="20"/>
  <c r="BP69" i="19"/>
  <c r="BJ68" i="18"/>
  <c r="BV68" i="18"/>
  <c r="BR216" i="10"/>
  <c r="BR82" i="10" s="1"/>
  <c r="BF82" i="10"/>
  <c r="BP69" i="18"/>
  <c r="BJ68" i="19"/>
  <c r="BV68" i="13"/>
  <c r="AY243" i="10"/>
  <c r="BF243" i="10" s="1"/>
  <c r="BR243" i="10" s="1"/>
  <c r="BF217" i="10"/>
  <c r="BP69" i="13"/>
  <c r="AY218" i="10"/>
  <c r="BF192" i="10"/>
  <c r="BR192" i="10" s="1"/>
  <c r="BJ68" i="13"/>
  <c r="BV68" i="20"/>
  <c r="GA68" i="11"/>
  <c r="BQ68" i="11"/>
  <c r="BL244" i="10"/>
  <c r="BL84" i="10" s="1"/>
  <c r="BV68" i="19"/>
  <c r="BX68" i="11"/>
  <c r="GH68" i="11"/>
  <c r="F25" i="1" l="1"/>
  <c r="GA69" i="11"/>
  <c r="EO69" i="11" s="1"/>
  <c r="CL128" i="11"/>
  <c r="CK129" i="11" s="1"/>
  <c r="E36" i="1" s="1"/>
  <c r="CL130" i="11"/>
  <c r="CK131" i="11" s="1"/>
  <c r="E35" i="1" s="1"/>
  <c r="E37" i="1" s="1"/>
  <c r="DX128" i="11"/>
  <c r="DW129" i="11" s="1"/>
  <c r="E56" i="1" s="1"/>
  <c r="DX130" i="11"/>
  <c r="DW131" i="11" s="1"/>
  <c r="E55" i="1" s="1"/>
  <c r="E57" i="1" s="1"/>
  <c r="E60" i="1"/>
  <c r="Z73" i="20"/>
  <c r="S75" i="20" s="1"/>
  <c r="Z72" i="20"/>
  <c r="S74" i="20" s="1"/>
  <c r="Z73" i="19"/>
  <c r="S75" i="19" s="1"/>
  <c r="Z72" i="19"/>
  <c r="S74" i="19" s="1"/>
  <c r="N72" i="13"/>
  <c r="G74" i="13" s="1"/>
  <c r="D47" i="1" s="1"/>
  <c r="N73" i="13"/>
  <c r="G75" i="13" s="1"/>
  <c r="D48" i="1" s="1"/>
  <c r="N65" i="3"/>
  <c r="M67" i="3" s="1"/>
  <c r="E41" i="1" s="1"/>
  <c r="E45" i="1" s="1"/>
  <c r="N66" i="3"/>
  <c r="M68" i="3" s="1"/>
  <c r="E42" i="1" s="1"/>
  <c r="E46" i="1" s="1"/>
  <c r="N73" i="19"/>
  <c r="G75" i="19" s="1"/>
  <c r="N72" i="19"/>
  <c r="G74" i="19" s="1"/>
  <c r="G68" i="3"/>
  <c r="D42" i="1" s="1"/>
  <c r="H65" i="3"/>
  <c r="G67" i="3" s="1"/>
  <c r="D41" i="1" s="1"/>
  <c r="D45" i="1" s="1"/>
  <c r="D60" i="1"/>
  <c r="N72" i="18"/>
  <c r="G74" i="18" s="1"/>
  <c r="N73" i="18"/>
  <c r="G75" i="18" s="1"/>
  <c r="Z72" i="18"/>
  <c r="S74" i="18" s="1"/>
  <c r="Z73" i="18"/>
  <c r="S75" i="18" s="1"/>
  <c r="Z72" i="13"/>
  <c r="S74" i="13" s="1"/>
  <c r="E47" i="1" s="1"/>
  <c r="Z73" i="13"/>
  <c r="S75" i="13" s="1"/>
  <c r="E48" i="1" s="1"/>
  <c r="N72" i="20"/>
  <c r="G74" i="20" s="1"/>
  <c r="N73" i="20"/>
  <c r="G75" i="20" s="1"/>
  <c r="D58" i="1"/>
  <c r="D38" i="1"/>
  <c r="S39" i="5"/>
  <c r="S98" i="5" s="1"/>
  <c r="I39" i="1" s="1"/>
  <c r="L40" i="1"/>
  <c r="L39" i="1"/>
  <c r="M39" i="1"/>
  <c r="AX43" i="18"/>
  <c r="AX70" i="18" s="1"/>
  <c r="AX43" i="19"/>
  <c r="AX70" i="19" s="1"/>
  <c r="X27" i="10"/>
  <c r="AY83" i="10"/>
  <c r="BC43" i="18" s="1"/>
  <c r="BC70" i="18" s="1"/>
  <c r="AX43" i="13"/>
  <c r="AX70" i="13" s="1"/>
  <c r="R39" i="5"/>
  <c r="R97" i="5" s="1"/>
  <c r="H40" i="1" s="1"/>
  <c r="AK28" i="8"/>
  <c r="AH244" i="10"/>
  <c r="AA84" i="10"/>
  <c r="AL43" i="20"/>
  <c r="AL70" i="20" s="1"/>
  <c r="AL43" i="19"/>
  <c r="AL70" i="19" s="1"/>
  <c r="T38" i="3"/>
  <c r="AL43" i="18"/>
  <c r="AL70" i="18" s="1"/>
  <c r="R27" i="10"/>
  <c r="AL43" i="13"/>
  <c r="AL70" i="13" s="1"/>
  <c r="AR72" i="13"/>
  <c r="AR73" i="13"/>
  <c r="AR72" i="19"/>
  <c r="AR73" i="19"/>
  <c r="M40" i="1"/>
  <c r="FV70" i="11"/>
  <c r="BL70" i="11"/>
  <c r="Z71" i="11"/>
  <c r="Y72" i="11" s="1"/>
  <c r="AR73" i="18"/>
  <c r="AR72" i="18"/>
  <c r="AR73" i="20"/>
  <c r="AR72" i="20"/>
  <c r="FO70" i="11"/>
  <c r="BE70" i="11"/>
  <c r="S71" i="11"/>
  <c r="AT82" i="8"/>
  <c r="AT28" i="8" s="1"/>
  <c r="AL70" i="11" s="1"/>
  <c r="AL71" i="11" s="1"/>
  <c r="AK72" i="11" s="1"/>
  <c r="BC42" i="20"/>
  <c r="BC69" i="20" s="1"/>
  <c r="AA26" i="10"/>
  <c r="BC42" i="18"/>
  <c r="BC69" i="18" s="1"/>
  <c r="BC42" i="13"/>
  <c r="BC69" i="13" s="1"/>
  <c r="AJ26" i="10"/>
  <c r="BV42" i="20"/>
  <c r="BV42" i="13"/>
  <c r="BV42" i="19"/>
  <c r="BV42" i="18"/>
  <c r="DC68" i="11"/>
  <c r="DC69" i="11"/>
  <c r="BR217" i="10"/>
  <c r="BR83" i="10" s="1"/>
  <c r="BF83" i="10"/>
  <c r="BC69" i="19"/>
  <c r="EV68" i="11"/>
  <c r="DJ68" i="11"/>
  <c r="EO68" i="11"/>
  <c r="BL86" i="10"/>
  <c r="BP44" i="18"/>
  <c r="BP44" i="13"/>
  <c r="AH28" i="10"/>
  <c r="BP44" i="20"/>
  <c r="BP71" i="20" s="1"/>
  <c r="BP44" i="19"/>
  <c r="BL85" i="10"/>
  <c r="BF218" i="10"/>
  <c r="AY244" i="10"/>
  <c r="BF244" i="10" s="1"/>
  <c r="BR244" i="10" s="1"/>
  <c r="BJ42" i="20"/>
  <c r="AD26" i="10"/>
  <c r="BJ42" i="18"/>
  <c r="AF37" i="3"/>
  <c r="BJ42" i="19"/>
  <c r="BJ42" i="13"/>
  <c r="BX69" i="11"/>
  <c r="DJ69" i="11" s="1"/>
  <c r="GH69" i="11"/>
  <c r="S97" i="5" l="1"/>
  <c r="I40" i="1" s="1"/>
  <c r="G25" i="1" s="1"/>
  <c r="E18" i="1"/>
  <c r="E58" i="1"/>
  <c r="E23" i="1"/>
  <c r="E38" i="1"/>
  <c r="E22" i="1"/>
  <c r="AE70" i="11"/>
  <c r="AE71" i="11" s="1"/>
  <c r="H70" i="1" s="1"/>
  <c r="I70" i="1" s="1"/>
  <c r="J130" i="21"/>
  <c r="J156" i="21" s="1"/>
  <c r="N130" i="21"/>
  <c r="N156" i="21" s="1"/>
  <c r="K130" i="21"/>
  <c r="K156" i="21" s="1"/>
  <c r="O130" i="21"/>
  <c r="O156" i="21" s="1"/>
  <c r="L130" i="21"/>
  <c r="L156" i="21" s="1"/>
  <c r="M130" i="21"/>
  <c r="M156" i="21" s="1"/>
  <c r="I25" i="1"/>
  <c r="D46" i="1"/>
  <c r="E15" i="1" s="1"/>
  <c r="BC43" i="13"/>
  <c r="BC70" i="13" s="1"/>
  <c r="D49" i="1"/>
  <c r="D51" i="1" s="1"/>
  <c r="D75" i="1" s="1"/>
  <c r="E49" i="1"/>
  <c r="E51" i="1" s="1"/>
  <c r="E75" i="1" s="1"/>
  <c r="BC43" i="19"/>
  <c r="BC70" i="19" s="1"/>
  <c r="D50" i="1"/>
  <c r="E50" i="1"/>
  <c r="AA27" i="10"/>
  <c r="BC43" i="20"/>
  <c r="BC70" i="20" s="1"/>
  <c r="R98" i="5"/>
  <c r="H39" i="1" s="1"/>
  <c r="P39" i="1" s="1"/>
  <c r="AT29" i="8"/>
  <c r="AK29" i="8"/>
  <c r="AY84" i="10"/>
  <c r="BC44" i="18" s="1"/>
  <c r="AA85" i="10"/>
  <c r="AE44" i="20"/>
  <c r="AA86" i="10"/>
  <c r="AE44" i="18"/>
  <c r="AE44" i="13"/>
  <c r="AE44" i="19"/>
  <c r="O28" i="10"/>
  <c r="AT244" i="10"/>
  <c r="AT84" i="10" s="1"/>
  <c r="AH84" i="10"/>
  <c r="Z38" i="3"/>
  <c r="Z63" i="3" s="1"/>
  <c r="T63" i="3"/>
  <c r="BX70" i="11"/>
  <c r="BX71" i="11" s="1"/>
  <c r="BW72" i="11" s="1"/>
  <c r="GH70" i="11"/>
  <c r="EV70" i="11" s="1"/>
  <c r="BL71" i="11"/>
  <c r="BK72" i="11" s="1"/>
  <c r="CX70" i="11"/>
  <c r="S72" i="11"/>
  <c r="F70" i="1"/>
  <c r="EJ70" i="11"/>
  <c r="FV71" i="11"/>
  <c r="CQ70" i="11"/>
  <c r="BE71" i="11"/>
  <c r="BE72" i="11" s="1"/>
  <c r="EC70" i="11"/>
  <c r="FO71" i="11"/>
  <c r="BP45" i="20"/>
  <c r="P40" i="1"/>
  <c r="N40" i="1"/>
  <c r="Q39" i="1"/>
  <c r="O39" i="1"/>
  <c r="BJ69" i="20"/>
  <c r="BV43" i="13"/>
  <c r="BV70" i="13" s="1"/>
  <c r="BV43" i="18"/>
  <c r="BV70" i="18" s="1"/>
  <c r="AJ27" i="10"/>
  <c r="BV43" i="19"/>
  <c r="BV70" i="19" s="1"/>
  <c r="BV43" i="20"/>
  <c r="BV70" i="20" s="1"/>
  <c r="EV69" i="11"/>
  <c r="BJ69" i="13"/>
  <c r="BP71" i="19"/>
  <c r="BP45" i="19"/>
  <c r="BV69" i="18"/>
  <c r="BJ69" i="19"/>
  <c r="BP72" i="20"/>
  <c r="BP73" i="20"/>
  <c r="AF38" i="3"/>
  <c r="AD27" i="10"/>
  <c r="BJ43" i="20"/>
  <c r="BJ70" i="20" s="1"/>
  <c r="BJ43" i="18"/>
  <c r="BJ70" i="18" s="1"/>
  <c r="BJ43" i="13"/>
  <c r="BJ70" i="13" s="1"/>
  <c r="BJ43" i="19"/>
  <c r="BJ70" i="19" s="1"/>
  <c r="BV69" i="19"/>
  <c r="BP71" i="13"/>
  <c r="BP45" i="13"/>
  <c r="AF62" i="3"/>
  <c r="AL37" i="3"/>
  <c r="AL62" i="3" s="1"/>
  <c r="BR218" i="10"/>
  <c r="BR84" i="10" s="1"/>
  <c r="BR86" i="10" s="1"/>
  <c r="BF84" i="10"/>
  <c r="AH29" i="10"/>
  <c r="AH30" i="10"/>
  <c r="BV69" i="13"/>
  <c r="BV69" i="20"/>
  <c r="BJ69" i="18"/>
  <c r="Q40" i="1"/>
  <c r="BP71" i="18"/>
  <c r="BP45" i="18"/>
  <c r="H23" i="1" l="1"/>
  <c r="H22" i="1"/>
  <c r="E15" i="21"/>
  <c r="O40" i="1"/>
  <c r="P70" i="1"/>
  <c r="J157" i="21"/>
  <c r="M157" i="21"/>
  <c r="E52" i="1"/>
  <c r="E76" i="1" s="1"/>
  <c r="E19" i="1"/>
  <c r="N70" i="1"/>
  <c r="BQ70" i="11"/>
  <c r="DC70" i="11" s="1"/>
  <c r="DC130" i="11" s="1"/>
  <c r="DC131" i="11" s="1"/>
  <c r="H35" i="1" s="1"/>
  <c r="P35" i="1" s="1"/>
  <c r="E24" i="1"/>
  <c r="E26" i="1" s="1"/>
  <c r="AE72" i="11"/>
  <c r="GA70" i="11"/>
  <c r="GA71" i="11" s="1"/>
  <c r="J25" i="1"/>
  <c r="H18" i="1"/>
  <c r="N39" i="1"/>
  <c r="D52" i="1"/>
  <c r="AY85" i="10"/>
  <c r="AY86" i="10"/>
  <c r="BC44" i="13"/>
  <c r="AA28" i="10"/>
  <c r="AA30" i="10" s="1"/>
  <c r="H62" i="1" s="1"/>
  <c r="BC44" i="20"/>
  <c r="BC44" i="19"/>
  <c r="GH71" i="11"/>
  <c r="EV130" i="11"/>
  <c r="EU131" i="11" s="1"/>
  <c r="I55" i="1" s="1"/>
  <c r="Q55" i="1" s="1"/>
  <c r="EV128" i="11"/>
  <c r="EU129" i="11" s="1"/>
  <c r="I56" i="1" s="1"/>
  <c r="DJ70" i="11"/>
  <c r="DJ128" i="11" s="1"/>
  <c r="DI129" i="11" s="1"/>
  <c r="I36" i="1" s="1"/>
  <c r="AE71" i="18"/>
  <c r="AE45" i="18"/>
  <c r="AE71" i="13"/>
  <c r="AE45" i="13"/>
  <c r="AL44" i="18"/>
  <c r="K201" i="21" s="1"/>
  <c r="AL44" i="13"/>
  <c r="K200" i="21" s="1"/>
  <c r="AH85" i="10"/>
  <c r="AL44" i="19"/>
  <c r="K203" i="21" s="1"/>
  <c r="AH86" i="10"/>
  <c r="R28" i="10"/>
  <c r="AL44" i="20"/>
  <c r="K202" i="21" s="1"/>
  <c r="T39" i="3"/>
  <c r="AT86" i="10"/>
  <c r="AT85" i="10"/>
  <c r="AX44" i="19"/>
  <c r="AX44" i="20"/>
  <c r="AX44" i="13"/>
  <c r="X28" i="10"/>
  <c r="AX44" i="18"/>
  <c r="AE45" i="20"/>
  <c r="AE71" i="20"/>
  <c r="AE71" i="19"/>
  <c r="AE45" i="19"/>
  <c r="O29" i="10"/>
  <c r="O30" i="10"/>
  <c r="F62" i="1" s="1"/>
  <c r="EC130" i="11"/>
  <c r="EC131" i="11" s="1"/>
  <c r="F55" i="1" s="1"/>
  <c r="EC128" i="11"/>
  <c r="EC129" i="11" s="1"/>
  <c r="F56" i="1" s="1"/>
  <c r="G70" i="1"/>
  <c r="M70" i="1" s="1"/>
  <c r="L70" i="1"/>
  <c r="CX130" i="11"/>
  <c r="CW131" i="11" s="1"/>
  <c r="G35" i="1" s="1"/>
  <c r="CX128" i="11"/>
  <c r="CW129" i="11" s="1"/>
  <c r="G36" i="1" s="1"/>
  <c r="EJ130" i="11"/>
  <c r="EI131" i="11" s="1"/>
  <c r="G55" i="1" s="1"/>
  <c r="EJ128" i="11"/>
  <c r="EI129" i="11" s="1"/>
  <c r="G56" i="1" s="1"/>
  <c r="CQ128" i="11"/>
  <c r="CQ129" i="11" s="1"/>
  <c r="F36" i="1" s="1"/>
  <c r="CQ130" i="11"/>
  <c r="CQ131" i="11" s="1"/>
  <c r="F35" i="1" s="1"/>
  <c r="Q70" i="1"/>
  <c r="BC71" i="18"/>
  <c r="BC45" i="18"/>
  <c r="BP72" i="18"/>
  <c r="BP73" i="18"/>
  <c r="BP72" i="13"/>
  <c r="BP73" i="13"/>
  <c r="BJ44" i="20"/>
  <c r="BJ71" i="20" s="1"/>
  <c r="BJ72" i="20" s="1"/>
  <c r="AD28" i="10"/>
  <c r="BJ44" i="13"/>
  <c r="BJ71" i="13" s="1"/>
  <c r="BJ72" i="13" s="1"/>
  <c r="BJ44" i="19"/>
  <c r="BJ71" i="19" s="1"/>
  <c r="BJ72" i="19" s="1"/>
  <c r="BJ44" i="18"/>
  <c r="BJ71" i="18" s="1"/>
  <c r="BJ73" i="18" s="1"/>
  <c r="AF39" i="3"/>
  <c r="BF86" i="10"/>
  <c r="BF85" i="10"/>
  <c r="BP73" i="19"/>
  <c r="BP72" i="19"/>
  <c r="BV44" i="13"/>
  <c r="AJ28" i="10"/>
  <c r="BV44" i="18"/>
  <c r="BV44" i="20"/>
  <c r="BV71" i="20" s="1"/>
  <c r="BV73" i="20" s="1"/>
  <c r="BO75" i="20" s="1"/>
  <c r="BV44" i="19"/>
  <c r="BV71" i="19" s="1"/>
  <c r="BV73" i="19" s="1"/>
  <c r="AF63" i="3"/>
  <c r="AL38" i="3"/>
  <c r="AL63" i="3" s="1"/>
  <c r="BR85" i="10"/>
  <c r="BC71" i="19" l="1"/>
  <c r="BC72" i="19" s="1"/>
  <c r="BC74" i="19" s="1"/>
  <c r="L203" i="21"/>
  <c r="BC45" i="20"/>
  <c r="L202" i="21"/>
  <c r="L201" i="21"/>
  <c r="BC71" i="13"/>
  <c r="BC72" i="13" s="1"/>
  <c r="BC74" i="13" s="1"/>
  <c r="H47" i="1" s="1"/>
  <c r="L200" i="21"/>
  <c r="H24" i="1"/>
  <c r="H26" i="1" s="1"/>
  <c r="E22" i="21"/>
  <c r="E24" i="21" s="1"/>
  <c r="E29" i="21" s="1"/>
  <c r="H19" i="1"/>
  <c r="H20" i="1" s="1"/>
  <c r="E18" i="21"/>
  <c r="E19" i="21" s="1"/>
  <c r="E20" i="1"/>
  <c r="F22" i="1"/>
  <c r="F23" i="1"/>
  <c r="BQ71" i="11"/>
  <c r="BQ72" i="11" s="1"/>
  <c r="I58" i="1"/>
  <c r="Q58" i="1" s="1"/>
  <c r="I38" i="1"/>
  <c r="Q38" i="1" s="1"/>
  <c r="H37" i="1"/>
  <c r="P37" i="1" s="1"/>
  <c r="EO70" i="11"/>
  <c r="EO130" i="11" s="1"/>
  <c r="EO131" i="11" s="1"/>
  <c r="H55" i="1" s="1"/>
  <c r="P55" i="1" s="1"/>
  <c r="N35" i="1"/>
  <c r="DC128" i="11"/>
  <c r="DC129" i="11" s="1"/>
  <c r="H36" i="1" s="1"/>
  <c r="G22" i="1" s="1"/>
  <c r="D76" i="1"/>
  <c r="H15" i="1"/>
  <c r="E17" i="1"/>
  <c r="AA29" i="10"/>
  <c r="BC45" i="13"/>
  <c r="BC71" i="20"/>
  <c r="BC73" i="20" s="1"/>
  <c r="BC45" i="19"/>
  <c r="Q56" i="1"/>
  <c r="I57" i="1"/>
  <c r="Q57" i="1" s="1"/>
  <c r="O56" i="1"/>
  <c r="O55" i="1"/>
  <c r="DJ130" i="11"/>
  <c r="DI131" i="11" s="1"/>
  <c r="I35" i="1" s="1"/>
  <c r="Q35" i="1" s="1"/>
  <c r="Q36" i="1"/>
  <c r="O36" i="1"/>
  <c r="AE72" i="20"/>
  <c r="AE73" i="20"/>
  <c r="AX45" i="19"/>
  <c r="AQ46" i="19" s="1"/>
  <c r="AX71" i="19"/>
  <c r="AE72" i="13"/>
  <c r="AE73" i="13"/>
  <c r="AL45" i="18"/>
  <c r="AE46" i="18" s="1"/>
  <c r="AL71" i="18"/>
  <c r="AE72" i="19"/>
  <c r="AE73" i="19"/>
  <c r="AL71" i="19"/>
  <c r="AL45" i="19"/>
  <c r="AE46" i="19" s="1"/>
  <c r="AL71" i="20"/>
  <c r="AL45" i="20"/>
  <c r="AE46" i="20" s="1"/>
  <c r="AX45" i="20"/>
  <c r="AQ46" i="20" s="1"/>
  <c r="AX71" i="20"/>
  <c r="R30" i="10"/>
  <c r="F64" i="1" s="1"/>
  <c r="R29" i="10"/>
  <c r="L62" i="1"/>
  <c r="G62" i="1"/>
  <c r="M62" i="1" s="1"/>
  <c r="AX45" i="18"/>
  <c r="AQ46" i="18" s="1"/>
  <c r="AX71" i="18"/>
  <c r="AE72" i="18"/>
  <c r="AE73" i="18"/>
  <c r="AX71" i="13"/>
  <c r="AX45" i="13"/>
  <c r="AQ46" i="13" s="1"/>
  <c r="G59" i="1" s="1"/>
  <c r="M59" i="1" s="1"/>
  <c r="X30" i="10"/>
  <c r="X29" i="10"/>
  <c r="Z39" i="3"/>
  <c r="Z64" i="3" s="1"/>
  <c r="T64" i="3"/>
  <c r="AL71" i="13"/>
  <c r="AL45" i="13"/>
  <c r="AE46" i="13" s="1"/>
  <c r="F59" i="1" s="1"/>
  <c r="L59" i="1" s="1"/>
  <c r="O70" i="1"/>
  <c r="G37" i="1"/>
  <c r="M35" i="1"/>
  <c r="F58" i="1"/>
  <c r="L58" i="1" s="1"/>
  <c r="L56" i="1"/>
  <c r="G58" i="1"/>
  <c r="M58" i="1" s="1"/>
  <c r="M56" i="1"/>
  <c r="L55" i="1"/>
  <c r="F57" i="1"/>
  <c r="L57" i="1" s="1"/>
  <c r="L35" i="1"/>
  <c r="F37" i="1"/>
  <c r="M55" i="1"/>
  <c r="G57" i="1"/>
  <c r="M57" i="1" s="1"/>
  <c r="L36" i="1"/>
  <c r="F38" i="1"/>
  <c r="M36" i="1"/>
  <c r="G38" i="1"/>
  <c r="BJ45" i="19"/>
  <c r="BO75" i="19"/>
  <c r="BV71" i="13"/>
  <c r="BV45" i="13"/>
  <c r="BO46" i="13" s="1"/>
  <c r="I59" i="1" s="1"/>
  <c r="BJ72" i="18"/>
  <c r="BJ45" i="18"/>
  <c r="BC46" i="18" s="1"/>
  <c r="BV72" i="19"/>
  <c r="BO74" i="19" s="1"/>
  <c r="BV72" i="20"/>
  <c r="BO74" i="20" s="1"/>
  <c r="AD29" i="10"/>
  <c r="AD30" i="10"/>
  <c r="H64" i="1" s="1"/>
  <c r="BJ45" i="20"/>
  <c r="BJ73" i="20"/>
  <c r="BJ73" i="13"/>
  <c r="BV45" i="20"/>
  <c r="BO46" i="20" s="1"/>
  <c r="AF64" i="3"/>
  <c r="AF66" i="3" s="1"/>
  <c r="AE68" i="3" s="1"/>
  <c r="AL39" i="3"/>
  <c r="AL64" i="3" s="1"/>
  <c r="BV71" i="18"/>
  <c r="BV45" i="18"/>
  <c r="BO46" i="18" s="1"/>
  <c r="BV45" i="19"/>
  <c r="BO46" i="19" s="1"/>
  <c r="BJ45" i="13"/>
  <c r="BJ73" i="19"/>
  <c r="I62" i="1"/>
  <c r="P62" i="1"/>
  <c r="N62" i="1"/>
  <c r="AJ30" i="10"/>
  <c r="AJ29" i="10"/>
  <c r="BC73" i="18"/>
  <c r="BC75" i="18" s="1"/>
  <c r="BC72" i="18"/>
  <c r="BC73" i="19" l="1"/>
  <c r="BC75" i="19" s="1"/>
  <c r="BC46" i="20"/>
  <c r="BC73" i="13"/>
  <c r="BC75" i="13" s="1"/>
  <c r="H48" i="1" s="1"/>
  <c r="F22" i="21"/>
  <c r="E26" i="21"/>
  <c r="E28" i="21"/>
  <c r="E30" i="21" s="1"/>
  <c r="H57" i="1"/>
  <c r="P57" i="1" s="1"/>
  <c r="EO128" i="11"/>
  <c r="EO129" i="11" s="1"/>
  <c r="H56" i="1" s="1"/>
  <c r="N55" i="1"/>
  <c r="P36" i="1"/>
  <c r="N36" i="1"/>
  <c r="H38" i="1"/>
  <c r="P38" i="1" s="1"/>
  <c r="F24" i="1"/>
  <c r="F26" i="1" s="1"/>
  <c r="H17" i="1"/>
  <c r="I23" i="1"/>
  <c r="E21" i="1"/>
  <c r="I22" i="1"/>
  <c r="J22" i="1"/>
  <c r="N37" i="1"/>
  <c r="H42" i="1"/>
  <c r="BC46" i="13"/>
  <c r="H59" i="1" s="1"/>
  <c r="P59" i="1" s="1"/>
  <c r="BC72" i="20"/>
  <c r="BC74" i="20" s="1"/>
  <c r="BC46" i="19"/>
  <c r="O35" i="1"/>
  <c r="I37" i="1"/>
  <c r="F60" i="1"/>
  <c r="L60" i="1" s="1"/>
  <c r="G64" i="1"/>
  <c r="M64" i="1" s="1"/>
  <c r="L64" i="1"/>
  <c r="AX72" i="18"/>
  <c r="AQ74" i="18" s="1"/>
  <c r="AX73" i="18"/>
  <c r="AQ75" i="18" s="1"/>
  <c r="AX73" i="20"/>
  <c r="AQ75" i="20" s="1"/>
  <c r="AX72" i="20"/>
  <c r="AQ74" i="20" s="1"/>
  <c r="AX72" i="19"/>
  <c r="AQ74" i="19" s="1"/>
  <c r="AX73" i="19"/>
  <c r="AQ75" i="19" s="1"/>
  <c r="T66" i="3"/>
  <c r="S68" i="3" s="1"/>
  <c r="F42" i="1" s="1"/>
  <c r="T65" i="3"/>
  <c r="S67" i="3" s="1"/>
  <c r="F41" i="1" s="1"/>
  <c r="L41" i="1" s="1"/>
  <c r="AL73" i="19"/>
  <c r="AE75" i="19" s="1"/>
  <c r="AL72" i="19"/>
  <c r="AE74" i="19" s="1"/>
  <c r="G60" i="1"/>
  <c r="M60" i="1" s="1"/>
  <c r="Z65" i="3"/>
  <c r="Y67" i="3" s="1"/>
  <c r="G41" i="1" s="1"/>
  <c r="M41" i="1" s="1"/>
  <c r="Z66" i="3"/>
  <c r="Y68" i="3" s="1"/>
  <c r="AL73" i="18"/>
  <c r="AE75" i="18" s="1"/>
  <c r="AL72" i="18"/>
  <c r="AE74" i="18" s="1"/>
  <c r="AL73" i="13"/>
  <c r="AE75" i="13" s="1"/>
  <c r="F48" i="1" s="1"/>
  <c r="AL72" i="13"/>
  <c r="AE74" i="13" s="1"/>
  <c r="F47" i="1" s="1"/>
  <c r="L47" i="1" s="1"/>
  <c r="AX72" i="13"/>
  <c r="AQ74" i="13" s="1"/>
  <c r="G47" i="1" s="1"/>
  <c r="M47" i="1" s="1"/>
  <c r="AX73" i="13"/>
  <c r="AQ75" i="13" s="1"/>
  <c r="G48" i="1" s="1"/>
  <c r="AL72" i="20"/>
  <c r="AE74" i="20" s="1"/>
  <c r="AL73" i="20"/>
  <c r="AE75" i="20" s="1"/>
  <c r="O58" i="1"/>
  <c r="O57" i="1"/>
  <c r="M38" i="1"/>
  <c r="L38" i="1"/>
  <c r="O38" i="1"/>
  <c r="L37" i="1"/>
  <c r="M37" i="1"/>
  <c r="BC75" i="20"/>
  <c r="I60" i="1"/>
  <c r="AF65" i="3"/>
  <c r="AE67" i="3" s="1"/>
  <c r="H41" i="1" s="1"/>
  <c r="BV73" i="18"/>
  <c r="BO75" i="18" s="1"/>
  <c r="I50" i="1" s="1"/>
  <c r="BV72" i="18"/>
  <c r="BO74" i="18" s="1"/>
  <c r="I49" i="1" s="1"/>
  <c r="BC74" i="18"/>
  <c r="P47" i="1"/>
  <c r="P64" i="1"/>
  <c r="I64" i="1"/>
  <c r="N64" i="1"/>
  <c r="Q59" i="1"/>
  <c r="O59" i="1"/>
  <c r="Q62" i="1"/>
  <c r="O62" i="1"/>
  <c r="AL65" i="3"/>
  <c r="AK67" i="3" s="1"/>
  <c r="I41" i="1" s="1"/>
  <c r="AL66" i="3"/>
  <c r="AK68" i="3" s="1"/>
  <c r="BV72" i="13"/>
  <c r="BO74" i="13" s="1"/>
  <c r="I47" i="1" s="1"/>
  <c r="BV73" i="13"/>
  <c r="BO75" i="13" s="1"/>
  <c r="I48" i="1" s="1"/>
  <c r="H60" i="1" l="1"/>
  <c r="P60" i="1" s="1"/>
  <c r="F24" i="21"/>
  <c r="K22" i="21"/>
  <c r="G18" i="1"/>
  <c r="F18" i="1"/>
  <c r="G23" i="1"/>
  <c r="N56" i="1"/>
  <c r="N57" i="1"/>
  <c r="H58" i="1"/>
  <c r="P58" i="1" s="1"/>
  <c r="P56" i="1"/>
  <c r="N38" i="1"/>
  <c r="I24" i="1"/>
  <c r="I26" i="1" s="1"/>
  <c r="E28" i="1"/>
  <c r="H21" i="1"/>
  <c r="L42" i="1"/>
  <c r="L48" i="1"/>
  <c r="Q41" i="1"/>
  <c r="O41" i="1"/>
  <c r="P41" i="1"/>
  <c r="N41" i="1"/>
  <c r="N42" i="1"/>
  <c r="P42" i="1"/>
  <c r="I45" i="1"/>
  <c r="H45" i="1"/>
  <c r="H46" i="1"/>
  <c r="F46" i="1"/>
  <c r="O37" i="1"/>
  <c r="G45" i="1"/>
  <c r="M45" i="1" s="1"/>
  <c r="F45" i="1"/>
  <c r="L45" i="1" s="1"/>
  <c r="N59" i="1"/>
  <c r="I42" i="1"/>
  <c r="G42" i="1"/>
  <c r="H49" i="1"/>
  <c r="P49" i="1" s="1"/>
  <c r="O60" i="1"/>
  <c r="Q37" i="1"/>
  <c r="N47" i="1"/>
  <c r="F49" i="1"/>
  <c r="L49" i="1" s="1"/>
  <c r="F50" i="1"/>
  <c r="N48" i="1"/>
  <c r="M48" i="1"/>
  <c r="G50" i="1"/>
  <c r="G49" i="1"/>
  <c r="M49" i="1" s="1"/>
  <c r="P48" i="1"/>
  <c r="Q60" i="1"/>
  <c r="H50" i="1"/>
  <c r="G19" i="1" s="1"/>
  <c r="Q49" i="1"/>
  <c r="Q47" i="1"/>
  <c r="O47" i="1"/>
  <c r="I51" i="1"/>
  <c r="Q48" i="1"/>
  <c r="O48" i="1"/>
  <c r="I52" i="1"/>
  <c r="Q50" i="1"/>
  <c r="Q64" i="1"/>
  <c r="O64" i="1"/>
  <c r="N60" i="1" l="1"/>
  <c r="F29" i="21"/>
  <c r="K24" i="21"/>
  <c r="K29" i="21" s="1"/>
  <c r="G24" i="1"/>
  <c r="G26" i="1" s="1"/>
  <c r="G18" i="21"/>
  <c r="M18" i="21" s="1"/>
  <c r="J23" i="1"/>
  <c r="J24" i="1" s="1"/>
  <c r="J26" i="1" s="1"/>
  <c r="O50" i="1"/>
  <c r="F19" i="1"/>
  <c r="N58" i="1"/>
  <c r="M42" i="1"/>
  <c r="H28" i="1"/>
  <c r="J18" i="1"/>
  <c r="I18" i="1"/>
  <c r="L46" i="1"/>
  <c r="P50" i="1"/>
  <c r="L50" i="1"/>
  <c r="I75" i="1"/>
  <c r="P45" i="1"/>
  <c r="N45" i="1"/>
  <c r="Q45" i="1"/>
  <c r="O45" i="1"/>
  <c r="O42" i="1"/>
  <c r="Q42" i="1"/>
  <c r="N46" i="1"/>
  <c r="P46" i="1"/>
  <c r="G46" i="1"/>
  <c r="F15" i="1" s="1"/>
  <c r="I46" i="1"/>
  <c r="G15" i="1" s="1"/>
  <c r="H51" i="1"/>
  <c r="F51" i="1"/>
  <c r="L51" i="1" s="1"/>
  <c r="L75" i="1" s="1"/>
  <c r="N49" i="1"/>
  <c r="F52" i="1"/>
  <c r="G51" i="1"/>
  <c r="O51" i="1" s="1"/>
  <c r="O49" i="1"/>
  <c r="G52" i="1"/>
  <c r="M50" i="1"/>
  <c r="H52" i="1"/>
  <c r="N50" i="1"/>
  <c r="Q52" i="1"/>
  <c r="Q51" i="1"/>
  <c r="G22" i="21" l="1"/>
  <c r="F18" i="21"/>
  <c r="K18" i="21" s="1"/>
  <c r="F15" i="21"/>
  <c r="K15" i="21" s="1"/>
  <c r="G15" i="21"/>
  <c r="F20" i="1"/>
  <c r="F76" i="1"/>
  <c r="H76" i="1"/>
  <c r="I19" i="1"/>
  <c r="J19" i="1"/>
  <c r="G20" i="1"/>
  <c r="Q75" i="1"/>
  <c r="G76" i="1"/>
  <c r="I76" i="1"/>
  <c r="M46" i="1"/>
  <c r="O46" i="1"/>
  <c r="Q46" i="1"/>
  <c r="O75" i="1"/>
  <c r="P51" i="1"/>
  <c r="P75" i="1" s="1"/>
  <c r="H75" i="1"/>
  <c r="G75" i="1"/>
  <c r="F75" i="1"/>
  <c r="N51" i="1"/>
  <c r="N75" i="1" s="1"/>
  <c r="L52" i="1"/>
  <c r="M51" i="1"/>
  <c r="M75" i="1" s="1"/>
  <c r="M52" i="1"/>
  <c r="O52" i="1"/>
  <c r="N52" i="1"/>
  <c r="N76" i="1" s="1"/>
  <c r="P52" i="1"/>
  <c r="G19" i="21" l="1"/>
  <c r="M19" i="21" s="1"/>
  <c r="M28" i="21" s="1"/>
  <c r="M15" i="21"/>
  <c r="G24" i="21"/>
  <c r="M22" i="21"/>
  <c r="F19" i="21"/>
  <c r="I15" i="1"/>
  <c r="I17" i="1" s="1"/>
  <c r="F17" i="1"/>
  <c r="F21" i="1" s="1"/>
  <c r="J20" i="1"/>
  <c r="I20" i="1"/>
  <c r="G17" i="1"/>
  <c r="J15" i="1"/>
  <c r="O76" i="1"/>
  <c r="M76" i="1"/>
  <c r="G88" i="1" s="1"/>
  <c r="Q76" i="1"/>
  <c r="H88" i="1" s="1"/>
  <c r="L76" i="1"/>
  <c r="G87" i="1" s="1"/>
  <c r="P76" i="1"/>
  <c r="H87" i="1" s="1"/>
  <c r="G26" i="21" l="1"/>
  <c r="M26" i="21" s="1"/>
  <c r="G28" i="21"/>
  <c r="F26" i="21"/>
  <c r="K26" i="21" s="1"/>
  <c r="K19" i="21"/>
  <c r="K28" i="21" s="1"/>
  <c r="K30" i="21" s="1"/>
  <c r="G29" i="21"/>
  <c r="M24" i="21"/>
  <c r="M29" i="21" s="1"/>
  <c r="M30" i="21" s="1"/>
  <c r="F28" i="21"/>
  <c r="F30" i="21" s="1"/>
  <c r="G21" i="1"/>
  <c r="I21" i="1"/>
  <c r="J17" i="1"/>
  <c r="F28" i="1"/>
  <c r="G30" i="21" l="1"/>
  <c r="G28" i="1"/>
  <c r="J21" i="1"/>
  <c r="I28" i="1"/>
  <c r="J2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מוחמד חאג' יחיא</author>
    <author>Owner</author>
  </authors>
  <commentList>
    <comment ref="AC1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מוחמד חאג' יחיא:
סוללות ל 4 שעות אגירה</t>
        </r>
      </text>
    </comment>
    <comment ref="AD1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מוחמד חאג' יחיא:
סוללות ל 4 שעות אגירה</t>
        </r>
      </text>
    </comment>
    <comment ref="C31" authorId="1" shapeId="0" xr:uid="{00000000-0006-0000-0200-000003000000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הונח עלות תפעול כמו רוח</t>
        </r>
      </text>
    </comment>
    <comment ref="M39" authorId="1" shapeId="0" xr:uid="{00000000-0006-0000-0200-000004000000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שני טווחי עלות CO2:
6 דולר לטון לפי ארה"ב
140 ₪ לטון לפי הגנ"ס</t>
        </r>
      </text>
    </comment>
    <comment ref="I68" authorId="1" shapeId="0" xr:uid="{00000000-0006-0000-0200-000005000000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הונח מחיר כמו רוח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מוחמד חאג' יחיא</author>
    <author>talco</author>
  </authors>
  <commentList>
    <comment ref="M4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מוחמד חאג' יחיא:</t>
        </r>
        <r>
          <rPr>
            <sz val="9"/>
            <color indexed="81"/>
            <rFont val="Tahoma"/>
            <family val="2"/>
          </rPr>
          <t xml:space="preserve">
בתחילת יום זה</t>
        </r>
      </text>
    </comment>
    <comment ref="N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מוחמד חאג' יחיא:</t>
        </r>
        <r>
          <rPr>
            <sz val="9"/>
            <color indexed="81"/>
            <rFont val="Tahoma"/>
            <family val="2"/>
          </rPr>
          <t xml:space="preserve">
בסוף יום זה</t>
        </r>
      </text>
    </comment>
    <comment ref="J111" authorId="1" shapeId="0" xr:uid="{00000000-0006-0000-0300-000003000000}">
      <text>
        <r>
          <rPr>
            <b/>
            <sz val="9"/>
            <color indexed="81"/>
            <rFont val="Tahoma"/>
            <family val="2"/>
          </rPr>
          <t>talco:</t>
        </r>
        <r>
          <rPr>
            <sz val="9"/>
            <color indexed="81"/>
            <rFont val="Tahoma"/>
            <family val="2"/>
          </rPr>
          <t xml:space="preserve">
הספק בתנאי מעבדה </t>
        </r>
      </text>
    </comment>
  </commentList>
</comments>
</file>

<file path=xl/sharedStrings.xml><?xml version="1.0" encoding="utf-8"?>
<sst xmlns="http://schemas.openxmlformats.org/spreadsheetml/2006/main" count="1894" uniqueCount="514">
  <si>
    <t>שנה</t>
  </si>
  <si>
    <t>הספק חדש MW</t>
  </si>
  <si>
    <t>WACC</t>
  </si>
  <si>
    <t>אורך חיים כלכליים (בשנים)</t>
  </si>
  <si>
    <t>ערך נוכחי</t>
  </si>
  <si>
    <t>סה"כ עלות הקמה מלש"ח</t>
  </si>
  <si>
    <t>רוח</t>
  </si>
  <si>
    <t>עלות הקמה ₪/KW</t>
  </si>
  <si>
    <t>הסדרה 914</t>
  </si>
  <si>
    <t>בסיס תעריף חח״י</t>
  </si>
  <si>
    <t>ריבית שנתית להיוון</t>
  </si>
  <si>
    <t>הנחות כלליות</t>
  </si>
  <si>
    <t>סוללות לית'יום-יון</t>
  </si>
  <si>
    <t>תזרים תשלומים עלות תפעול - מלש"ח</t>
  </si>
  <si>
    <t>תזרים תשלומי עלות הקמה - מלש"ח</t>
  </si>
  <si>
    <t>תרמו סולארי</t>
  </si>
  <si>
    <t>אורך חיים כלכליים</t>
  </si>
  <si>
    <t>הספק נוסף נדרש</t>
  </si>
  <si>
    <t>בחירת סוגי יחידות</t>
  </si>
  <si>
    <t>מקדם תוספת עלות בגין ריבית בזמן הקמה - פיקר</t>
  </si>
  <si>
    <t>מקדם תוספת עלות בגין ריבית בזמן הקמה - מחז״ם</t>
  </si>
  <si>
    <t>מקדם התייעלות תחרותי</t>
  </si>
  <si>
    <t>הערכה</t>
  </si>
  <si>
    <t>חלק יחסי של מחזמים שיוקמו באר צמוד לאתר קיים, מתוך הספק מחז״מים חדשים</t>
  </si>
  <si>
    <t>הנחת עבודה</t>
  </si>
  <si>
    <t>עלות ב-₪ לקוו"ט מותקן מחז"מ באתר חדש</t>
  </si>
  <si>
    <t>הסדרה 914 מוצמד נכון ל 11.2019</t>
  </si>
  <si>
    <t>סה"כ</t>
  </si>
  <si>
    <t>יחידות</t>
  </si>
  <si>
    <t>MW</t>
  </si>
  <si>
    <t>פחם</t>
  </si>
  <si>
    <t>גז טבעי</t>
  </si>
  <si>
    <t>סולר</t>
  </si>
  <si>
    <t>TWH</t>
  </si>
  <si>
    <t>סוללות</t>
  </si>
  <si>
    <t>מוטה קרקע PV</t>
  </si>
  <si>
    <t>מוטה דואלי PV</t>
  </si>
  <si>
    <t>PV קרקע</t>
  </si>
  <si>
    <t>PV גגות קטנים</t>
  </si>
  <si>
    <t>PV גגות גדולים</t>
  </si>
  <si>
    <t>מוטה קרקע</t>
  </si>
  <si>
    <t>PV מחליפם</t>
  </si>
  <si>
    <t>אחר 1</t>
  </si>
  <si>
    <t>אחר 2</t>
  </si>
  <si>
    <t>מוטה דואלי</t>
  </si>
  <si>
    <t>נתוני עלות גולמיים הספק קונבנציונאלי</t>
  </si>
  <si>
    <t>תרחיש 1- 17% מתחדשות (מוטה קרקע)</t>
  </si>
  <si>
    <t>תרחיש 2- 17% מתחדשות (מוטה דואלי)</t>
  </si>
  <si>
    <t>רכיבים</t>
  </si>
  <si>
    <t>Module</t>
  </si>
  <si>
    <t>Inverter</t>
  </si>
  <si>
    <t>Balance of plant</t>
  </si>
  <si>
    <t>Engineering, procurement &amp; construction</t>
  </si>
  <si>
    <t>Other</t>
  </si>
  <si>
    <t>סה''כ עלות מערכת (דולר לוואט)</t>
  </si>
  <si>
    <t>תחזית עלויות מתקן סולארי  Utility Scale - (דולר לוואט, בלומברג)</t>
  </si>
  <si>
    <t>Battery rack</t>
  </si>
  <si>
    <t>PCS</t>
  </si>
  <si>
    <t>Balance of system</t>
  </si>
  <si>
    <t>Energy Management System</t>
  </si>
  <si>
    <t>EPC*</t>
  </si>
  <si>
    <t>Developer overheads</t>
  </si>
  <si>
    <t>Developer margin</t>
  </si>
  <si>
    <t>Transformer</t>
  </si>
  <si>
    <t>סה''כ עלות מערכת (דולר לקוט''ש)</t>
  </si>
  <si>
    <t>תחזית עלויות מתקן אגירה  Utility Scale - (דולר לקוט''ש, בלומברג)</t>
  </si>
  <si>
    <t>* הסדרה 914 מוצמד נכון ל 11.2019</t>
  </si>
  <si>
    <t>עלות תפעול % מסך ההון</t>
  </si>
  <si>
    <t xml:space="preserve">דונם למגה וואט </t>
  </si>
  <si>
    <t xml:space="preserve">עלות קרקע לדונם בש"ח </t>
  </si>
  <si>
    <t>חישוב עזר עלות תפעול - מלש"ח</t>
  </si>
  <si>
    <t>בסיס לעלות תפעול ₪/KW</t>
  </si>
  <si>
    <t>MW TO KW / KW TO W</t>
  </si>
  <si>
    <t>תפעול משתנה באג' לקוט"ש מחז"מ</t>
  </si>
  <si>
    <t xml:space="preserve">הסדרה 914 </t>
  </si>
  <si>
    <t>עלות תפעול קבועה ב-₪ לקוו"ט מחז"מ</t>
  </si>
  <si>
    <t>עלות תפעול קבועה ב-₪ לקוו"ט מחזור פתוח</t>
  </si>
  <si>
    <t>חישוב</t>
  </si>
  <si>
    <t>מקדם הפחתת נצילות בגין טמפרטורת אתר (20 מעלות בממוצע שנתי)</t>
  </si>
  <si>
    <t xml:space="preserve">מקדם הפחתת נצילות בגין הזדקנות </t>
  </si>
  <si>
    <t>מקדם הפחתת נצילות בגין עומס חלקי והתנעות</t>
  </si>
  <si>
    <t>HHV ל- LHV</t>
  </si>
  <si>
    <t>גז בפיקרים חדשים</t>
  </si>
  <si>
    <t>עבודה על הפחם</t>
  </si>
  <si>
    <t>עלות גז טבעי ב $ ל MMBTU</t>
  </si>
  <si>
    <t>₪ לאג</t>
  </si>
  <si>
    <t>MWH TO MMBTU</t>
  </si>
  <si>
    <r>
      <t xml:space="preserve">תפעול משתנה באג' לקוט"ש </t>
    </r>
    <r>
      <rPr>
        <sz val="12"/>
        <rFont val="Calibri"/>
        <family val="2"/>
        <charset val="177"/>
        <scheme val="minor"/>
      </rPr>
      <t>מחזור פתוח</t>
    </r>
  </si>
  <si>
    <t>עלות פחם ב- $ לטון</t>
  </si>
  <si>
    <t>MMBTU in a ton of coal</t>
  </si>
  <si>
    <t>עלות פחם ב- $ ל- MMBTU</t>
  </si>
  <si>
    <t>נצילות פחם במדיניות ההפחתה HHV</t>
  </si>
  <si>
    <t>בלו פחם (₪ לטון)</t>
  </si>
  <si>
    <t>הובלה ובלו [אג׳/קוט״ש]</t>
  </si>
  <si>
    <t>מחיר הובלה לפחם (דולר לטון)</t>
  </si>
  <si>
    <t>תפעול משתנה באג' לקוט"ש פחמי</t>
  </si>
  <si>
    <t xml:space="preserve">עלות חשמל מיוצר באג' לקוט"ש- פחם </t>
  </si>
  <si>
    <t>עלויות הזרמה ובלו באג' לקוט"ש - גז טבעי</t>
  </si>
  <si>
    <t>תפעול משתנה באג' לקוט"ש - גז טבעי</t>
  </si>
  <si>
    <t>נתוני נצילות גולמיים- גז טבעי</t>
  </si>
  <si>
    <t>BCM</t>
  </si>
  <si>
    <t>BCM TO CM</t>
  </si>
  <si>
    <t>MMBTU TO CM</t>
  </si>
  <si>
    <t>TW TO MW</t>
  </si>
  <si>
    <t>אנרגיות מתחדשות מוטה קרקע</t>
  </si>
  <si>
    <t>אנרגיות מתחדשות מוטה דואלי</t>
  </si>
  <si>
    <t>יצור משקי - Twh</t>
  </si>
  <si>
    <t>סך הכל - TWH</t>
  </si>
  <si>
    <t>נתוני ייצור משקי</t>
  </si>
  <si>
    <t>יחידה</t>
  </si>
  <si>
    <t>חח"י / יצרן חשמל פרטי</t>
  </si>
  <si>
    <t>הספק נקוב MW</t>
  </si>
  <si>
    <t>מועד הפעלה</t>
  </si>
  <si>
    <t>מועד הדממה</t>
  </si>
  <si>
    <t>סוג דלק</t>
  </si>
  <si>
    <t xml:space="preserve"> יחידות ייצור קיטוריות</t>
  </si>
  <si>
    <t>אורות רבין 1</t>
  </si>
  <si>
    <t>חברת חשמל</t>
  </si>
  <si>
    <t>אורות רבין 2</t>
  </si>
  <si>
    <t>אורות רבין 3</t>
  </si>
  <si>
    <t>אורות רבין 4</t>
  </si>
  <si>
    <t>אורות רבין 5</t>
  </si>
  <si>
    <t>אורות רבין 6</t>
  </si>
  <si>
    <t>רוטנברג 1</t>
  </si>
  <si>
    <t>רוטנברג 2</t>
  </si>
  <si>
    <t>רוטנברג 3</t>
  </si>
  <si>
    <t>רוטנברג 4</t>
  </si>
  <si>
    <t>אשכול ג' 6</t>
  </si>
  <si>
    <t>אשכול ג' 7</t>
  </si>
  <si>
    <t>אשכול ד' 8</t>
  </si>
  <si>
    <t>אשכול ד' 9</t>
  </si>
  <si>
    <t>רדינג ד' 3</t>
  </si>
  <si>
    <t>רדינג ד' 4</t>
  </si>
  <si>
    <t>טורבינות גז תעשייתיות</t>
  </si>
  <si>
    <t>טג"ת רמת חובב 1</t>
  </si>
  <si>
    <t>טג"ת רמת חובב 2</t>
  </si>
  <si>
    <t>טג"ת רמת חובב 6</t>
  </si>
  <si>
    <t>טג"ת רמת חובב 7</t>
  </si>
  <si>
    <t>טג"ת צפית 1</t>
  </si>
  <si>
    <t>טג"ת צפית 2</t>
  </si>
  <si>
    <t>טג"ת אלון תבור 1</t>
  </si>
  <si>
    <t>טג"ת אלון תבור 2</t>
  </si>
  <si>
    <t>טג"ת גזר 1</t>
  </si>
  <si>
    <t>טג"ת גזר 2</t>
  </si>
  <si>
    <t>טג"ת גזר 3</t>
  </si>
  <si>
    <t>טג"ת גזר 4</t>
  </si>
  <si>
    <t>מחז"מים</t>
  </si>
  <si>
    <t xml:space="preserve">מחז"מ רמת חובב 89 </t>
  </si>
  <si>
    <t xml:space="preserve">מחז"מ צפית 3 </t>
  </si>
  <si>
    <t>מחז"מ אלון תבור 3</t>
  </si>
  <si>
    <t>מחז"מ חגית 20</t>
  </si>
  <si>
    <t>מחז"מ חגית 19</t>
  </si>
  <si>
    <t>מחז"מ גזר 30</t>
  </si>
  <si>
    <t>מחז"מ גזר 40</t>
  </si>
  <si>
    <t>מחז"מ אשכול 12</t>
  </si>
  <si>
    <t xml:space="preserve">מחז"מ אשכול  34 </t>
  </si>
  <si>
    <t>מחז"מ חיפה 4</t>
  </si>
  <si>
    <t>מחז"מ חיפה 3</t>
  </si>
  <si>
    <t>מחז"מ רמת חובב 34</t>
  </si>
  <si>
    <t>מחז"מ חגית 34</t>
  </si>
  <si>
    <t>מחז"מ חגית 56</t>
  </si>
  <si>
    <t>טורבינות גז סילוניות וטורבינות גז תעשייתיות בסולר</t>
  </si>
  <si>
    <t>טג"ת אילת 2</t>
  </si>
  <si>
    <t>טג"ת עטרות 1</t>
  </si>
  <si>
    <t>טג"ת עטרות 2</t>
  </si>
  <si>
    <t>טג"ס רעננה</t>
  </si>
  <si>
    <t>טג"ס קיסריה 3</t>
  </si>
  <si>
    <t>טג"ס אילת 3</t>
  </si>
  <si>
    <t xml:space="preserve">טג"ס אילת 1 </t>
  </si>
  <si>
    <t>טג"ס מ"ד</t>
  </si>
  <si>
    <t>טג"ס רוטנברג 1</t>
  </si>
  <si>
    <t>טג"ס רוטנברג 2</t>
  </si>
  <si>
    <t>טג"ס אשכול</t>
  </si>
  <si>
    <t>יחידות ייצור חדשות חברת החשמל</t>
  </si>
  <si>
    <t>מחז"מ 1 במקום א"ר 1-4</t>
  </si>
  <si>
    <t>מחז"מ 2 במקום א"ר 1-4</t>
  </si>
  <si>
    <t xml:space="preserve">יח"פים </t>
  </si>
  <si>
    <t>יצרן חשמל פרטי</t>
  </si>
  <si>
    <t>דליה אנרגיות כח בע"מ 1</t>
  </si>
  <si>
    <t>אי.פי.אם באר טוביה</t>
  </si>
  <si>
    <t>דליה אנרגיות כח בע"מ 2</t>
  </si>
  <si>
    <t>או.פי.סי מישור רותם בע"מ</t>
  </si>
  <si>
    <t>דוראד אנרגיה בע"מ - בלוק 1</t>
  </si>
  <si>
    <t>דוראד אנרגיה בע"מ - בלוק 2</t>
  </si>
  <si>
    <t xml:space="preserve">איי פיי פיי דלק שורק </t>
  </si>
  <si>
    <t>משאב ייזום ופיתוח בע"מ 1</t>
  </si>
  <si>
    <t>משאב ייזום ופיתוח בע"מ 2</t>
  </si>
  <si>
    <t>פז"א 1</t>
  </si>
  <si>
    <t>פז"א 2</t>
  </si>
  <si>
    <t>מפעלי ים המלח</t>
  </si>
  <si>
    <t>איי.פי.פי אשקלון</t>
  </si>
  <si>
    <t>איי.פי.פי אלון תבור</t>
  </si>
  <si>
    <t>איי.פי.פי רמת גבריאל</t>
  </si>
  <si>
    <t>אלון מרכזי אנרגיה</t>
  </si>
  <si>
    <t>בזן</t>
  </si>
  <si>
    <t xml:space="preserve">קוגנרציות נוספות </t>
  </si>
  <si>
    <t>רשות שדות התעופה</t>
  </si>
  <si>
    <t>נייר חדרה חדש</t>
  </si>
  <si>
    <t>רמת נגב אנרגיה</t>
  </si>
  <si>
    <t>אשדוד אנרגיה</t>
  </si>
  <si>
    <t>פיקר פוטנציאלי</t>
  </si>
  <si>
    <t>צומת אנרגיה בע"מ</t>
  </si>
  <si>
    <t>סוג יחידה</t>
  </si>
  <si>
    <t>יחידה פחמית</t>
  </si>
  <si>
    <t>יתרת פתיחה יחידות ייצור</t>
  </si>
  <si>
    <t>יחידות נגרטות</t>
  </si>
  <si>
    <t>יחידות חדשות</t>
  </si>
  <si>
    <t>מס ימי עבודה בשנת הקמה</t>
  </si>
  <si>
    <t>יחידות בסולר</t>
  </si>
  <si>
    <t>גז במחזמים חדשים</t>
  </si>
  <si>
    <t>מקדם הספק</t>
  </si>
  <si>
    <t>עלות תפעול קבועה ₪/KW</t>
  </si>
  <si>
    <t>תחזית עלויות מתקן סולארי  Commercial - (דולר לוואט, בלומברג)</t>
  </si>
  <si>
    <t>תחזית עלויות מתקן סולארי  Residential - (דולר לוואט, בלומברג)</t>
  </si>
  <si>
    <t>BOP</t>
  </si>
  <si>
    <t>EPC</t>
  </si>
  <si>
    <t>* מבוסס על מחירי בלומברג לשנת 2019 דולר לוואט</t>
  </si>
  <si>
    <t>* ההנחה היא שמחירי הסוללות נשארות קבועות לאחר שנת 2030</t>
  </si>
  <si>
    <t>עלות הקמה ₪/KW (סוללות ₪/KWH )</t>
  </si>
  <si>
    <t>עלות תפעול קבועה ₪/KW (לסוללות ₪/KWH)</t>
  </si>
  <si>
    <t>עלות חשמל מיוצר באג' לקוט"ש</t>
  </si>
  <si>
    <t>ייצור חשמל (נתוני הרצה)</t>
  </si>
  <si>
    <t>תמהיל דלקים (נתוני הרצה)</t>
  </si>
  <si>
    <t>ביומסה/ביוגז</t>
  </si>
  <si>
    <t>PV 30%</t>
  </si>
  <si>
    <t>PV 17%</t>
  </si>
  <si>
    <t>יחס KW מותקן ל- KWH</t>
  </si>
  <si>
    <t>הספק מותקן MW</t>
  </si>
  <si>
    <t>מס אי ימי עבודה בשנת הגריטה</t>
  </si>
  <si>
    <t>דגרדציה</t>
  </si>
  <si>
    <t>סה"כ ייצור לשנה</t>
  </si>
  <si>
    <t>נתוני ייצור PV ב- TWH (30%)</t>
  </si>
  <si>
    <t>נתוני ייצור PV ב- TWH (17%)</t>
  </si>
  <si>
    <t>אחוז ייצור מתחדשות נדרש לשנת 2030</t>
  </si>
  <si>
    <t>הספק נדרש ב- MW לעמידה ביעד 30% לשנת 2030</t>
  </si>
  <si>
    <t>הספק נדרש ב- MW לעמידה ביעד 17% לשנת 2030</t>
  </si>
  <si>
    <t>יצור PV נדרש MWH</t>
  </si>
  <si>
    <t>שנת הוספת הספק/ שנת יצור</t>
  </si>
  <si>
    <t>יצור מתחדשות נדרש TWH</t>
  </si>
  <si>
    <t>חלקיקים</t>
  </si>
  <si>
    <t>CO2</t>
  </si>
  <si>
    <t>NOX</t>
  </si>
  <si>
    <t>SOX</t>
  </si>
  <si>
    <t xml:space="preserve">מקדמי פליטות - בפועל (גר׳/קוט״ש) </t>
  </si>
  <si>
    <t>מקדמי פליטות</t>
  </si>
  <si>
    <t>שיעור הפחתת כמות שנתי</t>
  </si>
  <si>
    <t>שיעור עלית מחיר</t>
  </si>
  <si>
    <t>NOx</t>
  </si>
  <si>
    <r>
      <t>CO</t>
    </r>
    <r>
      <rPr>
        <vertAlign val="subscript"/>
        <sz val="11"/>
        <color theme="1"/>
        <rFont val="Calibri (Body)"/>
      </rPr>
      <t>2</t>
    </r>
  </si>
  <si>
    <t>מזהם</t>
  </si>
  <si>
    <t>מחיר בש"ח לטון</t>
  </si>
  <si>
    <t>מחיר מזהמים</t>
  </si>
  <si>
    <t>מלש"ח ל- ₪ / טון לגר' / מיליון טון לטון</t>
  </si>
  <si>
    <t>שנת בסיס</t>
  </si>
  <si>
    <t>שנת התחלת חישוב תזרים</t>
  </si>
  <si>
    <t>עלות CO2 מלש"ח</t>
  </si>
  <si>
    <t>שנת היוון מקסימלית - תפעולי</t>
  </si>
  <si>
    <t>שנת היוון מקסימלית - השקעות</t>
  </si>
  <si>
    <t>כמות CO2 -מיליוני טון</t>
  </si>
  <si>
    <t>הספק נדרש לאותה שנה MW</t>
  </si>
  <si>
    <t>דלקים</t>
  </si>
  <si>
    <t>דלקים מהוון</t>
  </si>
  <si>
    <t>גזי חממה (CO2)</t>
  </si>
  <si>
    <t>גזי חממה (CO2) מהוון</t>
  </si>
  <si>
    <t>מזהמים מקומיים</t>
  </si>
  <si>
    <t>מזהמים מקומיים מהוון</t>
  </si>
  <si>
    <t>עלות השקעה ב- מלש"ח</t>
  </si>
  <si>
    <t>עלות תפעול ב- מלש"ח</t>
  </si>
  <si>
    <t>קונבנציונאלי</t>
  </si>
  <si>
    <t>קונבנציונאלי מהוון</t>
  </si>
  <si>
    <t>מתחדשות</t>
  </si>
  <si>
    <t>כמויות מיליוני טון</t>
  </si>
  <si>
    <t>כמות דלקים</t>
  </si>
  <si>
    <t>BCM גז טבעי</t>
  </si>
  <si>
    <t>ייצור חשמל TWH</t>
  </si>
  <si>
    <t>מחז"מ</t>
  </si>
  <si>
    <t>פיקר</t>
  </si>
  <si>
    <t>PV</t>
  </si>
  <si>
    <t>סיומסה/ביוגז</t>
  </si>
  <si>
    <t>מתחדשות ואגירה</t>
  </si>
  <si>
    <t>עלות דלקים ומזהמים ב- מלש"ח</t>
  </si>
  <si>
    <t>תוספת הספק  מתחדשות</t>
  </si>
  <si>
    <t>סה"כ לכל התקופה</t>
  </si>
  <si>
    <t>סה"כ לתקופה הנבחרת</t>
  </si>
  <si>
    <t>נתונים לתקופה הנבחרת</t>
  </si>
  <si>
    <t>טג"ס כינורות</t>
  </si>
  <si>
    <t>טג"ס חיפה</t>
  </si>
  <si>
    <t>טג"ס קיסריה</t>
  </si>
  <si>
    <t>טג"ס הרטוב</t>
  </si>
  <si>
    <t xml:space="preserve">טג"ס איתן </t>
  </si>
  <si>
    <t>טורבינות גז נוספות</t>
  </si>
  <si>
    <t>חיפה כימיקלים דרום</t>
  </si>
  <si>
    <t>מפעלי ים המלח בע"מ</t>
  </si>
  <si>
    <t>רפא"ל</t>
  </si>
  <si>
    <t>אזה"ת ראשל"צ</t>
  </si>
  <si>
    <t>רותם אמפרט</t>
  </si>
  <si>
    <t>יחידות פחם מוסבות לגז טבעי</t>
  </si>
  <si>
    <t>הפרש תרחיש 3 ותרחיש 1</t>
  </si>
  <si>
    <t>הפרש תרחיש 4 ותרחיש 2</t>
  </si>
  <si>
    <t>סה"כ השקעה</t>
  </si>
  <si>
    <t>סה"כ השקעה מהוון</t>
  </si>
  <si>
    <t>סה"כ עלות תפעול מהוון</t>
  </si>
  <si>
    <t xml:space="preserve">סה"כ עלות </t>
  </si>
  <si>
    <t>סה"כ עלות מהוון</t>
  </si>
  <si>
    <t>סה"כ עלות תפעול</t>
  </si>
  <si>
    <t xml:space="preserve">סה"כ עלות תפעול </t>
  </si>
  <si>
    <t>עלות הקמה ₪/KWH</t>
  </si>
  <si>
    <t>* עלות קרקע זניחה</t>
  </si>
  <si>
    <t>אגירה שאובה</t>
  </si>
  <si>
    <t>כוכב אגירה שאובה בע"מ</t>
  </si>
  <si>
    <t>פי.אס.פי השקעות בע"מ</t>
  </si>
  <si>
    <t>מכסה נוספת</t>
  </si>
  <si>
    <t>עלות קרקע לדונם ₪/KW
PV קרקע</t>
  </si>
  <si>
    <t>עלות קרקע לדונם ₪/KW
PV מאגרים ומחלפים</t>
  </si>
  <si>
    <t>עלות קרקע לדונם ₪/KW
PV גגות</t>
  </si>
  <si>
    <t>PV מאגרים ומחלפים</t>
  </si>
  <si>
    <t>PV גגות</t>
  </si>
  <si>
    <t>עלות ציוד</t>
  </si>
  <si>
    <t>עלות הקמה (לרבות קרקע)</t>
  </si>
  <si>
    <t>שער יורו שקל</t>
  </si>
  <si>
    <t>שער הדולר שקל</t>
  </si>
  <si>
    <t>ממוצע 2019</t>
  </si>
  <si>
    <t>סה"כ עלות מזהמים מהוון</t>
  </si>
  <si>
    <t>סה"כ עלות מזהמים</t>
  </si>
  <si>
    <t>סוג</t>
  </si>
  <si>
    <t>פי.וי. במתח עליון</t>
  </si>
  <si>
    <t>פי.וי. במתח גבוה</t>
  </si>
  <si>
    <t>פי.וי. במתח נמוך</t>
  </si>
  <si>
    <t>קרקע</t>
  </si>
  <si>
    <t>דואלי</t>
  </si>
  <si>
    <t>גז פחמיות מוסבות</t>
  </si>
  <si>
    <t>קונבנציונאלי מהוון (אחרי פריסה)</t>
  </si>
  <si>
    <t>מתחדשות ואגירה מהוון (אחרי פריסה)</t>
  </si>
  <si>
    <t>רוח- במונחי יורו/W</t>
  </si>
  <si>
    <t>קונבנציונאלי (אחרי פריסה)</t>
  </si>
  <si>
    <t>מתחדשות ואגירה (אחרי פריסה)</t>
  </si>
  <si>
    <t>מתחדשות ואגירה מהוון</t>
  </si>
  <si>
    <t>תרחיש 1- 17% מתחדשות (מוטה קרקעי)</t>
  </si>
  <si>
    <t>עלות דלקים במלש"ח</t>
  </si>
  <si>
    <t>PV 25%</t>
  </si>
  <si>
    <t>הספק נדרש ב- MW לעמידה ביעד 25% לשנת 2030</t>
  </si>
  <si>
    <t>נתוני ייצור PV ב- TWH (25%)</t>
  </si>
  <si>
    <t>תרחיש 3- 25% מתחדשות (מוטה קרקע)</t>
  </si>
  <si>
    <t>תרחיש 4- 25% מתחדשות (מוטה דואלי)</t>
  </si>
  <si>
    <t>תרחיש 5- 30% מתחדשות (מוטה קרקע)</t>
  </si>
  <si>
    <t>תרחיש 6- 30% מתחדשות (מוטה דואלי)</t>
  </si>
  <si>
    <t>תרחיש 3- 25% מתחדשות (מוטה קרקעי)</t>
  </si>
  <si>
    <t xml:space="preserve">הפרש תרחיש 5 ותרחיש 3 </t>
  </si>
  <si>
    <t>הפרש תרחיש 6 ותרחיש 4</t>
  </si>
  <si>
    <t>הפרש תרחיש 5 ותרחיש 1</t>
  </si>
  <si>
    <t>הפרש תרחיש 6 ותרחיש 2</t>
  </si>
  <si>
    <t>גז חח"י מחזמים ופקירים ויח"פים</t>
  </si>
  <si>
    <t>נתוני עלות מלש"ח</t>
  </si>
  <si>
    <t>סולר ופצלי שמן</t>
  </si>
  <si>
    <t>תחזית בנק עולמי</t>
  </si>
  <si>
    <t xml:space="preserve">עלות חשמל מיוצר באג' לקוט"ש- סולר </t>
  </si>
  <si>
    <t>אחוז קטימה</t>
  </si>
  <si>
    <t>תחמ"ג 400/161 ק"ו</t>
  </si>
  <si>
    <t>תחמ"ש חיצונית 2 שנאים (100 מגו"א)</t>
  </si>
  <si>
    <t>קו 400 ק"ו ₪/ ק"מ</t>
  </si>
  <si>
    <t>קו 161 ק"ו ₪/ ק"מ</t>
  </si>
  <si>
    <t>נתוני רשת</t>
  </si>
  <si>
    <t>אזור כללי</t>
  </si>
  <si>
    <t>אזור</t>
  </si>
  <si>
    <t>מספר תחמ"שים</t>
  </si>
  <si>
    <t>ק"מ 161</t>
  </si>
  <si>
    <t>מספר תחמ"גים</t>
  </si>
  <si>
    <t>ק"מ 400</t>
  </si>
  <si>
    <t>עלות תחמ"שים</t>
  </si>
  <si>
    <t>עלות קווי 161</t>
  </si>
  <si>
    <t>עלות תחמ"גים</t>
  </si>
  <si>
    <t>עלות קו 400</t>
  </si>
  <si>
    <t>סך הכל עלות</t>
  </si>
  <si>
    <t>צפון</t>
  </si>
  <si>
    <t>צפון א</t>
  </si>
  <si>
    <t>צפון ב</t>
  </si>
  <si>
    <t>צפון ג</t>
  </si>
  <si>
    <t>ירושלים
שרון, מרכז,</t>
  </si>
  <si>
    <t>ירושלים שרון, מרכז,</t>
  </si>
  <si>
    <t>שפלה ואיתן</t>
  </si>
  <si>
    <t>נגב מערבי</t>
  </si>
  <si>
    <t>נגב מערבי א</t>
  </si>
  <si>
    <t>נגב מערבי ב</t>
  </si>
  <si>
    <t>נגב</t>
  </si>
  <si>
    <t>פארן - אילת</t>
  </si>
  <si>
    <t>עלויות מלש"ח</t>
  </si>
  <si>
    <t>תרחיש ללא אגירה</t>
  </si>
  <si>
    <t>בחירת תרחיש אגירה</t>
  </si>
  <si>
    <t>תרחיש אגירה- מחיר גבוה</t>
  </si>
  <si>
    <t>תרחיש אגירה- מחיר נמוך</t>
  </si>
  <si>
    <t>עלויות רשת הולכה</t>
  </si>
  <si>
    <t>מספר שעות אגירה</t>
  </si>
  <si>
    <t>אחר</t>
  </si>
  <si>
    <t>אנרגיות מתחדשות</t>
  </si>
  <si>
    <t xml:space="preserve">יעד מתחדשות </t>
  </si>
  <si>
    <t>יצור חשמל TWH</t>
  </si>
  <si>
    <t>סה"כ יצור חשמל TWH בשנת 2030</t>
  </si>
  <si>
    <t>עלות יצור חשמל מלש"ח</t>
  </si>
  <si>
    <t>עלות יצור חשמל אג' לקוט"ש</t>
  </si>
  <si>
    <t>נתונים</t>
  </si>
  <si>
    <t>עלות יצור חשמל במקרה של אי אספקת גז טבעי בשנת 2030 ושימוש מוגבר בפחם</t>
  </si>
  <si>
    <t>סה"כ עלות מהוון- מוטה קרקע</t>
  </si>
  <si>
    <t>סה"כ עלות מהוון- מוטה דואלי</t>
  </si>
  <si>
    <t>סוללות לית'יום-יון מחיר נמוך</t>
  </si>
  <si>
    <t>סוללות לית'יום-יון מחיר גבוה</t>
  </si>
  <si>
    <t>סוללות לית'יום-יון עלות הקמה מחיר גבוה
$/kW</t>
  </si>
  <si>
    <t>סוללות לית'יום-יון עלות תפעול מחיר גבוה
$/kW</t>
  </si>
  <si>
    <t xml:space="preserve"> רשת ההולכה- עלויות רשת לצורך חישוב ממוצע עלות לכל MW מותקן לכל אזור</t>
  </si>
  <si>
    <t>ממוצע השקעה ברשת ההולכה לכל KW מותקן בש"ח</t>
  </si>
  <si>
    <t>הספק מותקן לכל אזור MW</t>
  </si>
  <si>
    <t>עלות השקעה ממוצעת ש"ח/KW</t>
  </si>
  <si>
    <t>הספק MW
תרחיש קרקעי</t>
  </si>
  <si>
    <t>הספק MW
תרחיש דואלי</t>
  </si>
  <si>
    <t>הספק תוספתי נדרש להגה ליעד עד שנת 2030</t>
  </si>
  <si>
    <t>תוספת השקעה ברשת ב- מלש"ח</t>
  </si>
  <si>
    <t>תזרים תשלומי עלות השקעה ברשת - מלש"ח</t>
  </si>
  <si>
    <t>הנחות בהשקעות רשת</t>
  </si>
  <si>
    <t>Wacc רשת</t>
  </si>
  <si>
    <t>אורך חיים</t>
  </si>
  <si>
    <t>השקעות ברשת</t>
  </si>
  <si>
    <t>(Dumped Energy) - GWH 
לפי תוצאות הרצות תפ"ט</t>
  </si>
  <si>
    <t>אחוז</t>
  </si>
  <si>
    <t>%</t>
  </si>
  <si>
    <t>עלות / (חסכון) עודף מלש"ח</t>
  </si>
  <si>
    <t>עלות דלקים</t>
  </si>
  <si>
    <t>עלות מתחדשות ורשת</t>
  </si>
  <si>
    <t>השקעה ברשת</t>
  </si>
  <si>
    <t>סה"כ עלות</t>
  </si>
  <si>
    <t>עלות יצור קונבנציונאלי ואגירה</t>
  </si>
  <si>
    <t>סה"כ עלות דלקים</t>
  </si>
  <si>
    <t>עלות דלקים מהוונת לשנת 2020</t>
  </si>
  <si>
    <t>סה"כ עלות דלקים עודפת (מעבר למצב עסקים כרגיל) לשנת 2030</t>
  </si>
  <si>
    <t>עלות דלקים מהוונת עודפת (מעבר למצב עסקים כרגיל) לשנת 2030</t>
  </si>
  <si>
    <t>עלות דלקים עודפת - ביטחון אנרגטי</t>
  </si>
  <si>
    <t>עלות דלקים עודפת מהוונת - ביטחון אנרגטי</t>
  </si>
  <si>
    <t>סה"כ דלקים מהוון</t>
  </si>
  <si>
    <t>סה"כ דלקים</t>
  </si>
  <si>
    <t>השקעות ברשת החשמל מהוון (אחרי פריסה)</t>
  </si>
  <si>
    <t>השקעות ברשת החשמל (אחרי פריסה)</t>
  </si>
  <si>
    <t>עלות עודפת במיליוני ₪</t>
  </si>
  <si>
    <t>עלות במיליוני ₪</t>
  </si>
  <si>
    <t xml:space="preserve">תפעול קבוע של יחידות קונבנציונאליות </t>
  </si>
  <si>
    <t xml:space="preserve">השקעות של יחידות קונבנציונאליות </t>
  </si>
  <si>
    <t>עלות דלקים בחרום</t>
  </si>
  <si>
    <t>תפעול קבוע מתקני אגירה</t>
  </si>
  <si>
    <t>השקעות מתקני אגירה</t>
  </si>
  <si>
    <t>תפעול קבוע מתקני יצור מתחדשים</t>
  </si>
  <si>
    <t>השקעות מתקני יצור מתחדשים</t>
  </si>
  <si>
    <t>גזי חממה</t>
  </si>
  <si>
    <t>סה"כ עלות יצור קונבנציונאלי ואגירה</t>
  </si>
  <si>
    <t>סה"כ עלות מתחדשות ורשת</t>
  </si>
  <si>
    <t>סה"כ עלות זהום</t>
  </si>
  <si>
    <t>* צריך להעתיק את ערך העלויות בתרחישים הגבוה והנמוך</t>
  </si>
  <si>
    <t>תוספת הספק קונבנציונאלי ואגירה</t>
  </si>
  <si>
    <t>אגירה</t>
  </si>
  <si>
    <t>תרחיש עלות נמוך</t>
  </si>
  <si>
    <t>סה"כ עלות הקמה ותפעול קבוע של אנרגיות מתחדשות</t>
  </si>
  <si>
    <t>סה"כ עלות הקמה ותפעול קבוע של יצור קונ' ואגירה</t>
  </si>
  <si>
    <t>תרחיש עלות גבוה</t>
  </si>
  <si>
    <t>כ- 129 בשנת 2020 ו- 82 בשנת 2030</t>
  </si>
  <si>
    <t>כ- 3,900 בשנת 2020 ו- 2,300 בשנת 2030</t>
  </si>
  <si>
    <t>כ- 6,200 בשנת 2020 ו- 3,900 בשנת 2030</t>
  </si>
  <si>
    <t>מסחרי</t>
  </si>
  <si>
    <t>קרקעי</t>
  </si>
  <si>
    <t>גגות קטנים</t>
  </si>
  <si>
    <t>מוטה קרקע 17%</t>
  </si>
  <si>
    <t>מוטה דואלי 17%</t>
  </si>
  <si>
    <t>מוטה קרקע 30%</t>
  </si>
  <si>
    <t>מוטה דואלי 30%</t>
  </si>
  <si>
    <r>
      <t xml:space="preserve">עלות ב-₪ לקוו"ט מותקן </t>
    </r>
    <r>
      <rPr>
        <sz val="12"/>
        <rFont val="Calibri"/>
        <family val="2"/>
        <charset val="177"/>
        <scheme val="minor"/>
      </rPr>
      <t xml:space="preserve">מחזור פתוח גמיש </t>
    </r>
  </si>
  <si>
    <t>עלות ב-₪ לקוו"ט מותקן מחז"מ צמוד לאתר קיים</t>
  </si>
  <si>
    <t>תרחיש עלות עודפת מקסימלית</t>
  </si>
  <si>
    <t>סה"כ לשנת 2040</t>
  </si>
  <si>
    <t>תרחיש עלות עודפת מנימלית</t>
  </si>
  <si>
    <t>עלות הקמה מתקני PV ב- ₪/KW</t>
  </si>
  <si>
    <t>עלות הקמה של מתקני אגירה ועלות תפעול קבועה ב- ₪/KWH</t>
  </si>
  <si>
    <t>מחיר הגז הטבעי ב- $/MMBTU</t>
  </si>
  <si>
    <t>מחיר פליטות CO2 ב- ₪/לטון</t>
  </si>
  <si>
    <t>תוכנית פיתוח מערך היצור</t>
  </si>
  <si>
    <t>לפי תרחיש עלות מתקני אגירה גבוה</t>
  </si>
  <si>
    <t>לפי תרחיש עלות מתקני אגירה נמוכה</t>
  </si>
  <si>
    <t>תרחיש מוטה דואלי</t>
  </si>
  <si>
    <t>תרחיש מוטה קרקע</t>
  </si>
  <si>
    <t>עלות תפעול קבוע ₪/KWH</t>
  </si>
  <si>
    <t>PV קרקע ומאגרים גדולים</t>
  </si>
  <si>
    <t>PV מאגרים קטנים</t>
  </si>
  <si>
    <t>תרחישי הספק מתחדשות לפי קטגורית עלות</t>
  </si>
  <si>
    <t>תפעול קבוע</t>
  </si>
  <si>
    <t>השקעות</t>
  </si>
  <si>
    <t>חישוב ללא עלות זיהום</t>
  </si>
  <si>
    <t xml:space="preserve">פקירים </t>
  </si>
  <si>
    <t>שנת הקמה אגירה שאובה</t>
  </si>
  <si>
    <t>קיטורי</t>
  </si>
  <si>
    <t>מחז"מים וקוגנרציה</t>
  </si>
  <si>
    <t>כמות SOX -מיליוני טון</t>
  </si>
  <si>
    <t>עלות NOX מלש"ח</t>
  </si>
  <si>
    <t>כמות NOX -מיליוני טון</t>
  </si>
  <si>
    <t>עלות SOX מלש"ח</t>
  </si>
  <si>
    <t>כמות חלקיקים -מיליוני טון</t>
  </si>
  <si>
    <t>עלות חלקקים מלש"ח</t>
  </si>
  <si>
    <t>ע"פ נתוני הבנק העולמי לשנה מייצגת 2027</t>
  </si>
  <si>
    <t>https://www.gov.il/he/departments/general/heshavon31819</t>
  </si>
  <si>
    <t>חלקקים</t>
  </si>
  <si>
    <t>CO2 במיליוני טון</t>
  </si>
  <si>
    <t>עלות נחסכת</t>
  </si>
  <si>
    <t>עלות עודפת</t>
  </si>
  <si>
    <t>סכום עלויות עודפות</t>
  </si>
  <si>
    <t>חסכון לצרכן חשמל</t>
  </si>
  <si>
    <t>עלות לצרכן חשמל</t>
  </si>
  <si>
    <t>עלות עודפת לצרכן</t>
  </si>
  <si>
    <t>Wind</t>
  </si>
  <si>
    <t>Biomass \ Biogas</t>
  </si>
  <si>
    <t>Thermo Solar</t>
  </si>
  <si>
    <t>גידול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</si>
</sst>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3" formatCode="_-* #,##0.00_-;\-* #,##0.00_-;_-* &quot;-&quot;??_-;_-@_-"/>
    <numFmt numFmtId="164" formatCode="&quot;₪&quot;\ #,##0;[Red]&quot;₪&quot;\ \-#,##0"/>
    <numFmt numFmtId="165" formatCode="_ &quot;₪&quot;\ * #,##0.00_ ;_ &quot;₪&quot;\ * \-#,##0.00_ ;_ &quot;₪&quot;\ * &quot;-&quot;??_ ;_ @_ "/>
    <numFmt numFmtId="166" formatCode="_ * #,##0.00_ ;_ * \-#,##0.00_ ;_ * &quot;-&quot;??_ ;_ @_ "/>
    <numFmt numFmtId="167" formatCode="_ * #,##0_ ;_ * \-#,##0_ ;_ * &quot;-&quot;??_ ;_ @_ "/>
    <numFmt numFmtId="168" formatCode="0.000"/>
    <numFmt numFmtId="169" formatCode="_ &quot;₪&quot;\ * #,##0_ ;_ &quot;₪&quot;\ * \-#,##0_ ;_ &quot;₪&quot;\ * &quot;-&quot;??_ ;_ @_ "/>
    <numFmt numFmtId="170" formatCode="#,##0.0"/>
    <numFmt numFmtId="171" formatCode="0.0%"/>
    <numFmt numFmtId="172" formatCode="0.0"/>
    <numFmt numFmtId="173" formatCode="_ &quot;₪&quot;\ * #,##0.000000_ ;_ &quot;₪&quot;\ * \-#,##0.000000_ ;_ &quot;₪&quot;\ * &quot;-&quot;??_ ;_ @_ "/>
    <numFmt numFmtId="174" formatCode="_ * #,##0.0000000000000_ ;_ * \-#,##0.0000000000000_ ;_ * &quot;-&quot;??_ ;_ @_ "/>
    <numFmt numFmtId="175" formatCode="_ * #,##0.0000000000000000000_ ;_ * \-#,##0.0000000000000000000_ ;_ * &quot;-&quot;??_ ;_ @_ "/>
    <numFmt numFmtId="176" formatCode="_ * #,##0.0_ ;_ * \-#,##0.0_ ;_ * &quot;-&quot;??_ ;_ @_ "/>
    <numFmt numFmtId="177" formatCode="_ * #,##0.0000_ ;_ * \-#,##0.0000_ ;_ * &quot;-&quot;??_ ;_ @_ "/>
  </numFmts>
  <fonts count="33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2"/>
      <color theme="1"/>
      <name val="Calibri"/>
      <family val="2"/>
      <charset val="177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2"/>
      <name val="Calibri"/>
      <family val="2"/>
      <charset val="177"/>
      <scheme val="minor"/>
    </font>
    <font>
      <sz val="12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Arial"/>
      <family val="2"/>
    </font>
    <font>
      <b/>
      <u/>
      <sz val="20"/>
      <color theme="1"/>
      <name val="Arial"/>
      <family val="2"/>
    </font>
    <font>
      <b/>
      <sz val="20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vertAlign val="subscript"/>
      <sz val="11"/>
      <color theme="1"/>
      <name val="Calibri (Body)"/>
    </font>
    <font>
      <b/>
      <sz val="12"/>
      <color theme="1"/>
      <name val="Calibri"/>
      <family val="2"/>
      <charset val="177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1"/>
      <name val="Calibri"/>
      <family val="2"/>
      <scheme val="minor"/>
    </font>
    <font>
      <sz val="12"/>
      <color rgb="FF000000"/>
      <name val="David"/>
      <family val="2"/>
    </font>
    <font>
      <b/>
      <sz val="12"/>
      <color rgb="FF000000"/>
      <name val="David"/>
      <family val="2"/>
    </font>
    <font>
      <b/>
      <sz val="12"/>
      <color theme="1"/>
      <name val="David"/>
      <family val="2"/>
    </font>
    <font>
      <sz val="12"/>
      <color theme="1"/>
      <name val="David"/>
      <family val="2"/>
    </font>
    <font>
      <b/>
      <sz val="11"/>
      <color theme="1"/>
      <name val="Calibri"/>
      <family val="2"/>
      <charset val="177"/>
      <scheme val="minor"/>
    </font>
    <font>
      <b/>
      <sz val="24"/>
      <color theme="1"/>
      <name val="Calibri"/>
      <family val="2"/>
      <scheme val="minor"/>
    </font>
    <font>
      <u/>
      <sz val="11"/>
      <color theme="10"/>
      <name val="Calibri"/>
      <family val="2"/>
      <charset val="177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2" fillId="0" borderId="0" applyNumberFormat="0" applyFill="0" applyBorder="0" applyAlignment="0" applyProtection="0"/>
  </cellStyleXfs>
  <cellXfs count="1338">
    <xf numFmtId="0" fontId="0" fillId="0" borderId="0" xfId="0"/>
    <xf numFmtId="0" fontId="3" fillId="0" borderId="0" xfId="0" applyFont="1" applyBorder="1" applyAlignment="1">
      <alignment horizontal="center"/>
    </xf>
    <xf numFmtId="0" fontId="3" fillId="0" borderId="7" xfId="0" applyFont="1" applyBorder="1"/>
    <xf numFmtId="0" fontId="4" fillId="0" borderId="0" xfId="0" applyFont="1"/>
    <xf numFmtId="0" fontId="5" fillId="0" borderId="20" xfId="0" applyFont="1" applyBorder="1" applyAlignment="1">
      <alignment horizontal="center" vertical="center" wrapText="1" readingOrder="2"/>
    </xf>
    <xf numFmtId="0" fontId="5" fillId="0" borderId="0" xfId="0" applyFont="1" applyBorder="1" applyAlignment="1">
      <alignment horizontal="center" vertical="center" wrapText="1" readingOrder="2"/>
    </xf>
    <xf numFmtId="0" fontId="4" fillId="0" borderId="28" xfId="0" applyFont="1" applyBorder="1"/>
    <xf numFmtId="0" fontId="5" fillId="0" borderId="7" xfId="0" applyFont="1" applyBorder="1" applyAlignment="1">
      <alignment horizontal="center" vertical="center" wrapText="1" readingOrder="2"/>
    </xf>
    <xf numFmtId="0" fontId="6" fillId="0" borderId="18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right"/>
    </xf>
    <xf numFmtId="0" fontId="4" fillId="0" borderId="13" xfId="0" applyFont="1" applyBorder="1" applyAlignment="1">
      <alignment horizontal="right"/>
    </xf>
    <xf numFmtId="0" fontId="4" fillId="0" borderId="14" xfId="0" applyFont="1" applyBorder="1"/>
    <xf numFmtId="167" fontId="4" fillId="0" borderId="14" xfId="1" applyNumberFormat="1" applyFont="1" applyBorder="1"/>
    <xf numFmtId="0" fontId="4" fillId="0" borderId="15" xfId="0" applyFont="1" applyBorder="1" applyAlignment="1">
      <alignment horizontal="right"/>
    </xf>
    <xf numFmtId="167" fontId="4" fillId="0" borderId="17" xfId="1" applyNumberFormat="1" applyFont="1" applyBorder="1"/>
    <xf numFmtId="0" fontId="4" fillId="0" borderId="10" xfId="0" applyFont="1" applyBorder="1"/>
    <xf numFmtId="0" fontId="4" fillId="0" borderId="17" xfId="0" applyFont="1" applyBorder="1"/>
    <xf numFmtId="167" fontId="4" fillId="0" borderId="8" xfId="1" applyNumberFormat="1" applyFont="1" applyBorder="1"/>
    <xf numFmtId="167" fontId="4" fillId="0" borderId="10" xfId="1" applyNumberFormat="1" applyFont="1" applyBorder="1"/>
    <xf numFmtId="167" fontId="4" fillId="0" borderId="13" xfId="1" applyNumberFormat="1" applyFont="1" applyBorder="1"/>
    <xf numFmtId="167" fontId="4" fillId="0" borderId="15" xfId="1" applyNumberFormat="1" applyFont="1" applyBorder="1"/>
    <xf numFmtId="0" fontId="6" fillId="0" borderId="30" xfId="0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13" xfId="0" applyFont="1" applyBorder="1"/>
    <xf numFmtId="0" fontId="0" fillId="2" borderId="14" xfId="0" applyFill="1" applyBorder="1"/>
    <xf numFmtId="0" fontId="3" fillId="0" borderId="0" xfId="0" applyFont="1" applyBorder="1" applyAlignment="1">
      <alignment horizontal="center" vertical="center"/>
    </xf>
    <xf numFmtId="0" fontId="4" fillId="0" borderId="0" xfId="0" applyFont="1" applyBorder="1"/>
    <xf numFmtId="166" fontId="4" fillId="0" borderId="0" xfId="1" applyFont="1" applyBorder="1"/>
    <xf numFmtId="0" fontId="3" fillId="0" borderId="0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right"/>
    </xf>
    <xf numFmtId="167" fontId="7" fillId="2" borderId="17" xfId="1" applyNumberFormat="1" applyFont="1" applyFill="1" applyBorder="1"/>
    <xf numFmtId="9" fontId="4" fillId="0" borderId="10" xfId="3" applyFont="1" applyBorder="1"/>
    <xf numFmtId="9" fontId="4" fillId="0" borderId="14" xfId="3" applyFont="1" applyBorder="1"/>
    <xf numFmtId="0" fontId="4" fillId="0" borderId="26" xfId="0" applyFont="1" applyBorder="1" applyAlignment="1">
      <alignment horizontal="right"/>
    </xf>
    <xf numFmtId="0" fontId="0" fillId="2" borderId="10" xfId="0" applyFill="1" applyBorder="1"/>
    <xf numFmtId="0" fontId="5" fillId="3" borderId="20" xfId="0" applyFont="1" applyFill="1" applyBorder="1" applyAlignment="1">
      <alignment horizontal="center" vertical="center" wrapText="1" readingOrder="2"/>
    </xf>
    <xf numFmtId="167" fontId="4" fillId="3" borderId="8" xfId="1" applyNumberFormat="1" applyFont="1" applyFill="1" applyBorder="1"/>
    <xf numFmtId="167" fontId="4" fillId="3" borderId="10" xfId="1" applyNumberFormat="1" applyFont="1" applyFill="1" applyBorder="1"/>
    <xf numFmtId="167" fontId="4" fillId="3" borderId="9" xfId="1" applyNumberFormat="1" applyFont="1" applyFill="1" applyBorder="1"/>
    <xf numFmtId="167" fontId="4" fillId="3" borderId="13" xfId="1" applyNumberFormat="1" applyFont="1" applyFill="1" applyBorder="1"/>
    <xf numFmtId="167" fontId="4" fillId="3" borderId="14" xfId="1" applyNumberFormat="1" applyFont="1" applyFill="1" applyBorder="1"/>
    <xf numFmtId="167" fontId="4" fillId="3" borderId="5" xfId="1" applyNumberFormat="1" applyFont="1" applyFill="1" applyBorder="1"/>
    <xf numFmtId="167" fontId="4" fillId="3" borderId="15" xfId="1" applyNumberFormat="1" applyFont="1" applyFill="1" applyBorder="1"/>
    <xf numFmtId="167" fontId="4" fillId="3" borderId="17" xfId="1" applyNumberFormat="1" applyFont="1" applyFill="1" applyBorder="1"/>
    <xf numFmtId="167" fontId="4" fillId="3" borderId="16" xfId="1" applyNumberFormat="1" applyFont="1" applyFill="1" applyBorder="1"/>
    <xf numFmtId="0" fontId="5" fillId="4" borderId="20" xfId="0" applyFont="1" applyFill="1" applyBorder="1" applyAlignment="1">
      <alignment horizontal="center" vertical="center" wrapText="1" readingOrder="2"/>
    </xf>
    <xf numFmtId="167" fontId="4" fillId="4" borderId="8" xfId="1" applyNumberFormat="1" applyFont="1" applyFill="1" applyBorder="1"/>
    <xf numFmtId="167" fontId="4" fillId="4" borderId="10" xfId="1" applyNumberFormat="1" applyFont="1" applyFill="1" applyBorder="1"/>
    <xf numFmtId="167" fontId="4" fillId="4" borderId="9" xfId="1" applyNumberFormat="1" applyFont="1" applyFill="1" applyBorder="1"/>
    <xf numFmtId="167" fontId="4" fillId="4" borderId="13" xfId="1" applyNumberFormat="1" applyFont="1" applyFill="1" applyBorder="1"/>
    <xf numFmtId="167" fontId="4" fillId="4" borderId="14" xfId="1" applyNumberFormat="1" applyFont="1" applyFill="1" applyBorder="1"/>
    <xf numFmtId="167" fontId="4" fillId="4" borderId="5" xfId="1" applyNumberFormat="1" applyFont="1" applyFill="1" applyBorder="1"/>
    <xf numFmtId="167" fontId="4" fillId="4" borderId="15" xfId="1" applyNumberFormat="1" applyFont="1" applyFill="1" applyBorder="1"/>
    <xf numFmtId="167" fontId="4" fillId="4" borderId="17" xfId="1" applyNumberFormat="1" applyFont="1" applyFill="1" applyBorder="1"/>
    <xf numFmtId="167" fontId="4" fillId="4" borderId="16" xfId="1" applyNumberFormat="1" applyFont="1" applyFill="1" applyBorder="1"/>
    <xf numFmtId="0" fontId="4" fillId="5" borderId="34" xfId="0" applyFont="1" applyFill="1" applyBorder="1"/>
    <xf numFmtId="0" fontId="4" fillId="5" borderId="35" xfId="0" applyFont="1" applyFill="1" applyBorder="1"/>
    <xf numFmtId="0" fontId="2" fillId="0" borderId="13" xfId="0" applyFont="1" applyBorder="1" applyAlignment="1">
      <alignment horizontal="right"/>
    </xf>
    <xf numFmtId="167" fontId="2" fillId="0" borderId="5" xfId="1" applyNumberFormat="1" applyFont="1" applyBorder="1"/>
    <xf numFmtId="0" fontId="5" fillId="0" borderId="1" xfId="0" applyFont="1" applyBorder="1" applyAlignment="1">
      <alignment horizontal="center" vertical="center" wrapText="1" readingOrder="2"/>
    </xf>
    <xf numFmtId="167" fontId="4" fillId="3" borderId="39" xfId="1" applyNumberFormat="1" applyFont="1" applyFill="1" applyBorder="1"/>
    <xf numFmtId="167" fontId="4" fillId="3" borderId="40" xfId="1" applyNumberFormat="1" applyFont="1" applyFill="1" applyBorder="1"/>
    <xf numFmtId="167" fontId="3" fillId="3" borderId="19" xfId="1" applyNumberFormat="1" applyFont="1" applyFill="1" applyBorder="1"/>
    <xf numFmtId="0" fontId="0" fillId="0" borderId="17" xfId="0" applyBorder="1"/>
    <xf numFmtId="0" fontId="0" fillId="0" borderId="15" xfId="0" applyBorder="1"/>
    <xf numFmtId="0" fontId="10" fillId="2" borderId="34" xfId="0" applyFont="1" applyFill="1" applyBorder="1" applyAlignment="1">
      <alignment horizontal="right"/>
    </xf>
    <xf numFmtId="0" fontId="10" fillId="2" borderId="42" xfId="0" applyFont="1" applyFill="1" applyBorder="1" applyAlignment="1">
      <alignment horizontal="right"/>
    </xf>
    <xf numFmtId="0" fontId="10" fillId="2" borderId="35" xfId="0" applyFont="1" applyFill="1" applyBorder="1" applyAlignment="1">
      <alignment horizontal="right"/>
    </xf>
    <xf numFmtId="168" fontId="4" fillId="0" borderId="0" xfId="0" applyNumberFormat="1" applyFont="1"/>
    <xf numFmtId="0" fontId="5" fillId="4" borderId="2" xfId="0" applyFont="1" applyFill="1" applyBorder="1" applyAlignment="1">
      <alignment horizontal="center" vertical="center" wrapText="1" readingOrder="2"/>
    </xf>
    <xf numFmtId="167" fontId="6" fillId="4" borderId="8" xfId="1" applyNumberFormat="1" applyFont="1" applyFill="1" applyBorder="1" applyAlignment="1">
      <alignment horizontal="center" vertical="center" wrapText="1"/>
    </xf>
    <xf numFmtId="167" fontId="6" fillId="4" borderId="13" xfId="1" applyNumberFormat="1" applyFont="1" applyFill="1" applyBorder="1" applyAlignment="1">
      <alignment horizontal="center" vertical="center" wrapText="1"/>
    </xf>
    <xf numFmtId="167" fontId="6" fillId="4" borderId="15" xfId="1" applyNumberFormat="1" applyFont="1" applyFill="1" applyBorder="1" applyAlignment="1">
      <alignment horizontal="center" vertical="center" wrapText="1"/>
    </xf>
    <xf numFmtId="167" fontId="3" fillId="4" borderId="19" xfId="1" applyNumberFormat="1" applyFont="1" applyFill="1" applyBorder="1"/>
    <xf numFmtId="0" fontId="5" fillId="3" borderId="2" xfId="0" applyFont="1" applyFill="1" applyBorder="1" applyAlignment="1">
      <alignment horizontal="center" vertical="center" wrapText="1" readingOrder="2"/>
    </xf>
    <xf numFmtId="167" fontId="6" fillId="3" borderId="8" xfId="1" applyNumberFormat="1" applyFont="1" applyFill="1" applyBorder="1" applyAlignment="1">
      <alignment horizontal="center" vertical="center" wrapText="1"/>
    </xf>
    <xf numFmtId="167" fontId="6" fillId="3" borderId="13" xfId="1" applyNumberFormat="1" applyFont="1" applyFill="1" applyBorder="1" applyAlignment="1">
      <alignment horizontal="center" vertical="center" wrapText="1"/>
    </xf>
    <xf numFmtId="167" fontId="6" fillId="3" borderId="15" xfId="1" applyNumberFormat="1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 readingOrder="2"/>
    </xf>
    <xf numFmtId="0" fontId="3" fillId="0" borderId="3" xfId="0" applyFont="1" applyBorder="1"/>
    <xf numFmtId="169" fontId="4" fillId="3" borderId="8" xfId="2" applyNumberFormat="1" applyFont="1" applyFill="1" applyBorder="1"/>
    <xf numFmtId="169" fontId="4" fillId="3" borderId="10" xfId="2" applyNumberFormat="1" applyFont="1" applyFill="1" applyBorder="1"/>
    <xf numFmtId="169" fontId="4" fillId="3" borderId="13" xfId="2" applyNumberFormat="1" applyFont="1" applyFill="1" applyBorder="1"/>
    <xf numFmtId="169" fontId="4" fillId="3" borderId="14" xfId="2" applyNumberFormat="1" applyFont="1" applyFill="1" applyBorder="1"/>
    <xf numFmtId="169" fontId="4" fillId="3" borderId="15" xfId="2" applyNumberFormat="1" applyFont="1" applyFill="1" applyBorder="1"/>
    <xf numFmtId="169" fontId="4" fillId="3" borderId="17" xfId="2" applyNumberFormat="1" applyFont="1" applyFill="1" applyBorder="1"/>
    <xf numFmtId="169" fontId="3" fillId="3" borderId="19" xfId="0" applyNumberFormat="1" applyFont="1" applyFill="1" applyBorder="1"/>
    <xf numFmtId="169" fontId="4" fillId="3" borderId="34" xfId="2" applyNumberFormat="1" applyFont="1" applyFill="1" applyBorder="1"/>
    <xf numFmtId="169" fontId="4" fillId="3" borderId="42" xfId="2" applyNumberFormat="1" applyFont="1" applyFill="1" applyBorder="1"/>
    <xf numFmtId="169" fontId="4" fillId="3" borderId="35" xfId="2" applyNumberFormat="1" applyFont="1" applyFill="1" applyBorder="1"/>
    <xf numFmtId="164" fontId="3" fillId="3" borderId="19" xfId="0" applyNumberFormat="1" applyFont="1" applyFill="1" applyBorder="1"/>
    <xf numFmtId="169" fontId="4" fillId="4" borderId="43" xfId="2" applyNumberFormat="1" applyFont="1" applyFill="1" applyBorder="1"/>
    <xf numFmtId="169" fontId="4" fillId="4" borderId="44" xfId="2" applyNumberFormat="1" applyFont="1" applyFill="1" applyBorder="1"/>
    <xf numFmtId="169" fontId="4" fillId="4" borderId="45" xfId="2" applyNumberFormat="1" applyFont="1" applyFill="1" applyBorder="1"/>
    <xf numFmtId="169" fontId="3" fillId="4" borderId="46" xfId="0" applyNumberFormat="1" applyFont="1" applyFill="1" applyBorder="1"/>
    <xf numFmtId="169" fontId="4" fillId="4" borderId="10" xfId="2" applyNumberFormat="1" applyFont="1" applyFill="1" applyBorder="1"/>
    <xf numFmtId="169" fontId="4" fillId="4" borderId="14" xfId="2" applyNumberFormat="1" applyFont="1" applyFill="1" applyBorder="1"/>
    <xf numFmtId="169" fontId="4" fillId="4" borderId="17" xfId="2" applyNumberFormat="1" applyFont="1" applyFill="1" applyBorder="1"/>
    <xf numFmtId="169" fontId="4" fillId="4" borderId="36" xfId="2" applyNumberFormat="1" applyFont="1" applyFill="1" applyBorder="1"/>
    <xf numFmtId="169" fontId="4" fillId="4" borderId="37" xfId="2" applyNumberFormat="1" applyFont="1" applyFill="1" applyBorder="1"/>
    <xf numFmtId="169" fontId="4" fillId="4" borderId="38" xfId="2" applyNumberFormat="1" applyFont="1" applyFill="1" applyBorder="1"/>
    <xf numFmtId="164" fontId="3" fillId="4" borderId="46" xfId="0" applyNumberFormat="1" applyFont="1" applyFill="1" applyBorder="1"/>
    <xf numFmtId="0" fontId="8" fillId="0" borderId="30" xfId="0" applyFont="1" applyBorder="1" applyAlignment="1">
      <alignment wrapText="1"/>
    </xf>
    <xf numFmtId="0" fontId="8" fillId="0" borderId="11" xfId="0" applyFont="1" applyBorder="1" applyAlignment="1">
      <alignment wrapText="1"/>
    </xf>
    <xf numFmtId="0" fontId="8" fillId="0" borderId="12" xfId="0" applyFont="1" applyBorder="1" applyAlignment="1">
      <alignment wrapText="1"/>
    </xf>
    <xf numFmtId="2" fontId="8" fillId="0" borderId="34" xfId="0" applyNumberFormat="1" applyFon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3" xfId="0" applyNumberFormat="1" applyBorder="1"/>
    <xf numFmtId="2" fontId="0" fillId="0" borderId="5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2" fontId="8" fillId="0" borderId="42" xfId="0" applyNumberFormat="1" applyFont="1" applyBorder="1"/>
    <xf numFmtId="2" fontId="8" fillId="0" borderId="35" xfId="0" applyNumberFormat="1" applyFont="1" applyBorder="1"/>
    <xf numFmtId="1" fontId="8" fillId="0" borderId="34" xfId="0" applyNumberFormat="1" applyFont="1" applyBorder="1"/>
    <xf numFmtId="1" fontId="8" fillId="0" borderId="42" xfId="0" applyNumberFormat="1" applyFont="1" applyBorder="1"/>
    <xf numFmtId="1" fontId="8" fillId="0" borderId="35" xfId="0" applyNumberFormat="1" applyFont="1" applyBorder="1"/>
    <xf numFmtId="0" fontId="0" fillId="0" borderId="0" xfId="0" applyAlignment="1">
      <alignment horizontal="right" readingOrder="2"/>
    </xf>
    <xf numFmtId="167" fontId="4" fillId="0" borderId="0" xfId="1" applyNumberFormat="1" applyFont="1"/>
    <xf numFmtId="164" fontId="4" fillId="0" borderId="0" xfId="0" applyNumberFormat="1" applyFont="1"/>
    <xf numFmtId="167" fontId="4" fillId="4" borderId="36" xfId="1" applyNumberFormat="1" applyFont="1" applyFill="1" applyBorder="1"/>
    <xf numFmtId="167" fontId="4" fillId="4" borderId="37" xfId="1" applyNumberFormat="1" applyFont="1" applyFill="1" applyBorder="1"/>
    <xf numFmtId="167" fontId="4" fillId="4" borderId="38" xfId="1" applyNumberFormat="1" applyFont="1" applyFill="1" applyBorder="1"/>
    <xf numFmtId="167" fontId="4" fillId="0" borderId="33" xfId="1" applyNumberFormat="1" applyFont="1" applyBorder="1"/>
    <xf numFmtId="167" fontId="7" fillId="2" borderId="14" xfId="1" applyNumberFormat="1" applyFont="1" applyFill="1" applyBorder="1"/>
    <xf numFmtId="0" fontId="4" fillId="5" borderId="42" xfId="0" applyFont="1" applyFill="1" applyBorder="1"/>
    <xf numFmtId="167" fontId="4" fillId="0" borderId="5" xfId="1" applyNumberFormat="1" applyFont="1" applyBorder="1"/>
    <xf numFmtId="167" fontId="4" fillId="0" borderId="9" xfId="1" applyNumberFormat="1" applyFont="1" applyBorder="1"/>
    <xf numFmtId="167" fontId="4" fillId="0" borderId="16" xfId="1" applyNumberFormat="1" applyFont="1" applyBorder="1"/>
    <xf numFmtId="167" fontId="6" fillId="4" borderId="36" xfId="1" applyNumberFormat="1" applyFont="1" applyFill="1" applyBorder="1" applyAlignment="1">
      <alignment horizontal="center" vertical="center" wrapText="1"/>
    </xf>
    <xf numFmtId="167" fontId="6" fillId="4" borderId="37" xfId="1" applyNumberFormat="1" applyFont="1" applyFill="1" applyBorder="1" applyAlignment="1">
      <alignment horizontal="center" vertical="center" wrapText="1"/>
    </xf>
    <xf numFmtId="167" fontId="6" fillId="4" borderId="38" xfId="1" applyNumberFormat="1" applyFont="1" applyFill="1" applyBorder="1" applyAlignment="1">
      <alignment horizontal="center" vertical="center" wrapText="1"/>
    </xf>
    <xf numFmtId="167" fontId="6" fillId="3" borderId="5" xfId="1" applyNumberFormat="1" applyFont="1" applyFill="1" applyBorder="1" applyAlignment="1">
      <alignment horizontal="center" vertical="center" wrapText="1"/>
    </xf>
    <xf numFmtId="167" fontId="6" fillId="3" borderId="9" xfId="1" applyNumberFormat="1" applyFont="1" applyFill="1" applyBorder="1" applyAlignment="1">
      <alignment horizontal="center" vertical="center" wrapText="1"/>
    </xf>
    <xf numFmtId="167" fontId="6" fillId="3" borderId="16" xfId="1" applyNumberFormat="1" applyFont="1" applyFill="1" applyBorder="1" applyAlignment="1">
      <alignment horizontal="center" vertical="center" wrapText="1"/>
    </xf>
    <xf numFmtId="169" fontId="4" fillId="3" borderId="49" xfId="2" applyNumberFormat="1" applyFont="1" applyFill="1" applyBorder="1"/>
    <xf numFmtId="169" fontId="4" fillId="3" borderId="50" xfId="2" applyNumberFormat="1" applyFont="1" applyFill="1" applyBorder="1"/>
    <xf numFmtId="169" fontId="4" fillId="3" borderId="51" xfId="2" applyNumberFormat="1" applyFont="1" applyFill="1" applyBorder="1"/>
    <xf numFmtId="169" fontId="4" fillId="3" borderId="36" xfId="2" applyNumberFormat="1" applyFont="1" applyFill="1" applyBorder="1"/>
    <xf numFmtId="169" fontId="4" fillId="3" borderId="37" xfId="2" applyNumberFormat="1" applyFont="1" applyFill="1" applyBorder="1"/>
    <xf numFmtId="169" fontId="4" fillId="3" borderId="38" xfId="2" applyNumberFormat="1" applyFont="1" applyFill="1" applyBorder="1"/>
    <xf numFmtId="169" fontId="4" fillId="3" borderId="5" xfId="2" applyNumberFormat="1" applyFont="1" applyFill="1" applyBorder="1"/>
    <xf numFmtId="169" fontId="4" fillId="3" borderId="9" xfId="2" applyNumberFormat="1" applyFont="1" applyFill="1" applyBorder="1"/>
    <xf numFmtId="169" fontId="4" fillId="3" borderId="16" xfId="2" applyNumberFormat="1" applyFont="1" applyFill="1" applyBorder="1"/>
    <xf numFmtId="169" fontId="4" fillId="4" borderId="8" xfId="2" applyNumberFormat="1" applyFont="1" applyFill="1" applyBorder="1"/>
    <xf numFmtId="169" fontId="4" fillId="4" borderId="13" xfId="2" applyNumberFormat="1" applyFont="1" applyFill="1" applyBorder="1"/>
    <xf numFmtId="169" fontId="4" fillId="4" borderId="15" xfId="2" applyNumberFormat="1" applyFont="1" applyFill="1" applyBorder="1"/>
    <xf numFmtId="169" fontId="4" fillId="4" borderId="5" xfId="2" applyNumberFormat="1" applyFont="1" applyFill="1" applyBorder="1"/>
    <xf numFmtId="169" fontId="4" fillId="4" borderId="9" xfId="2" applyNumberFormat="1" applyFont="1" applyFill="1" applyBorder="1"/>
    <xf numFmtId="169" fontId="4" fillId="4" borderId="16" xfId="2" applyNumberFormat="1" applyFont="1" applyFill="1" applyBorder="1"/>
    <xf numFmtId="0" fontId="5" fillId="4" borderId="29" xfId="0" applyFont="1" applyFill="1" applyBorder="1" applyAlignment="1">
      <alignment horizontal="center" vertical="center" wrapText="1" readingOrder="2"/>
    </xf>
    <xf numFmtId="0" fontId="5" fillId="3" borderId="29" xfId="0" applyFont="1" applyFill="1" applyBorder="1" applyAlignment="1">
      <alignment horizontal="center" vertical="center" wrapText="1" readingOrder="2"/>
    </xf>
    <xf numFmtId="3" fontId="13" fillId="2" borderId="5" xfId="0" applyNumberFormat="1" applyFont="1" applyFill="1" applyBorder="1"/>
    <xf numFmtId="0" fontId="2" fillId="2" borderId="14" xfId="0" applyFont="1" applyFill="1" applyBorder="1"/>
    <xf numFmtId="170" fontId="13" fillId="2" borderId="16" xfId="0" applyNumberFormat="1" applyFont="1" applyFill="1" applyBorder="1"/>
    <xf numFmtId="0" fontId="2" fillId="2" borderId="17" xfId="0" applyFont="1" applyFill="1" applyBorder="1"/>
    <xf numFmtId="0" fontId="4" fillId="0" borderId="0" xfId="0" applyFont="1" applyBorder="1" applyAlignment="1">
      <alignment horizontal="right"/>
    </xf>
    <xf numFmtId="0" fontId="2" fillId="0" borderId="9" xfId="0" applyFont="1" applyBorder="1"/>
    <xf numFmtId="0" fontId="2" fillId="0" borderId="10" xfId="0" applyFont="1" applyBorder="1"/>
    <xf numFmtId="0" fontId="2" fillId="0" borderId="14" xfId="0" applyFont="1" applyBorder="1"/>
    <xf numFmtId="9" fontId="2" fillId="0" borderId="5" xfId="3" applyFont="1" applyBorder="1"/>
    <xf numFmtId="0" fontId="0" fillId="0" borderId="53" xfId="0" applyBorder="1"/>
    <xf numFmtId="0" fontId="4" fillId="0" borderId="8" xfId="0" applyFont="1" applyFill="1" applyBorder="1" applyAlignment="1">
      <alignment horizontal="right" vertical="center"/>
    </xf>
    <xf numFmtId="0" fontId="4" fillId="0" borderId="13" xfId="0" applyFont="1" applyFill="1" applyBorder="1" applyAlignment="1">
      <alignment horizontal="right" vertical="center"/>
    </xf>
    <xf numFmtId="0" fontId="4" fillId="0" borderId="15" xfId="0" applyFont="1" applyFill="1" applyBorder="1" applyAlignment="1">
      <alignment horizontal="right" vertical="center"/>
    </xf>
    <xf numFmtId="0" fontId="2" fillId="0" borderId="13" xfId="0" applyFont="1" applyBorder="1" applyAlignment="1">
      <alignment horizontal="right" readingOrder="2"/>
    </xf>
    <xf numFmtId="0" fontId="3" fillId="0" borderId="0" xfId="0" applyFont="1" applyBorder="1"/>
    <xf numFmtId="2" fontId="4" fillId="0" borderId="9" xfId="0" applyNumberFormat="1" applyFont="1" applyBorder="1"/>
    <xf numFmtId="172" fontId="4" fillId="0" borderId="9" xfId="0" applyNumberFormat="1" applyFont="1" applyBorder="1"/>
    <xf numFmtId="172" fontId="4" fillId="0" borderId="5" xfId="0" applyNumberFormat="1" applyFont="1" applyBorder="1"/>
    <xf numFmtId="2" fontId="4" fillId="0" borderId="5" xfId="0" applyNumberFormat="1" applyFont="1" applyBorder="1"/>
    <xf numFmtId="2" fontId="4" fillId="0" borderId="16" xfId="0" applyNumberFormat="1" applyFont="1" applyBorder="1"/>
    <xf numFmtId="167" fontId="14" fillId="3" borderId="8" xfId="1" applyNumberFormat="1" applyFont="1" applyFill="1" applyBorder="1"/>
    <xf numFmtId="167" fontId="14" fillId="3" borderId="13" xfId="1" applyNumberFormat="1" applyFont="1" applyFill="1" applyBorder="1"/>
    <xf numFmtId="9" fontId="4" fillId="0" borderId="5" xfId="3" applyFont="1" applyBorder="1"/>
    <xf numFmtId="170" fontId="13" fillId="2" borderId="5" xfId="0" applyNumberFormat="1" applyFont="1" applyFill="1" applyBorder="1"/>
    <xf numFmtId="0" fontId="4" fillId="0" borderId="8" xfId="0" applyFont="1" applyBorder="1" applyAlignment="1">
      <alignment horizontal="right" vertical="center"/>
    </xf>
    <xf numFmtId="0" fontId="4" fillId="0" borderId="13" xfId="0" applyFont="1" applyBorder="1" applyAlignment="1">
      <alignment horizontal="right" vertical="center"/>
    </xf>
    <xf numFmtId="0" fontId="2" fillId="0" borderId="13" xfId="0" applyFont="1" applyBorder="1" applyAlignment="1">
      <alignment vertical="center"/>
    </xf>
    <xf numFmtId="0" fontId="2" fillId="0" borderId="13" xfId="0" applyFont="1" applyBorder="1" applyAlignment="1">
      <alignment horizontal="right" vertical="center"/>
    </xf>
    <xf numFmtId="0" fontId="2" fillId="0" borderId="13" xfId="0" applyFont="1" applyBorder="1" applyAlignment="1">
      <alignment horizontal="right" vertical="center" readingOrder="2"/>
    </xf>
    <xf numFmtId="0" fontId="4" fillId="0" borderId="15" xfId="0" applyFont="1" applyBorder="1" applyAlignment="1">
      <alignment horizontal="right" vertical="center"/>
    </xf>
    <xf numFmtId="167" fontId="2" fillId="0" borderId="14" xfId="1" applyNumberFormat="1" applyFont="1" applyBorder="1" applyAlignment="1">
      <alignment vertical="center"/>
    </xf>
    <xf numFmtId="167" fontId="4" fillId="0" borderId="17" xfId="1" applyNumberFormat="1" applyFont="1" applyBorder="1" applyAlignment="1">
      <alignment vertical="center"/>
    </xf>
    <xf numFmtId="172" fontId="4" fillId="0" borderId="17" xfId="0" applyNumberFormat="1" applyFont="1" applyBorder="1" applyAlignment="1">
      <alignment vertical="center"/>
    </xf>
    <xf numFmtId="9" fontId="4" fillId="0" borderId="10" xfId="0" applyNumberFormat="1" applyFont="1" applyFill="1" applyBorder="1" applyAlignment="1">
      <alignment vertical="center"/>
    </xf>
    <xf numFmtId="9" fontId="4" fillId="0" borderId="14" xfId="3" applyFont="1" applyFill="1" applyBorder="1" applyAlignment="1">
      <alignment vertical="center"/>
    </xf>
    <xf numFmtId="0" fontId="2" fillId="0" borderId="14" xfId="0" applyFont="1" applyFill="1" applyBorder="1" applyAlignment="1">
      <alignment vertical="center"/>
    </xf>
    <xf numFmtId="168" fontId="4" fillId="0" borderId="10" xfId="0" applyNumberFormat="1" applyFont="1" applyBorder="1" applyAlignment="1">
      <alignment vertical="center"/>
    </xf>
    <xf numFmtId="0" fontId="0" fillId="0" borderId="34" xfId="0" applyBorder="1"/>
    <xf numFmtId="0" fontId="0" fillId="0" borderId="42" xfId="0" applyBorder="1"/>
    <xf numFmtId="0" fontId="0" fillId="0" borderId="35" xfId="0" applyBorder="1"/>
    <xf numFmtId="0" fontId="5" fillId="0" borderId="20" xfId="0" applyFont="1" applyFill="1" applyBorder="1" applyAlignment="1">
      <alignment horizontal="center" vertical="center" wrapText="1" readingOrder="2"/>
    </xf>
    <xf numFmtId="167" fontId="4" fillId="0" borderId="14" xfId="1" applyNumberFormat="1" applyFont="1" applyBorder="1" applyAlignment="1">
      <alignment vertical="center"/>
    </xf>
    <xf numFmtId="0" fontId="8" fillId="0" borderId="7" xfId="0" applyFont="1" applyBorder="1" applyAlignment="1">
      <alignment horizontal="center" wrapText="1"/>
    </xf>
    <xf numFmtId="0" fontId="8" fillId="0" borderId="11" xfId="0" applyFont="1" applyBorder="1" applyAlignment="1">
      <alignment horizontal="center" wrapText="1"/>
    </xf>
    <xf numFmtId="0" fontId="8" fillId="0" borderId="12" xfId="0" applyFont="1" applyBorder="1" applyAlignment="1">
      <alignment horizontal="center" wrapText="1"/>
    </xf>
    <xf numFmtId="0" fontId="0" fillId="0" borderId="0" xfId="0" applyFill="1"/>
    <xf numFmtId="0" fontId="11" fillId="0" borderId="20" xfId="0" applyFont="1" applyFill="1" applyBorder="1" applyAlignment="1">
      <alignment horizontal="center" vertical="center" readingOrder="2"/>
    </xf>
    <xf numFmtId="0" fontId="16" fillId="0" borderId="8" xfId="0" applyFont="1" applyFill="1" applyBorder="1" applyAlignment="1">
      <alignment horizontal="right" vertical="center" wrapText="1" readingOrder="2"/>
    </xf>
    <xf numFmtId="0" fontId="16" fillId="0" borderId="9" xfId="0" applyFont="1" applyFill="1" applyBorder="1" applyAlignment="1">
      <alignment horizontal="center" vertical="center" wrapText="1" readingOrder="2"/>
    </xf>
    <xf numFmtId="14" fontId="16" fillId="0" borderId="9" xfId="0" applyNumberFormat="1" applyFont="1" applyFill="1" applyBorder="1" applyAlignment="1">
      <alignment horizontal="center"/>
    </xf>
    <xf numFmtId="0" fontId="16" fillId="0" borderId="13" xfId="0" applyFont="1" applyFill="1" applyBorder="1" applyAlignment="1">
      <alignment horizontal="right" vertical="center" wrapText="1" readingOrder="2"/>
    </xf>
    <xf numFmtId="0" fontId="16" fillId="0" borderId="5" xfId="0" applyFont="1" applyFill="1" applyBorder="1" applyAlignment="1">
      <alignment horizontal="center" vertical="center" wrapText="1" readingOrder="2"/>
    </xf>
    <xf numFmtId="14" fontId="16" fillId="0" borderId="5" xfId="0" applyNumberFormat="1" applyFont="1" applyFill="1" applyBorder="1" applyAlignment="1">
      <alignment horizontal="center"/>
    </xf>
    <xf numFmtId="0" fontId="16" fillId="0" borderId="31" xfId="0" applyFont="1" applyFill="1" applyBorder="1" applyAlignment="1">
      <alignment horizontal="right" vertical="center" wrapText="1" readingOrder="2"/>
    </xf>
    <xf numFmtId="0" fontId="16" fillId="0" borderId="32" xfId="0" applyFont="1" applyFill="1" applyBorder="1" applyAlignment="1">
      <alignment horizontal="center" vertical="center" wrapText="1" readingOrder="2"/>
    </xf>
    <xf numFmtId="14" fontId="16" fillId="0" borderId="32" xfId="0" applyNumberFormat="1" applyFont="1" applyFill="1" applyBorder="1" applyAlignment="1">
      <alignment horizontal="center"/>
    </xf>
    <xf numFmtId="0" fontId="16" fillId="0" borderId="15" xfId="0" applyFont="1" applyFill="1" applyBorder="1" applyAlignment="1">
      <alignment horizontal="right" vertical="center" wrapText="1" readingOrder="2"/>
    </xf>
    <xf numFmtId="0" fontId="16" fillId="0" borderId="16" xfId="0" applyFont="1" applyFill="1" applyBorder="1" applyAlignment="1">
      <alignment horizontal="center" vertical="center" wrapText="1" readingOrder="2"/>
    </xf>
    <xf numFmtId="14" fontId="16" fillId="0" borderId="16" xfId="0" applyNumberFormat="1" applyFont="1" applyFill="1" applyBorder="1" applyAlignment="1">
      <alignment horizontal="center"/>
    </xf>
    <xf numFmtId="0" fontId="16" fillId="0" borderId="26" xfId="0" applyFont="1" applyFill="1" applyBorder="1" applyAlignment="1">
      <alignment horizontal="right" vertical="center" wrapText="1" readingOrder="2"/>
    </xf>
    <xf numFmtId="0" fontId="16" fillId="0" borderId="22" xfId="0" applyFont="1" applyFill="1" applyBorder="1" applyAlignment="1">
      <alignment horizontal="center" vertical="center" wrapText="1" readingOrder="2"/>
    </xf>
    <xf numFmtId="14" fontId="16" fillId="0" borderId="22" xfId="0" applyNumberFormat="1" applyFont="1" applyFill="1" applyBorder="1" applyAlignment="1">
      <alignment horizontal="center"/>
    </xf>
    <xf numFmtId="1" fontId="16" fillId="0" borderId="9" xfId="0" applyNumberFormat="1" applyFont="1" applyFill="1" applyBorder="1" applyAlignment="1">
      <alignment horizontal="center" vertical="center" wrapText="1" readingOrder="2"/>
    </xf>
    <xf numFmtId="1" fontId="16" fillId="0" borderId="5" xfId="0" applyNumberFormat="1" applyFont="1" applyFill="1" applyBorder="1" applyAlignment="1">
      <alignment horizontal="center" vertical="center" wrapText="1" readingOrder="2"/>
    </xf>
    <xf numFmtId="14" fontId="19" fillId="0" borderId="5" xfId="0" applyNumberFormat="1" applyFont="1" applyFill="1" applyBorder="1" applyAlignment="1">
      <alignment horizontal="center"/>
    </xf>
    <xf numFmtId="1" fontId="16" fillId="0" borderId="16" xfId="0" applyNumberFormat="1" applyFont="1" applyFill="1" applyBorder="1" applyAlignment="1">
      <alignment horizontal="center" vertical="center" wrapText="1" readingOrder="2"/>
    </xf>
    <xf numFmtId="14" fontId="19" fillId="0" borderId="16" xfId="0" applyNumberFormat="1" applyFont="1" applyFill="1" applyBorder="1" applyAlignment="1">
      <alignment horizontal="center"/>
    </xf>
    <xf numFmtId="0" fontId="16" fillId="0" borderId="10" xfId="0" applyFont="1" applyFill="1" applyBorder="1" applyAlignment="1">
      <alignment horizontal="center" vertical="center" wrapText="1" readingOrder="2"/>
    </xf>
    <xf numFmtId="0" fontId="16" fillId="0" borderId="14" xfId="0" applyFont="1" applyFill="1" applyBorder="1" applyAlignment="1">
      <alignment horizontal="center" vertical="center" wrapText="1" readingOrder="2"/>
    </xf>
    <xf numFmtId="0" fontId="16" fillId="0" borderId="17" xfId="0" applyFont="1" applyFill="1" applyBorder="1" applyAlignment="1">
      <alignment horizontal="center" vertical="center" wrapText="1" readingOrder="2"/>
    </xf>
    <xf numFmtId="0" fontId="16" fillId="0" borderId="33" xfId="0" applyFont="1" applyFill="1" applyBorder="1" applyAlignment="1">
      <alignment horizontal="center" vertical="center" wrapText="1" readingOrder="2"/>
    </xf>
    <xf numFmtId="0" fontId="16" fillId="0" borderId="27" xfId="0" applyFont="1" applyFill="1" applyBorder="1" applyAlignment="1">
      <alignment horizontal="center" vertical="center" wrapText="1" readingOrder="2"/>
    </xf>
    <xf numFmtId="14" fontId="0" fillId="0" borderId="0" xfId="0" applyNumberFormat="1"/>
    <xf numFmtId="167" fontId="0" fillId="0" borderId="8" xfId="1" applyNumberFormat="1" applyFont="1" applyBorder="1"/>
    <xf numFmtId="167" fontId="0" fillId="0" borderId="9" xfId="1" applyNumberFormat="1" applyFont="1" applyBorder="1"/>
    <xf numFmtId="167" fontId="0" fillId="0" borderId="10" xfId="1" applyNumberFormat="1" applyFont="1" applyBorder="1"/>
    <xf numFmtId="167" fontId="0" fillId="0" borderId="13" xfId="1" applyNumberFormat="1" applyFont="1" applyBorder="1"/>
    <xf numFmtId="167" fontId="0" fillId="0" borderId="5" xfId="1" applyNumberFormat="1" applyFont="1" applyBorder="1"/>
    <xf numFmtId="167" fontId="0" fillId="0" borderId="14" xfId="1" applyNumberFormat="1" applyFont="1" applyBorder="1"/>
    <xf numFmtId="167" fontId="0" fillId="0" borderId="15" xfId="1" applyNumberFormat="1" applyFont="1" applyBorder="1"/>
    <xf numFmtId="167" fontId="0" fillId="0" borderId="16" xfId="1" applyNumberFormat="1" applyFont="1" applyBorder="1"/>
    <xf numFmtId="167" fontId="0" fillId="0" borderId="17" xfId="1" applyNumberFormat="1" applyFont="1" applyBorder="1"/>
    <xf numFmtId="0" fontId="0" fillId="0" borderId="30" xfId="0" applyBorder="1"/>
    <xf numFmtId="0" fontId="0" fillId="0" borderId="11" xfId="0" applyBorder="1"/>
    <xf numFmtId="0" fontId="0" fillId="0" borderId="12" xfId="0" applyBorder="1"/>
    <xf numFmtId="167" fontId="0" fillId="0" borderId="0" xfId="0" applyNumberFormat="1"/>
    <xf numFmtId="0" fontId="0" fillId="0" borderId="0" xfId="0" applyBorder="1"/>
    <xf numFmtId="167" fontId="8" fillId="0" borderId="10" xfId="0" applyNumberFormat="1" applyFont="1" applyBorder="1" applyAlignment="1">
      <alignment horizontal="right"/>
    </xf>
    <xf numFmtId="167" fontId="8" fillId="0" borderId="14" xfId="0" applyNumberFormat="1" applyFont="1" applyBorder="1" applyAlignment="1">
      <alignment horizontal="right"/>
    </xf>
    <xf numFmtId="167" fontId="8" fillId="0" borderId="17" xfId="0" applyNumberFormat="1" applyFont="1" applyBorder="1" applyAlignment="1">
      <alignment horizontal="right"/>
    </xf>
    <xf numFmtId="0" fontId="8" fillId="0" borderId="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4" xfId="0" applyBorder="1"/>
    <xf numFmtId="0" fontId="0" fillId="0" borderId="16" xfId="0" applyBorder="1"/>
    <xf numFmtId="0" fontId="8" fillId="0" borderId="20" xfId="0" applyFont="1" applyBorder="1" applyAlignment="1">
      <alignment horizontal="center" vertical="center" wrapText="1"/>
    </xf>
    <xf numFmtId="0" fontId="8" fillId="0" borderId="34" xfId="0" applyFont="1" applyBorder="1" applyAlignment="1">
      <alignment wrapText="1"/>
    </xf>
    <xf numFmtId="0" fontId="8" fillId="0" borderId="42" xfId="0" applyFont="1" applyBorder="1" applyAlignment="1">
      <alignment wrapText="1"/>
    </xf>
    <xf numFmtId="0" fontId="8" fillId="0" borderId="35" xfId="0" applyFont="1" applyBorder="1" applyAlignment="1">
      <alignment wrapText="1"/>
    </xf>
    <xf numFmtId="0" fontId="20" fillId="0" borderId="20" xfId="0" applyFont="1" applyBorder="1" applyAlignment="1">
      <alignment horizontal="center" vertical="center" wrapText="1" readingOrder="2"/>
    </xf>
    <xf numFmtId="0" fontId="20" fillId="0" borderId="20" xfId="0" applyFont="1" applyFill="1" applyBorder="1" applyAlignment="1">
      <alignment horizontal="center" vertical="center" wrapText="1" readingOrder="2"/>
    </xf>
    <xf numFmtId="167" fontId="0" fillId="0" borderId="8" xfId="1" applyNumberFormat="1" applyFont="1" applyFill="1" applyBorder="1" applyAlignment="1">
      <alignment horizontal="center" vertical="center"/>
    </xf>
    <xf numFmtId="167" fontId="0" fillId="0" borderId="13" xfId="1" applyNumberFormat="1" applyFont="1" applyFill="1" applyBorder="1" applyAlignment="1">
      <alignment horizontal="center" vertical="center"/>
    </xf>
    <xf numFmtId="167" fontId="0" fillId="0" borderId="9" xfId="1" applyNumberFormat="1" applyFont="1" applyFill="1" applyBorder="1" applyAlignment="1">
      <alignment horizontal="center" vertical="center"/>
    </xf>
    <xf numFmtId="167" fontId="0" fillId="0" borderId="10" xfId="1" applyNumberFormat="1" applyFont="1" applyFill="1" applyBorder="1" applyAlignment="1">
      <alignment horizontal="center" vertical="center"/>
    </xf>
    <xf numFmtId="167" fontId="0" fillId="0" borderId="5" xfId="1" applyNumberFormat="1" applyFont="1" applyFill="1" applyBorder="1" applyAlignment="1">
      <alignment horizontal="center" vertical="center"/>
    </xf>
    <xf numFmtId="167" fontId="0" fillId="0" borderId="14" xfId="1" applyNumberFormat="1" applyFont="1" applyFill="1" applyBorder="1" applyAlignment="1">
      <alignment horizontal="center" vertical="center"/>
    </xf>
    <xf numFmtId="167" fontId="0" fillId="0" borderId="15" xfId="1" applyNumberFormat="1" applyFont="1" applyFill="1" applyBorder="1" applyAlignment="1">
      <alignment horizontal="center" vertical="center"/>
    </xf>
    <xf numFmtId="167" fontId="0" fillId="0" borderId="17" xfId="1" applyNumberFormat="1" applyFont="1" applyFill="1" applyBorder="1" applyAlignment="1">
      <alignment horizontal="center" vertical="center"/>
    </xf>
    <xf numFmtId="167" fontId="4" fillId="4" borderId="39" xfId="1" applyNumberFormat="1" applyFont="1" applyFill="1" applyBorder="1"/>
    <xf numFmtId="167" fontId="4" fillId="4" borderId="40" xfId="1" applyNumberFormat="1" applyFont="1" applyFill="1" applyBorder="1"/>
    <xf numFmtId="167" fontId="4" fillId="3" borderId="36" xfId="1" applyNumberFormat="1" applyFont="1" applyFill="1" applyBorder="1"/>
    <xf numFmtId="9" fontId="4" fillId="0" borderId="8" xfId="3" applyFont="1" applyBorder="1"/>
    <xf numFmtId="9" fontId="4" fillId="0" borderId="13" xfId="3" applyFont="1" applyBorder="1"/>
    <xf numFmtId="9" fontId="4" fillId="0" borderId="15" xfId="3" applyFont="1" applyBorder="1"/>
    <xf numFmtId="0" fontId="8" fillId="0" borderId="29" xfId="0" applyFont="1" applyBorder="1" applyAlignment="1">
      <alignment horizontal="center" vertical="center" wrapText="1"/>
    </xf>
    <xf numFmtId="9" fontId="4" fillId="0" borderId="34" xfId="3" applyFont="1" applyBorder="1"/>
    <xf numFmtId="9" fontId="4" fillId="0" borderId="42" xfId="3" applyFont="1" applyBorder="1"/>
    <xf numFmtId="9" fontId="4" fillId="0" borderId="35" xfId="3" applyFont="1" applyBorder="1"/>
    <xf numFmtId="166" fontId="4" fillId="4" borderId="9" xfId="1" applyFont="1" applyFill="1" applyBorder="1"/>
    <xf numFmtId="166" fontId="4" fillId="3" borderId="13" xfId="1" applyFont="1" applyFill="1" applyBorder="1"/>
    <xf numFmtId="166" fontId="4" fillId="3" borderId="5" xfId="1" applyFont="1" applyFill="1" applyBorder="1"/>
    <xf numFmtId="166" fontId="4" fillId="4" borderId="5" xfId="1" applyFont="1" applyFill="1" applyBorder="1"/>
    <xf numFmtId="166" fontId="4" fillId="3" borderId="15" xfId="1" applyFont="1" applyFill="1" applyBorder="1"/>
    <xf numFmtId="166" fontId="4" fillId="3" borderId="16" xfId="1" applyFont="1" applyFill="1" applyBorder="1"/>
    <xf numFmtId="166" fontId="4" fillId="4" borderId="16" xfId="1" applyFont="1" applyFill="1" applyBorder="1"/>
    <xf numFmtId="0" fontId="3" fillId="0" borderId="7" xfId="0" applyFont="1" applyBorder="1" applyAlignment="1">
      <alignment horizontal="center"/>
    </xf>
    <xf numFmtId="0" fontId="5" fillId="3" borderId="7" xfId="0" applyFont="1" applyFill="1" applyBorder="1" applyAlignment="1">
      <alignment horizontal="center" vertical="center" wrapText="1" readingOrder="2"/>
    </xf>
    <xf numFmtId="0" fontId="5" fillId="4" borderId="4" xfId="0" applyFont="1" applyFill="1" applyBorder="1" applyAlignment="1">
      <alignment horizontal="center" vertical="center" wrapText="1" readingOrder="2"/>
    </xf>
    <xf numFmtId="0" fontId="4" fillId="0" borderId="28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7" fontId="7" fillId="2" borderId="27" xfId="1" applyNumberFormat="1" applyFont="1" applyFill="1" applyBorder="1"/>
    <xf numFmtId="9" fontId="4" fillId="0" borderId="17" xfId="3" applyFont="1" applyBorder="1"/>
    <xf numFmtId="0" fontId="4" fillId="0" borderId="7" xfId="0" applyFont="1" applyBorder="1" applyAlignment="1">
      <alignment horizontal="center" vertical="center"/>
    </xf>
    <xf numFmtId="9" fontId="4" fillId="0" borderId="27" xfId="3" applyFont="1" applyBorder="1"/>
    <xf numFmtId="0" fontId="3" fillId="0" borderId="30" xfId="0" applyFont="1" applyBorder="1"/>
    <xf numFmtId="0" fontId="3" fillId="0" borderId="12" xfId="0" applyFont="1" applyBorder="1"/>
    <xf numFmtId="0" fontId="4" fillId="0" borderId="34" xfId="0" applyFont="1" applyBorder="1"/>
    <xf numFmtId="0" fontId="4" fillId="0" borderId="35" xfId="0" applyFont="1" applyBorder="1"/>
    <xf numFmtId="1" fontId="16" fillId="0" borderId="22" xfId="0" applyNumberFormat="1" applyFont="1" applyFill="1" applyBorder="1" applyAlignment="1">
      <alignment horizontal="center" vertical="center" wrapText="1" readingOrder="2"/>
    </xf>
    <xf numFmtId="14" fontId="19" fillId="0" borderId="22" xfId="0" applyNumberFormat="1" applyFont="1" applyFill="1" applyBorder="1" applyAlignment="1">
      <alignment horizontal="center"/>
    </xf>
    <xf numFmtId="166" fontId="0" fillId="0" borderId="0" xfId="0" applyNumberFormat="1"/>
    <xf numFmtId="166" fontId="0" fillId="0" borderId="5" xfId="1" applyNumberFormat="1" applyFont="1" applyBorder="1"/>
    <xf numFmtId="166" fontId="0" fillId="0" borderId="9" xfId="1" applyNumberFormat="1" applyFont="1" applyBorder="1"/>
    <xf numFmtId="166" fontId="0" fillId="0" borderId="10" xfId="1" applyNumberFormat="1" applyFont="1" applyBorder="1"/>
    <xf numFmtId="166" fontId="0" fillId="0" borderId="14" xfId="1" applyNumberFormat="1" applyFont="1" applyBorder="1"/>
    <xf numFmtId="0" fontId="8" fillId="0" borderId="11" xfId="0" applyFont="1" applyBorder="1" applyAlignment="1">
      <alignment horizontal="center"/>
    </xf>
    <xf numFmtId="0" fontId="8" fillId="0" borderId="47" xfId="0" applyFont="1" applyBorder="1" applyAlignment="1">
      <alignment horizontal="center" vertical="center"/>
    </xf>
    <xf numFmtId="166" fontId="8" fillId="0" borderId="7" xfId="0" applyNumberFormat="1" applyFont="1" applyBorder="1"/>
    <xf numFmtId="0" fontId="8" fillId="0" borderId="5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/>
    </xf>
    <xf numFmtId="0" fontId="5" fillId="4" borderId="7" xfId="0" applyFont="1" applyFill="1" applyBorder="1" applyAlignment="1">
      <alignment horizontal="center" vertical="center" wrapText="1" readingOrder="2"/>
    </xf>
    <xf numFmtId="9" fontId="8" fillId="0" borderId="29" xfId="0" applyNumberFormat="1" applyFont="1" applyBorder="1" applyAlignment="1">
      <alignment horizontal="center" wrapText="1"/>
    </xf>
    <xf numFmtId="167" fontId="0" fillId="0" borderId="14" xfId="0" applyNumberFormat="1" applyBorder="1"/>
    <xf numFmtId="0" fontId="8" fillId="0" borderId="29" xfId="0" applyFont="1" applyBorder="1" applyAlignment="1">
      <alignment horizontal="center" wrapText="1"/>
    </xf>
    <xf numFmtId="0" fontId="8" fillId="0" borderId="42" xfId="0" applyFont="1" applyBorder="1" applyAlignment="1">
      <alignment horizontal="center" wrapText="1"/>
    </xf>
    <xf numFmtId="0" fontId="8" fillId="0" borderId="35" xfId="0" applyFont="1" applyBorder="1" applyAlignment="1">
      <alignment horizontal="center" wrapText="1"/>
    </xf>
    <xf numFmtId="167" fontId="3" fillId="3" borderId="7" xfId="1" applyNumberFormat="1" applyFont="1" applyFill="1" applyBorder="1"/>
    <xf numFmtId="167" fontId="4" fillId="3" borderId="26" xfId="1" applyNumberFormat="1" applyFont="1" applyFill="1" applyBorder="1"/>
    <xf numFmtId="173" fontId="0" fillId="0" borderId="0" xfId="0" applyNumberFormat="1"/>
    <xf numFmtId="174" fontId="0" fillId="0" borderId="0" xfId="1" applyNumberFormat="1" applyFont="1"/>
    <xf numFmtId="175" fontId="0" fillId="0" borderId="0" xfId="0" applyNumberFormat="1"/>
    <xf numFmtId="0" fontId="5" fillId="0" borderId="11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0" fillId="0" borderId="8" xfId="0" applyBorder="1"/>
    <xf numFmtId="0" fontId="0" fillId="0" borderId="13" xfId="0" applyBorder="1"/>
    <xf numFmtId="0" fontId="6" fillId="0" borderId="59" xfId="0" applyFont="1" applyBorder="1" applyAlignment="1">
      <alignment horizontal="center" vertical="center" wrapText="1"/>
    </xf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4" xfId="0" applyFill="1" applyBorder="1"/>
    <xf numFmtId="0" fontId="0" fillId="0" borderId="15" xfId="0" applyFill="1" applyBorder="1"/>
    <xf numFmtId="0" fontId="0" fillId="0" borderId="17" xfId="0" applyFill="1" applyBorder="1"/>
    <xf numFmtId="0" fontId="5" fillId="0" borderId="23" xfId="0" applyFont="1" applyFill="1" applyBorder="1" applyAlignment="1">
      <alignment horizontal="center" vertical="center" wrapText="1" readingOrder="2"/>
    </xf>
    <xf numFmtId="0" fontId="5" fillId="0" borderId="24" xfId="0" applyFont="1" applyFill="1" applyBorder="1" applyAlignment="1">
      <alignment horizontal="center" vertical="center" wrapText="1" readingOrder="2"/>
    </xf>
    <xf numFmtId="0" fontId="5" fillId="0" borderId="25" xfId="0" applyFont="1" applyFill="1" applyBorder="1" applyAlignment="1">
      <alignment horizontal="center" vertical="center" wrapText="1" readingOrder="2"/>
    </xf>
    <xf numFmtId="0" fontId="5" fillId="0" borderId="34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9" fontId="0" fillId="0" borderId="8" xfId="3" applyFont="1" applyBorder="1"/>
    <xf numFmtId="9" fontId="0" fillId="0" borderId="10" xfId="3" applyFont="1" applyBorder="1"/>
    <xf numFmtId="9" fontId="0" fillId="0" borderId="13" xfId="3" applyFont="1" applyBorder="1"/>
    <xf numFmtId="9" fontId="0" fillId="0" borderId="14" xfId="3" applyFont="1" applyBorder="1"/>
    <xf numFmtId="9" fontId="0" fillId="0" borderId="15" xfId="3" applyFont="1" applyBorder="1"/>
    <xf numFmtId="9" fontId="0" fillId="0" borderId="17" xfId="3" applyFont="1" applyBorder="1"/>
    <xf numFmtId="0" fontId="4" fillId="0" borderId="31" xfId="0" applyFont="1" applyBorder="1" applyAlignment="1">
      <alignment horizontal="right" vertical="center"/>
    </xf>
    <xf numFmtId="167" fontId="4" fillId="0" borderId="33" xfId="1" applyNumberFormat="1" applyFont="1" applyBorder="1" applyAlignment="1">
      <alignment vertical="center"/>
    </xf>
    <xf numFmtId="0" fontId="5" fillId="0" borderId="7" xfId="0" applyFont="1" applyBorder="1" applyAlignment="1">
      <alignment horizontal="center" vertical="center" wrapText="1"/>
    </xf>
    <xf numFmtId="167" fontId="2" fillId="0" borderId="42" xfId="1" applyNumberFormat="1" applyFont="1" applyBorder="1"/>
    <xf numFmtId="167" fontId="2" fillId="0" borderId="35" xfId="1" applyNumberFormat="1" applyFont="1" applyBorder="1"/>
    <xf numFmtId="9" fontId="4" fillId="0" borderId="33" xfId="0" applyNumberFormat="1" applyFont="1" applyFill="1" applyBorder="1" applyAlignment="1">
      <alignment vertical="center"/>
    </xf>
    <xf numFmtId="0" fontId="4" fillId="0" borderId="23" xfId="0" applyFont="1" applyBorder="1" applyAlignment="1">
      <alignment horizontal="right" vertical="center"/>
    </xf>
    <xf numFmtId="167" fontId="0" fillId="0" borderId="58" xfId="1" applyNumberFormat="1" applyFont="1" applyFill="1" applyBorder="1"/>
    <xf numFmtId="167" fontId="0" fillId="0" borderId="60" xfId="1" applyNumberFormat="1" applyFont="1" applyFill="1" applyBorder="1"/>
    <xf numFmtId="167" fontId="0" fillId="0" borderId="61" xfId="1" applyNumberFormat="1" applyFont="1" applyFill="1" applyBorder="1"/>
    <xf numFmtId="0" fontId="0" fillId="0" borderId="28" xfId="0" applyBorder="1"/>
    <xf numFmtId="167" fontId="2" fillId="0" borderId="25" xfId="1" applyNumberFormat="1" applyFont="1" applyBorder="1"/>
    <xf numFmtId="0" fontId="3" fillId="0" borderId="7" xfId="0" applyFont="1" applyBorder="1" applyAlignment="1">
      <alignment horizontal="right" vertical="center" wrapText="1"/>
    </xf>
    <xf numFmtId="0" fontId="3" fillId="0" borderId="8" xfId="0" applyFont="1" applyBorder="1" applyAlignment="1">
      <alignment wrapText="1"/>
    </xf>
    <xf numFmtId="0" fontId="9" fillId="0" borderId="10" xfId="0" applyFont="1" applyFill="1" applyBorder="1"/>
    <xf numFmtId="0" fontId="3" fillId="0" borderId="13" xfId="0" applyFont="1" applyBorder="1" applyAlignment="1">
      <alignment wrapText="1"/>
    </xf>
    <xf numFmtId="0" fontId="9" fillId="0" borderId="14" xfId="0" applyFont="1" applyFill="1" applyBorder="1"/>
    <xf numFmtId="0" fontId="3" fillId="0" borderId="15" xfId="0" applyFont="1" applyBorder="1" applyAlignment="1">
      <alignment wrapText="1"/>
    </xf>
    <xf numFmtId="0" fontId="9" fillId="0" borderId="17" xfId="0" applyFont="1" applyFill="1" applyBorder="1"/>
    <xf numFmtId="0" fontId="4" fillId="0" borderId="26" xfId="0" applyFont="1" applyBorder="1" applyAlignment="1">
      <alignment horizontal="right" vertical="center"/>
    </xf>
    <xf numFmtId="9" fontId="4" fillId="0" borderId="27" xfId="0" applyNumberFormat="1" applyFont="1" applyFill="1" applyBorder="1" applyAlignment="1">
      <alignment vertical="center"/>
    </xf>
    <xf numFmtId="0" fontId="3" fillId="0" borderId="8" xfId="0" applyFont="1" applyBorder="1"/>
    <xf numFmtId="0" fontId="3" fillId="0" borderId="15" xfId="0" applyFont="1" applyBorder="1"/>
    <xf numFmtId="166" fontId="0" fillId="0" borderId="32" xfId="1" applyNumberFormat="1" applyFont="1" applyBorder="1"/>
    <xf numFmtId="166" fontId="0" fillId="0" borderId="33" xfId="1" applyNumberFormat="1" applyFont="1" applyBorder="1"/>
    <xf numFmtId="0" fontId="8" fillId="0" borderId="59" xfId="0" applyFont="1" applyBorder="1" applyAlignment="1">
      <alignment horizontal="center"/>
    </xf>
    <xf numFmtId="167" fontId="8" fillId="0" borderId="7" xfId="0" applyNumberFormat="1" applyFont="1" applyBorder="1"/>
    <xf numFmtId="166" fontId="8" fillId="0" borderId="7" xfId="1" applyNumberFormat="1" applyFont="1" applyBorder="1"/>
    <xf numFmtId="165" fontId="0" fillId="0" borderId="0" xfId="2" applyFont="1"/>
    <xf numFmtId="167" fontId="0" fillId="0" borderId="0" xfId="1" applyNumberFormat="1" applyFont="1"/>
    <xf numFmtId="0" fontId="2" fillId="0" borderId="0" xfId="0" applyFont="1" applyAlignment="1">
      <alignment horizontal="center" vertical="center"/>
    </xf>
    <xf numFmtId="0" fontId="20" fillId="0" borderId="34" xfId="0" applyFont="1" applyBorder="1" applyAlignment="1">
      <alignment horizontal="center" vertical="center" wrapText="1" readingOrder="2"/>
    </xf>
    <xf numFmtId="0" fontId="20" fillId="0" borderId="42" xfId="0" applyFont="1" applyBorder="1" applyAlignment="1">
      <alignment horizontal="center" vertical="center" wrapText="1" readingOrder="2"/>
    </xf>
    <xf numFmtId="0" fontId="20" fillId="0" borderId="35" xfId="0" applyFont="1" applyBorder="1" applyAlignment="1">
      <alignment horizontal="center" vertical="center" wrapText="1" readingOrder="2"/>
    </xf>
    <xf numFmtId="167" fontId="14" fillId="3" borderId="5" xfId="1" applyNumberFormat="1" applyFont="1" applyFill="1" applyBorder="1"/>
    <xf numFmtId="167" fontId="14" fillId="3" borderId="9" xfId="1" applyNumberFormat="1" applyFont="1" applyFill="1" applyBorder="1"/>
    <xf numFmtId="167" fontId="0" fillId="0" borderId="16" xfId="1" applyNumberFormat="1" applyFont="1" applyFill="1" applyBorder="1" applyAlignment="1">
      <alignment horizontal="center" vertical="center"/>
    </xf>
    <xf numFmtId="167" fontId="3" fillId="4" borderId="7" xfId="1" applyNumberFormat="1" applyFont="1" applyFill="1" applyBorder="1"/>
    <xf numFmtId="0" fontId="2" fillId="0" borderId="30" xfId="0" applyFont="1" applyFill="1" applyBorder="1" applyAlignment="1">
      <alignment horizontal="right" vertical="center" readingOrder="2"/>
    </xf>
    <xf numFmtId="0" fontId="2" fillId="0" borderId="11" xfId="0" applyFont="1" applyFill="1" applyBorder="1" applyAlignment="1">
      <alignment horizontal="right" vertical="center" readingOrder="2"/>
    </xf>
    <xf numFmtId="0" fontId="2" fillId="0" borderId="12" xfId="0" applyFont="1" applyFill="1" applyBorder="1" applyAlignment="1">
      <alignment horizontal="right" vertical="center" readingOrder="2"/>
    </xf>
    <xf numFmtId="0" fontId="2" fillId="0" borderId="18" xfId="0" applyFont="1" applyFill="1" applyBorder="1" applyAlignment="1">
      <alignment horizontal="right" vertical="center" readingOrder="2"/>
    </xf>
    <xf numFmtId="0" fontId="2" fillId="0" borderId="11" xfId="0" applyFont="1" applyFill="1" applyBorder="1" applyAlignment="1">
      <alignment horizontal="right" vertical="center"/>
    </xf>
    <xf numFmtId="0" fontId="2" fillId="0" borderId="59" xfId="0" applyFont="1" applyFill="1" applyBorder="1" applyAlignment="1">
      <alignment horizontal="right" vertical="center"/>
    </xf>
    <xf numFmtId="0" fontId="2" fillId="0" borderId="49" xfId="0" applyFont="1" applyFill="1" applyBorder="1" applyAlignment="1">
      <alignment horizontal="right" vertical="center" readingOrder="2"/>
    </xf>
    <xf numFmtId="0" fontId="2" fillId="0" borderId="63" xfId="0" applyFont="1" applyFill="1" applyBorder="1" applyAlignment="1">
      <alignment horizontal="right" vertical="center" readingOrder="2"/>
    </xf>
    <xf numFmtId="0" fontId="3" fillId="0" borderId="30" xfId="0" applyFont="1" applyFill="1" applyBorder="1" applyAlignment="1">
      <alignment horizontal="right" vertical="center" readingOrder="2"/>
    </xf>
    <xf numFmtId="0" fontId="3" fillId="0" borderId="34" xfId="0" applyNumberFormat="1" applyFont="1" applyBorder="1" applyAlignment="1">
      <alignment horizontal="center" vertical="center"/>
    </xf>
    <xf numFmtId="0" fontId="3" fillId="0" borderId="11" xfId="0" applyFont="1" applyFill="1" applyBorder="1" applyAlignment="1">
      <alignment horizontal="right" vertical="center" readingOrder="2"/>
    </xf>
    <xf numFmtId="0" fontId="3" fillId="0" borderId="42" xfId="0" applyNumberFormat="1" applyFont="1" applyBorder="1" applyAlignment="1">
      <alignment horizontal="center" vertical="center"/>
    </xf>
    <xf numFmtId="0" fontId="3" fillId="0" borderId="12" xfId="0" applyFont="1" applyFill="1" applyBorder="1" applyAlignment="1">
      <alignment horizontal="right" vertical="center" readingOrder="2"/>
    </xf>
    <xf numFmtId="0" fontId="3" fillId="0" borderId="35" xfId="0" applyNumberFormat="1" applyFont="1" applyBorder="1" applyAlignment="1">
      <alignment horizontal="center" vertical="center"/>
    </xf>
    <xf numFmtId="167" fontId="14" fillId="3" borderId="5" xfId="1" quotePrefix="1" applyNumberFormat="1" applyFont="1" applyFill="1" applyBorder="1"/>
    <xf numFmtId="167" fontId="14" fillId="3" borderId="9" xfId="1" quotePrefix="1" applyNumberFormat="1" applyFont="1" applyFill="1" applyBorder="1"/>
    <xf numFmtId="167" fontId="14" fillId="3" borderId="26" xfId="1" applyNumberFormat="1" applyFont="1" applyFill="1" applyBorder="1"/>
    <xf numFmtId="167" fontId="14" fillId="3" borderId="31" xfId="1" applyNumberFormat="1" applyFont="1" applyFill="1" applyBorder="1"/>
    <xf numFmtId="0" fontId="8" fillId="0" borderId="56" xfId="0" applyFont="1" applyBorder="1" applyAlignment="1">
      <alignment horizontal="center" wrapText="1"/>
    </xf>
    <xf numFmtId="9" fontId="8" fillId="0" borderId="7" xfId="0" applyNumberFormat="1" applyFont="1" applyBorder="1" applyAlignment="1">
      <alignment horizontal="center" wrapText="1"/>
    </xf>
    <xf numFmtId="167" fontId="6" fillId="3" borderId="26" xfId="1" applyNumberFormat="1" applyFont="1" applyFill="1" applyBorder="1" applyAlignment="1">
      <alignment horizontal="center" vertical="center" wrapText="1"/>
    </xf>
    <xf numFmtId="10" fontId="4" fillId="0" borderId="5" xfId="3" applyNumberFormat="1" applyFont="1" applyFill="1" applyBorder="1"/>
    <xf numFmtId="10" fontId="4" fillId="0" borderId="9" xfId="3" applyNumberFormat="1" applyFont="1" applyFill="1" applyBorder="1"/>
    <xf numFmtId="1" fontId="16" fillId="0" borderId="14" xfId="0" applyNumberFormat="1" applyFont="1" applyFill="1" applyBorder="1" applyAlignment="1">
      <alignment horizontal="center" vertical="center" wrapText="1" readingOrder="2"/>
    </xf>
    <xf numFmtId="1" fontId="16" fillId="0" borderId="17" xfId="0" applyNumberFormat="1" applyFont="1" applyFill="1" applyBorder="1" applyAlignment="1">
      <alignment horizontal="center" vertical="center" wrapText="1" readingOrder="2"/>
    </xf>
    <xf numFmtId="1" fontId="16" fillId="0" borderId="10" xfId="0" applyNumberFormat="1" applyFont="1" applyFill="1" applyBorder="1" applyAlignment="1">
      <alignment horizontal="center" vertical="center" wrapText="1" readingOrder="2"/>
    </xf>
    <xf numFmtId="1" fontId="16" fillId="0" borderId="32" xfId="0" applyNumberFormat="1" applyFont="1" applyFill="1" applyBorder="1" applyAlignment="1">
      <alignment horizontal="center" vertical="center" wrapText="1" readingOrder="2"/>
    </xf>
    <xf numFmtId="14" fontId="19" fillId="0" borderId="32" xfId="0" applyNumberFormat="1" applyFont="1" applyFill="1" applyBorder="1" applyAlignment="1">
      <alignment horizontal="center"/>
    </xf>
    <xf numFmtId="1" fontId="16" fillId="0" borderId="33" xfId="0" applyNumberFormat="1" applyFont="1" applyFill="1" applyBorder="1" applyAlignment="1">
      <alignment horizontal="center" vertical="center" wrapText="1" readingOrder="2"/>
    </xf>
    <xf numFmtId="1" fontId="16" fillId="0" borderId="27" xfId="0" applyNumberFormat="1" applyFont="1" applyFill="1" applyBorder="1" applyAlignment="1">
      <alignment horizontal="center" vertical="center" wrapText="1" readingOrder="2"/>
    </xf>
    <xf numFmtId="14" fontId="19" fillId="0" borderId="9" xfId="0" applyNumberFormat="1" applyFont="1" applyFill="1" applyBorder="1" applyAlignment="1">
      <alignment horizontal="center"/>
    </xf>
    <xf numFmtId="0" fontId="22" fillId="3" borderId="20" xfId="0" applyFont="1" applyFill="1" applyBorder="1" applyAlignment="1">
      <alignment horizontal="center" vertical="center" wrapText="1"/>
    </xf>
    <xf numFmtId="3" fontId="2" fillId="3" borderId="10" xfId="0" applyNumberFormat="1" applyFont="1" applyFill="1" applyBorder="1" applyAlignment="1">
      <alignment horizontal="center" vertical="center"/>
    </xf>
    <xf numFmtId="3" fontId="2" fillId="3" borderId="14" xfId="0" applyNumberFormat="1" applyFont="1" applyFill="1" applyBorder="1" applyAlignment="1">
      <alignment horizontal="center" vertical="center"/>
    </xf>
    <xf numFmtId="3" fontId="2" fillId="3" borderId="33" xfId="0" applyNumberFormat="1" applyFont="1" applyFill="1" applyBorder="1" applyAlignment="1">
      <alignment horizontal="center" vertical="center"/>
    </xf>
    <xf numFmtId="3" fontId="2" fillId="3" borderId="17" xfId="0" applyNumberFormat="1" applyFont="1" applyFill="1" applyBorder="1" applyAlignment="1">
      <alignment horizontal="center" vertical="center"/>
    </xf>
    <xf numFmtId="4" fontId="2" fillId="3" borderId="17" xfId="0" applyNumberFormat="1" applyFont="1" applyFill="1" applyBorder="1" applyAlignment="1">
      <alignment horizontal="center" vertical="center"/>
    </xf>
    <xf numFmtId="0" fontId="2" fillId="0" borderId="59" xfId="0" applyFont="1" applyFill="1" applyBorder="1" applyAlignment="1">
      <alignment horizontal="right" vertical="center" readingOrder="2"/>
    </xf>
    <xf numFmtId="3" fontId="3" fillId="3" borderId="10" xfId="0" applyNumberFormat="1" applyFont="1" applyFill="1" applyBorder="1" applyAlignment="1">
      <alignment horizontal="center" vertical="center"/>
    </xf>
    <xf numFmtId="3" fontId="3" fillId="3" borderId="17" xfId="0" applyNumberFormat="1" applyFont="1" applyFill="1" applyBorder="1" applyAlignment="1">
      <alignment horizontal="center" vertical="center"/>
    </xf>
    <xf numFmtId="9" fontId="4" fillId="0" borderId="9" xfId="0" applyNumberFormat="1" applyFont="1" applyFill="1" applyBorder="1"/>
    <xf numFmtId="167" fontId="4" fillId="0" borderId="5" xfId="1" applyNumberFormat="1" applyFont="1" applyFill="1" applyBorder="1"/>
    <xf numFmtId="167" fontId="4" fillId="0" borderId="9" xfId="1" applyNumberFormat="1" applyFont="1" applyFill="1" applyBorder="1"/>
    <xf numFmtId="167" fontId="7" fillId="0" borderId="9" xfId="1" applyNumberFormat="1" applyFont="1" applyFill="1" applyBorder="1"/>
    <xf numFmtId="167" fontId="7" fillId="0" borderId="5" xfId="1" applyNumberFormat="1" applyFont="1" applyFill="1" applyBorder="1"/>
    <xf numFmtId="166" fontId="0" fillId="0" borderId="8" xfId="1" applyFont="1" applyFill="1" applyBorder="1"/>
    <xf numFmtId="166" fontId="0" fillId="0" borderId="43" xfId="1" applyFont="1" applyFill="1" applyBorder="1"/>
    <xf numFmtId="166" fontId="0" fillId="0" borderId="13" xfId="1" applyFont="1" applyFill="1" applyBorder="1"/>
    <xf numFmtId="166" fontId="0" fillId="0" borderId="44" xfId="1" applyFont="1" applyFill="1" applyBorder="1"/>
    <xf numFmtId="166" fontId="0" fillId="0" borderId="15" xfId="1" applyFont="1" applyFill="1" applyBorder="1"/>
    <xf numFmtId="166" fontId="0" fillId="0" borderId="45" xfId="1" applyFont="1" applyFill="1" applyBorder="1"/>
    <xf numFmtId="167" fontId="4" fillId="0" borderId="13" xfId="1" applyNumberFormat="1" applyFont="1" applyFill="1" applyBorder="1"/>
    <xf numFmtId="167" fontId="4" fillId="0" borderId="40" xfId="1" applyNumberFormat="1" applyFont="1" applyFill="1" applyBorder="1"/>
    <xf numFmtId="167" fontId="4" fillId="0" borderId="15" xfId="1" applyNumberFormat="1" applyFont="1" applyFill="1" applyBorder="1"/>
    <xf numFmtId="167" fontId="4" fillId="0" borderId="41" xfId="1" applyNumberFormat="1" applyFont="1" applyFill="1" applyBorder="1"/>
    <xf numFmtId="167" fontId="4" fillId="0" borderId="22" xfId="1" applyNumberFormat="1" applyFont="1" applyFill="1" applyBorder="1"/>
    <xf numFmtId="167" fontId="4" fillId="0" borderId="16" xfId="1" applyNumberFormat="1" applyFont="1" applyFill="1" applyBorder="1"/>
    <xf numFmtId="0" fontId="8" fillId="0" borderId="7" xfId="0" applyFont="1" applyFill="1" applyBorder="1" applyAlignment="1">
      <alignment horizontal="center" vertical="center" wrapText="1"/>
    </xf>
    <xf numFmtId="0" fontId="8" fillId="0" borderId="20" xfId="0" applyFont="1" applyFill="1" applyBorder="1" applyAlignment="1">
      <alignment horizontal="center" vertical="center" wrapText="1"/>
    </xf>
    <xf numFmtId="1" fontId="0" fillId="0" borderId="8" xfId="0" applyNumberFormat="1" applyFill="1" applyBorder="1"/>
    <xf numFmtId="1" fontId="0" fillId="0" borderId="9" xfId="0" applyNumberFormat="1" applyFill="1" applyBorder="1"/>
    <xf numFmtId="1" fontId="0" fillId="0" borderId="10" xfId="0" applyNumberFormat="1" applyFill="1" applyBorder="1"/>
    <xf numFmtId="1" fontId="0" fillId="0" borderId="13" xfId="0" applyNumberFormat="1" applyFill="1" applyBorder="1"/>
    <xf numFmtId="1" fontId="0" fillId="0" borderId="5" xfId="0" applyNumberFormat="1" applyFill="1" applyBorder="1"/>
    <xf numFmtId="1" fontId="0" fillId="0" borderId="14" xfId="0" applyNumberFormat="1" applyFill="1" applyBorder="1"/>
    <xf numFmtId="1" fontId="0" fillId="0" borderId="15" xfId="0" applyNumberFormat="1" applyFill="1" applyBorder="1"/>
    <xf numFmtId="1" fontId="0" fillId="0" borderId="16" xfId="0" applyNumberFormat="1" applyFill="1" applyBorder="1"/>
    <xf numFmtId="1" fontId="0" fillId="0" borderId="17" xfId="0" applyNumberFormat="1" applyFill="1" applyBorder="1"/>
    <xf numFmtId="167" fontId="0" fillId="0" borderId="8" xfId="1" applyNumberFormat="1" applyFont="1" applyFill="1" applyBorder="1"/>
    <xf numFmtId="167" fontId="0" fillId="0" borderId="10" xfId="1" applyNumberFormat="1" applyFont="1" applyFill="1" applyBorder="1"/>
    <xf numFmtId="167" fontId="0" fillId="0" borderId="13" xfId="1" applyNumberFormat="1" applyFont="1" applyFill="1" applyBorder="1"/>
    <xf numFmtId="167" fontId="0" fillId="0" borderId="14" xfId="1" applyNumberFormat="1" applyFont="1" applyFill="1" applyBorder="1"/>
    <xf numFmtId="167" fontId="0" fillId="0" borderId="15" xfId="1" applyNumberFormat="1" applyFont="1" applyFill="1" applyBorder="1"/>
    <xf numFmtId="167" fontId="0" fillId="0" borderId="17" xfId="1" applyNumberFormat="1" applyFont="1" applyFill="1" applyBorder="1"/>
    <xf numFmtId="1" fontId="0" fillId="0" borderId="0" xfId="0" applyNumberFormat="1" applyFill="1" applyBorder="1"/>
    <xf numFmtId="167" fontId="8" fillId="0" borderId="5" xfId="0" applyNumberFormat="1" applyFont="1" applyBorder="1" applyAlignment="1">
      <alignment horizontal="right"/>
    </xf>
    <xf numFmtId="167" fontId="8" fillId="0" borderId="8" xfId="0" applyNumberFormat="1" applyFont="1" applyBorder="1" applyAlignment="1">
      <alignment horizontal="right"/>
    </xf>
    <xf numFmtId="167" fontId="8" fillId="0" borderId="9" xfId="0" applyNumberFormat="1" applyFont="1" applyBorder="1" applyAlignment="1">
      <alignment horizontal="right"/>
    </xf>
    <xf numFmtId="167" fontId="8" fillId="0" borderId="13" xfId="0" applyNumberFormat="1" applyFont="1" applyBorder="1" applyAlignment="1">
      <alignment horizontal="right"/>
    </xf>
    <xf numFmtId="167" fontId="8" fillId="0" borderId="15" xfId="0" applyNumberFormat="1" applyFont="1" applyBorder="1" applyAlignment="1">
      <alignment horizontal="right"/>
    </xf>
    <xf numFmtId="167" fontId="8" fillId="0" borderId="16" xfId="0" applyNumberFormat="1" applyFont="1" applyBorder="1" applyAlignment="1">
      <alignment horizontal="right"/>
    </xf>
    <xf numFmtId="167" fontId="0" fillId="0" borderId="8" xfId="1" applyNumberFormat="1" applyFont="1" applyFill="1" applyBorder="1" applyAlignment="1">
      <alignment horizontal="right"/>
    </xf>
    <xf numFmtId="1" fontId="0" fillId="0" borderId="9" xfId="0" applyNumberFormat="1" applyFill="1" applyBorder="1" applyAlignment="1">
      <alignment horizontal="right"/>
    </xf>
    <xf numFmtId="167" fontId="0" fillId="0" borderId="13" xfId="1" applyNumberFormat="1" applyFont="1" applyFill="1" applyBorder="1" applyAlignment="1">
      <alignment horizontal="right"/>
    </xf>
    <xf numFmtId="1" fontId="0" fillId="0" borderId="5" xfId="0" applyNumberFormat="1" applyFill="1" applyBorder="1" applyAlignment="1">
      <alignment horizontal="right"/>
    </xf>
    <xf numFmtId="167" fontId="0" fillId="0" borderId="15" xfId="1" applyNumberFormat="1" applyFont="1" applyFill="1" applyBorder="1" applyAlignment="1">
      <alignment horizontal="right"/>
    </xf>
    <xf numFmtId="1" fontId="0" fillId="0" borderId="16" xfId="0" applyNumberFormat="1" applyFill="1" applyBorder="1" applyAlignment="1">
      <alignment horizontal="right"/>
    </xf>
    <xf numFmtId="0" fontId="8" fillId="0" borderId="20" xfId="0" applyFont="1" applyBorder="1" applyAlignment="1">
      <alignment horizontal="center" wrapText="1"/>
    </xf>
    <xf numFmtId="166" fontId="0" fillId="0" borderId="8" xfId="1" applyFont="1" applyBorder="1"/>
    <xf numFmtId="166" fontId="0" fillId="0" borderId="10" xfId="1" applyFont="1" applyBorder="1"/>
    <xf numFmtId="166" fontId="0" fillId="0" borderId="13" xfId="1" applyFont="1" applyBorder="1"/>
    <xf numFmtId="166" fontId="0" fillId="0" borderId="14" xfId="1" applyFont="1" applyBorder="1"/>
    <xf numFmtId="166" fontId="8" fillId="0" borderId="34" xfId="1" applyFont="1" applyBorder="1"/>
    <xf numFmtId="166" fontId="8" fillId="0" borderId="42" xfId="1" applyFont="1" applyBorder="1"/>
    <xf numFmtId="166" fontId="2" fillId="0" borderId="5" xfId="1" applyNumberFormat="1" applyFont="1" applyBorder="1"/>
    <xf numFmtId="167" fontId="4" fillId="0" borderId="8" xfId="1" applyNumberFormat="1" applyFont="1" applyFill="1" applyBorder="1"/>
    <xf numFmtId="167" fontId="4" fillId="0" borderId="60" xfId="1" applyNumberFormat="1" applyFont="1" applyFill="1" applyBorder="1"/>
    <xf numFmtId="167" fontId="4" fillId="0" borderId="10" xfId="1" applyNumberFormat="1" applyFont="1" applyFill="1" applyBorder="1"/>
    <xf numFmtId="167" fontId="4" fillId="0" borderId="14" xfId="1" applyNumberFormat="1" applyFont="1" applyFill="1" applyBorder="1"/>
    <xf numFmtId="167" fontId="4" fillId="0" borderId="17" xfId="1" applyNumberFormat="1" applyFont="1" applyFill="1" applyBorder="1"/>
    <xf numFmtId="0" fontId="7" fillId="0" borderId="8" xfId="0" applyFont="1" applyFill="1" applyBorder="1" applyAlignment="1">
      <alignment horizontal="right"/>
    </xf>
    <xf numFmtId="171" fontId="7" fillId="0" borderId="9" xfId="3" applyNumberFormat="1" applyFont="1" applyFill="1" applyBorder="1"/>
    <xf numFmtId="0" fontId="7" fillId="0" borderId="13" xfId="0" applyFont="1" applyFill="1" applyBorder="1" applyAlignment="1">
      <alignment horizontal="right"/>
    </xf>
    <xf numFmtId="171" fontId="7" fillId="0" borderId="5" xfId="3" applyNumberFormat="1" applyFont="1" applyFill="1" applyBorder="1"/>
    <xf numFmtId="171" fontId="7" fillId="0" borderId="16" xfId="3" applyNumberFormat="1" applyFont="1" applyFill="1" applyBorder="1"/>
    <xf numFmtId="2" fontId="0" fillId="0" borderId="14" xfId="0" applyNumberFormat="1" applyFill="1" applyBorder="1"/>
    <xf numFmtId="2" fontId="0" fillId="0" borderId="17" xfId="0" applyNumberFormat="1" applyFill="1" applyBorder="1"/>
    <xf numFmtId="2" fontId="0" fillId="0" borderId="10" xfId="0" applyNumberFormat="1" applyFill="1" applyBorder="1"/>
    <xf numFmtId="2" fontId="0" fillId="0" borderId="10" xfId="0" applyNumberFormat="1" applyFill="1" applyBorder="1" applyAlignment="1">
      <alignment horizontal="right"/>
    </xf>
    <xf numFmtId="167" fontId="4" fillId="0" borderId="39" xfId="1" applyNumberFormat="1" applyFont="1" applyFill="1" applyBorder="1"/>
    <xf numFmtId="2" fontId="2" fillId="0" borderId="14" xfId="0" applyNumberFormat="1" applyFont="1" applyFill="1" applyBorder="1" applyAlignment="1">
      <alignment vertical="center"/>
    </xf>
    <xf numFmtId="3" fontId="2" fillId="3" borderId="27" xfId="0" applyNumberFormat="1" applyFont="1" applyFill="1" applyBorder="1" applyAlignment="1">
      <alignment horizontal="center" vertical="center"/>
    </xf>
    <xf numFmtId="0" fontId="8" fillId="0" borderId="8" xfId="0" applyFont="1" applyFill="1" applyBorder="1"/>
    <xf numFmtId="0" fontId="8" fillId="0" borderId="13" xfId="0" applyFont="1" applyFill="1" applyBorder="1"/>
    <xf numFmtId="0" fontId="8" fillId="0" borderId="15" xfId="0" applyFont="1" applyFill="1" applyBorder="1"/>
    <xf numFmtId="10" fontId="8" fillId="0" borderId="39" xfId="3" applyNumberFormat="1" applyFont="1" applyFill="1" applyBorder="1"/>
    <xf numFmtId="10" fontId="8" fillId="0" borderId="40" xfId="3" applyNumberFormat="1" applyFont="1" applyFill="1" applyBorder="1"/>
    <xf numFmtId="10" fontId="8" fillId="0" borderId="41" xfId="3" applyNumberFormat="1" applyFont="1" applyFill="1" applyBorder="1"/>
    <xf numFmtId="9" fontId="0" fillId="0" borderId="8" xfId="0" applyNumberFormat="1" applyBorder="1"/>
    <xf numFmtId="9" fontId="0" fillId="0" borderId="10" xfId="0" applyNumberFormat="1" applyBorder="1"/>
    <xf numFmtId="9" fontId="0" fillId="0" borderId="13" xfId="0" applyNumberFormat="1" applyBorder="1"/>
    <xf numFmtId="9" fontId="0" fillId="0" borderId="14" xfId="0" applyNumberFormat="1" applyBorder="1"/>
    <xf numFmtId="9" fontId="0" fillId="0" borderId="15" xfId="0" applyNumberFormat="1" applyBorder="1"/>
    <xf numFmtId="9" fontId="0" fillId="0" borderId="17" xfId="0" applyNumberFormat="1" applyBorder="1"/>
    <xf numFmtId="9" fontId="0" fillId="0" borderId="10" xfId="0" applyNumberFormat="1" applyFill="1" applyBorder="1"/>
    <xf numFmtId="9" fontId="0" fillId="0" borderId="14" xfId="3" applyFont="1" applyFill="1" applyBorder="1"/>
    <xf numFmtId="9" fontId="0" fillId="0" borderId="17" xfId="3" applyFont="1" applyFill="1" applyBorder="1"/>
    <xf numFmtId="9" fontId="0" fillId="0" borderId="8" xfId="0" applyNumberFormat="1" applyFill="1" applyBorder="1"/>
    <xf numFmtId="9" fontId="0" fillId="0" borderId="13" xfId="0" applyNumberFormat="1" applyFill="1" applyBorder="1"/>
    <xf numFmtId="9" fontId="0" fillId="0" borderId="13" xfId="3" applyFont="1" applyFill="1" applyBorder="1"/>
    <xf numFmtId="9" fontId="0" fillId="0" borderId="15" xfId="3" applyFont="1" applyFill="1" applyBorder="1"/>
    <xf numFmtId="167" fontId="4" fillId="3" borderId="66" xfId="1" applyNumberFormat="1" applyFont="1" applyFill="1" applyBorder="1"/>
    <xf numFmtId="167" fontId="4" fillId="3" borderId="32" xfId="1" applyNumberFormat="1" applyFont="1" applyFill="1" applyBorder="1"/>
    <xf numFmtId="167" fontId="4" fillId="4" borderId="31" xfId="1" applyNumberFormat="1" applyFont="1" applyFill="1" applyBorder="1"/>
    <xf numFmtId="167" fontId="4" fillId="4" borderId="33" xfId="1" applyNumberFormat="1" applyFont="1" applyFill="1" applyBorder="1"/>
    <xf numFmtId="167" fontId="4" fillId="4" borderId="62" xfId="1" applyNumberFormat="1" applyFont="1" applyFill="1" applyBorder="1"/>
    <xf numFmtId="167" fontId="4" fillId="4" borderId="32" xfId="1" applyNumberFormat="1" applyFont="1" applyFill="1" applyBorder="1"/>
    <xf numFmtId="167" fontId="4" fillId="3" borderId="31" xfId="1" applyNumberFormat="1" applyFont="1" applyFill="1" applyBorder="1"/>
    <xf numFmtId="167" fontId="14" fillId="3" borderId="32" xfId="1" applyNumberFormat="1" applyFont="1" applyFill="1" applyBorder="1"/>
    <xf numFmtId="0" fontId="4" fillId="0" borderId="36" xfId="0" applyFont="1" applyFill="1" applyBorder="1" applyAlignment="1">
      <alignment horizontal="right" vertical="center"/>
    </xf>
    <xf numFmtId="0" fontId="4" fillId="0" borderId="37" xfId="0" applyFont="1" applyFill="1" applyBorder="1" applyAlignment="1">
      <alignment horizontal="right" vertical="center"/>
    </xf>
    <xf numFmtId="0" fontId="4" fillId="0" borderId="62" xfId="0" applyFont="1" applyFill="1" applyBorder="1" applyAlignment="1">
      <alignment horizontal="right" vertical="center"/>
    </xf>
    <xf numFmtId="0" fontId="4" fillId="0" borderId="55" xfId="0" applyFont="1" applyFill="1" applyBorder="1" applyAlignment="1">
      <alignment horizontal="right" vertical="center"/>
    </xf>
    <xf numFmtId="166" fontId="4" fillId="4" borderId="8" xfId="1" applyFont="1" applyFill="1" applyBorder="1"/>
    <xf numFmtId="166" fontId="4" fillId="4" borderId="13" xfId="1" applyFont="1" applyFill="1" applyBorder="1"/>
    <xf numFmtId="166" fontId="4" fillId="4" borderId="15" xfId="1" applyFont="1" applyFill="1" applyBorder="1"/>
    <xf numFmtId="167" fontId="4" fillId="3" borderId="65" xfId="1" applyNumberFormat="1" applyFont="1" applyFill="1" applyBorder="1"/>
    <xf numFmtId="10" fontId="0" fillId="0" borderId="0" xfId="3" applyNumberFormat="1" applyFont="1"/>
    <xf numFmtId="166" fontId="4" fillId="4" borderId="36" xfId="1" applyFont="1" applyFill="1" applyBorder="1"/>
    <xf numFmtId="166" fontId="4" fillId="4" borderId="37" xfId="1" applyFont="1" applyFill="1" applyBorder="1"/>
    <xf numFmtId="166" fontId="4" fillId="4" borderId="38" xfId="1" applyFont="1" applyFill="1" applyBorder="1"/>
    <xf numFmtId="166" fontId="4" fillId="3" borderId="8" xfId="1" applyFont="1" applyFill="1" applyBorder="1"/>
    <xf numFmtId="166" fontId="4" fillId="3" borderId="9" xfId="1" applyFont="1" applyFill="1" applyBorder="1"/>
    <xf numFmtId="0" fontId="0" fillId="0" borderId="43" xfId="0" applyFill="1" applyBorder="1"/>
    <xf numFmtId="0" fontId="0" fillId="0" borderId="44" xfId="0" applyFill="1" applyBorder="1"/>
    <xf numFmtId="0" fontId="0" fillId="0" borderId="45" xfId="0" applyFill="1" applyBorder="1"/>
    <xf numFmtId="2" fontId="0" fillId="0" borderId="13" xfId="0" applyNumberFormat="1" applyFill="1" applyBorder="1"/>
    <xf numFmtId="2" fontId="0" fillId="0" borderId="5" xfId="0" applyNumberFormat="1" applyFill="1" applyBorder="1"/>
    <xf numFmtId="2" fontId="0" fillId="0" borderId="15" xfId="0" applyNumberFormat="1" applyFill="1" applyBorder="1"/>
    <xf numFmtId="2" fontId="0" fillId="0" borderId="16" xfId="0" applyNumberFormat="1" applyFill="1" applyBorder="1"/>
    <xf numFmtId="166" fontId="0" fillId="0" borderId="15" xfId="1" applyFont="1" applyBorder="1"/>
    <xf numFmtId="166" fontId="0" fillId="0" borderId="17" xfId="1" applyFont="1" applyBorder="1"/>
    <xf numFmtId="166" fontId="8" fillId="0" borderId="35" xfId="1" applyFont="1" applyBorder="1"/>
    <xf numFmtId="0" fontId="3" fillId="0" borderId="2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" fontId="0" fillId="0" borderId="0" xfId="0" applyNumberFormat="1"/>
    <xf numFmtId="166" fontId="0" fillId="0" borderId="0" xfId="1" applyFont="1"/>
    <xf numFmtId="167" fontId="4" fillId="3" borderId="55" xfId="1" applyNumberFormat="1" applyFont="1" applyFill="1" applyBorder="1"/>
    <xf numFmtId="167" fontId="4" fillId="3" borderId="67" xfId="1" applyNumberFormat="1" applyFont="1" applyFill="1" applyBorder="1"/>
    <xf numFmtId="167" fontId="4" fillId="3" borderId="49" xfId="1" applyNumberFormat="1" applyFont="1" applyFill="1" applyBorder="1"/>
    <xf numFmtId="167" fontId="4" fillId="3" borderId="68" xfId="1" applyNumberFormat="1" applyFont="1" applyFill="1" applyBorder="1"/>
    <xf numFmtId="167" fontId="4" fillId="3" borderId="0" xfId="1" applyNumberFormat="1" applyFont="1" applyFill="1" applyBorder="1"/>
    <xf numFmtId="167" fontId="4" fillId="3" borderId="41" xfId="1" applyNumberFormat="1" applyFont="1" applyFill="1" applyBorder="1"/>
    <xf numFmtId="167" fontId="7" fillId="2" borderId="10" xfId="1" applyNumberFormat="1" applyFont="1" applyFill="1" applyBorder="1"/>
    <xf numFmtId="167" fontId="4" fillId="0" borderId="34" xfId="1" applyNumberFormat="1" applyFont="1" applyBorder="1"/>
    <xf numFmtId="167" fontId="4" fillId="0" borderId="42" xfId="1" applyNumberFormat="1" applyFont="1" applyBorder="1"/>
    <xf numFmtId="167" fontId="4" fillId="0" borderId="35" xfId="1" applyNumberFormat="1" applyFont="1" applyBorder="1"/>
    <xf numFmtId="169" fontId="4" fillId="4" borderId="34" xfId="2" applyNumberFormat="1" applyFont="1" applyFill="1" applyBorder="1"/>
    <xf numFmtId="169" fontId="4" fillId="4" borderId="42" xfId="2" applyNumberFormat="1" applyFont="1" applyFill="1" applyBorder="1"/>
    <xf numFmtId="169" fontId="4" fillId="4" borderId="35" xfId="2" applyNumberFormat="1" applyFont="1" applyFill="1" applyBorder="1"/>
    <xf numFmtId="0" fontId="4" fillId="0" borderId="21" xfId="0" applyFont="1" applyBorder="1"/>
    <xf numFmtId="0" fontId="7" fillId="0" borderId="15" xfId="0" applyFont="1" applyFill="1" applyBorder="1" applyAlignment="1">
      <alignment horizontal="right"/>
    </xf>
    <xf numFmtId="0" fontId="8" fillId="0" borderId="0" xfId="0" applyFont="1" applyBorder="1" applyAlignment="1">
      <alignment horizontal="center"/>
    </xf>
    <xf numFmtId="167" fontId="0" fillId="0" borderId="50" xfId="0" applyNumberFormat="1" applyBorder="1"/>
    <xf numFmtId="9" fontId="0" fillId="0" borderId="5" xfId="1" applyNumberFormat="1" applyFont="1" applyFill="1" applyBorder="1" applyAlignment="1">
      <alignment horizontal="center"/>
    </xf>
    <xf numFmtId="9" fontId="0" fillId="0" borderId="8" xfId="1" applyNumberFormat="1" applyFont="1" applyFill="1" applyBorder="1" applyAlignment="1">
      <alignment horizontal="center"/>
    </xf>
    <xf numFmtId="9" fontId="0" fillId="0" borderId="9" xfId="1" applyNumberFormat="1" applyFont="1" applyFill="1" applyBorder="1" applyAlignment="1">
      <alignment horizontal="center"/>
    </xf>
    <xf numFmtId="9" fontId="0" fillId="0" borderId="10" xfId="3" applyFont="1" applyFill="1" applyBorder="1" applyAlignment="1">
      <alignment horizontal="center"/>
    </xf>
    <xf numFmtId="9" fontId="0" fillId="0" borderId="13" xfId="1" applyNumberFormat="1" applyFont="1" applyFill="1" applyBorder="1" applyAlignment="1">
      <alignment horizontal="center"/>
    </xf>
    <xf numFmtId="9" fontId="0" fillId="0" borderId="14" xfId="3" applyFont="1" applyFill="1" applyBorder="1" applyAlignment="1">
      <alignment horizontal="center"/>
    </xf>
    <xf numFmtId="167" fontId="0" fillId="0" borderId="8" xfId="0" applyNumberFormat="1" applyBorder="1"/>
    <xf numFmtId="167" fontId="0" fillId="0" borderId="36" xfId="0" applyNumberFormat="1" applyBorder="1"/>
    <xf numFmtId="167" fontId="0" fillId="0" borderId="43" xfId="0" applyNumberFormat="1" applyBorder="1"/>
    <xf numFmtId="167" fontId="0" fillId="0" borderId="13" xfId="0" applyNumberFormat="1" applyBorder="1"/>
    <xf numFmtId="167" fontId="8" fillId="0" borderId="19" xfId="0" applyNumberFormat="1" applyFont="1" applyBorder="1"/>
    <xf numFmtId="166" fontId="8" fillId="0" borderId="19" xfId="0" applyNumberFormat="1" applyFont="1" applyBorder="1"/>
    <xf numFmtId="166" fontId="0" fillId="0" borderId="8" xfId="1" applyNumberFormat="1" applyFont="1" applyBorder="1"/>
    <xf numFmtId="166" fontId="0" fillId="0" borderId="13" xfId="1" applyNumberFormat="1" applyFont="1" applyBorder="1"/>
    <xf numFmtId="166" fontId="0" fillId="0" borderId="15" xfId="1" applyNumberFormat="1" applyFont="1" applyBorder="1"/>
    <xf numFmtId="166" fontId="0" fillId="0" borderId="16" xfId="1" applyNumberFormat="1" applyFont="1" applyBorder="1"/>
    <xf numFmtId="166" fontId="0" fillId="0" borderId="17" xfId="1" applyNumberFormat="1" applyFont="1" applyBorder="1"/>
    <xf numFmtId="0" fontId="22" fillId="5" borderId="20" xfId="0" applyFont="1" applyFill="1" applyBorder="1" applyAlignment="1">
      <alignment horizontal="center" vertical="center" wrapText="1"/>
    </xf>
    <xf numFmtId="0" fontId="22" fillId="8" borderId="20" xfId="0" applyFont="1" applyFill="1" applyBorder="1" applyAlignment="1">
      <alignment horizontal="center" vertical="center" wrapText="1"/>
    </xf>
    <xf numFmtId="3" fontId="2" fillId="8" borderId="8" xfId="0" applyNumberFormat="1" applyFont="1" applyFill="1" applyBorder="1" applyAlignment="1">
      <alignment horizontal="center" vertical="center"/>
    </xf>
    <xf numFmtId="3" fontId="2" fillId="8" borderId="13" xfId="0" applyNumberFormat="1" applyFont="1" applyFill="1" applyBorder="1" applyAlignment="1">
      <alignment horizontal="center" vertical="center"/>
    </xf>
    <xf numFmtId="3" fontId="2" fillId="8" borderId="31" xfId="0" applyNumberFormat="1" applyFont="1" applyFill="1" applyBorder="1" applyAlignment="1">
      <alignment horizontal="center" vertical="center"/>
    </xf>
    <xf numFmtId="3" fontId="3" fillId="8" borderId="8" xfId="0" applyNumberFormat="1" applyFont="1" applyFill="1" applyBorder="1" applyAlignment="1">
      <alignment horizontal="center" vertical="center"/>
    </xf>
    <xf numFmtId="3" fontId="3" fillId="8" borderId="31" xfId="0" applyNumberFormat="1" applyFont="1" applyFill="1" applyBorder="1" applyAlignment="1">
      <alignment horizontal="center" vertical="center"/>
    </xf>
    <xf numFmtId="3" fontId="3" fillId="8" borderId="15" xfId="0" applyNumberFormat="1" applyFont="1" applyFill="1" applyBorder="1" applyAlignment="1">
      <alignment horizontal="center" vertical="center"/>
    </xf>
    <xf numFmtId="3" fontId="2" fillId="8" borderId="26" xfId="0" applyNumberFormat="1" applyFont="1" applyFill="1" applyBorder="1" applyAlignment="1">
      <alignment horizontal="center" vertical="center"/>
    </xf>
    <xf numFmtId="3" fontId="2" fillId="8" borderId="15" xfId="0" applyNumberFormat="1" applyFont="1" applyFill="1" applyBorder="1" applyAlignment="1">
      <alignment horizontal="center" vertical="center"/>
    </xf>
    <xf numFmtId="4" fontId="2" fillId="8" borderId="15" xfId="0" applyNumberFormat="1" applyFont="1" applyFill="1" applyBorder="1" applyAlignment="1">
      <alignment horizontal="center" vertical="center"/>
    </xf>
    <xf numFmtId="0" fontId="22" fillId="9" borderId="20" xfId="0" applyFont="1" applyFill="1" applyBorder="1" applyAlignment="1">
      <alignment horizontal="center" vertical="center" wrapText="1"/>
    </xf>
    <xf numFmtId="0" fontId="22" fillId="10" borderId="20" xfId="0" applyFont="1" applyFill="1" applyBorder="1" applyAlignment="1">
      <alignment horizontal="center" vertical="center" wrapText="1"/>
    </xf>
    <xf numFmtId="3" fontId="3" fillId="3" borderId="33" xfId="0" applyNumberFormat="1" applyFont="1" applyFill="1" applyBorder="1" applyAlignment="1">
      <alignment horizontal="center" vertical="center"/>
    </xf>
    <xf numFmtId="0" fontId="22" fillId="11" borderId="20" xfId="0" applyFont="1" applyFill="1" applyBorder="1" applyAlignment="1">
      <alignment horizontal="center" vertical="center" wrapText="1"/>
    </xf>
    <xf numFmtId="0" fontId="22" fillId="6" borderId="20" xfId="0" applyFont="1" applyFill="1" applyBorder="1" applyAlignment="1">
      <alignment horizontal="center" vertical="center" wrapText="1"/>
    </xf>
    <xf numFmtId="3" fontId="2" fillId="6" borderId="8" xfId="0" applyNumberFormat="1" applyFont="1" applyFill="1" applyBorder="1" applyAlignment="1">
      <alignment horizontal="center" vertical="center"/>
    </xf>
    <xf numFmtId="3" fontId="2" fillId="6" borderId="13" xfId="0" applyNumberFormat="1" applyFont="1" applyFill="1" applyBorder="1" applyAlignment="1">
      <alignment horizontal="center" vertical="center"/>
    </xf>
    <xf numFmtId="3" fontId="2" fillId="6" borderId="31" xfId="0" applyNumberFormat="1" applyFont="1" applyFill="1" applyBorder="1" applyAlignment="1">
      <alignment horizontal="center" vertical="center"/>
    </xf>
    <xf numFmtId="3" fontId="3" fillId="6" borderId="8" xfId="0" applyNumberFormat="1" applyFont="1" applyFill="1" applyBorder="1" applyAlignment="1">
      <alignment horizontal="center" vertical="center"/>
    </xf>
    <xf numFmtId="3" fontId="3" fillId="6" borderId="15" xfId="0" applyNumberFormat="1" applyFont="1" applyFill="1" applyBorder="1" applyAlignment="1">
      <alignment horizontal="center" vertical="center"/>
    </xf>
    <xf numFmtId="3" fontId="2" fillId="6" borderId="26" xfId="0" applyNumberFormat="1" applyFont="1" applyFill="1" applyBorder="1" applyAlignment="1">
      <alignment horizontal="center" vertical="center"/>
    </xf>
    <xf numFmtId="3" fontId="2" fillId="10" borderId="8" xfId="0" applyNumberFormat="1" applyFont="1" applyFill="1" applyBorder="1" applyAlignment="1">
      <alignment horizontal="center" vertical="center"/>
    </xf>
    <xf numFmtId="3" fontId="2" fillId="10" borderId="13" xfId="0" applyNumberFormat="1" applyFont="1" applyFill="1" applyBorder="1" applyAlignment="1">
      <alignment horizontal="center" vertical="center"/>
    </xf>
    <xf numFmtId="3" fontId="2" fillId="10" borderId="31" xfId="0" applyNumberFormat="1" applyFont="1" applyFill="1" applyBorder="1" applyAlignment="1">
      <alignment horizontal="center" vertical="center"/>
    </xf>
    <xf numFmtId="3" fontId="3" fillId="10" borderId="8" xfId="0" applyNumberFormat="1" applyFont="1" applyFill="1" applyBorder="1" applyAlignment="1">
      <alignment horizontal="center" vertical="center"/>
    </xf>
    <xf numFmtId="3" fontId="3" fillId="10" borderId="31" xfId="0" applyNumberFormat="1" applyFont="1" applyFill="1" applyBorder="1" applyAlignment="1">
      <alignment horizontal="center" vertical="center"/>
    </xf>
    <xf numFmtId="3" fontId="3" fillId="10" borderId="15" xfId="0" applyNumberFormat="1" applyFont="1" applyFill="1" applyBorder="1" applyAlignment="1">
      <alignment horizontal="center" vertical="center"/>
    </xf>
    <xf numFmtId="3" fontId="2" fillId="10" borderId="26" xfId="0" applyNumberFormat="1" applyFont="1" applyFill="1" applyBorder="1" applyAlignment="1">
      <alignment horizontal="center" vertical="center"/>
    </xf>
    <xf numFmtId="3" fontId="2" fillId="10" borderId="15" xfId="0" applyNumberFormat="1" applyFont="1" applyFill="1" applyBorder="1" applyAlignment="1">
      <alignment horizontal="center" vertical="center"/>
    </xf>
    <xf numFmtId="4" fontId="2" fillId="10" borderId="15" xfId="0" applyNumberFormat="1" applyFont="1" applyFill="1" applyBorder="1" applyAlignment="1">
      <alignment horizontal="center" vertical="center"/>
    </xf>
    <xf numFmtId="3" fontId="2" fillId="5" borderId="10" xfId="0" applyNumberFormat="1" applyFont="1" applyFill="1" applyBorder="1" applyAlignment="1">
      <alignment horizontal="center" vertical="center"/>
    </xf>
    <xf numFmtId="3" fontId="2" fillId="5" borderId="14" xfId="0" applyNumberFormat="1" applyFont="1" applyFill="1" applyBorder="1" applyAlignment="1">
      <alignment horizontal="center" vertical="center"/>
    </xf>
    <xf numFmtId="3" fontId="2" fillId="5" borderId="33" xfId="0" applyNumberFormat="1" applyFont="1" applyFill="1" applyBorder="1" applyAlignment="1">
      <alignment horizontal="center" vertical="center"/>
    </xf>
    <xf numFmtId="3" fontId="3" fillId="5" borderId="10" xfId="0" applyNumberFormat="1" applyFont="1" applyFill="1" applyBorder="1" applyAlignment="1">
      <alignment horizontal="center" vertical="center"/>
    </xf>
    <xf numFmtId="3" fontId="3" fillId="5" borderId="33" xfId="0" applyNumberFormat="1" applyFont="1" applyFill="1" applyBorder="1" applyAlignment="1">
      <alignment horizontal="center" vertical="center"/>
    </xf>
    <xf numFmtId="3" fontId="3" fillId="5" borderId="17" xfId="0" applyNumberFormat="1" applyFont="1" applyFill="1" applyBorder="1" applyAlignment="1">
      <alignment horizontal="center" vertical="center"/>
    </xf>
    <xf numFmtId="3" fontId="2" fillId="5" borderId="27" xfId="0" applyNumberFormat="1" applyFont="1" applyFill="1" applyBorder="1" applyAlignment="1">
      <alignment horizontal="center" vertical="center"/>
    </xf>
    <xf numFmtId="3" fontId="2" fillId="5" borderId="17" xfId="0" applyNumberFormat="1" applyFont="1" applyFill="1" applyBorder="1" applyAlignment="1">
      <alignment horizontal="center" vertical="center"/>
    </xf>
    <xf numFmtId="4" fontId="2" fillId="5" borderId="17" xfId="0" applyNumberFormat="1" applyFont="1" applyFill="1" applyBorder="1" applyAlignment="1">
      <alignment horizontal="center" vertical="center"/>
    </xf>
    <xf numFmtId="0" fontId="22" fillId="12" borderId="20" xfId="0" applyFont="1" applyFill="1" applyBorder="1" applyAlignment="1">
      <alignment horizontal="center" vertical="center" wrapText="1"/>
    </xf>
    <xf numFmtId="3" fontId="2" fillId="12" borderId="10" xfId="0" applyNumberFormat="1" applyFont="1" applyFill="1" applyBorder="1" applyAlignment="1">
      <alignment horizontal="center" vertical="center"/>
    </xf>
    <xf numFmtId="3" fontId="2" fillId="12" borderId="14" xfId="0" applyNumberFormat="1" applyFont="1" applyFill="1" applyBorder="1" applyAlignment="1">
      <alignment horizontal="center" vertical="center"/>
    </xf>
    <xf numFmtId="3" fontId="2" fillId="12" borderId="33" xfId="0" applyNumberFormat="1" applyFont="1" applyFill="1" applyBorder="1" applyAlignment="1">
      <alignment horizontal="center" vertical="center"/>
    </xf>
    <xf numFmtId="3" fontId="3" fillId="12" borderId="10" xfId="0" applyNumberFormat="1" applyFont="1" applyFill="1" applyBorder="1" applyAlignment="1">
      <alignment horizontal="center" vertical="center"/>
    </xf>
    <xf numFmtId="3" fontId="3" fillId="12" borderId="33" xfId="0" applyNumberFormat="1" applyFont="1" applyFill="1" applyBorder="1" applyAlignment="1">
      <alignment horizontal="center" vertical="center"/>
    </xf>
    <xf numFmtId="3" fontId="3" fillId="12" borderId="17" xfId="0" applyNumberFormat="1" applyFont="1" applyFill="1" applyBorder="1" applyAlignment="1">
      <alignment horizontal="center" vertical="center"/>
    </xf>
    <xf numFmtId="3" fontId="2" fillId="12" borderId="27" xfId="0" applyNumberFormat="1" applyFont="1" applyFill="1" applyBorder="1" applyAlignment="1">
      <alignment horizontal="center" vertical="center"/>
    </xf>
    <xf numFmtId="3" fontId="2" fillId="12" borderId="17" xfId="0" applyNumberFormat="1" applyFont="1" applyFill="1" applyBorder="1" applyAlignment="1">
      <alignment horizontal="center" vertical="center"/>
    </xf>
    <xf numFmtId="4" fontId="2" fillId="12" borderId="17" xfId="0" applyNumberFormat="1" applyFont="1" applyFill="1" applyBorder="1" applyAlignment="1">
      <alignment horizontal="center" vertical="center"/>
    </xf>
    <xf numFmtId="0" fontId="22" fillId="7" borderId="20" xfId="0" applyFont="1" applyFill="1" applyBorder="1" applyAlignment="1">
      <alignment horizontal="center" vertical="center" wrapText="1"/>
    </xf>
    <xf numFmtId="3" fontId="3" fillId="9" borderId="34" xfId="0" applyNumberFormat="1" applyFont="1" applyFill="1" applyBorder="1" applyAlignment="1">
      <alignment horizontal="center" vertical="center"/>
    </xf>
    <xf numFmtId="3" fontId="3" fillId="9" borderId="35" xfId="0" applyNumberFormat="1" applyFont="1" applyFill="1" applyBorder="1" applyAlignment="1">
      <alignment horizontal="center" vertical="center"/>
    </xf>
    <xf numFmtId="0" fontId="22" fillId="4" borderId="20" xfId="0" applyFont="1" applyFill="1" applyBorder="1" applyAlignment="1">
      <alignment horizontal="center" vertical="center" wrapText="1"/>
    </xf>
    <xf numFmtId="3" fontId="2" fillId="4" borderId="10" xfId="0" applyNumberFormat="1" applyFont="1" applyFill="1" applyBorder="1" applyAlignment="1">
      <alignment horizontal="center" vertical="center"/>
    </xf>
    <xf numFmtId="3" fontId="2" fillId="4" borderId="14" xfId="0" applyNumberFormat="1" applyFont="1" applyFill="1" applyBorder="1" applyAlignment="1">
      <alignment horizontal="center" vertical="center"/>
    </xf>
    <xf numFmtId="3" fontId="2" fillId="4" borderId="33" xfId="0" applyNumberFormat="1" applyFont="1" applyFill="1" applyBorder="1" applyAlignment="1">
      <alignment horizontal="center" vertical="center"/>
    </xf>
    <xf numFmtId="3" fontId="3" fillId="4" borderId="10" xfId="0" applyNumberFormat="1" applyFont="1" applyFill="1" applyBorder="1" applyAlignment="1">
      <alignment horizontal="center" vertical="center"/>
    </xf>
    <xf numFmtId="3" fontId="3" fillId="4" borderId="17" xfId="0" applyNumberFormat="1" applyFont="1" applyFill="1" applyBorder="1" applyAlignment="1">
      <alignment horizontal="center" vertical="center"/>
    </xf>
    <xf numFmtId="3" fontId="2" fillId="4" borderId="27" xfId="0" applyNumberFormat="1" applyFont="1" applyFill="1" applyBorder="1" applyAlignment="1">
      <alignment horizontal="center" vertical="center"/>
    </xf>
    <xf numFmtId="0" fontId="22" fillId="13" borderId="20" xfId="0" applyFont="1" applyFill="1" applyBorder="1" applyAlignment="1">
      <alignment horizontal="center" vertical="center" wrapText="1"/>
    </xf>
    <xf numFmtId="0" fontId="22" fillId="14" borderId="2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 vertical="center"/>
    </xf>
    <xf numFmtId="167" fontId="4" fillId="4" borderId="41" xfId="1" applyNumberFormat="1" applyFont="1" applyFill="1" applyBorder="1"/>
    <xf numFmtId="166" fontId="4" fillId="3" borderId="36" xfId="1" applyFont="1" applyFill="1" applyBorder="1"/>
    <xf numFmtId="166" fontId="4" fillId="3" borderId="37" xfId="1" applyFont="1" applyFill="1" applyBorder="1"/>
    <xf numFmtId="166" fontId="4" fillId="3" borderId="38" xfId="1" applyFont="1" applyFill="1" applyBorder="1"/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 readingOrder="2"/>
    </xf>
    <xf numFmtId="0" fontId="3" fillId="0" borderId="0" xfId="0" applyNumberFormat="1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 wrapText="1"/>
    </xf>
    <xf numFmtId="167" fontId="0" fillId="3" borderId="8" xfId="1" applyNumberFormat="1" applyFont="1" applyFill="1" applyBorder="1"/>
    <xf numFmtId="167" fontId="0" fillId="3" borderId="9" xfId="1" applyNumberFormat="1" applyFont="1" applyFill="1" applyBorder="1"/>
    <xf numFmtId="167" fontId="0" fillId="3" borderId="10" xfId="1" applyNumberFormat="1" applyFont="1" applyFill="1" applyBorder="1"/>
    <xf numFmtId="167" fontId="0" fillId="4" borderId="36" xfId="1" applyNumberFormat="1" applyFont="1" applyFill="1" applyBorder="1"/>
    <xf numFmtId="167" fontId="0" fillId="4" borderId="9" xfId="1" applyNumberFormat="1" applyFont="1" applyFill="1" applyBorder="1"/>
    <xf numFmtId="167" fontId="0" fillId="4" borderId="8" xfId="1" applyNumberFormat="1" applyFont="1" applyFill="1" applyBorder="1"/>
    <xf numFmtId="167" fontId="0" fillId="4" borderId="10" xfId="1" applyNumberFormat="1" applyFont="1" applyFill="1" applyBorder="1"/>
    <xf numFmtId="167" fontId="0" fillId="3" borderId="13" xfId="1" applyNumberFormat="1" applyFont="1" applyFill="1" applyBorder="1"/>
    <xf numFmtId="167" fontId="0" fillId="3" borderId="5" xfId="1" applyNumberFormat="1" applyFont="1" applyFill="1" applyBorder="1"/>
    <xf numFmtId="167" fontId="0" fillId="3" borderId="14" xfId="1" applyNumberFormat="1" applyFont="1" applyFill="1" applyBorder="1"/>
    <xf numFmtId="167" fontId="0" fillId="4" borderId="37" xfId="1" applyNumberFormat="1" applyFont="1" applyFill="1" applyBorder="1"/>
    <xf numFmtId="167" fontId="0" fillId="4" borderId="5" xfId="1" applyNumberFormat="1" applyFont="1" applyFill="1" applyBorder="1"/>
    <xf numFmtId="167" fontId="0" fillId="4" borderId="13" xfId="1" applyNumberFormat="1" applyFont="1" applyFill="1" applyBorder="1"/>
    <xf numFmtId="167" fontId="0" fillId="4" borderId="14" xfId="1" applyNumberFormat="1" applyFont="1" applyFill="1" applyBorder="1"/>
    <xf numFmtId="167" fontId="0" fillId="3" borderId="15" xfId="1" applyNumberFormat="1" applyFont="1" applyFill="1" applyBorder="1"/>
    <xf numFmtId="167" fontId="0" fillId="3" borderId="16" xfId="1" applyNumberFormat="1" applyFont="1" applyFill="1" applyBorder="1"/>
    <xf numFmtId="167" fontId="0" fillId="3" borderId="17" xfId="1" applyNumberFormat="1" applyFont="1" applyFill="1" applyBorder="1"/>
    <xf numFmtId="167" fontId="0" fillId="4" borderId="38" xfId="1" applyNumberFormat="1" applyFont="1" applyFill="1" applyBorder="1"/>
    <xf numFmtId="167" fontId="0" fillId="4" borderId="16" xfId="1" applyNumberFormat="1" applyFont="1" applyFill="1" applyBorder="1"/>
    <xf numFmtId="167" fontId="0" fillId="4" borderId="15" xfId="1" applyNumberFormat="1" applyFont="1" applyFill="1" applyBorder="1"/>
    <xf numFmtId="167" fontId="0" fillId="4" borderId="17" xfId="1" applyNumberFormat="1" applyFont="1" applyFill="1" applyBorder="1"/>
    <xf numFmtId="0" fontId="4" fillId="0" borderId="70" xfId="0" applyFont="1" applyFill="1" applyBorder="1" applyAlignment="1">
      <alignment horizontal="right" vertical="center"/>
    </xf>
    <xf numFmtId="172" fontId="4" fillId="0" borderId="24" xfId="0" applyNumberFormat="1" applyFont="1" applyBorder="1"/>
    <xf numFmtId="0" fontId="4" fillId="0" borderId="25" xfId="0" applyFont="1" applyBorder="1"/>
    <xf numFmtId="0" fontId="3" fillId="0" borderId="12" xfId="0" applyFont="1" applyBorder="1" applyAlignment="1">
      <alignment horizontal="center" vertical="center" wrapText="1"/>
    </xf>
    <xf numFmtId="0" fontId="4" fillId="0" borderId="71" xfId="0" applyFont="1" applyBorder="1" applyAlignment="1">
      <alignment wrapText="1"/>
    </xf>
    <xf numFmtId="171" fontId="3" fillId="0" borderId="57" xfId="3" applyNumberFormat="1" applyFont="1" applyFill="1" applyBorder="1" applyAlignment="1">
      <alignment wrapText="1"/>
    </xf>
    <xf numFmtId="0" fontId="0" fillId="0" borderId="47" xfId="0" applyBorder="1"/>
    <xf numFmtId="3" fontId="3" fillId="6" borderId="23" xfId="0" applyNumberFormat="1" applyFont="1" applyFill="1" applyBorder="1" applyAlignment="1">
      <alignment horizontal="center" vertical="center"/>
    </xf>
    <xf numFmtId="3" fontId="3" fillId="4" borderId="25" xfId="0" applyNumberFormat="1" applyFont="1" applyFill="1" applyBorder="1" applyAlignment="1">
      <alignment horizontal="center" vertical="center"/>
    </xf>
    <xf numFmtId="9" fontId="3" fillId="0" borderId="71" xfId="0" applyNumberFormat="1" applyFont="1" applyBorder="1" applyAlignment="1">
      <alignment horizontal="center" vertical="center"/>
    </xf>
    <xf numFmtId="9" fontId="3" fillId="0" borderId="57" xfId="0" applyNumberFormat="1" applyFont="1" applyBorder="1" applyAlignment="1">
      <alignment horizontal="center" vertical="center"/>
    </xf>
    <xf numFmtId="9" fontId="3" fillId="0" borderId="47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3" fontId="2" fillId="0" borderId="9" xfId="0" applyNumberFormat="1" applyFont="1" applyBorder="1" applyAlignment="1">
      <alignment horizontal="center" vertical="center"/>
    </xf>
    <xf numFmtId="3" fontId="2" fillId="0" borderId="10" xfId="0" applyNumberFormat="1" applyFont="1" applyBorder="1" applyAlignment="1">
      <alignment horizontal="center" vertical="center"/>
    </xf>
    <xf numFmtId="0" fontId="3" fillId="0" borderId="30" xfId="0" applyFont="1" applyFill="1" applyBorder="1" applyAlignment="1">
      <alignment vertical="center" readingOrder="2"/>
    </xf>
    <xf numFmtId="0" fontId="3" fillId="0" borderId="12" xfId="0" applyFont="1" applyBorder="1" applyAlignment="1">
      <alignment vertical="center"/>
    </xf>
    <xf numFmtId="0" fontId="26" fillId="0" borderId="0" xfId="0" applyFont="1" applyFill="1" applyBorder="1" applyAlignment="1">
      <alignment horizontal="center" vertical="top" readingOrder="2"/>
    </xf>
    <xf numFmtId="0" fontId="27" fillId="0" borderId="7" xfId="0" applyFont="1" applyFill="1" applyBorder="1" applyAlignment="1">
      <alignment horizontal="center" vertical="center" wrapText="1" readingOrder="2"/>
    </xf>
    <xf numFmtId="0" fontId="27" fillId="0" borderId="20" xfId="0" applyFont="1" applyFill="1" applyBorder="1" applyAlignment="1">
      <alignment horizontal="center" vertical="center" wrapText="1" readingOrder="2"/>
    </xf>
    <xf numFmtId="0" fontId="27" fillId="0" borderId="23" xfId="0" applyFont="1" applyFill="1" applyBorder="1" applyAlignment="1">
      <alignment horizontal="center" vertical="center" wrapText="1" readingOrder="2"/>
    </xf>
    <xf numFmtId="9" fontId="3" fillId="0" borderId="0" xfId="3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6" fillId="0" borderId="34" xfId="0" applyFont="1" applyBorder="1" applyAlignment="1">
      <alignment horizontal="center" vertical="center" wrapText="1"/>
    </xf>
    <xf numFmtId="0" fontId="6" fillId="0" borderId="42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/>
    </xf>
    <xf numFmtId="166" fontId="4" fillId="4" borderId="10" xfId="1" applyFont="1" applyFill="1" applyBorder="1"/>
    <xf numFmtId="166" fontId="4" fillId="4" borderId="14" xfId="1" applyFont="1" applyFill="1" applyBorder="1"/>
    <xf numFmtId="166" fontId="4" fillId="4" borderId="17" xfId="1" applyFont="1" applyFill="1" applyBorder="1"/>
    <xf numFmtId="0" fontId="3" fillId="0" borderId="30" xfId="0" applyFont="1" applyBorder="1" applyAlignment="1">
      <alignment wrapText="1"/>
    </xf>
    <xf numFmtId="0" fontId="2" fillId="0" borderId="8" xfId="0" applyFont="1" applyBorder="1"/>
    <xf numFmtId="171" fontId="2" fillId="0" borderId="9" xfId="0" applyNumberFormat="1" applyFont="1" applyBorder="1"/>
    <xf numFmtId="171" fontId="2" fillId="0" borderId="5" xfId="0" applyNumberFormat="1" applyFont="1" applyBorder="1"/>
    <xf numFmtId="0" fontId="2" fillId="0" borderId="15" xfId="0" applyFont="1" applyBorder="1"/>
    <xf numFmtId="171" fontId="2" fillId="0" borderId="16" xfId="0" applyNumberFormat="1" applyFont="1" applyBorder="1"/>
    <xf numFmtId="0" fontId="2" fillId="0" borderId="17" xfId="0" applyFont="1" applyBorder="1"/>
    <xf numFmtId="167" fontId="0" fillId="3" borderId="31" xfId="1" applyNumberFormat="1" applyFont="1" applyFill="1" applyBorder="1"/>
    <xf numFmtId="167" fontId="0" fillId="3" borderId="32" xfId="1" applyNumberFormat="1" applyFont="1" applyFill="1" applyBorder="1"/>
    <xf numFmtId="167" fontId="14" fillId="3" borderId="15" xfId="1" applyNumberFormat="1" applyFont="1" applyFill="1" applyBorder="1"/>
    <xf numFmtId="167" fontId="14" fillId="3" borderId="16" xfId="1" quotePrefix="1" applyNumberFormat="1" applyFont="1" applyFill="1" applyBorder="1"/>
    <xf numFmtId="167" fontId="14" fillId="3" borderId="16" xfId="1" applyNumberFormat="1" applyFont="1" applyFill="1" applyBorder="1"/>
    <xf numFmtId="167" fontId="4" fillId="3" borderId="11" xfId="1" applyNumberFormat="1" applyFont="1" applyFill="1" applyBorder="1"/>
    <xf numFmtId="167" fontId="4" fillId="3" borderId="12" xfId="1" applyNumberFormat="1" applyFont="1" applyFill="1" applyBorder="1"/>
    <xf numFmtId="0" fontId="8" fillId="0" borderId="8" xfId="0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167" fontId="0" fillId="0" borderId="34" xfId="1" applyNumberFormat="1" applyFont="1" applyFill="1" applyBorder="1"/>
    <xf numFmtId="167" fontId="0" fillId="0" borderId="42" xfId="1" applyNumberFormat="1" applyFont="1" applyFill="1" applyBorder="1"/>
    <xf numFmtId="167" fontId="0" fillId="0" borderId="35" xfId="1" applyNumberFormat="1" applyFont="1" applyFill="1" applyBorder="1"/>
    <xf numFmtId="0" fontId="8" fillId="0" borderId="7" xfId="0" applyFont="1" applyBorder="1"/>
    <xf numFmtId="0" fontId="8" fillId="0" borderId="7" xfId="0" applyFont="1" applyBorder="1" applyAlignment="1">
      <alignment horizontal="center"/>
    </xf>
    <xf numFmtId="167" fontId="4" fillId="0" borderId="73" xfId="1" applyNumberFormat="1" applyFont="1" applyFill="1" applyBorder="1"/>
    <xf numFmtId="167" fontId="4" fillId="0" borderId="74" xfId="1" applyNumberFormat="1" applyFont="1" applyFill="1" applyBorder="1"/>
    <xf numFmtId="167" fontId="4" fillId="0" borderId="34" xfId="1" applyNumberFormat="1" applyFont="1" applyFill="1" applyBorder="1"/>
    <xf numFmtId="167" fontId="4" fillId="0" borderId="42" xfId="1" applyNumberFormat="1" applyFont="1" applyFill="1" applyBorder="1"/>
    <xf numFmtId="167" fontId="4" fillId="0" borderId="35" xfId="1" applyNumberFormat="1" applyFont="1" applyFill="1" applyBorder="1"/>
    <xf numFmtId="167" fontId="6" fillId="4" borderId="43" xfId="1" applyNumberFormat="1" applyFont="1" applyFill="1" applyBorder="1" applyAlignment="1">
      <alignment horizontal="center" vertical="center" wrapText="1"/>
    </xf>
    <xf numFmtId="167" fontId="6" fillId="4" borderId="44" xfId="1" applyNumberFormat="1" applyFont="1" applyFill="1" applyBorder="1" applyAlignment="1">
      <alignment horizontal="center" vertical="center" wrapText="1"/>
    </xf>
    <xf numFmtId="167" fontId="6" fillId="4" borderId="45" xfId="1" applyNumberFormat="1" applyFont="1" applyFill="1" applyBorder="1" applyAlignment="1">
      <alignment horizontal="center" vertical="center" wrapText="1"/>
    </xf>
    <xf numFmtId="0" fontId="26" fillId="0" borderId="28" xfId="0" applyFont="1" applyFill="1" applyBorder="1" applyAlignment="1">
      <alignment horizontal="left" vertical="top" readingOrder="2"/>
    </xf>
    <xf numFmtId="167" fontId="0" fillId="0" borderId="0" xfId="1" applyNumberFormat="1" applyFont="1" applyBorder="1"/>
    <xf numFmtId="0" fontId="8" fillId="0" borderId="20" xfId="0" applyFont="1" applyBorder="1" applyAlignment="1">
      <alignment horizontal="center"/>
    </xf>
    <xf numFmtId="9" fontId="0" fillId="0" borderId="34" xfId="0" applyNumberFormat="1" applyBorder="1"/>
    <xf numFmtId="9" fontId="0" fillId="0" borderId="42" xfId="0" applyNumberFormat="1" applyBorder="1"/>
    <xf numFmtId="9" fontId="0" fillId="0" borderId="35" xfId="0" applyNumberFormat="1" applyBorder="1"/>
    <xf numFmtId="0" fontId="8" fillId="0" borderId="7" xfId="0" applyFont="1" applyFill="1" applyBorder="1" applyAlignment="1">
      <alignment horizontal="center"/>
    </xf>
    <xf numFmtId="167" fontId="0" fillId="0" borderId="9" xfId="1" applyNumberFormat="1" applyFont="1" applyFill="1" applyBorder="1"/>
    <xf numFmtId="167" fontId="0" fillId="0" borderId="5" xfId="1" applyNumberFormat="1" applyFont="1" applyFill="1" applyBorder="1"/>
    <xf numFmtId="167" fontId="0" fillId="0" borderId="16" xfId="1" applyNumberFormat="1" applyFont="1" applyFill="1" applyBorder="1"/>
    <xf numFmtId="167" fontId="8" fillId="0" borderId="10" xfId="1" applyNumberFormat="1" applyFont="1" applyFill="1" applyBorder="1"/>
    <xf numFmtId="167" fontId="8" fillId="0" borderId="14" xfId="1" applyNumberFormat="1" applyFont="1" applyFill="1" applyBorder="1"/>
    <xf numFmtId="167" fontId="8" fillId="0" borderId="17" xfId="1" applyNumberFormat="1" applyFont="1" applyFill="1" applyBorder="1"/>
    <xf numFmtId="9" fontId="4" fillId="0" borderId="5" xfId="3" applyFont="1" applyFill="1" applyBorder="1"/>
    <xf numFmtId="9" fontId="0" fillId="0" borderId="14" xfId="1" applyNumberFormat="1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 vertical="center" wrapText="1"/>
    </xf>
    <xf numFmtId="167" fontId="8" fillId="0" borderId="7" xfId="1" applyNumberFormat="1" applyFont="1" applyBorder="1" applyAlignment="1">
      <alignment horizontal="center" vertical="center"/>
    </xf>
    <xf numFmtId="0" fontId="27" fillId="0" borderId="30" xfId="0" applyFont="1" applyFill="1" applyBorder="1" applyAlignment="1">
      <alignment horizontal="center" vertical="center" wrapText="1" readingOrder="2"/>
    </xf>
    <xf numFmtId="0" fontId="27" fillId="0" borderId="11" xfId="0" applyFont="1" applyFill="1" applyBorder="1" applyAlignment="1">
      <alignment horizontal="center" vertical="center" wrapText="1" readingOrder="2"/>
    </xf>
    <xf numFmtId="0" fontId="27" fillId="0" borderId="12" xfId="0" applyFont="1" applyFill="1" applyBorder="1" applyAlignment="1">
      <alignment horizontal="center" vertical="center" wrapText="1" readingOrder="2"/>
    </xf>
    <xf numFmtId="0" fontId="27" fillId="0" borderId="3" xfId="0" applyFont="1" applyFill="1" applyBorder="1" applyAlignment="1">
      <alignment horizontal="center" vertical="center" wrapText="1" readingOrder="2"/>
    </xf>
    <xf numFmtId="0" fontId="27" fillId="0" borderId="1" xfId="0" applyFont="1" applyFill="1" applyBorder="1" applyAlignment="1">
      <alignment horizontal="center" vertical="center" wrapText="1" readingOrder="2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67" fontId="8" fillId="0" borderId="19" xfId="1" applyNumberFormat="1" applyFont="1" applyBorder="1" applyAlignment="1">
      <alignment horizontal="center" vertical="center"/>
    </xf>
    <xf numFmtId="167" fontId="0" fillId="0" borderId="5" xfId="1" applyNumberFormat="1" applyFont="1" applyBorder="1" applyAlignment="1">
      <alignment horizontal="center" vertical="center"/>
    </xf>
    <xf numFmtId="167" fontId="0" fillId="0" borderId="8" xfId="1" applyNumberFormat="1" applyFont="1" applyBorder="1" applyAlignment="1">
      <alignment horizontal="center" vertical="center"/>
    </xf>
    <xf numFmtId="167" fontId="0" fillId="0" borderId="9" xfId="1" applyNumberFormat="1" applyFont="1" applyBorder="1" applyAlignment="1">
      <alignment horizontal="center" vertical="center"/>
    </xf>
    <xf numFmtId="167" fontId="0" fillId="0" borderId="13" xfId="1" applyNumberFormat="1" applyFont="1" applyBorder="1" applyAlignment="1">
      <alignment horizontal="center" vertical="center"/>
    </xf>
    <xf numFmtId="167" fontId="0" fillId="0" borderId="15" xfId="1" applyNumberFormat="1" applyFont="1" applyBorder="1" applyAlignment="1">
      <alignment horizontal="center" vertical="center"/>
    </xf>
    <xf numFmtId="167" fontId="0" fillId="0" borderId="16" xfId="1" applyNumberFormat="1" applyFont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 wrapText="1"/>
    </xf>
    <xf numFmtId="0" fontId="0" fillId="0" borderId="3" xfId="0" applyBorder="1"/>
    <xf numFmtId="167" fontId="8" fillId="0" borderId="7" xfId="1" applyNumberFormat="1" applyFont="1" applyBorder="1"/>
    <xf numFmtId="0" fontId="28" fillId="0" borderId="20" xfId="0" applyFont="1" applyFill="1" applyBorder="1" applyAlignment="1">
      <alignment horizontal="center" vertical="center" wrapText="1" readingOrder="2"/>
    </xf>
    <xf numFmtId="0" fontId="28" fillId="0" borderId="34" xfId="0" applyFont="1" applyFill="1" applyBorder="1" applyAlignment="1">
      <alignment horizontal="center" vertical="center" wrapText="1" readingOrder="2"/>
    </xf>
    <xf numFmtId="1" fontId="29" fillId="0" borderId="36" xfId="0" applyNumberFormat="1" applyFont="1" applyFill="1" applyBorder="1" applyAlignment="1">
      <alignment horizontal="center" vertical="top" wrapText="1" shrinkToFit="1" readingOrder="2"/>
    </xf>
    <xf numFmtId="0" fontId="29" fillId="0" borderId="9" xfId="0" applyFont="1" applyFill="1" applyBorder="1" applyAlignment="1">
      <alignment horizontal="center" vertical="top" wrapText="1" readingOrder="2"/>
    </xf>
    <xf numFmtId="0" fontId="29" fillId="0" borderId="9" xfId="0" applyFont="1" applyFill="1" applyBorder="1" applyAlignment="1">
      <alignment horizontal="center" wrapText="1" readingOrder="2"/>
    </xf>
    <xf numFmtId="0" fontId="29" fillId="0" borderId="39" xfId="0" applyFont="1" applyFill="1" applyBorder="1" applyAlignment="1">
      <alignment horizontal="center" vertical="top" wrapText="1" readingOrder="2"/>
    </xf>
    <xf numFmtId="1" fontId="29" fillId="0" borderId="49" xfId="0" applyNumberFormat="1" applyFont="1" applyFill="1" applyBorder="1" applyAlignment="1">
      <alignment horizontal="center" vertical="top" wrapText="1" shrinkToFit="1" readingOrder="2"/>
    </xf>
    <xf numFmtId="0" fontId="29" fillId="0" borderId="8" xfId="0" applyFont="1" applyFill="1" applyBorder="1" applyAlignment="1">
      <alignment horizontal="center" vertical="top" wrapText="1" readingOrder="2"/>
    </xf>
    <xf numFmtId="0" fontId="29" fillId="0" borderId="10" xfId="0" applyFont="1" applyFill="1" applyBorder="1" applyAlignment="1">
      <alignment horizontal="center" vertical="top" wrapText="1" readingOrder="2"/>
    </xf>
    <xf numFmtId="3" fontId="29" fillId="0" borderId="43" xfId="0" applyNumberFormat="1" applyFont="1" applyFill="1" applyBorder="1" applyAlignment="1">
      <alignment horizontal="center" vertical="top" wrapText="1" readingOrder="2"/>
    </xf>
    <xf numFmtId="0" fontId="28" fillId="0" borderId="42" xfId="0" applyFont="1" applyFill="1" applyBorder="1" applyAlignment="1">
      <alignment horizontal="center" vertical="center" wrapText="1" readingOrder="2"/>
    </xf>
    <xf numFmtId="1" fontId="29" fillId="0" borderId="37" xfId="0" applyNumberFormat="1" applyFont="1" applyFill="1" applyBorder="1" applyAlignment="1">
      <alignment horizontal="center" vertical="top" wrapText="1" shrinkToFit="1" readingOrder="2"/>
    </xf>
    <xf numFmtId="0" fontId="29" fillId="0" borderId="5" xfId="0" applyFont="1" applyFill="1" applyBorder="1" applyAlignment="1">
      <alignment horizontal="center" vertical="top" wrapText="1" readingOrder="2"/>
    </xf>
    <xf numFmtId="0" fontId="29" fillId="0" borderId="5" xfId="0" applyFont="1" applyFill="1" applyBorder="1" applyAlignment="1">
      <alignment horizontal="center" wrapText="1" readingOrder="2"/>
    </xf>
    <xf numFmtId="0" fontId="29" fillId="0" borderId="40" xfId="0" applyFont="1" applyFill="1" applyBorder="1" applyAlignment="1">
      <alignment horizontal="center" vertical="top" wrapText="1" readingOrder="2"/>
    </xf>
    <xf numFmtId="1" fontId="29" fillId="0" borderId="50" xfId="0" applyNumberFormat="1" applyFont="1" applyFill="1" applyBorder="1" applyAlignment="1">
      <alignment horizontal="center" vertical="top" wrapText="1" shrinkToFit="1" readingOrder="2"/>
    </xf>
    <xf numFmtId="0" fontId="29" fillId="0" borderId="13" xfId="0" applyFont="1" applyFill="1" applyBorder="1" applyAlignment="1">
      <alignment horizontal="center" vertical="top" wrapText="1" readingOrder="2"/>
    </xf>
    <xf numFmtId="0" fontId="29" fillId="0" borderId="14" xfId="0" applyFont="1" applyFill="1" applyBorder="1" applyAlignment="1">
      <alignment horizontal="center" vertical="top" wrapText="1" readingOrder="2"/>
    </xf>
    <xf numFmtId="3" fontId="29" fillId="0" borderId="44" xfId="0" applyNumberFormat="1" applyFont="1" applyFill="1" applyBorder="1" applyAlignment="1">
      <alignment horizontal="center" vertical="top" wrapText="1" readingOrder="2"/>
    </xf>
    <xf numFmtId="0" fontId="28" fillId="0" borderId="35" xfId="0" applyFont="1" applyFill="1" applyBorder="1" applyAlignment="1">
      <alignment horizontal="center" vertical="center" wrapText="1" readingOrder="2"/>
    </xf>
    <xf numFmtId="1" fontId="29" fillId="0" borderId="38" xfId="0" applyNumberFormat="1" applyFont="1" applyFill="1" applyBorder="1" applyAlignment="1">
      <alignment horizontal="center" vertical="top" wrapText="1" shrinkToFit="1" readingOrder="2"/>
    </xf>
    <xf numFmtId="0" fontId="29" fillId="0" borderId="16" xfId="0" applyFont="1" applyFill="1" applyBorder="1" applyAlignment="1">
      <alignment horizontal="center" vertical="top" wrapText="1" readingOrder="2"/>
    </xf>
    <xf numFmtId="1" fontId="29" fillId="0" borderId="16" xfId="0" applyNumberFormat="1" applyFont="1" applyFill="1" applyBorder="1" applyAlignment="1">
      <alignment horizontal="center" vertical="top" wrapText="1" shrinkToFit="1" readingOrder="2"/>
    </xf>
    <xf numFmtId="0" fontId="29" fillId="0" borderId="41" xfId="0" applyFont="1" applyFill="1" applyBorder="1" applyAlignment="1">
      <alignment horizontal="center" vertical="top" wrapText="1" readingOrder="2"/>
    </xf>
    <xf numFmtId="1" fontId="29" fillId="0" borderId="51" xfId="0" applyNumberFormat="1" applyFont="1" applyFill="1" applyBorder="1" applyAlignment="1">
      <alignment horizontal="center" vertical="top" wrapText="1" shrinkToFit="1" readingOrder="2"/>
    </xf>
    <xf numFmtId="0" fontId="29" fillId="0" borderId="15" xfId="0" applyFont="1" applyFill="1" applyBorder="1" applyAlignment="1">
      <alignment horizontal="center" vertical="top" wrapText="1" readingOrder="2"/>
    </xf>
    <xf numFmtId="0" fontId="29" fillId="0" borderId="17" xfId="0" applyFont="1" applyFill="1" applyBorder="1" applyAlignment="1">
      <alignment horizontal="center" vertical="top" wrapText="1" readingOrder="2"/>
    </xf>
    <xf numFmtId="3" fontId="29" fillId="0" borderId="45" xfId="0" applyNumberFormat="1" applyFont="1" applyFill="1" applyBorder="1" applyAlignment="1">
      <alignment horizontal="center" vertical="top" wrapText="1" readingOrder="2"/>
    </xf>
    <xf numFmtId="0" fontId="28" fillId="0" borderId="7" xfId="0" applyFont="1" applyFill="1" applyBorder="1" applyAlignment="1">
      <alignment horizontal="center" vertical="center" wrapText="1" readingOrder="2"/>
    </xf>
    <xf numFmtId="0" fontId="29" fillId="0" borderId="70" xfId="0" applyFont="1" applyFill="1" applyBorder="1" applyAlignment="1">
      <alignment horizontal="center" vertical="center" wrapText="1" readingOrder="2"/>
    </xf>
    <xf numFmtId="0" fontId="29" fillId="0" borderId="24" xfId="0" applyFont="1" applyFill="1" applyBorder="1" applyAlignment="1">
      <alignment horizontal="center" vertical="center" wrapText="1" readingOrder="2"/>
    </xf>
    <xf numFmtId="0" fontId="29" fillId="0" borderId="52" xfId="0" applyFont="1" applyFill="1" applyBorder="1" applyAlignment="1">
      <alignment horizontal="center" vertical="center" wrapText="1" readingOrder="2"/>
    </xf>
    <xf numFmtId="0" fontId="29" fillId="0" borderId="6" xfId="0" applyFont="1" applyFill="1" applyBorder="1" applyAlignment="1">
      <alignment horizontal="center" vertical="center" wrapText="1" readingOrder="2"/>
    </xf>
    <xf numFmtId="0" fontId="29" fillId="0" borderId="23" xfId="0" applyFont="1" applyFill="1" applyBorder="1" applyAlignment="1">
      <alignment horizontal="center" vertical="center" wrapText="1" readingOrder="2"/>
    </xf>
    <xf numFmtId="0" fontId="29" fillId="0" borderId="25" xfId="0" applyFont="1" applyFill="1" applyBorder="1" applyAlignment="1">
      <alignment horizontal="center" vertical="center" wrapText="1" readingOrder="2"/>
    </xf>
    <xf numFmtId="3" fontId="29" fillId="0" borderId="4" xfId="0" applyNumberFormat="1" applyFont="1" applyFill="1" applyBorder="1" applyAlignment="1">
      <alignment horizontal="center" vertical="top" wrapText="1" readingOrder="2"/>
    </xf>
    <xf numFmtId="1" fontId="29" fillId="0" borderId="70" xfId="0" applyNumberFormat="1" applyFont="1" applyFill="1" applyBorder="1" applyAlignment="1">
      <alignment horizontal="center" vertical="top" wrapText="1" shrinkToFit="1" readingOrder="2"/>
    </xf>
    <xf numFmtId="0" fontId="29" fillId="0" borderId="24" xfId="0" applyFont="1" applyFill="1" applyBorder="1" applyAlignment="1">
      <alignment horizontal="center" vertical="top" wrapText="1" readingOrder="2"/>
    </xf>
    <xf numFmtId="1" fontId="29" fillId="0" borderId="24" xfId="0" applyNumberFormat="1" applyFont="1" applyFill="1" applyBorder="1" applyAlignment="1">
      <alignment horizontal="center" vertical="top" wrapText="1" shrinkToFit="1" readingOrder="2"/>
    </xf>
    <xf numFmtId="0" fontId="29" fillId="0" borderId="52" xfId="0" applyFont="1" applyFill="1" applyBorder="1" applyAlignment="1">
      <alignment horizontal="center" vertical="top" wrapText="1" readingOrder="2"/>
    </xf>
    <xf numFmtId="1" fontId="29" fillId="0" borderId="6" xfId="0" applyNumberFormat="1" applyFont="1" applyFill="1" applyBorder="1" applyAlignment="1">
      <alignment horizontal="center" vertical="top" wrapText="1" shrinkToFit="1" readingOrder="2"/>
    </xf>
    <xf numFmtId="0" fontId="29" fillId="0" borderId="23" xfId="0" applyFont="1" applyFill="1" applyBorder="1" applyAlignment="1">
      <alignment horizontal="center" vertical="top" wrapText="1" readingOrder="2"/>
    </xf>
    <xf numFmtId="0" fontId="29" fillId="0" borderId="25" xfId="0" applyFont="1" applyFill="1" applyBorder="1" applyAlignment="1">
      <alignment horizontal="center" vertical="top" wrapText="1" readingOrder="2"/>
    </xf>
    <xf numFmtId="1" fontId="29" fillId="0" borderId="9" xfId="0" applyNumberFormat="1" applyFont="1" applyFill="1" applyBorder="1" applyAlignment="1">
      <alignment horizontal="center" vertical="top" wrapText="1" shrinkToFit="1" readingOrder="2"/>
    </xf>
    <xf numFmtId="0" fontId="29" fillId="0" borderId="16" xfId="0" applyFont="1" applyFill="1" applyBorder="1" applyAlignment="1">
      <alignment horizontal="center" vertical="center" wrapText="1" readingOrder="2"/>
    </xf>
    <xf numFmtId="1" fontId="29" fillId="0" borderId="54" xfId="0" applyNumberFormat="1" applyFont="1" applyFill="1" applyBorder="1" applyAlignment="1">
      <alignment horizontal="center" vertical="top" wrapText="1" shrinkToFit="1" readingOrder="2"/>
    </xf>
    <xf numFmtId="0" fontId="29" fillId="0" borderId="57" xfId="0" applyFont="1" applyFill="1" applyBorder="1" applyAlignment="1">
      <alignment horizontal="center" vertical="top" wrapText="1" readingOrder="2"/>
    </xf>
    <xf numFmtId="1" fontId="29" fillId="0" borderId="57" xfId="0" applyNumberFormat="1" applyFont="1" applyFill="1" applyBorder="1" applyAlignment="1">
      <alignment horizontal="center" vertical="top" wrapText="1" shrinkToFit="1" readingOrder="2"/>
    </xf>
    <xf numFmtId="0" fontId="29" fillId="0" borderId="72" xfId="0" applyFont="1" applyFill="1" applyBorder="1" applyAlignment="1">
      <alignment horizontal="center" vertical="top" wrapText="1" readingOrder="2"/>
    </xf>
    <xf numFmtId="1" fontId="29" fillId="0" borderId="48" xfId="0" applyNumberFormat="1" applyFont="1" applyFill="1" applyBorder="1" applyAlignment="1">
      <alignment horizontal="center" vertical="top" wrapText="1" shrinkToFit="1" readingOrder="2"/>
    </xf>
    <xf numFmtId="0" fontId="29" fillId="0" borderId="71" xfId="0" applyFont="1" applyFill="1" applyBorder="1" applyAlignment="1">
      <alignment horizontal="center" vertical="top" wrapText="1" readingOrder="2"/>
    </xf>
    <xf numFmtId="0" fontId="29" fillId="0" borderId="47" xfId="0" applyFont="1" applyFill="1" applyBorder="1" applyAlignment="1">
      <alignment horizontal="center" vertical="top" wrapText="1" readingOrder="2"/>
    </xf>
    <xf numFmtId="1" fontId="28" fillId="0" borderId="52" xfId="0" applyNumberFormat="1" applyFont="1" applyFill="1" applyBorder="1" applyAlignment="1">
      <alignment horizontal="center" vertical="center" wrapText="1" shrinkToFit="1" readingOrder="2"/>
    </xf>
    <xf numFmtId="167" fontId="28" fillId="0" borderId="7" xfId="1" applyNumberFormat="1" applyFont="1" applyFill="1" applyBorder="1" applyAlignment="1">
      <alignment horizontal="center" vertical="center" wrapText="1" shrinkToFit="1" readingOrder="2"/>
    </xf>
    <xf numFmtId="167" fontId="0" fillId="0" borderId="36" xfId="1" applyNumberFormat="1" applyFont="1" applyBorder="1"/>
    <xf numFmtId="167" fontId="0" fillId="0" borderId="37" xfId="1" applyNumberFormat="1" applyFont="1" applyBorder="1"/>
    <xf numFmtId="167" fontId="0" fillId="0" borderId="38" xfId="1" applyNumberFormat="1" applyFont="1" applyBorder="1"/>
    <xf numFmtId="167" fontId="4" fillId="3" borderId="37" xfId="1" applyNumberFormat="1" applyFont="1" applyFill="1" applyBorder="1"/>
    <xf numFmtId="167" fontId="4" fillId="3" borderId="50" xfId="1" applyNumberFormat="1" applyFont="1" applyFill="1" applyBorder="1"/>
    <xf numFmtId="167" fontId="4" fillId="3" borderId="51" xfId="1" applyNumberFormat="1" applyFont="1" applyFill="1" applyBorder="1"/>
    <xf numFmtId="1" fontId="28" fillId="0" borderId="3" xfId="0" applyNumberFormat="1" applyFont="1" applyFill="1" applyBorder="1" applyAlignment="1">
      <alignment horizontal="center" vertical="center" wrapText="1" shrinkToFit="1" readingOrder="2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4" borderId="7" xfId="0" applyFont="1" applyFill="1" applyBorder="1" applyAlignment="1">
      <alignment horizontal="center" vertical="center" wrapText="1"/>
    </xf>
    <xf numFmtId="167" fontId="6" fillId="4" borderId="10" xfId="1" applyNumberFormat="1" applyFont="1" applyFill="1" applyBorder="1" applyAlignment="1">
      <alignment horizontal="center" vertical="center" wrapText="1"/>
    </xf>
    <xf numFmtId="167" fontId="6" fillId="4" borderId="14" xfId="1" applyNumberFormat="1" applyFont="1" applyFill="1" applyBorder="1" applyAlignment="1">
      <alignment horizontal="center" vertical="center" wrapText="1"/>
    </xf>
    <xf numFmtId="167" fontId="6" fillId="4" borderId="17" xfId="1" applyNumberFormat="1" applyFont="1" applyFill="1" applyBorder="1" applyAlignment="1">
      <alignment horizontal="center" vertical="center" wrapText="1"/>
    </xf>
    <xf numFmtId="9" fontId="4" fillId="0" borderId="32" xfId="3" applyFont="1" applyFill="1" applyBorder="1"/>
    <xf numFmtId="0" fontId="0" fillId="0" borderId="33" xfId="0" applyBorder="1"/>
    <xf numFmtId="0" fontId="3" fillId="0" borderId="10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167" fontId="0" fillId="0" borderId="14" xfId="1" applyNumberFormat="1" applyFont="1" applyBorder="1" applyAlignment="1">
      <alignment horizontal="center"/>
    </xf>
    <xf numFmtId="0" fontId="0" fillId="0" borderId="8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7" xfId="0" applyBorder="1" applyAlignment="1">
      <alignment horizontal="center"/>
    </xf>
    <xf numFmtId="171" fontId="0" fillId="0" borderId="14" xfId="3" applyNumberFormat="1" applyFont="1" applyBorder="1" applyAlignment="1">
      <alignment horizontal="center"/>
    </xf>
    <xf numFmtId="0" fontId="3" fillId="0" borderId="7" xfId="0" applyFont="1" applyFill="1" applyBorder="1"/>
    <xf numFmtId="9" fontId="0" fillId="0" borderId="0" xfId="3" applyNumberFormat="1" applyFont="1"/>
    <xf numFmtId="0" fontId="30" fillId="0" borderId="10" xfId="0" applyFont="1" applyFill="1" applyBorder="1" applyAlignment="1">
      <alignment horizontal="center" vertical="center" wrapText="1"/>
    </xf>
    <xf numFmtId="0" fontId="30" fillId="0" borderId="11" xfId="0" applyFont="1" applyFill="1" applyBorder="1" applyAlignment="1">
      <alignment horizontal="center" vertical="center" wrapText="1"/>
    </xf>
    <xf numFmtId="0" fontId="30" fillId="0" borderId="12" xfId="0" applyFont="1" applyFill="1" applyBorder="1" applyAlignment="1">
      <alignment horizontal="center" vertical="center" wrapText="1"/>
    </xf>
    <xf numFmtId="0" fontId="30" fillId="0" borderId="34" xfId="0" applyFont="1" applyFill="1" applyBorder="1" applyAlignment="1">
      <alignment horizontal="center" vertical="center" wrapText="1"/>
    </xf>
    <xf numFmtId="0" fontId="30" fillId="0" borderId="20" xfId="0" applyFont="1" applyFill="1" applyBorder="1" applyAlignment="1">
      <alignment horizontal="center" vertical="center" wrapText="1"/>
    </xf>
    <xf numFmtId="0" fontId="30" fillId="0" borderId="18" xfId="0" applyFont="1" applyFill="1" applyBorder="1" applyAlignment="1">
      <alignment horizontal="center" vertical="center" wrapText="1"/>
    </xf>
    <xf numFmtId="0" fontId="30" fillId="0" borderId="7" xfId="0" applyFont="1" applyFill="1" applyBorder="1" applyAlignment="1">
      <alignment horizontal="center" vertical="center" wrapText="1"/>
    </xf>
    <xf numFmtId="0" fontId="30" fillId="0" borderId="25" xfId="0" applyFont="1" applyFill="1" applyBorder="1" applyAlignment="1">
      <alignment horizontal="center" vertical="center" wrapText="1"/>
    </xf>
    <xf numFmtId="0" fontId="30" fillId="0" borderId="42" xfId="0" applyFont="1" applyFill="1" applyBorder="1" applyAlignment="1">
      <alignment horizontal="center" vertical="center" wrapText="1"/>
    </xf>
    <xf numFmtId="0" fontId="30" fillId="0" borderId="35" xfId="0" applyFont="1" applyFill="1" applyBorder="1" applyAlignment="1">
      <alignment horizontal="center" vertical="center" wrapText="1"/>
    </xf>
    <xf numFmtId="166" fontId="0" fillId="0" borderId="18" xfId="1" applyNumberFormat="1" applyFont="1" applyFill="1" applyBorder="1"/>
    <xf numFmtId="166" fontId="0" fillId="0" borderId="11" xfId="1" applyNumberFormat="1" applyFont="1" applyFill="1" applyBorder="1"/>
    <xf numFmtId="166" fontId="0" fillId="0" borderId="11" xfId="1" applyNumberFormat="1" applyFont="1" applyFill="1" applyBorder="1" applyAlignment="1">
      <alignment horizontal="center" vertical="center" wrapText="1"/>
    </xf>
    <xf numFmtId="166" fontId="0" fillId="0" borderId="12" xfId="1" applyNumberFormat="1" applyFont="1" applyFill="1" applyBorder="1" applyAlignment="1">
      <alignment horizontal="center" vertical="center" wrapText="1"/>
    </xf>
    <xf numFmtId="10" fontId="0" fillId="0" borderId="34" xfId="3" applyNumberFormat="1" applyFont="1" applyBorder="1"/>
    <xf numFmtId="10" fontId="0" fillId="0" borderId="42" xfId="3" applyNumberFormat="1" applyFont="1" applyBorder="1"/>
    <xf numFmtId="10" fontId="0" fillId="0" borderId="35" xfId="3" applyNumberFormat="1" applyFont="1" applyBorder="1"/>
    <xf numFmtId="3" fontId="2" fillId="7" borderId="5" xfId="0" applyNumberFormat="1" applyFont="1" applyFill="1" applyBorder="1" applyAlignment="1">
      <alignment horizontal="center" vertical="center"/>
    </xf>
    <xf numFmtId="3" fontId="2" fillId="13" borderId="5" xfId="0" applyNumberFormat="1" applyFont="1" applyFill="1" applyBorder="1" applyAlignment="1">
      <alignment horizontal="center" vertical="center"/>
    </xf>
    <xf numFmtId="3" fontId="2" fillId="11" borderId="5" xfId="0" applyNumberFormat="1" applyFont="1" applyFill="1" applyBorder="1" applyAlignment="1">
      <alignment horizontal="center" vertical="center"/>
    </xf>
    <xf numFmtId="3" fontId="2" fillId="14" borderId="5" xfId="0" applyNumberFormat="1" applyFont="1" applyFill="1" applyBorder="1" applyAlignment="1">
      <alignment horizontal="center" vertical="center"/>
    </xf>
    <xf numFmtId="3" fontId="2" fillId="7" borderId="9" xfId="0" applyNumberFormat="1" applyFont="1" applyFill="1" applyBorder="1" applyAlignment="1">
      <alignment horizontal="center" vertical="center"/>
    </xf>
    <xf numFmtId="3" fontId="2" fillId="13" borderId="9" xfId="0" applyNumberFormat="1" applyFont="1" applyFill="1" applyBorder="1" applyAlignment="1">
      <alignment horizontal="center" vertical="center"/>
    </xf>
    <xf numFmtId="3" fontId="2" fillId="11" borderId="9" xfId="0" applyNumberFormat="1" applyFont="1" applyFill="1" applyBorder="1" applyAlignment="1">
      <alignment horizontal="center" vertical="center"/>
    </xf>
    <xf numFmtId="3" fontId="2" fillId="14" borderId="9" xfId="0" applyNumberFormat="1" applyFont="1" applyFill="1" applyBorder="1" applyAlignment="1">
      <alignment horizontal="center" vertical="center"/>
    </xf>
    <xf numFmtId="3" fontId="2" fillId="7" borderId="32" xfId="0" applyNumberFormat="1" applyFont="1" applyFill="1" applyBorder="1" applyAlignment="1">
      <alignment horizontal="center" vertical="center"/>
    </xf>
    <xf numFmtId="3" fontId="2" fillId="13" borderId="32" xfId="0" applyNumberFormat="1" applyFont="1" applyFill="1" applyBorder="1" applyAlignment="1">
      <alignment horizontal="center" vertical="center"/>
    </xf>
    <xf numFmtId="3" fontId="2" fillId="11" borderId="32" xfId="0" applyNumberFormat="1" applyFont="1" applyFill="1" applyBorder="1" applyAlignment="1">
      <alignment horizontal="center" vertical="center"/>
    </xf>
    <xf numFmtId="3" fontId="2" fillId="14" borderId="32" xfId="0" applyNumberFormat="1" applyFont="1" applyFill="1" applyBorder="1" applyAlignment="1">
      <alignment horizontal="center" vertical="center"/>
    </xf>
    <xf numFmtId="3" fontId="2" fillId="7" borderId="22" xfId="0" applyNumberFormat="1" applyFont="1" applyFill="1" applyBorder="1" applyAlignment="1">
      <alignment horizontal="center" vertical="center"/>
    </xf>
    <xf numFmtId="3" fontId="2" fillId="13" borderId="22" xfId="0" applyNumberFormat="1" applyFont="1" applyFill="1" applyBorder="1" applyAlignment="1">
      <alignment horizontal="center" vertical="center"/>
    </xf>
    <xf numFmtId="3" fontId="2" fillId="11" borderId="22" xfId="0" applyNumberFormat="1" applyFont="1" applyFill="1" applyBorder="1" applyAlignment="1">
      <alignment horizontal="center" vertical="center"/>
    </xf>
    <xf numFmtId="3" fontId="2" fillId="14" borderId="22" xfId="0" applyNumberFormat="1" applyFont="1" applyFill="1" applyBorder="1" applyAlignment="1">
      <alignment horizontal="center" vertical="center"/>
    </xf>
    <xf numFmtId="3" fontId="3" fillId="7" borderId="9" xfId="0" applyNumberFormat="1" applyFont="1" applyFill="1" applyBorder="1" applyAlignment="1">
      <alignment horizontal="center" vertical="center"/>
    </xf>
    <xf numFmtId="3" fontId="3" fillId="13" borderId="9" xfId="0" applyNumberFormat="1" applyFont="1" applyFill="1" applyBorder="1" applyAlignment="1">
      <alignment horizontal="center" vertical="center"/>
    </xf>
    <xf numFmtId="3" fontId="3" fillId="11" borderId="9" xfId="0" applyNumberFormat="1" applyFont="1" applyFill="1" applyBorder="1" applyAlignment="1">
      <alignment horizontal="center" vertical="center"/>
    </xf>
    <xf numFmtId="3" fontId="3" fillId="14" borderId="9" xfId="0" applyNumberFormat="1" applyFont="1" applyFill="1" applyBorder="1" applyAlignment="1">
      <alignment horizontal="center" vertical="center"/>
    </xf>
    <xf numFmtId="3" fontId="3" fillId="7" borderId="16" xfId="0" applyNumberFormat="1" applyFont="1" applyFill="1" applyBorder="1" applyAlignment="1">
      <alignment horizontal="center" vertical="center"/>
    </xf>
    <xf numFmtId="3" fontId="3" fillId="13" borderId="16" xfId="0" applyNumberFormat="1" applyFont="1" applyFill="1" applyBorder="1" applyAlignment="1">
      <alignment horizontal="center" vertical="center"/>
    </xf>
    <xf numFmtId="3" fontId="3" fillId="11" borderId="16" xfId="0" applyNumberFormat="1" applyFont="1" applyFill="1" applyBorder="1" applyAlignment="1">
      <alignment horizontal="center" vertical="center"/>
    </xf>
    <xf numFmtId="3" fontId="3" fillId="14" borderId="16" xfId="0" applyNumberFormat="1" applyFont="1" applyFill="1" applyBorder="1" applyAlignment="1">
      <alignment horizontal="center" vertical="center"/>
    </xf>
    <xf numFmtId="3" fontId="3" fillId="7" borderId="24" xfId="0" applyNumberFormat="1" applyFont="1" applyFill="1" applyBorder="1" applyAlignment="1">
      <alignment horizontal="center" vertical="center"/>
    </xf>
    <xf numFmtId="3" fontId="3" fillId="13" borderId="24" xfId="0" applyNumberFormat="1" applyFont="1" applyFill="1" applyBorder="1" applyAlignment="1">
      <alignment horizontal="center" vertical="center"/>
    </xf>
    <xf numFmtId="3" fontId="3" fillId="11" borderId="24" xfId="0" applyNumberFormat="1" applyFont="1" applyFill="1" applyBorder="1" applyAlignment="1">
      <alignment horizontal="center" vertical="center"/>
    </xf>
    <xf numFmtId="3" fontId="3" fillId="14" borderId="24" xfId="0" applyNumberFormat="1" applyFont="1" applyFill="1" applyBorder="1" applyAlignment="1">
      <alignment horizontal="center" vertical="center"/>
    </xf>
    <xf numFmtId="3" fontId="4" fillId="6" borderId="13" xfId="0" applyNumberFormat="1" applyFont="1" applyFill="1" applyBorder="1" applyAlignment="1">
      <alignment horizontal="center" vertical="center"/>
    </xf>
    <xf numFmtId="3" fontId="4" fillId="7" borderId="5" xfId="0" applyNumberFormat="1" applyFont="1" applyFill="1" applyBorder="1" applyAlignment="1">
      <alignment horizontal="center" vertical="center"/>
    </xf>
    <xf numFmtId="3" fontId="4" fillId="13" borderId="5" xfId="0" applyNumberFormat="1" applyFont="1" applyFill="1" applyBorder="1" applyAlignment="1">
      <alignment horizontal="center" vertical="center"/>
    </xf>
    <xf numFmtId="3" fontId="4" fillId="11" borderId="5" xfId="0" applyNumberFormat="1" applyFont="1" applyFill="1" applyBorder="1" applyAlignment="1">
      <alignment horizontal="center" vertical="center"/>
    </xf>
    <xf numFmtId="3" fontId="4" fillId="14" borderId="5" xfId="0" applyNumberFormat="1" applyFont="1" applyFill="1" applyBorder="1" applyAlignment="1">
      <alignment horizontal="center" vertical="center"/>
    </xf>
    <xf numFmtId="3" fontId="4" fillId="4" borderId="14" xfId="0" applyNumberFormat="1" applyFont="1" applyFill="1" applyBorder="1" applyAlignment="1">
      <alignment horizontal="center" vertical="center"/>
    </xf>
    <xf numFmtId="3" fontId="4" fillId="6" borderId="15" xfId="0" applyNumberFormat="1" applyFont="1" applyFill="1" applyBorder="1" applyAlignment="1">
      <alignment horizontal="center" vertical="center"/>
    </xf>
    <xf numFmtId="3" fontId="4" fillId="7" borderId="16" xfId="0" applyNumberFormat="1" applyFont="1" applyFill="1" applyBorder="1" applyAlignment="1">
      <alignment horizontal="center" vertical="center"/>
    </xf>
    <xf numFmtId="3" fontId="4" fillId="13" borderId="16" xfId="0" applyNumberFormat="1" applyFont="1" applyFill="1" applyBorder="1" applyAlignment="1">
      <alignment horizontal="center" vertical="center"/>
    </xf>
    <xf numFmtId="3" fontId="4" fillId="11" borderId="16" xfId="0" applyNumberFormat="1" applyFont="1" applyFill="1" applyBorder="1" applyAlignment="1">
      <alignment horizontal="center" vertical="center"/>
    </xf>
    <xf numFmtId="3" fontId="4" fillId="14" borderId="16" xfId="0" applyNumberFormat="1" applyFont="1" applyFill="1" applyBorder="1" applyAlignment="1">
      <alignment horizontal="center" vertical="center"/>
    </xf>
    <xf numFmtId="3" fontId="4" fillId="4" borderId="17" xfId="0" applyNumberFormat="1" applyFont="1" applyFill="1" applyBorder="1" applyAlignment="1">
      <alignment horizontal="center" vertical="center"/>
    </xf>
    <xf numFmtId="3" fontId="0" fillId="0" borderId="5" xfId="0" applyNumberFormat="1" applyBorder="1"/>
    <xf numFmtId="3" fontId="0" fillId="0" borderId="8" xfId="0" applyNumberFormat="1" applyBorder="1"/>
    <xf numFmtId="3" fontId="0" fillId="0" borderId="9" xfId="0" applyNumberFormat="1" applyBorder="1"/>
    <xf numFmtId="3" fontId="0" fillId="0" borderId="10" xfId="0" applyNumberFormat="1" applyBorder="1"/>
    <xf numFmtId="3" fontId="0" fillId="0" borderId="13" xfId="0" applyNumberFormat="1" applyBorder="1"/>
    <xf numFmtId="3" fontId="0" fillId="0" borderId="14" xfId="0" applyNumberFormat="1" applyBorder="1"/>
    <xf numFmtId="3" fontId="8" fillId="0" borderId="7" xfId="0" applyNumberFormat="1" applyFont="1" applyBorder="1"/>
    <xf numFmtId="9" fontId="8" fillId="0" borderId="20" xfId="0" applyNumberFormat="1" applyFont="1" applyBorder="1" applyAlignment="1">
      <alignment horizontal="center"/>
    </xf>
    <xf numFmtId="167" fontId="4" fillId="0" borderId="36" xfId="1" applyNumberFormat="1" applyFont="1" applyFill="1" applyBorder="1"/>
    <xf numFmtId="167" fontId="4" fillId="0" borderId="37" xfId="1" applyNumberFormat="1" applyFont="1" applyFill="1" applyBorder="1"/>
    <xf numFmtId="167" fontId="4" fillId="0" borderId="38" xfId="1" applyNumberFormat="1" applyFont="1" applyFill="1" applyBorder="1"/>
    <xf numFmtId="3" fontId="8" fillId="0" borderId="10" xfId="0" applyNumberFormat="1" applyFont="1" applyBorder="1"/>
    <xf numFmtId="3" fontId="8" fillId="0" borderId="14" xfId="0" applyNumberFormat="1" applyFont="1" applyBorder="1"/>
    <xf numFmtId="167" fontId="8" fillId="0" borderId="17" xfId="1" applyNumberFormat="1" applyFont="1" applyBorder="1"/>
    <xf numFmtId="0" fontId="2" fillId="0" borderId="8" xfId="0" applyFont="1" applyBorder="1" applyAlignment="1">
      <alignment horizontal="right"/>
    </xf>
    <xf numFmtId="168" fontId="2" fillId="8" borderId="26" xfId="0" applyNumberFormat="1" applyFont="1" applyFill="1" applyBorder="1" applyAlignment="1">
      <alignment horizontal="center" vertical="center"/>
    </xf>
    <xf numFmtId="168" fontId="2" fillId="3" borderId="27" xfId="0" applyNumberFormat="1" applyFont="1" applyFill="1" applyBorder="1" applyAlignment="1">
      <alignment horizontal="center" vertical="center"/>
    </xf>
    <xf numFmtId="168" fontId="2" fillId="10" borderId="26" xfId="0" applyNumberFormat="1" applyFont="1" applyFill="1" applyBorder="1" applyAlignment="1">
      <alignment horizontal="center" vertical="center"/>
    </xf>
    <xf numFmtId="168" fontId="2" fillId="12" borderId="27" xfId="0" applyNumberFormat="1" applyFont="1" applyFill="1" applyBorder="1" applyAlignment="1">
      <alignment horizontal="center" vertical="center"/>
    </xf>
    <xf numFmtId="168" fontId="2" fillId="5" borderId="27" xfId="0" applyNumberFormat="1" applyFont="1" applyFill="1" applyBorder="1" applyAlignment="1">
      <alignment horizontal="center" vertical="center"/>
    </xf>
    <xf numFmtId="0" fontId="31" fillId="11" borderId="7" xfId="0" applyFont="1" applyFill="1" applyBorder="1"/>
    <xf numFmtId="3" fontId="0" fillId="0" borderId="15" xfId="0" applyNumberFormat="1" applyBorder="1"/>
    <xf numFmtId="3" fontId="0" fillId="0" borderId="16" xfId="0" applyNumberFormat="1" applyBorder="1"/>
    <xf numFmtId="3" fontId="8" fillId="0" borderId="17" xfId="0" applyNumberFormat="1" applyFont="1" applyBorder="1"/>
    <xf numFmtId="0" fontId="8" fillId="0" borderId="0" xfId="0" applyFont="1" applyBorder="1" applyAlignment="1">
      <alignment horizontal="center" vertical="center" wrapText="1"/>
    </xf>
    <xf numFmtId="167" fontId="3" fillId="0" borderId="23" xfId="1" applyNumberFormat="1" applyFont="1" applyBorder="1"/>
    <xf numFmtId="167" fontId="3" fillId="0" borderId="7" xfId="1" applyNumberFormat="1" applyFont="1" applyBorder="1"/>
    <xf numFmtId="0" fontId="2" fillId="0" borderId="8" xfId="0" applyFont="1" applyBorder="1" applyAlignment="1">
      <alignment horizontal="right" vertical="center"/>
    </xf>
    <xf numFmtId="167" fontId="2" fillId="0" borderId="10" xfId="1" applyNumberFormat="1" applyFont="1" applyBorder="1" applyAlignment="1">
      <alignment vertical="center"/>
    </xf>
    <xf numFmtId="9" fontId="2" fillId="0" borderId="14" xfId="3" applyFont="1" applyBorder="1" applyAlignment="1">
      <alignment horizontal="right" vertical="center"/>
    </xf>
    <xf numFmtId="167" fontId="8" fillId="0" borderId="8" xfId="1" applyNumberFormat="1" applyFont="1" applyFill="1" applyBorder="1"/>
    <xf numFmtId="167" fontId="8" fillId="0" borderId="13" xfId="1" applyNumberFormat="1" applyFont="1" applyFill="1" applyBorder="1"/>
    <xf numFmtId="167" fontId="8" fillId="0" borderId="15" xfId="1" applyNumberFormat="1" applyFont="1" applyFill="1" applyBorder="1"/>
    <xf numFmtId="167" fontId="0" fillId="0" borderId="39" xfId="1" applyNumberFormat="1" applyFont="1" applyFill="1" applyBorder="1"/>
    <xf numFmtId="167" fontId="0" fillId="0" borderId="40" xfId="1" applyNumberFormat="1" applyFont="1" applyFill="1" applyBorder="1"/>
    <xf numFmtId="167" fontId="0" fillId="0" borderId="41" xfId="1" applyNumberFormat="1" applyFont="1" applyFill="1" applyBorder="1"/>
    <xf numFmtId="167" fontId="8" fillId="0" borderId="36" xfId="1" applyNumberFormat="1" applyFont="1" applyFill="1" applyBorder="1"/>
    <xf numFmtId="167" fontId="8" fillId="0" borderId="37" xfId="1" applyNumberFormat="1" applyFont="1" applyFill="1" applyBorder="1"/>
    <xf numFmtId="167" fontId="8" fillId="0" borderId="38" xfId="1" applyNumberFormat="1" applyFont="1" applyFill="1" applyBorder="1"/>
    <xf numFmtId="0" fontId="3" fillId="0" borderId="59" xfId="0" applyFont="1" applyFill="1" applyBorder="1" applyAlignment="1">
      <alignment horizontal="right" vertical="center" readingOrder="2"/>
    </xf>
    <xf numFmtId="3" fontId="4" fillId="5" borderId="10" xfId="0" applyNumberFormat="1" applyFont="1" applyFill="1" applyBorder="1" applyAlignment="1">
      <alignment horizontal="center" vertical="center"/>
    </xf>
    <xf numFmtId="3" fontId="4" fillId="5" borderId="14" xfId="0" applyNumberFormat="1" applyFont="1" applyFill="1" applyBorder="1" applyAlignment="1">
      <alignment horizontal="center" vertical="center"/>
    </xf>
    <xf numFmtId="3" fontId="4" fillId="5" borderId="33" xfId="0" applyNumberFormat="1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3" fontId="2" fillId="0" borderId="16" xfId="0" applyNumberFormat="1" applyFont="1" applyBorder="1" applyAlignment="1">
      <alignment horizontal="center" vertical="center"/>
    </xf>
    <xf numFmtId="3" fontId="2" fillId="0" borderId="17" xfId="0" applyNumberFormat="1" applyFont="1" applyBorder="1" applyAlignment="1">
      <alignment horizontal="center" vertical="center"/>
    </xf>
    <xf numFmtId="9" fontId="0" fillId="0" borderId="30" xfId="0" applyNumberFormat="1" applyBorder="1"/>
    <xf numFmtId="9" fontId="0" fillId="0" borderId="11" xfId="0" applyNumberFormat="1" applyBorder="1"/>
    <xf numFmtId="9" fontId="0" fillId="0" borderId="12" xfId="0" applyNumberFormat="1" applyBorder="1"/>
    <xf numFmtId="0" fontId="8" fillId="0" borderId="20" xfId="0" applyFont="1" applyFill="1" applyBorder="1" applyAlignment="1">
      <alignment horizontal="center"/>
    </xf>
    <xf numFmtId="9" fontId="8" fillId="0" borderId="29" xfId="0" applyNumberFormat="1" applyFont="1" applyBorder="1" applyAlignment="1">
      <alignment horizontal="center"/>
    </xf>
    <xf numFmtId="3" fontId="2" fillId="9" borderId="36" xfId="0" applyNumberFormat="1" applyFont="1" applyFill="1" applyBorder="1" applyAlignment="1">
      <alignment horizontal="center" vertical="center"/>
    </xf>
    <xf numFmtId="3" fontId="2" fillId="9" borderId="37" xfId="0" applyNumberFormat="1" applyFont="1" applyFill="1" applyBorder="1" applyAlignment="1">
      <alignment horizontal="center" vertical="center"/>
    </xf>
    <xf numFmtId="3" fontId="2" fillId="9" borderId="62" xfId="0" applyNumberFormat="1" applyFont="1" applyFill="1" applyBorder="1" applyAlignment="1">
      <alignment horizontal="center" vertical="center"/>
    </xf>
    <xf numFmtId="3" fontId="3" fillId="9" borderId="43" xfId="0" applyNumberFormat="1" applyFont="1" applyFill="1" applyBorder="1" applyAlignment="1">
      <alignment horizontal="center" vertical="center"/>
    </xf>
    <xf numFmtId="3" fontId="3" fillId="9" borderId="45" xfId="0" applyNumberFormat="1" applyFont="1" applyFill="1" applyBorder="1" applyAlignment="1">
      <alignment horizontal="center" vertical="center"/>
    </xf>
    <xf numFmtId="3" fontId="3" fillId="9" borderId="75" xfId="0" applyNumberFormat="1" applyFont="1" applyFill="1" applyBorder="1" applyAlignment="1">
      <alignment horizontal="center" vertical="center"/>
    </xf>
    <xf numFmtId="3" fontId="4" fillId="9" borderId="36" xfId="0" applyNumberFormat="1" applyFont="1" applyFill="1" applyBorder="1" applyAlignment="1">
      <alignment horizontal="center" vertical="center"/>
    </xf>
    <xf numFmtId="3" fontId="4" fillId="9" borderId="37" xfId="0" applyNumberFormat="1" applyFont="1" applyFill="1" applyBorder="1" applyAlignment="1">
      <alignment horizontal="center" vertical="center"/>
    </xf>
    <xf numFmtId="3" fontId="4" fillId="9" borderId="62" xfId="0" applyNumberFormat="1" applyFont="1" applyFill="1" applyBorder="1" applyAlignment="1">
      <alignment horizontal="center" vertical="center"/>
    </xf>
    <xf numFmtId="3" fontId="2" fillId="9" borderId="65" xfId="0" applyNumberFormat="1" applyFont="1" applyFill="1" applyBorder="1" applyAlignment="1">
      <alignment horizontal="center" vertical="center"/>
    </xf>
    <xf numFmtId="3" fontId="2" fillId="9" borderId="38" xfId="0" applyNumberFormat="1" applyFont="1" applyFill="1" applyBorder="1" applyAlignment="1">
      <alignment horizontal="center" vertical="center"/>
    </xf>
    <xf numFmtId="4" fontId="2" fillId="9" borderId="38" xfId="0" applyNumberFormat="1" applyFont="1" applyFill="1" applyBorder="1" applyAlignment="1">
      <alignment horizontal="center" vertical="center"/>
    </xf>
    <xf numFmtId="168" fontId="2" fillId="9" borderId="65" xfId="0" applyNumberFormat="1" applyFont="1" applyFill="1" applyBorder="1" applyAlignment="1">
      <alignment horizontal="center" vertical="center"/>
    </xf>
    <xf numFmtId="3" fontId="4" fillId="8" borderId="8" xfId="0" applyNumberFormat="1" applyFont="1" applyFill="1" applyBorder="1" applyAlignment="1">
      <alignment horizontal="center" vertical="center"/>
    </xf>
    <xf numFmtId="3" fontId="4" fillId="3" borderId="10" xfId="0" applyNumberFormat="1" applyFont="1" applyFill="1" applyBorder="1" applyAlignment="1">
      <alignment horizontal="center" vertical="center"/>
    </xf>
    <xf numFmtId="3" fontId="4" fillId="8" borderId="13" xfId="0" applyNumberFormat="1" applyFont="1" applyFill="1" applyBorder="1" applyAlignment="1">
      <alignment horizontal="center" vertical="center"/>
    </xf>
    <xf numFmtId="3" fontId="4" fillId="3" borderId="14" xfId="0" applyNumberFormat="1" applyFont="1" applyFill="1" applyBorder="1" applyAlignment="1">
      <alignment horizontal="center" vertical="center"/>
    </xf>
    <xf numFmtId="3" fontId="4" fillId="8" borderId="31" xfId="0" applyNumberFormat="1" applyFont="1" applyFill="1" applyBorder="1" applyAlignment="1">
      <alignment horizontal="center" vertical="center"/>
    </xf>
    <xf numFmtId="3" fontId="4" fillId="3" borderId="33" xfId="0" applyNumberFormat="1" applyFont="1" applyFill="1" applyBorder="1" applyAlignment="1">
      <alignment horizontal="center" vertical="center"/>
    </xf>
    <xf numFmtId="3" fontId="4" fillId="10" borderId="8" xfId="0" applyNumberFormat="1" applyFont="1" applyFill="1" applyBorder="1" applyAlignment="1">
      <alignment horizontal="center" vertical="center"/>
    </xf>
    <xf numFmtId="3" fontId="4" fillId="12" borderId="10" xfId="0" applyNumberFormat="1" applyFont="1" applyFill="1" applyBorder="1" applyAlignment="1">
      <alignment horizontal="center" vertical="center"/>
    </xf>
    <xf numFmtId="3" fontId="4" fillId="10" borderId="13" xfId="0" applyNumberFormat="1" applyFont="1" applyFill="1" applyBorder="1" applyAlignment="1">
      <alignment horizontal="center" vertical="center"/>
    </xf>
    <xf numFmtId="3" fontId="4" fillId="12" borderId="14" xfId="0" applyNumberFormat="1" applyFont="1" applyFill="1" applyBorder="1" applyAlignment="1">
      <alignment horizontal="center" vertical="center"/>
    </xf>
    <xf numFmtId="3" fontId="4" fillId="10" borderId="31" xfId="0" applyNumberFormat="1" applyFont="1" applyFill="1" applyBorder="1" applyAlignment="1">
      <alignment horizontal="center" vertical="center"/>
    </xf>
    <xf numFmtId="3" fontId="4" fillId="12" borderId="33" xfId="0" applyNumberFormat="1" applyFont="1" applyFill="1" applyBorder="1" applyAlignment="1">
      <alignment horizontal="center" vertical="center"/>
    </xf>
    <xf numFmtId="0" fontId="3" fillId="0" borderId="21" xfId="0" applyFont="1" applyBorder="1"/>
    <xf numFmtId="167" fontId="3" fillId="0" borderId="58" xfId="1" applyNumberFormat="1" applyFont="1" applyBorder="1"/>
    <xf numFmtId="167" fontId="3" fillId="0" borderId="19" xfId="1" applyNumberFormat="1" applyFont="1" applyBorder="1"/>
    <xf numFmtId="3" fontId="8" fillId="0" borderId="5" xfId="0" applyNumberFormat="1" applyFont="1" applyBorder="1"/>
    <xf numFmtId="3" fontId="8" fillId="0" borderId="9" xfId="0" applyNumberFormat="1" applyFont="1" applyBorder="1"/>
    <xf numFmtId="167" fontId="8" fillId="0" borderId="16" xfId="1" applyNumberFormat="1" applyFont="1" applyBorder="1"/>
    <xf numFmtId="0" fontId="0" fillId="0" borderId="56" xfId="0" applyBorder="1"/>
    <xf numFmtId="3" fontId="0" fillId="0" borderId="26" xfId="0" applyNumberFormat="1" applyBorder="1"/>
    <xf numFmtId="3" fontId="0" fillId="0" borderId="22" xfId="0" applyNumberFormat="1" applyBorder="1"/>
    <xf numFmtId="3" fontId="0" fillId="0" borderId="27" xfId="0" applyNumberFormat="1" applyBorder="1"/>
    <xf numFmtId="3" fontId="8" fillId="0" borderId="22" xfId="0" applyNumberFormat="1" applyFont="1" applyBorder="1"/>
    <xf numFmtId="3" fontId="8" fillId="0" borderId="27" xfId="0" applyNumberFormat="1" applyFont="1" applyBorder="1"/>
    <xf numFmtId="0" fontId="0" fillId="0" borderId="64" xfId="0" applyBorder="1"/>
    <xf numFmtId="167" fontId="0" fillId="0" borderId="31" xfId="1" applyNumberFormat="1" applyFont="1" applyBorder="1"/>
    <xf numFmtId="167" fontId="0" fillId="0" borderId="32" xfId="1" applyNumberFormat="1" applyFont="1" applyBorder="1"/>
    <xf numFmtId="167" fontId="0" fillId="0" borderId="33" xfId="1" applyNumberFormat="1" applyFont="1" applyBorder="1"/>
    <xf numFmtId="3" fontId="8" fillId="0" borderId="32" xfId="0" applyNumberFormat="1" applyFont="1" applyBorder="1"/>
    <xf numFmtId="3" fontId="8" fillId="0" borderId="33" xfId="0" applyNumberFormat="1" applyFont="1" applyBorder="1"/>
    <xf numFmtId="3" fontId="0" fillId="0" borderId="55" xfId="0" applyNumberFormat="1" applyBorder="1"/>
    <xf numFmtId="3" fontId="0" fillId="0" borderId="76" xfId="0" applyNumberFormat="1" applyBorder="1"/>
    <xf numFmtId="3" fontId="0" fillId="0" borderId="39" xfId="0" applyNumberFormat="1" applyBorder="1"/>
    <xf numFmtId="3" fontId="0" fillId="0" borderId="78" xfId="0" applyNumberFormat="1" applyBorder="1"/>
    <xf numFmtId="3" fontId="0" fillId="0" borderId="41" xfId="0" applyNumberFormat="1" applyBorder="1"/>
    <xf numFmtId="3" fontId="8" fillId="0" borderId="16" xfId="0" applyNumberFormat="1" applyFont="1" applyBorder="1"/>
    <xf numFmtId="0" fontId="2" fillId="0" borderId="1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8" fillId="0" borderId="0" xfId="0" applyFont="1" applyBorder="1"/>
    <xf numFmtId="0" fontId="8" fillId="0" borderId="53" xfId="0" applyFont="1" applyBorder="1"/>
    <xf numFmtId="0" fontId="0" fillId="0" borderId="18" xfId="0" applyBorder="1"/>
    <xf numFmtId="0" fontId="0" fillId="0" borderId="59" xfId="0" applyBorder="1"/>
    <xf numFmtId="0" fontId="8" fillId="0" borderId="3" xfId="0" applyFont="1" applyBorder="1"/>
    <xf numFmtId="9" fontId="8" fillId="3" borderId="20" xfId="0" applyNumberFormat="1" applyFont="1" applyFill="1" applyBorder="1" applyAlignment="1">
      <alignment horizontal="center"/>
    </xf>
    <xf numFmtId="3" fontId="2" fillId="3" borderId="77" xfId="0" applyNumberFormat="1" applyFont="1" applyFill="1" applyBorder="1" applyAlignment="1">
      <alignment horizontal="center" vertical="center"/>
    </xf>
    <xf numFmtId="3" fontId="2" fillId="10" borderId="55" xfId="0" applyNumberFormat="1" applyFont="1" applyFill="1" applyBorder="1" applyAlignment="1">
      <alignment horizontal="center" vertical="center"/>
    </xf>
    <xf numFmtId="3" fontId="2" fillId="12" borderId="77" xfId="0" applyNumberFormat="1" applyFont="1" applyFill="1" applyBorder="1" applyAlignment="1">
      <alignment horizontal="center" vertical="center"/>
    </xf>
    <xf numFmtId="3" fontId="2" fillId="9" borderId="67" xfId="0" applyNumberFormat="1" applyFont="1" applyFill="1" applyBorder="1" applyAlignment="1">
      <alignment horizontal="center" vertical="center"/>
    </xf>
    <xf numFmtId="3" fontId="2" fillId="5" borderId="77" xfId="0" applyNumberFormat="1" applyFont="1" applyFill="1" applyBorder="1" applyAlignment="1">
      <alignment horizontal="center" vertical="center"/>
    </xf>
    <xf numFmtId="3" fontId="4" fillId="6" borderId="26" xfId="0" applyNumberFormat="1" applyFont="1" applyFill="1" applyBorder="1" applyAlignment="1">
      <alignment horizontal="center" vertical="center"/>
    </xf>
    <xf numFmtId="3" fontId="4" fillId="7" borderId="22" xfId="0" applyNumberFormat="1" applyFont="1" applyFill="1" applyBorder="1" applyAlignment="1">
      <alignment horizontal="center" vertical="center"/>
    </xf>
    <xf numFmtId="3" fontId="4" fillId="13" borderId="22" xfId="0" applyNumberFormat="1" applyFont="1" applyFill="1" applyBorder="1" applyAlignment="1">
      <alignment horizontal="center" vertical="center"/>
    </xf>
    <xf numFmtId="3" fontId="4" fillId="11" borderId="22" xfId="0" applyNumberFormat="1" applyFont="1" applyFill="1" applyBorder="1" applyAlignment="1">
      <alignment horizontal="center" vertical="center"/>
    </xf>
    <xf numFmtId="3" fontId="4" fillId="14" borderId="22" xfId="0" applyNumberFormat="1" applyFont="1" applyFill="1" applyBorder="1" applyAlignment="1">
      <alignment horizontal="center" vertical="center"/>
    </xf>
    <xf numFmtId="3" fontId="4" fillId="4" borderId="27" xfId="0" applyNumberFormat="1" applyFont="1" applyFill="1" applyBorder="1" applyAlignment="1">
      <alignment horizontal="center" vertical="center"/>
    </xf>
    <xf numFmtId="3" fontId="3" fillId="7" borderId="5" xfId="0" applyNumberFormat="1" applyFont="1" applyFill="1" applyBorder="1" applyAlignment="1">
      <alignment horizontal="center" vertical="center"/>
    </xf>
    <xf numFmtId="3" fontId="3" fillId="13" borderId="5" xfId="0" applyNumberFormat="1" applyFont="1" applyFill="1" applyBorder="1" applyAlignment="1">
      <alignment horizontal="center" vertical="center"/>
    </xf>
    <xf numFmtId="3" fontId="3" fillId="11" borderId="5" xfId="0" applyNumberFormat="1" applyFont="1" applyFill="1" applyBorder="1" applyAlignment="1">
      <alignment horizontal="center" vertical="center"/>
    </xf>
    <xf numFmtId="3" fontId="3" fillId="14" borderId="5" xfId="0" applyNumberFormat="1" applyFont="1" applyFill="1" applyBorder="1" applyAlignment="1">
      <alignment horizontal="center" vertical="center"/>
    </xf>
    <xf numFmtId="3" fontId="3" fillId="6" borderId="13" xfId="0" applyNumberFormat="1" applyFont="1" applyFill="1" applyBorder="1" applyAlignment="1">
      <alignment horizontal="center" vertical="center"/>
    </xf>
    <xf numFmtId="3" fontId="3" fillId="4" borderId="14" xfId="0" applyNumberFormat="1" applyFont="1" applyFill="1" applyBorder="1" applyAlignment="1">
      <alignment horizontal="center" vertical="center"/>
    </xf>
    <xf numFmtId="3" fontId="2" fillId="8" borderId="65" xfId="0" applyNumberFormat="1" applyFont="1" applyFill="1" applyBorder="1" applyAlignment="1">
      <alignment horizontal="center" vertical="center"/>
    </xf>
    <xf numFmtId="3" fontId="2" fillId="8" borderId="67" xfId="0" applyNumberFormat="1" applyFont="1" applyFill="1" applyBorder="1" applyAlignment="1">
      <alignment horizontal="center" vertical="center"/>
    </xf>
    <xf numFmtId="3" fontId="2" fillId="8" borderId="62" xfId="0" applyNumberFormat="1" applyFont="1" applyFill="1" applyBorder="1" applyAlignment="1">
      <alignment horizontal="center" vertical="center"/>
    </xf>
    <xf numFmtId="0" fontId="2" fillId="0" borderId="34" xfId="0" applyFont="1" applyFill="1" applyBorder="1" applyAlignment="1">
      <alignment horizontal="right" vertical="center" readingOrder="2"/>
    </xf>
    <xf numFmtId="0" fontId="2" fillId="0" borderId="42" xfId="0" applyFont="1" applyFill="1" applyBorder="1" applyAlignment="1">
      <alignment horizontal="right" vertical="center" readingOrder="2"/>
    </xf>
    <xf numFmtId="0" fontId="2" fillId="0" borderId="35" xfId="0" applyFont="1" applyFill="1" applyBorder="1" applyAlignment="1">
      <alignment horizontal="right" vertical="center" readingOrder="2"/>
    </xf>
    <xf numFmtId="166" fontId="8" fillId="0" borderId="8" xfId="1" applyFont="1" applyBorder="1"/>
    <xf numFmtId="166" fontId="8" fillId="0" borderId="13" xfId="1" applyFont="1" applyBorder="1"/>
    <xf numFmtId="166" fontId="8" fillId="0" borderId="31" xfId="1" applyFont="1" applyBorder="1"/>
    <xf numFmtId="166" fontId="3" fillId="0" borderId="23" xfId="1" applyFont="1" applyBorder="1"/>
    <xf numFmtId="166" fontId="8" fillId="0" borderId="26" xfId="1" applyFont="1" applyBorder="1"/>
    <xf numFmtId="166" fontId="8" fillId="0" borderId="15" xfId="1" applyFont="1" applyBorder="1"/>
    <xf numFmtId="166" fontId="3" fillId="0" borderId="58" xfId="1" applyFont="1" applyBorder="1"/>
    <xf numFmtId="166" fontId="2" fillId="0" borderId="0" xfId="1" applyFont="1" applyBorder="1" applyAlignment="1">
      <alignment horizontal="center" vertical="center"/>
    </xf>
    <xf numFmtId="166" fontId="8" fillId="0" borderId="7" xfId="1" applyFont="1" applyBorder="1"/>
    <xf numFmtId="167" fontId="0" fillId="3" borderId="26" xfId="1" applyNumberFormat="1" applyFont="1" applyFill="1" applyBorder="1"/>
    <xf numFmtId="167" fontId="0" fillId="3" borderId="22" xfId="1" applyNumberFormat="1" applyFont="1" applyFill="1" applyBorder="1"/>
    <xf numFmtId="167" fontId="0" fillId="3" borderId="55" xfId="1" applyNumberFormat="1" applyFont="1" applyFill="1" applyBorder="1"/>
    <xf numFmtId="167" fontId="0" fillId="3" borderId="76" xfId="1" applyNumberFormat="1" applyFont="1" applyFill="1" applyBorder="1"/>
    <xf numFmtId="167" fontId="0" fillId="3" borderId="28" xfId="1" applyNumberFormat="1" applyFont="1" applyFill="1" applyBorder="1"/>
    <xf numFmtId="167" fontId="0" fillId="3" borderId="0" xfId="1" applyNumberFormat="1" applyFont="1" applyFill="1" applyBorder="1"/>
    <xf numFmtId="9" fontId="8" fillId="4" borderId="20" xfId="0" applyNumberFormat="1" applyFont="1" applyFill="1" applyBorder="1" applyAlignment="1">
      <alignment horizontal="center"/>
    </xf>
    <xf numFmtId="167" fontId="0" fillId="4" borderId="26" xfId="1" applyNumberFormat="1" applyFont="1" applyFill="1" applyBorder="1"/>
    <xf numFmtId="167" fontId="0" fillId="4" borderId="22" xfId="1" applyNumberFormat="1" applyFont="1" applyFill="1" applyBorder="1"/>
    <xf numFmtId="167" fontId="0" fillId="4" borderId="31" xfId="1" applyNumberFormat="1" applyFont="1" applyFill="1" applyBorder="1"/>
    <xf numFmtId="167" fontId="0" fillId="4" borderId="32" xfId="1" applyNumberFormat="1" applyFont="1" applyFill="1" applyBorder="1"/>
    <xf numFmtId="167" fontId="0" fillId="4" borderId="55" xfId="1" applyNumberFormat="1" applyFont="1" applyFill="1" applyBorder="1"/>
    <xf numFmtId="167" fontId="0" fillId="4" borderId="76" xfId="1" applyNumberFormat="1" applyFont="1" applyFill="1" applyBorder="1"/>
    <xf numFmtId="167" fontId="0" fillId="4" borderId="28" xfId="1" applyNumberFormat="1" applyFont="1" applyFill="1" applyBorder="1"/>
    <xf numFmtId="167" fontId="0" fillId="4" borderId="0" xfId="1" applyNumberFormat="1" applyFont="1" applyFill="1" applyBorder="1"/>
    <xf numFmtId="9" fontId="8" fillId="4" borderId="1" xfId="0" applyNumberFormat="1" applyFont="1" applyFill="1" applyBorder="1" applyAlignment="1">
      <alignment horizontal="center"/>
    </xf>
    <xf numFmtId="167" fontId="0" fillId="4" borderId="39" xfId="1" applyNumberFormat="1" applyFont="1" applyFill="1" applyBorder="1"/>
    <xf numFmtId="167" fontId="0" fillId="4" borderId="73" xfId="1" applyNumberFormat="1" applyFont="1" applyFill="1" applyBorder="1"/>
    <xf numFmtId="167" fontId="0" fillId="4" borderId="40" xfId="1" applyNumberFormat="1" applyFont="1" applyFill="1" applyBorder="1"/>
    <xf numFmtId="167" fontId="0" fillId="4" borderId="66" xfId="1" applyNumberFormat="1" applyFont="1" applyFill="1" applyBorder="1"/>
    <xf numFmtId="167" fontId="3" fillId="4" borderId="3" xfId="1" applyNumberFormat="1" applyFont="1" applyFill="1" applyBorder="1"/>
    <xf numFmtId="167" fontId="0" fillId="4" borderId="41" xfId="1" applyNumberFormat="1" applyFont="1" applyFill="1" applyBorder="1"/>
    <xf numFmtId="167" fontId="0" fillId="4" borderId="78" xfId="1" applyNumberFormat="1" applyFont="1" applyFill="1" applyBorder="1"/>
    <xf numFmtId="167" fontId="0" fillId="4" borderId="34" xfId="1" applyNumberFormat="1" applyFont="1" applyFill="1" applyBorder="1"/>
    <xf numFmtId="167" fontId="0" fillId="4" borderId="29" xfId="1" applyNumberFormat="1" applyFont="1" applyFill="1" applyBorder="1"/>
    <xf numFmtId="0" fontId="8" fillId="0" borderId="34" xfId="0" applyFont="1" applyBorder="1" applyAlignment="1">
      <alignment vertical="center"/>
    </xf>
    <xf numFmtId="0" fontId="8" fillId="0" borderId="42" xfId="0" applyFont="1" applyBorder="1" applyAlignment="1">
      <alignment vertical="center"/>
    </xf>
    <xf numFmtId="0" fontId="8" fillId="0" borderId="35" xfId="0" applyFont="1" applyBorder="1" applyAlignment="1">
      <alignment vertical="center"/>
    </xf>
    <xf numFmtId="0" fontId="8" fillId="0" borderId="20" xfId="0" applyFont="1" applyBorder="1"/>
    <xf numFmtId="0" fontId="8" fillId="3" borderId="20" xfId="0" applyFont="1" applyFill="1" applyBorder="1" applyAlignment="1">
      <alignment horizontal="center" vertical="center" wrapText="1"/>
    </xf>
    <xf numFmtId="0" fontId="8" fillId="12" borderId="20" xfId="0" applyFont="1" applyFill="1" applyBorder="1" applyAlignment="1">
      <alignment horizontal="center" vertical="center" wrapText="1"/>
    </xf>
    <xf numFmtId="167" fontId="0" fillId="12" borderId="8" xfId="1" applyNumberFormat="1" applyFont="1" applyFill="1" applyBorder="1"/>
    <xf numFmtId="167" fontId="0" fillId="12" borderId="9" xfId="1" applyNumberFormat="1" applyFont="1" applyFill="1" applyBorder="1"/>
    <xf numFmtId="167" fontId="0" fillId="12" borderId="10" xfId="1" applyNumberFormat="1" applyFont="1" applyFill="1" applyBorder="1"/>
    <xf numFmtId="167" fontId="0" fillId="12" borderId="13" xfId="1" applyNumberFormat="1" applyFont="1" applyFill="1" applyBorder="1"/>
    <xf numFmtId="167" fontId="0" fillId="12" borderId="5" xfId="1" applyNumberFormat="1" applyFont="1" applyFill="1" applyBorder="1"/>
    <xf numFmtId="167" fontId="0" fillId="12" borderId="14" xfId="1" applyNumberFormat="1" applyFont="1" applyFill="1" applyBorder="1"/>
    <xf numFmtId="167" fontId="0" fillId="12" borderId="15" xfId="1" applyNumberFormat="1" applyFont="1" applyFill="1" applyBorder="1"/>
    <xf numFmtId="167" fontId="0" fillId="12" borderId="16" xfId="1" applyNumberFormat="1" applyFont="1" applyFill="1" applyBorder="1"/>
    <xf numFmtId="167" fontId="0" fillId="12" borderId="17" xfId="1" applyNumberFormat="1" applyFont="1" applyFill="1" applyBorder="1"/>
    <xf numFmtId="0" fontId="8" fillId="3" borderId="1" xfId="0" applyFont="1" applyFill="1" applyBorder="1" applyAlignment="1">
      <alignment horizontal="center" vertical="center" wrapText="1"/>
    </xf>
    <xf numFmtId="0" fontId="2" fillId="0" borderId="26" xfId="0" applyFont="1" applyBorder="1"/>
    <xf numFmtId="0" fontId="2" fillId="0" borderId="22" xfId="0" applyFont="1" applyBorder="1"/>
    <xf numFmtId="0" fontId="2" fillId="0" borderId="27" xfId="0" applyFont="1" applyBorder="1"/>
    <xf numFmtId="0" fontId="10" fillId="2" borderId="30" xfId="0" applyFont="1" applyFill="1" applyBorder="1" applyAlignment="1">
      <alignment horizontal="right"/>
    </xf>
    <xf numFmtId="0" fontId="10" fillId="2" borderId="11" xfId="0" applyFont="1" applyFill="1" applyBorder="1" applyAlignment="1">
      <alignment horizontal="right"/>
    </xf>
    <xf numFmtId="0" fontId="10" fillId="2" borderId="12" xfId="0" applyFont="1" applyFill="1" applyBorder="1" applyAlignment="1">
      <alignment horizontal="right"/>
    </xf>
    <xf numFmtId="9" fontId="0" fillId="0" borderId="14" xfId="0" applyNumberFormat="1" applyFill="1" applyBorder="1"/>
    <xf numFmtId="167" fontId="2" fillId="0" borderId="0" xfId="1" applyNumberFormat="1" applyFont="1" applyAlignment="1">
      <alignment horizontal="center" vertical="center"/>
    </xf>
    <xf numFmtId="0" fontId="8" fillId="0" borderId="34" xfId="0" applyFont="1" applyFill="1" applyBorder="1" applyAlignment="1">
      <alignment horizontal="center" vertical="center" wrapText="1"/>
    </xf>
    <xf numFmtId="0" fontId="8" fillId="0" borderId="42" xfId="0" applyFont="1" applyFill="1" applyBorder="1" applyAlignment="1">
      <alignment horizontal="center" vertical="center" wrapText="1"/>
    </xf>
    <xf numFmtId="0" fontId="8" fillId="0" borderId="35" xfId="0" applyFont="1" applyFill="1" applyBorder="1" applyAlignment="1">
      <alignment horizontal="center" vertical="center" wrapText="1"/>
    </xf>
    <xf numFmtId="0" fontId="0" fillId="0" borderId="65" xfId="0" applyBorder="1" applyAlignment="1">
      <alignment horizontal="right"/>
    </xf>
    <xf numFmtId="0" fontId="0" fillId="0" borderId="27" xfId="0" applyBorder="1" applyAlignment="1">
      <alignment horizontal="right"/>
    </xf>
    <xf numFmtId="0" fontId="0" fillId="0" borderId="37" xfId="0" applyBorder="1" applyAlignment="1">
      <alignment horizontal="right"/>
    </xf>
    <xf numFmtId="0" fontId="0" fillId="0" borderId="14" xfId="0" applyBorder="1" applyAlignment="1">
      <alignment horizontal="right"/>
    </xf>
    <xf numFmtId="176" fontId="0" fillId="0" borderId="37" xfId="1" applyNumberFormat="1" applyFont="1" applyBorder="1" applyAlignment="1">
      <alignment horizontal="right"/>
    </xf>
    <xf numFmtId="176" fontId="0" fillId="0" borderId="14" xfId="1" applyNumberFormat="1" applyFont="1" applyBorder="1" applyAlignment="1">
      <alignment horizontal="right"/>
    </xf>
    <xf numFmtId="0" fontId="0" fillId="0" borderId="38" xfId="0" applyBorder="1" applyAlignment="1">
      <alignment horizontal="right"/>
    </xf>
    <xf numFmtId="0" fontId="0" fillId="0" borderId="17" xfId="0" applyBorder="1" applyAlignment="1">
      <alignment horizontal="right"/>
    </xf>
    <xf numFmtId="0" fontId="8" fillId="0" borderId="34" xfId="1" applyNumberFormat="1" applyFont="1" applyBorder="1"/>
    <xf numFmtId="0" fontId="8" fillId="0" borderId="42" xfId="1" applyNumberFormat="1" applyFont="1" applyBorder="1"/>
    <xf numFmtId="0" fontId="8" fillId="0" borderId="35" xfId="1" applyNumberFormat="1" applyFont="1" applyBorder="1"/>
    <xf numFmtId="177" fontId="4" fillId="0" borderId="0" xfId="0" applyNumberFormat="1" applyFont="1"/>
    <xf numFmtId="9" fontId="0" fillId="0" borderId="0" xfId="3" applyFont="1"/>
    <xf numFmtId="167" fontId="0" fillId="0" borderId="39" xfId="1" applyNumberFormat="1" applyFont="1" applyBorder="1" applyAlignment="1">
      <alignment horizontal="center" vertical="center"/>
    </xf>
    <xf numFmtId="167" fontId="0" fillId="0" borderId="40" xfId="1" applyNumberFormat="1" applyFont="1" applyBorder="1" applyAlignment="1">
      <alignment horizontal="center" vertical="center"/>
    </xf>
    <xf numFmtId="167" fontId="0" fillId="0" borderId="41" xfId="1" applyNumberFormat="1" applyFont="1" applyBorder="1" applyAlignment="1">
      <alignment horizontal="center" vertical="center"/>
    </xf>
    <xf numFmtId="0" fontId="3" fillId="0" borderId="34" xfId="0" applyFont="1" applyBorder="1"/>
    <xf numFmtId="0" fontId="3" fillId="0" borderId="42" xfId="0" applyFont="1" applyBorder="1"/>
    <xf numFmtId="0" fontId="8" fillId="0" borderId="35" xfId="0" applyFont="1" applyBorder="1"/>
    <xf numFmtId="0" fontId="20" fillId="0" borderId="20" xfId="0" applyNumberFormat="1" applyFont="1" applyBorder="1" applyAlignment="1">
      <alignment horizontal="center" vertical="center" wrapText="1" readingOrder="2"/>
    </xf>
    <xf numFmtId="0" fontId="0" fillId="0" borderId="34" xfId="1" applyNumberFormat="1" applyFont="1" applyFill="1" applyBorder="1" applyAlignment="1">
      <alignment horizontal="center" vertical="center"/>
    </xf>
    <xf numFmtId="0" fontId="0" fillId="0" borderId="42" xfId="1" applyNumberFormat="1" applyFont="1" applyFill="1" applyBorder="1" applyAlignment="1">
      <alignment horizontal="center" vertical="center"/>
    </xf>
    <xf numFmtId="0" fontId="0" fillId="0" borderId="35" xfId="1" applyNumberFormat="1" applyFont="1" applyFill="1" applyBorder="1" applyAlignment="1">
      <alignment horizontal="center" vertical="center"/>
    </xf>
    <xf numFmtId="167" fontId="0" fillId="3" borderId="39" xfId="1" applyNumberFormat="1" applyFont="1" applyFill="1" applyBorder="1"/>
    <xf numFmtId="167" fontId="0" fillId="3" borderId="40" xfId="1" applyNumberFormat="1" applyFont="1" applyFill="1" applyBorder="1"/>
    <xf numFmtId="167" fontId="0" fillId="3" borderId="41" xfId="1" applyNumberFormat="1" applyFont="1" applyFill="1" applyBorder="1"/>
    <xf numFmtId="9" fontId="0" fillId="15" borderId="13" xfId="1" applyNumberFormat="1" applyFont="1" applyFill="1" applyBorder="1" applyAlignment="1">
      <alignment horizontal="center"/>
    </xf>
    <xf numFmtId="9" fontId="0" fillId="15" borderId="5" xfId="1" applyNumberFormat="1" applyFont="1" applyFill="1" applyBorder="1" applyAlignment="1">
      <alignment horizontal="center"/>
    </xf>
    <xf numFmtId="9" fontId="0" fillId="15" borderId="14" xfId="3" applyFont="1" applyFill="1" applyBorder="1" applyAlignment="1">
      <alignment horizontal="center"/>
    </xf>
    <xf numFmtId="9" fontId="0" fillId="15" borderId="15" xfId="1" applyNumberFormat="1" applyFont="1" applyFill="1" applyBorder="1" applyAlignment="1">
      <alignment horizontal="center"/>
    </xf>
    <xf numFmtId="9" fontId="0" fillId="15" borderId="16" xfId="1" applyNumberFormat="1" applyFont="1" applyFill="1" applyBorder="1" applyAlignment="1">
      <alignment horizontal="center"/>
    </xf>
    <xf numFmtId="9" fontId="0" fillId="15" borderId="17" xfId="3" applyFont="1" applyFill="1" applyBorder="1" applyAlignment="1">
      <alignment horizontal="center"/>
    </xf>
    <xf numFmtId="0" fontId="32" fillId="0" borderId="53" xfId="4" applyBorder="1"/>
    <xf numFmtId="172" fontId="4" fillId="0" borderId="16" xfId="0" applyNumberFormat="1" applyFont="1" applyBorder="1"/>
    <xf numFmtId="166" fontId="0" fillId="0" borderId="9" xfId="1" applyFont="1" applyFill="1" applyBorder="1"/>
    <xf numFmtId="166" fontId="0" fillId="0" borderId="5" xfId="1" applyFont="1" applyFill="1" applyBorder="1"/>
    <xf numFmtId="166" fontId="0" fillId="0" borderId="16" xfId="1" applyFont="1" applyFill="1" applyBorder="1"/>
    <xf numFmtId="9" fontId="8" fillId="3" borderId="1" xfId="0" applyNumberFormat="1" applyFont="1" applyFill="1" applyBorder="1" applyAlignment="1">
      <alignment horizontal="center"/>
    </xf>
    <xf numFmtId="167" fontId="0" fillId="3" borderId="73" xfId="1" applyNumberFormat="1" applyFont="1" applyFill="1" applyBorder="1"/>
    <xf numFmtId="167" fontId="0" fillId="3" borderId="66" xfId="1" applyNumberFormat="1" applyFont="1" applyFill="1" applyBorder="1"/>
    <xf numFmtId="167" fontId="3" fillId="3" borderId="3" xfId="1" applyNumberFormat="1" applyFont="1" applyFill="1" applyBorder="1"/>
    <xf numFmtId="167" fontId="0" fillId="3" borderId="78" xfId="1" applyNumberFormat="1" applyFont="1" applyFill="1" applyBorder="1"/>
    <xf numFmtId="167" fontId="0" fillId="3" borderId="0" xfId="0" applyNumberFormat="1" applyFill="1"/>
    <xf numFmtId="167" fontId="0" fillId="3" borderId="56" xfId="1" applyNumberFormat="1" applyFont="1" applyFill="1" applyBorder="1"/>
    <xf numFmtId="167" fontId="0" fillId="3" borderId="42" xfId="1" applyNumberFormat="1" applyFont="1" applyFill="1" applyBorder="1"/>
    <xf numFmtId="167" fontId="0" fillId="3" borderId="34" xfId="1" applyNumberFormat="1" applyFont="1" applyFill="1" applyBorder="1"/>
    <xf numFmtId="167" fontId="0" fillId="3" borderId="29" xfId="1" applyNumberFormat="1" applyFont="1" applyFill="1" applyBorder="1"/>
    <xf numFmtId="167" fontId="0" fillId="3" borderId="35" xfId="1" applyNumberFormat="1" applyFont="1" applyFill="1" applyBorder="1"/>
    <xf numFmtId="167" fontId="3" fillId="12" borderId="19" xfId="1" applyNumberFormat="1" applyFont="1" applyFill="1" applyBorder="1"/>
    <xf numFmtId="167" fontId="0" fillId="12" borderId="56" xfId="1" applyNumberFormat="1" applyFont="1" applyFill="1" applyBorder="1"/>
    <xf numFmtId="167" fontId="0" fillId="12" borderId="42" xfId="1" applyNumberFormat="1" applyFont="1" applyFill="1" applyBorder="1"/>
    <xf numFmtId="167" fontId="3" fillId="12" borderId="7" xfId="1" applyNumberFormat="1" applyFont="1" applyFill="1" applyBorder="1"/>
    <xf numFmtId="167" fontId="0" fillId="12" borderId="34" xfId="1" applyNumberFormat="1" applyFont="1" applyFill="1" applyBorder="1"/>
    <xf numFmtId="167" fontId="0" fillId="12" borderId="29" xfId="1" applyNumberFormat="1" applyFont="1" applyFill="1" applyBorder="1"/>
    <xf numFmtId="167" fontId="0" fillId="12" borderId="35" xfId="1" applyNumberFormat="1" applyFont="1" applyFill="1" applyBorder="1"/>
    <xf numFmtId="0" fontId="0" fillId="12" borderId="7" xfId="0" applyFill="1" applyBorder="1"/>
    <xf numFmtId="0" fontId="0" fillId="3" borderId="7" xfId="0" applyFill="1" applyBorder="1"/>
    <xf numFmtId="9" fontId="8" fillId="0" borderId="7" xfId="0" applyNumberFormat="1" applyFont="1" applyBorder="1"/>
    <xf numFmtId="9" fontId="8" fillId="0" borderId="20" xfId="0" applyNumberFormat="1" applyFont="1" applyBorder="1"/>
    <xf numFmtId="1" fontId="0" fillId="0" borderId="8" xfId="0" applyNumberFormat="1" applyBorder="1"/>
    <xf numFmtId="1" fontId="0" fillId="0" borderId="9" xfId="0" applyNumberFormat="1" applyBorder="1"/>
    <xf numFmtId="1" fontId="0" fillId="0" borderId="10" xfId="0" applyNumberFormat="1" applyBorder="1"/>
    <xf numFmtId="167" fontId="8" fillId="0" borderId="7" xfId="1" applyNumberFormat="1" applyFont="1" applyBorder="1" applyAlignment="1">
      <alignment horizontal="right"/>
    </xf>
    <xf numFmtId="167" fontId="0" fillId="3" borderId="36" xfId="1" applyNumberFormat="1" applyFont="1" applyFill="1" applyBorder="1"/>
    <xf numFmtId="167" fontId="0" fillId="3" borderId="37" xfId="1" applyNumberFormat="1" applyFont="1" applyFill="1" applyBorder="1"/>
    <xf numFmtId="167" fontId="0" fillId="3" borderId="38" xfId="1" applyNumberFormat="1" applyFont="1" applyFill="1" applyBorder="1"/>
    <xf numFmtId="167" fontId="3" fillId="3" borderId="21" xfId="1" applyNumberFormat="1" applyFont="1" applyFill="1" applyBorder="1"/>
    <xf numFmtId="167" fontId="3" fillId="4" borderId="21" xfId="1" applyNumberFormat="1" applyFont="1" applyFill="1" applyBorder="1"/>
    <xf numFmtId="166" fontId="2" fillId="0" borderId="0" xfId="0" applyNumberFormat="1" applyFont="1" applyAlignment="1">
      <alignment horizontal="center" vertical="center"/>
    </xf>
    <xf numFmtId="9" fontId="0" fillId="0" borderId="14" xfId="3" applyNumberFormat="1" applyFont="1" applyBorder="1"/>
    <xf numFmtId="176" fontId="2" fillId="0" borderId="34" xfId="1" applyNumberFormat="1" applyFont="1" applyBorder="1"/>
    <xf numFmtId="43" fontId="0" fillId="0" borderId="0" xfId="0" applyNumberFormat="1"/>
    <xf numFmtId="0" fontId="8" fillId="0" borderId="5" xfId="0" applyFont="1" applyBorder="1" applyAlignment="1">
      <alignment horizontal="center" wrapText="1"/>
    </xf>
    <xf numFmtId="166" fontId="0" fillId="0" borderId="5" xfId="1" applyFont="1" applyFill="1" applyBorder="1" applyAlignment="1">
      <alignment horizontal="center"/>
    </xf>
    <xf numFmtId="0" fontId="8" fillId="0" borderId="13" xfId="0" applyFont="1" applyBorder="1" applyAlignment="1">
      <alignment horizontal="center" wrapText="1"/>
    </xf>
    <xf numFmtId="0" fontId="8" fillId="0" borderId="14" xfId="0" applyFont="1" applyBorder="1" applyAlignment="1">
      <alignment horizontal="center" wrapText="1"/>
    </xf>
    <xf numFmtId="166" fontId="0" fillId="0" borderId="14" xfId="1" applyFont="1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167" fontId="8" fillId="0" borderId="16" xfId="1" applyNumberFormat="1" applyFont="1" applyBorder="1" applyAlignment="1">
      <alignment horizontal="center"/>
    </xf>
    <xf numFmtId="177" fontId="8" fillId="0" borderId="17" xfId="1" applyNumberFormat="1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2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9" fontId="0" fillId="0" borderId="3" xfId="0" applyNumberFormat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3" fillId="3" borderId="3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25" fillId="0" borderId="20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3" fontId="8" fillId="3" borderId="3" xfId="1" applyNumberFormat="1" applyFont="1" applyFill="1" applyBorder="1" applyAlignment="1">
      <alignment horizontal="center" vertical="center" wrapText="1"/>
    </xf>
    <xf numFmtId="3" fontId="8" fillId="3" borderId="6" xfId="1" applyNumberFormat="1" applyFont="1" applyFill="1" applyBorder="1" applyAlignment="1">
      <alignment horizontal="center" vertical="center" wrapText="1"/>
    </xf>
    <xf numFmtId="3" fontId="8" fillId="3" borderId="4" xfId="1" applyNumberFormat="1" applyFont="1" applyFill="1" applyBorder="1" applyAlignment="1">
      <alignment horizontal="center" vertical="center" wrapText="1"/>
    </xf>
    <xf numFmtId="3" fontId="8" fillId="12" borderId="3" xfId="1" applyNumberFormat="1" applyFont="1" applyFill="1" applyBorder="1" applyAlignment="1">
      <alignment horizontal="center" vertical="center" wrapText="1"/>
    </xf>
    <xf numFmtId="3" fontId="8" fillId="12" borderId="6" xfId="1" applyNumberFormat="1" applyFont="1" applyFill="1" applyBorder="1" applyAlignment="1">
      <alignment horizontal="center" vertical="center" wrapText="1"/>
    </xf>
    <xf numFmtId="3" fontId="8" fillId="12" borderId="4" xfId="1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12" borderId="3" xfId="0" applyFont="1" applyFill="1" applyBorder="1" applyAlignment="1">
      <alignment horizontal="center"/>
    </xf>
    <xf numFmtId="0" fontId="8" fillId="12" borderId="6" xfId="0" applyFont="1" applyFill="1" applyBorder="1" applyAlignment="1">
      <alignment horizontal="center"/>
    </xf>
    <xf numFmtId="0" fontId="8" fillId="12" borderId="4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8" fillId="12" borderId="48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0" fontId="22" fillId="0" borderId="20" xfId="0" applyFont="1" applyBorder="1" applyAlignment="1">
      <alignment horizontal="center" vertical="center" wrapText="1"/>
    </xf>
    <xf numFmtId="0" fontId="22" fillId="0" borderId="29" xfId="0" applyFont="1" applyBorder="1" applyAlignment="1">
      <alignment horizontal="center" vertical="center" wrapText="1"/>
    </xf>
    <xf numFmtId="0" fontId="22" fillId="0" borderId="19" xfId="0" applyFont="1" applyBorder="1" applyAlignment="1">
      <alignment horizontal="center" vertical="center" wrapText="1"/>
    </xf>
    <xf numFmtId="0" fontId="22" fillId="0" borderId="34" xfId="0" applyFont="1" applyBorder="1" applyAlignment="1">
      <alignment horizontal="center" vertical="center" wrapText="1"/>
    </xf>
    <xf numFmtId="0" fontId="22" fillId="0" borderId="64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2" fillId="0" borderId="28" xfId="0" applyFont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0" fontId="22" fillId="0" borderId="30" xfId="0" applyFont="1" applyBorder="1" applyAlignment="1">
      <alignment horizontal="center" vertical="center" wrapText="1"/>
    </xf>
    <xf numFmtId="0" fontId="22" fillId="0" borderId="12" xfId="0" applyFont="1" applyBorder="1" applyAlignment="1">
      <alignment horizontal="center" vertical="center" wrapText="1"/>
    </xf>
    <xf numFmtId="0" fontId="27" fillId="0" borderId="30" xfId="0" applyFont="1" applyFill="1" applyBorder="1" applyAlignment="1">
      <alignment horizontal="center" vertical="center" wrapText="1" readingOrder="2"/>
    </xf>
    <xf numFmtId="0" fontId="27" fillId="0" borderId="11" xfId="0" applyFont="1" applyFill="1" applyBorder="1" applyAlignment="1">
      <alignment horizontal="center" vertical="center" wrapText="1" readingOrder="2"/>
    </xf>
    <xf numFmtId="0" fontId="27" fillId="0" borderId="12" xfId="0" applyFont="1" applyFill="1" applyBorder="1" applyAlignment="1">
      <alignment horizontal="center" vertical="center" wrapText="1" readingOrder="2"/>
    </xf>
    <xf numFmtId="0" fontId="27" fillId="0" borderId="21" xfId="0" applyFont="1" applyFill="1" applyBorder="1" applyAlignment="1">
      <alignment horizontal="center" vertical="top" readingOrder="2"/>
    </xf>
    <xf numFmtId="0" fontId="27" fillId="0" borderId="69" xfId="0" applyFont="1" applyFill="1" applyBorder="1" applyAlignment="1">
      <alignment horizontal="center" vertical="top" readingOrder="2"/>
    </xf>
    <xf numFmtId="0" fontId="27" fillId="0" borderId="46" xfId="0" applyFont="1" applyFill="1" applyBorder="1" applyAlignment="1">
      <alignment horizontal="center" vertical="top" readingOrder="2"/>
    </xf>
    <xf numFmtId="0" fontId="27" fillId="0" borderId="34" xfId="0" applyFont="1" applyFill="1" applyBorder="1" applyAlignment="1">
      <alignment horizontal="center" vertical="center" wrapText="1" readingOrder="2"/>
    </xf>
    <xf numFmtId="0" fontId="27" fillId="0" borderId="42" xfId="0" applyFont="1" applyFill="1" applyBorder="1" applyAlignment="1">
      <alignment horizontal="center" vertical="center" wrapText="1" readingOrder="2"/>
    </xf>
    <xf numFmtId="0" fontId="27" fillId="0" borderId="35" xfId="0" applyFont="1" applyFill="1" applyBorder="1" applyAlignment="1">
      <alignment horizontal="center" vertical="center" wrapText="1" readingOrder="2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1" fillId="2" borderId="3" xfId="0" applyFont="1" applyFill="1" applyBorder="1" applyAlignment="1">
      <alignment horizontal="center" wrapText="1"/>
    </xf>
    <xf numFmtId="0" fontId="11" fillId="2" borderId="6" xfId="0" applyFont="1" applyFill="1" applyBorder="1" applyAlignment="1">
      <alignment horizontal="center" wrapText="1"/>
    </xf>
    <xf numFmtId="0" fontId="11" fillId="2" borderId="4" xfId="0" applyFont="1" applyFill="1" applyBorder="1" applyAlignment="1">
      <alignment horizont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wrapText="1"/>
    </xf>
    <xf numFmtId="0" fontId="8" fillId="0" borderId="6" xfId="0" applyFont="1" applyBorder="1" applyAlignment="1">
      <alignment horizontal="center" wrapText="1"/>
    </xf>
    <xf numFmtId="0" fontId="8" fillId="0" borderId="4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18" fillId="0" borderId="20" xfId="0" applyFont="1" applyFill="1" applyBorder="1" applyAlignment="1">
      <alignment horizontal="center" vertical="center" wrapText="1"/>
    </xf>
    <xf numFmtId="0" fontId="18" fillId="0" borderId="19" xfId="0" applyFont="1" applyFill="1" applyBorder="1" applyAlignment="1">
      <alignment horizontal="center" vertical="center" wrapText="1"/>
    </xf>
    <xf numFmtId="0" fontId="18" fillId="0" borderId="29" xfId="0" applyFont="1" applyFill="1" applyBorder="1" applyAlignment="1">
      <alignment horizontal="center" vertical="center" wrapText="1"/>
    </xf>
    <xf numFmtId="0" fontId="15" fillId="0" borderId="20" xfId="0" applyFont="1" applyFill="1" applyBorder="1" applyAlignment="1">
      <alignment horizontal="center" vertical="center" wrapText="1"/>
    </xf>
    <xf numFmtId="0" fontId="15" fillId="0" borderId="29" xfId="0" applyFont="1" applyFill="1" applyBorder="1" applyAlignment="1">
      <alignment horizontal="center" vertical="center" wrapText="1"/>
    </xf>
    <xf numFmtId="0" fontId="15" fillId="0" borderId="19" xfId="0" applyFont="1" applyFill="1" applyBorder="1" applyAlignment="1">
      <alignment horizontal="center" vertical="center" wrapText="1"/>
    </xf>
    <xf numFmtId="0" fontId="17" fillId="0" borderId="20" xfId="0" applyFont="1" applyFill="1" applyBorder="1" applyAlignment="1">
      <alignment horizontal="center" vertical="center" wrapText="1" readingOrder="2"/>
    </xf>
    <xf numFmtId="0" fontId="17" fillId="0" borderId="29" xfId="0" applyFont="1" applyFill="1" applyBorder="1" applyAlignment="1">
      <alignment horizontal="center" vertical="center" wrapText="1" readingOrder="2"/>
    </xf>
    <xf numFmtId="0" fontId="17" fillId="0" borderId="19" xfId="0" applyFont="1" applyFill="1" applyBorder="1" applyAlignment="1">
      <alignment horizontal="center" vertical="center" wrapText="1" readingOrder="2"/>
    </xf>
    <xf numFmtId="0" fontId="18" fillId="0" borderId="1" xfId="0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center" vertical="center" wrapText="1"/>
    </xf>
    <xf numFmtId="0" fontId="18" fillId="0" borderId="21" xfId="0" applyFont="1" applyFill="1" applyBorder="1" applyAlignment="1">
      <alignment horizontal="center" vertical="center" wrapText="1"/>
    </xf>
    <xf numFmtId="0" fontId="20" fillId="0" borderId="3" xfId="0" applyFont="1" applyFill="1" applyBorder="1" applyAlignment="1">
      <alignment horizontal="center" vertical="center" wrapText="1" readingOrder="2"/>
    </xf>
    <xf numFmtId="0" fontId="20" fillId="0" borderId="6" xfId="0" applyFont="1" applyFill="1" applyBorder="1" applyAlignment="1">
      <alignment horizontal="center" vertical="center" wrapText="1" readingOrder="2"/>
    </xf>
    <xf numFmtId="0" fontId="20" fillId="0" borderId="4" xfId="0" applyFont="1" applyFill="1" applyBorder="1" applyAlignment="1">
      <alignment horizontal="center" vertical="center" wrapText="1" readingOrder="2"/>
    </xf>
    <xf numFmtId="0" fontId="11" fillId="0" borderId="3" xfId="0" applyFont="1" applyFill="1" applyBorder="1" applyAlignment="1">
      <alignment horizontal="center" vertical="center" readingOrder="2"/>
    </xf>
    <xf numFmtId="0" fontId="11" fillId="0" borderId="6" xfId="0" applyFont="1" applyFill="1" applyBorder="1" applyAlignment="1">
      <alignment horizontal="center" vertical="center" readingOrder="2"/>
    </xf>
    <xf numFmtId="0" fontId="11" fillId="0" borderId="4" xfId="0" applyFont="1" applyFill="1" applyBorder="1" applyAlignment="1">
      <alignment horizontal="center" vertical="center" readingOrder="2"/>
    </xf>
    <xf numFmtId="1" fontId="3" fillId="0" borderId="3" xfId="0" applyNumberFormat="1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20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 wrapText="1"/>
    </xf>
    <xf numFmtId="0" fontId="3" fillId="3" borderId="6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wrapText="1"/>
    </xf>
    <xf numFmtId="0" fontId="3" fillId="4" borderId="6" xfId="0" applyFont="1" applyFill="1" applyBorder="1" applyAlignment="1">
      <alignment horizontal="center" wrapText="1"/>
    </xf>
    <xf numFmtId="0" fontId="3" fillId="4" borderId="4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3" fontId="3" fillId="7" borderId="1" xfId="1" applyNumberFormat="1" applyFont="1" applyFill="1" applyBorder="1" applyAlignment="1">
      <alignment horizontal="center" vertical="center"/>
    </xf>
    <xf numFmtId="3" fontId="3" fillId="7" borderId="48" xfId="1" applyNumberFormat="1" applyFont="1" applyFill="1" applyBorder="1" applyAlignment="1">
      <alignment horizontal="center" vertical="center"/>
    </xf>
    <xf numFmtId="3" fontId="3" fillId="7" borderId="2" xfId="1" applyNumberFormat="1" applyFont="1" applyFill="1" applyBorder="1" applyAlignment="1">
      <alignment horizontal="center" vertical="center"/>
    </xf>
    <xf numFmtId="3" fontId="3" fillId="7" borderId="3" xfId="1" applyNumberFormat="1" applyFont="1" applyFill="1" applyBorder="1" applyAlignment="1">
      <alignment horizontal="center" vertical="center"/>
    </xf>
    <xf numFmtId="3" fontId="3" fillId="7" borderId="6" xfId="1" applyNumberFormat="1" applyFont="1" applyFill="1" applyBorder="1" applyAlignment="1">
      <alignment horizontal="center" vertical="center"/>
    </xf>
    <xf numFmtId="3" fontId="3" fillId="7" borderId="4" xfId="1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9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0" borderId="52" xfId="0" applyFont="1" applyBorder="1" applyAlignment="1">
      <alignment horizontal="center"/>
    </xf>
    <xf numFmtId="0" fontId="3" fillId="0" borderId="28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10" fontId="0" fillId="0" borderId="14" xfId="3" applyNumberFormat="1" applyFont="1" applyFill="1" applyBorder="1" applyAlignment="1">
      <alignment horizontal="center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B17ED8"/>
      <color rgb="FF838000"/>
      <color rgb="FFF5BD0B"/>
      <color rgb="FFD77F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600" b="1"/>
              <a:t>עלות במיליוני ₪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'גרפים לוורד'!$D$8</c:f>
              <c:strCache>
                <c:ptCount val="1"/>
                <c:pt idx="0">
                  <c:v>השקעות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'גרפים לוורד'!$E$6:$J$7</c:f>
              <c:multiLvlStrCache>
                <c:ptCount val="6"/>
                <c:lvl>
                  <c:pt idx="0">
                    <c:v>17%</c:v>
                  </c:pt>
                  <c:pt idx="1">
                    <c:v>25%</c:v>
                  </c:pt>
                  <c:pt idx="2">
                    <c:v>30%</c:v>
                  </c:pt>
                  <c:pt idx="3">
                    <c:v>17%</c:v>
                  </c:pt>
                  <c:pt idx="4">
                    <c:v>25%</c:v>
                  </c:pt>
                  <c:pt idx="5">
                    <c:v>30%</c:v>
                  </c:pt>
                </c:lvl>
                <c:lvl>
                  <c:pt idx="0">
                    <c:v>תרחיש עלות עודפת מנימלית</c:v>
                  </c:pt>
                  <c:pt idx="3">
                    <c:v>תרחיש עלות עודפת מקסימלית</c:v>
                  </c:pt>
                </c:lvl>
              </c:multiLvlStrCache>
            </c:multiLvlStrRef>
          </c:cat>
          <c:val>
            <c:numRef>
              <c:f>'גרפים לוורד'!$E$8:$J$8</c:f>
              <c:numCache>
                <c:formatCode>_ * #,##0_ ;_ * \-#,##0_ ;_ * "-"??_ ;_ @_ </c:formatCode>
                <c:ptCount val="6"/>
                <c:pt idx="0">
                  <c:v>13874.498309164903</c:v>
                </c:pt>
                <c:pt idx="1">
                  <c:v>13289.857293757197</c:v>
                </c:pt>
                <c:pt idx="2">
                  <c:v>13750.465920197174</c:v>
                </c:pt>
                <c:pt idx="3">
                  <c:v>15116.174887038134</c:v>
                </c:pt>
                <c:pt idx="4">
                  <c:v>14879.625276451688</c:v>
                </c:pt>
                <c:pt idx="5">
                  <c:v>14774.330557397643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E9-4A5A-B97B-5588BB5BE9A4}"/>
            </c:ext>
          </c:extLst>
        </c:ser>
        <c:ser>
          <c:idx val="1"/>
          <c:order val="1"/>
          <c:tx>
            <c:strRef>
              <c:f>'גרפים לוורד'!$D$9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'גרפים לוורד'!$E$6:$J$7</c:f>
              <c:multiLvlStrCache>
                <c:ptCount val="6"/>
                <c:lvl>
                  <c:pt idx="0">
                    <c:v>17%</c:v>
                  </c:pt>
                  <c:pt idx="1">
                    <c:v>25%</c:v>
                  </c:pt>
                  <c:pt idx="2">
                    <c:v>30%</c:v>
                  </c:pt>
                  <c:pt idx="3">
                    <c:v>17%</c:v>
                  </c:pt>
                  <c:pt idx="4">
                    <c:v>25%</c:v>
                  </c:pt>
                  <c:pt idx="5">
                    <c:v>30%</c:v>
                  </c:pt>
                </c:lvl>
                <c:lvl>
                  <c:pt idx="0">
                    <c:v>תרחיש עלות עודפת מנימלית</c:v>
                  </c:pt>
                  <c:pt idx="3">
                    <c:v>תרחיש עלות עודפת מקסימלית</c:v>
                  </c:pt>
                </c:lvl>
              </c:multiLvlStrCache>
            </c:multiLvlStrRef>
          </c:cat>
          <c:val>
            <c:numRef>
              <c:f>'גרפים לוורד'!$E$9:$J$9</c:f>
              <c:numCache>
                <c:formatCode>_ * #,##0_ ;_ * \-#,##0_ ;_ * "-"??_ ;_ @_ 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86E9-4A5A-B97B-5588BB5BE9A4}"/>
            </c:ext>
          </c:extLst>
        </c:ser>
        <c:ser>
          <c:idx val="2"/>
          <c:order val="2"/>
          <c:tx>
            <c:strRef>
              <c:f>'גרפים לוורד'!$D$10</c:f>
              <c:strCache>
                <c:ptCount val="1"/>
                <c:pt idx="0">
                  <c:v>תפעול קבוע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'גרפים לוורד'!$E$6:$J$7</c:f>
              <c:multiLvlStrCache>
                <c:ptCount val="6"/>
                <c:lvl>
                  <c:pt idx="0">
                    <c:v>17%</c:v>
                  </c:pt>
                  <c:pt idx="1">
                    <c:v>25%</c:v>
                  </c:pt>
                  <c:pt idx="2">
                    <c:v>30%</c:v>
                  </c:pt>
                  <c:pt idx="3">
                    <c:v>17%</c:v>
                  </c:pt>
                  <c:pt idx="4">
                    <c:v>25%</c:v>
                  </c:pt>
                  <c:pt idx="5">
                    <c:v>30%</c:v>
                  </c:pt>
                </c:lvl>
                <c:lvl>
                  <c:pt idx="0">
                    <c:v>תרחיש עלות עודפת מנימלית</c:v>
                  </c:pt>
                  <c:pt idx="3">
                    <c:v>תרחיש עלות עודפת מקסימלית</c:v>
                  </c:pt>
                </c:lvl>
              </c:multiLvlStrCache>
            </c:multiLvlStrRef>
          </c:cat>
          <c:val>
            <c:numRef>
              <c:f>'גרפים לוורד'!$E$10:$J$10</c:f>
              <c:numCache>
                <c:formatCode>_ * #,##0_ ;_ * \-#,##0_ ;_ * "-"??_ ;_ @_ </c:formatCode>
                <c:ptCount val="6"/>
                <c:pt idx="0">
                  <c:v>8448.6344552629871</c:v>
                </c:pt>
                <c:pt idx="1">
                  <c:v>7738.3011499308104</c:v>
                </c:pt>
                <c:pt idx="2">
                  <c:v>7584.2412207200359</c:v>
                </c:pt>
                <c:pt idx="3">
                  <c:v>9106.8140849869633</c:v>
                </c:pt>
                <c:pt idx="4">
                  <c:v>9037.7416360965981</c:v>
                </c:pt>
                <c:pt idx="5">
                  <c:v>8897.5634765628965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E9-4A5A-B97B-5588BB5BE9A4}"/>
            </c:ext>
          </c:extLst>
        </c:ser>
        <c:ser>
          <c:idx val="3"/>
          <c:order val="3"/>
          <c:tx>
            <c:strRef>
              <c:f>'גרפים לוורד'!$D$11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'גרפים לוורד'!$E$6:$J$7</c:f>
              <c:multiLvlStrCache>
                <c:ptCount val="6"/>
                <c:lvl>
                  <c:pt idx="0">
                    <c:v>17%</c:v>
                  </c:pt>
                  <c:pt idx="1">
                    <c:v>25%</c:v>
                  </c:pt>
                  <c:pt idx="2">
                    <c:v>30%</c:v>
                  </c:pt>
                  <c:pt idx="3">
                    <c:v>17%</c:v>
                  </c:pt>
                  <c:pt idx="4">
                    <c:v>25%</c:v>
                  </c:pt>
                  <c:pt idx="5">
                    <c:v>30%</c:v>
                  </c:pt>
                </c:lvl>
                <c:lvl>
                  <c:pt idx="0">
                    <c:v>תרחיש עלות עודפת מנימלית</c:v>
                  </c:pt>
                  <c:pt idx="3">
                    <c:v>תרחיש עלות עודפת מקסימלית</c:v>
                  </c:pt>
                </c:lvl>
              </c:multiLvlStrCache>
            </c:multiLvlStrRef>
          </c:cat>
          <c:val>
            <c:numRef>
              <c:f>'גרפים לוורד'!$E$11:$J$11</c:f>
              <c:numCache>
                <c:formatCode>_ * #,##0_ ;_ * \-#,##0_ ;_ * "-"??_ ;_ @_ 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86E9-4A5A-B97B-5588BB5BE9A4}"/>
            </c:ext>
          </c:extLst>
        </c:ser>
        <c:ser>
          <c:idx val="5"/>
          <c:order val="5"/>
          <c:tx>
            <c:strRef>
              <c:f>'גרפים לוורד'!$D$13</c:f>
              <c:strCache>
                <c:ptCount val="1"/>
                <c:pt idx="0">
                  <c:v>עלות דלקים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'גרפים לוורד'!$E$6:$J$7</c:f>
              <c:multiLvlStrCache>
                <c:ptCount val="6"/>
                <c:lvl>
                  <c:pt idx="0">
                    <c:v>17%</c:v>
                  </c:pt>
                  <c:pt idx="1">
                    <c:v>25%</c:v>
                  </c:pt>
                  <c:pt idx="2">
                    <c:v>30%</c:v>
                  </c:pt>
                  <c:pt idx="3">
                    <c:v>17%</c:v>
                  </c:pt>
                  <c:pt idx="4">
                    <c:v>25%</c:v>
                  </c:pt>
                  <c:pt idx="5">
                    <c:v>30%</c:v>
                  </c:pt>
                </c:lvl>
                <c:lvl>
                  <c:pt idx="0">
                    <c:v>תרחיש עלות עודפת מנימלית</c:v>
                  </c:pt>
                  <c:pt idx="3">
                    <c:v>תרחיש עלות עודפת מקסימלית</c:v>
                  </c:pt>
                </c:lvl>
              </c:multiLvlStrCache>
            </c:multiLvlStrRef>
          </c:cat>
          <c:val>
            <c:numRef>
              <c:f>'גרפים לוורד'!$E$13:$J$13</c:f>
              <c:numCache>
                <c:formatCode>_ * #,##0_ ;_ * \-#,##0_ ;_ * "-"??_ ;_ @_ </c:formatCode>
                <c:ptCount val="6"/>
                <c:pt idx="0">
                  <c:v>173756.38670167414</c:v>
                </c:pt>
                <c:pt idx="1">
                  <c:v>163742.16797469754</c:v>
                </c:pt>
                <c:pt idx="2">
                  <c:v>157949.93503484203</c:v>
                </c:pt>
                <c:pt idx="3">
                  <c:v>160533.82044851489</c:v>
                </c:pt>
                <c:pt idx="4">
                  <c:v>151856.8045332421</c:v>
                </c:pt>
                <c:pt idx="5">
                  <c:v>146292.5599263903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E9-4A5A-B97B-5588BB5BE9A4}"/>
            </c:ext>
          </c:extLst>
        </c:ser>
        <c:ser>
          <c:idx val="6"/>
          <c:order val="6"/>
          <c:tx>
            <c:strRef>
              <c:f>'גרפים לוורד'!$D$14</c:f>
              <c:strCache>
                <c:ptCount val="1"/>
                <c:pt idx="0">
                  <c:v>עלות דלקים בחרום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'גרפים לוורד'!$E$6:$J$7</c:f>
              <c:multiLvlStrCache>
                <c:ptCount val="6"/>
                <c:lvl>
                  <c:pt idx="0">
                    <c:v>17%</c:v>
                  </c:pt>
                  <c:pt idx="1">
                    <c:v>25%</c:v>
                  </c:pt>
                  <c:pt idx="2">
                    <c:v>30%</c:v>
                  </c:pt>
                  <c:pt idx="3">
                    <c:v>17%</c:v>
                  </c:pt>
                  <c:pt idx="4">
                    <c:v>25%</c:v>
                  </c:pt>
                  <c:pt idx="5">
                    <c:v>30%</c:v>
                  </c:pt>
                </c:lvl>
                <c:lvl>
                  <c:pt idx="0">
                    <c:v>תרחיש עלות עודפת מנימלית</c:v>
                  </c:pt>
                  <c:pt idx="3">
                    <c:v>תרחיש עלות עודפת מקסימלית</c:v>
                  </c:pt>
                </c:lvl>
              </c:multiLvlStrCache>
            </c:multiLvlStrRef>
          </c:cat>
          <c:val>
            <c:numRef>
              <c:f>'גרפים לוורד'!$E$14:$J$14</c:f>
              <c:numCache>
                <c:formatCode>_ * #,##0_ ;_ * \-#,##0_ ;_ * "-"??_ ;_ @_ </c:formatCode>
                <c:ptCount val="6"/>
                <c:pt idx="0">
                  <c:v>6445.8106535869238</c:v>
                </c:pt>
                <c:pt idx="1">
                  <c:v>5330.8027059153164</c:v>
                </c:pt>
                <c:pt idx="2">
                  <c:v>4822.2536451591977</c:v>
                </c:pt>
                <c:pt idx="3">
                  <c:v>7110.0559636344897</c:v>
                </c:pt>
                <c:pt idx="4">
                  <c:v>5933.9298849472616</c:v>
                </c:pt>
                <c:pt idx="5">
                  <c:v>5380.9933157240475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E9-4A5A-B97B-5588BB5BE9A4}"/>
            </c:ext>
          </c:extLst>
        </c:ser>
        <c:ser>
          <c:idx val="8"/>
          <c:order val="8"/>
          <c:tx>
            <c:strRef>
              <c:f>'גרפים לוורד'!$D$16</c:f>
              <c:strCache>
                <c:ptCount val="1"/>
                <c:pt idx="0">
                  <c:v>גזי חממה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'גרפים לוורד'!$E$6:$J$7</c:f>
              <c:multiLvlStrCache>
                <c:ptCount val="6"/>
                <c:lvl>
                  <c:pt idx="0">
                    <c:v>17%</c:v>
                  </c:pt>
                  <c:pt idx="1">
                    <c:v>25%</c:v>
                  </c:pt>
                  <c:pt idx="2">
                    <c:v>30%</c:v>
                  </c:pt>
                  <c:pt idx="3">
                    <c:v>17%</c:v>
                  </c:pt>
                  <c:pt idx="4">
                    <c:v>25%</c:v>
                  </c:pt>
                  <c:pt idx="5">
                    <c:v>30%</c:v>
                  </c:pt>
                </c:lvl>
                <c:lvl>
                  <c:pt idx="0">
                    <c:v>תרחיש עלות עודפת מנימלית</c:v>
                  </c:pt>
                  <c:pt idx="3">
                    <c:v>תרחיש עלות עודפת מקסימלית</c:v>
                  </c:pt>
                </c:lvl>
              </c:multiLvlStrCache>
            </c:multiLvlStrRef>
          </c:cat>
          <c:val>
            <c:numRef>
              <c:f>'גרפים לוורד'!$E$16:$J$16</c:f>
              <c:numCache>
                <c:formatCode>_ * #,##0_ ;_ * \-#,##0_ ;_ * "-"??_ ;_ @_ </c:formatCode>
                <c:ptCount val="6"/>
                <c:pt idx="0">
                  <c:v>89324.043376032656</c:v>
                </c:pt>
                <c:pt idx="1">
                  <c:v>84180.306198039165</c:v>
                </c:pt>
                <c:pt idx="2">
                  <c:v>81082.549218369168</c:v>
                </c:pt>
                <c:pt idx="3">
                  <c:v>13580.542194938664</c:v>
                </c:pt>
                <c:pt idx="4">
                  <c:v>12803.083967170103</c:v>
                </c:pt>
                <c:pt idx="5">
                  <c:v>12359.858242521857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E9-4A5A-B97B-5588BB5BE9A4}"/>
            </c:ext>
          </c:extLst>
        </c:ser>
        <c:ser>
          <c:idx val="9"/>
          <c:order val="9"/>
          <c:tx>
            <c:strRef>
              <c:f>'גרפים לוורד'!$D$17</c:f>
              <c:strCache>
                <c:ptCount val="1"/>
                <c:pt idx="0">
                  <c:v>מזהמים מקומיים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'גרפים לוורד'!$E$6:$J$7</c:f>
              <c:multiLvlStrCache>
                <c:ptCount val="6"/>
                <c:lvl>
                  <c:pt idx="0">
                    <c:v>17%</c:v>
                  </c:pt>
                  <c:pt idx="1">
                    <c:v>25%</c:v>
                  </c:pt>
                  <c:pt idx="2">
                    <c:v>30%</c:v>
                  </c:pt>
                  <c:pt idx="3">
                    <c:v>17%</c:v>
                  </c:pt>
                  <c:pt idx="4">
                    <c:v>25%</c:v>
                  </c:pt>
                  <c:pt idx="5">
                    <c:v>30%</c:v>
                  </c:pt>
                </c:lvl>
                <c:lvl>
                  <c:pt idx="0">
                    <c:v>תרחיש עלות עודפת מנימלית</c:v>
                  </c:pt>
                  <c:pt idx="3">
                    <c:v>תרחיש עלות עודפת מקסימלית</c:v>
                  </c:pt>
                </c:lvl>
              </c:multiLvlStrCache>
            </c:multiLvlStrRef>
          </c:cat>
          <c:val>
            <c:numRef>
              <c:f>'גרפים לוורד'!$E$17:$J$17</c:f>
              <c:numCache>
                <c:formatCode>_ * #,##0_ ;_ * \-#,##0_ ;_ * "-"??_ ;_ @_ </c:formatCode>
                <c:ptCount val="6"/>
                <c:pt idx="0">
                  <c:v>48809.541143014983</c:v>
                </c:pt>
                <c:pt idx="1">
                  <c:v>46037.957959823347</c:v>
                </c:pt>
                <c:pt idx="2">
                  <c:v>44367.134366453465</c:v>
                </c:pt>
                <c:pt idx="3">
                  <c:v>48535.920905124796</c:v>
                </c:pt>
                <c:pt idx="4">
                  <c:v>45800.664042932265</c:v>
                </c:pt>
                <c:pt idx="5">
                  <c:v>44259.431297702264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6E9-4A5A-B97B-5588BB5BE9A4}"/>
            </c:ext>
          </c:extLst>
        </c:ser>
        <c:ser>
          <c:idx val="12"/>
          <c:order val="12"/>
          <c:tx>
            <c:strRef>
              <c:f>'גרפים לוורד'!$D$20</c:f>
              <c:strCache>
                <c:ptCount val="1"/>
                <c:pt idx="0">
                  <c:v>השקעות מתקני יצור מתחדשים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'גרפים לוורד'!$E$6:$J$7</c:f>
              <c:multiLvlStrCache>
                <c:ptCount val="6"/>
                <c:lvl>
                  <c:pt idx="0">
                    <c:v>17%</c:v>
                  </c:pt>
                  <c:pt idx="1">
                    <c:v>25%</c:v>
                  </c:pt>
                  <c:pt idx="2">
                    <c:v>30%</c:v>
                  </c:pt>
                  <c:pt idx="3">
                    <c:v>17%</c:v>
                  </c:pt>
                  <c:pt idx="4">
                    <c:v>25%</c:v>
                  </c:pt>
                  <c:pt idx="5">
                    <c:v>30%</c:v>
                  </c:pt>
                </c:lvl>
                <c:lvl>
                  <c:pt idx="0">
                    <c:v>תרחיש עלות עודפת מנימלית</c:v>
                  </c:pt>
                  <c:pt idx="3">
                    <c:v>תרחיש עלות עודפת מקסימלית</c:v>
                  </c:pt>
                </c:lvl>
              </c:multiLvlStrCache>
            </c:multiLvlStrRef>
          </c:cat>
          <c:val>
            <c:numRef>
              <c:f>'גרפים לוורד'!$E$20:$J$20</c:f>
              <c:numCache>
                <c:formatCode>_ * #,##0_ ;_ * \-#,##0_ ;_ * "-"??_ ;_ @_ </c:formatCode>
                <c:ptCount val="6"/>
                <c:pt idx="0">
                  <c:v>14975.394987284359</c:v>
                </c:pt>
                <c:pt idx="1">
                  <c:v>23299.305503125812</c:v>
                </c:pt>
                <c:pt idx="2">
                  <c:v>28338.658934462517</c:v>
                </c:pt>
                <c:pt idx="3">
                  <c:v>17697.093390453243</c:v>
                </c:pt>
                <c:pt idx="4">
                  <c:v>28095.107623438231</c:v>
                </c:pt>
                <c:pt idx="5">
                  <c:v>34393.714411480876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6E9-4A5A-B97B-5588BB5BE9A4}"/>
            </c:ext>
          </c:extLst>
        </c:ser>
        <c:ser>
          <c:idx val="13"/>
          <c:order val="13"/>
          <c:tx>
            <c:strRef>
              <c:f>'גרפים לוורד'!$D$21</c:f>
              <c:strCache>
                <c:ptCount val="1"/>
                <c:pt idx="0">
                  <c:v>תפעול קבוע מתקני יצור מתחדשים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'גרפים לוורד'!$E$6:$J$7</c:f>
              <c:multiLvlStrCache>
                <c:ptCount val="6"/>
                <c:lvl>
                  <c:pt idx="0">
                    <c:v>17%</c:v>
                  </c:pt>
                  <c:pt idx="1">
                    <c:v>25%</c:v>
                  </c:pt>
                  <c:pt idx="2">
                    <c:v>30%</c:v>
                  </c:pt>
                  <c:pt idx="3">
                    <c:v>17%</c:v>
                  </c:pt>
                  <c:pt idx="4">
                    <c:v>25%</c:v>
                  </c:pt>
                  <c:pt idx="5">
                    <c:v>30%</c:v>
                  </c:pt>
                </c:lvl>
                <c:lvl>
                  <c:pt idx="0">
                    <c:v>תרחיש עלות עודפת מנימלית</c:v>
                  </c:pt>
                  <c:pt idx="3">
                    <c:v>תרחיש עלות עודפת מקסימלית</c:v>
                  </c:pt>
                </c:lvl>
              </c:multiLvlStrCache>
            </c:multiLvlStrRef>
          </c:cat>
          <c:val>
            <c:numRef>
              <c:f>'גרפים לוורד'!$E$21:$J$21</c:f>
              <c:numCache>
                <c:formatCode>_ * #,##0_ ;_ * \-#,##0_ ;_ * "-"??_ ;_ @_ </c:formatCode>
                <c:ptCount val="6"/>
                <c:pt idx="0">
                  <c:v>4580.5950135020794</c:v>
                </c:pt>
                <c:pt idx="1">
                  <c:v>7316.4729011310574</c:v>
                </c:pt>
                <c:pt idx="2">
                  <c:v>8987.0431754833426</c:v>
                </c:pt>
                <c:pt idx="3">
                  <c:v>5066.4601157986626</c:v>
                </c:pt>
                <c:pt idx="4">
                  <c:v>8195.5287706205218</c:v>
                </c:pt>
                <c:pt idx="5">
                  <c:v>10106.18754117081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6E9-4A5A-B97B-5588BB5BE9A4}"/>
            </c:ext>
          </c:extLst>
        </c:ser>
        <c:ser>
          <c:idx val="14"/>
          <c:order val="15"/>
          <c:tx>
            <c:strRef>
              <c:f>'גרפים לוורד'!$D$23</c:f>
              <c:strCache>
                <c:ptCount val="1"/>
                <c:pt idx="0">
                  <c:v>השקעה ברשת</c:v>
                </c:pt>
              </c:strCache>
            </c:strRef>
          </c:tx>
          <c:spPr>
            <a:solidFill>
              <a:srgbClr val="B17ED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'גרפים לוורד'!$E$6:$J$7</c:f>
              <c:multiLvlStrCache>
                <c:ptCount val="6"/>
                <c:lvl>
                  <c:pt idx="0">
                    <c:v>17%</c:v>
                  </c:pt>
                  <c:pt idx="1">
                    <c:v>25%</c:v>
                  </c:pt>
                  <c:pt idx="2">
                    <c:v>30%</c:v>
                  </c:pt>
                  <c:pt idx="3">
                    <c:v>17%</c:v>
                  </c:pt>
                  <c:pt idx="4">
                    <c:v>25%</c:v>
                  </c:pt>
                  <c:pt idx="5">
                    <c:v>30%</c:v>
                  </c:pt>
                </c:lvl>
                <c:lvl>
                  <c:pt idx="0">
                    <c:v>תרחיש עלות עודפת מנימלית</c:v>
                  </c:pt>
                  <c:pt idx="3">
                    <c:v>תרחיש עלות עודפת מקסימלית</c:v>
                  </c:pt>
                </c:lvl>
              </c:multiLvlStrCache>
            </c:multiLvlStrRef>
          </c:cat>
          <c:val>
            <c:numRef>
              <c:f>'גרפים לוורד'!$E$23:$J$23</c:f>
              <c:numCache>
                <c:formatCode>_ * #,##0_ ;_ * \-#,##0_ ;_ * "-"??_ ;_ @_ </c:formatCode>
                <c:ptCount val="6"/>
                <c:pt idx="0">
                  <c:v>4187.9616133432928</c:v>
                </c:pt>
                <c:pt idx="1">
                  <c:v>7237.5109492826841</c:v>
                </c:pt>
                <c:pt idx="2">
                  <c:v>9099.6139670479242</c:v>
                </c:pt>
                <c:pt idx="3">
                  <c:v>3707.1106657337709</c:v>
                </c:pt>
                <c:pt idx="4">
                  <c:v>6400.4382115665094</c:v>
                </c:pt>
                <c:pt idx="5">
                  <c:v>8045.0265747780468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6E9-4A5A-B97B-5588BB5BE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7118496"/>
        <c:axId val="1377107616"/>
      </c:barChart>
      <c:scatterChart>
        <c:scatterStyle val="lineMarker"/>
        <c:varyColors val="0"/>
        <c:ser>
          <c:idx val="4"/>
          <c:order val="4"/>
          <c:tx>
            <c:strRef>
              <c:f>'גרפים לוורד'!$D$12</c:f>
              <c:strCache>
                <c:ptCount val="1"/>
                <c:pt idx="0">
                  <c:v>סה"כ עלות הקמה ותפעול קבוע של יצור קונ' ואגירה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multiLvlStrRef>
              <c:f>'גרפים לוורד'!$E$6:$J$7</c:f>
              <c:multiLvlStrCache>
                <c:ptCount val="6"/>
                <c:lvl>
                  <c:pt idx="0">
                    <c:v>17%</c:v>
                  </c:pt>
                  <c:pt idx="1">
                    <c:v>25%</c:v>
                  </c:pt>
                  <c:pt idx="2">
                    <c:v>30%</c:v>
                  </c:pt>
                  <c:pt idx="3">
                    <c:v>17%</c:v>
                  </c:pt>
                  <c:pt idx="4">
                    <c:v>25%</c:v>
                  </c:pt>
                  <c:pt idx="5">
                    <c:v>30%</c:v>
                  </c:pt>
                </c:lvl>
                <c:lvl>
                  <c:pt idx="0">
                    <c:v>תרחיש עלות עודפת מנימלית</c:v>
                  </c:pt>
                  <c:pt idx="3">
                    <c:v>תרחיש עלות עודפת מקסימלית</c:v>
                  </c:pt>
                </c:lvl>
              </c:multiLvlStrCache>
            </c:multiLvlStrRef>
          </c:xVal>
          <c:yVal>
            <c:numRef>
              <c:f>'גרפים לוורד'!$E$12:$J$12</c:f>
              <c:numCache>
                <c:formatCode>_ * #,##0_ ;_ * \-#,##0_ ;_ * "-"??_ ;_ @_ </c:formatCode>
                <c:ptCount val="6"/>
                <c:pt idx="0">
                  <c:v>22323.13276442789</c:v>
                </c:pt>
                <c:pt idx="1">
                  <c:v>21028.158443688008</c:v>
                </c:pt>
                <c:pt idx="2">
                  <c:v>21334.707140917209</c:v>
                </c:pt>
                <c:pt idx="3">
                  <c:v>24222.988972025098</c:v>
                </c:pt>
                <c:pt idx="4">
                  <c:v>23917.366912548285</c:v>
                </c:pt>
                <c:pt idx="5">
                  <c:v>23671.89403396054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6E9-4A5A-B97B-5588BB5BE9A4}"/>
            </c:ext>
          </c:extLst>
        </c:ser>
        <c:ser>
          <c:idx val="7"/>
          <c:order val="7"/>
          <c:tx>
            <c:strRef>
              <c:f>'גרפים לוורד'!$D$15</c:f>
              <c:strCache>
                <c:ptCount val="1"/>
                <c:pt idx="0">
                  <c:v>סה"כ עלות דלקים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multiLvlStrRef>
              <c:f>'גרפים לוורד'!$E$6:$J$7</c:f>
              <c:multiLvlStrCache>
                <c:ptCount val="6"/>
                <c:lvl>
                  <c:pt idx="0">
                    <c:v>17%</c:v>
                  </c:pt>
                  <c:pt idx="1">
                    <c:v>25%</c:v>
                  </c:pt>
                  <c:pt idx="2">
                    <c:v>30%</c:v>
                  </c:pt>
                  <c:pt idx="3">
                    <c:v>17%</c:v>
                  </c:pt>
                  <c:pt idx="4">
                    <c:v>25%</c:v>
                  </c:pt>
                  <c:pt idx="5">
                    <c:v>30%</c:v>
                  </c:pt>
                </c:lvl>
                <c:lvl>
                  <c:pt idx="0">
                    <c:v>תרחיש עלות עודפת מנימלית</c:v>
                  </c:pt>
                  <c:pt idx="3">
                    <c:v>תרחיש עלות עודפת מקסימלית</c:v>
                  </c:pt>
                </c:lvl>
              </c:multiLvlStrCache>
            </c:multiLvlStrRef>
          </c:xVal>
          <c:yVal>
            <c:numRef>
              <c:f>'גרפים לוורד'!$E$15:$J$15</c:f>
              <c:numCache>
                <c:formatCode>_ * #,##0_ ;_ * \-#,##0_ ;_ * "-"??_ ;_ @_ </c:formatCode>
                <c:ptCount val="6"/>
                <c:pt idx="0">
                  <c:v>180202.19735526107</c:v>
                </c:pt>
                <c:pt idx="1">
                  <c:v>169072.97068061287</c:v>
                </c:pt>
                <c:pt idx="2">
                  <c:v>162772.18868000121</c:v>
                </c:pt>
                <c:pt idx="3">
                  <c:v>167643.87641214937</c:v>
                </c:pt>
                <c:pt idx="4">
                  <c:v>157790.73441818936</c:v>
                </c:pt>
                <c:pt idx="5">
                  <c:v>151673.55324211434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6E9-4A5A-B97B-5588BB5BE9A4}"/>
            </c:ext>
          </c:extLst>
        </c:ser>
        <c:ser>
          <c:idx val="10"/>
          <c:order val="10"/>
          <c:tx>
            <c:strRef>
              <c:f>'גרפים לוורד'!$D$18</c:f>
              <c:strCache>
                <c:ptCount val="1"/>
                <c:pt idx="0">
                  <c:v>סה"כ עלות זהום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multiLvlStrRef>
              <c:f>'גרפים לוורד'!$E$6:$J$7</c:f>
              <c:multiLvlStrCache>
                <c:ptCount val="6"/>
                <c:lvl>
                  <c:pt idx="0">
                    <c:v>17%</c:v>
                  </c:pt>
                  <c:pt idx="1">
                    <c:v>25%</c:v>
                  </c:pt>
                  <c:pt idx="2">
                    <c:v>30%</c:v>
                  </c:pt>
                  <c:pt idx="3">
                    <c:v>17%</c:v>
                  </c:pt>
                  <c:pt idx="4">
                    <c:v>25%</c:v>
                  </c:pt>
                  <c:pt idx="5">
                    <c:v>30%</c:v>
                  </c:pt>
                </c:lvl>
                <c:lvl>
                  <c:pt idx="0">
                    <c:v>תרחיש עלות עודפת מנימלית</c:v>
                  </c:pt>
                  <c:pt idx="3">
                    <c:v>תרחיש עלות עודפת מקסימלית</c:v>
                  </c:pt>
                </c:lvl>
              </c:multiLvlStrCache>
            </c:multiLvlStrRef>
          </c:xVal>
          <c:yVal>
            <c:numRef>
              <c:f>'גרפים לוורד'!$E$18:$J$18</c:f>
              <c:numCache>
                <c:formatCode>_ * #,##0_ ;_ * \-#,##0_ ;_ * "-"??_ ;_ @_ </c:formatCode>
                <c:ptCount val="6"/>
                <c:pt idx="0">
                  <c:v>138133.58451904764</c:v>
                </c:pt>
                <c:pt idx="1">
                  <c:v>130218.26415786252</c:v>
                </c:pt>
                <c:pt idx="2">
                  <c:v>125449.68358482263</c:v>
                </c:pt>
                <c:pt idx="3">
                  <c:v>62116.463100063462</c:v>
                </c:pt>
                <c:pt idx="4">
                  <c:v>58603.748010102368</c:v>
                </c:pt>
                <c:pt idx="5">
                  <c:v>56619.289540224119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6E9-4A5A-B97B-5588BB5BE9A4}"/>
            </c:ext>
          </c:extLst>
        </c:ser>
        <c:ser>
          <c:idx val="11"/>
          <c:order val="11"/>
          <c:tx>
            <c:strRef>
              <c:f>'גרפים לוורד'!$D$19</c:f>
              <c:strCache>
                <c:ptCount val="1"/>
                <c:pt idx="0">
                  <c:v>עלות נחסכת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multiLvlStrRef>
              <c:f>'גרפים לוורד'!$E$6:$J$7</c:f>
              <c:multiLvlStrCache>
                <c:ptCount val="6"/>
                <c:lvl>
                  <c:pt idx="0">
                    <c:v>17%</c:v>
                  </c:pt>
                  <c:pt idx="1">
                    <c:v>25%</c:v>
                  </c:pt>
                  <c:pt idx="2">
                    <c:v>30%</c:v>
                  </c:pt>
                  <c:pt idx="3">
                    <c:v>17%</c:v>
                  </c:pt>
                  <c:pt idx="4">
                    <c:v>25%</c:v>
                  </c:pt>
                  <c:pt idx="5">
                    <c:v>30%</c:v>
                  </c:pt>
                </c:lvl>
                <c:lvl>
                  <c:pt idx="0">
                    <c:v>תרחיש עלות עודפת מנימלית</c:v>
                  </c:pt>
                  <c:pt idx="3">
                    <c:v>תרחיש עלות עודפת מקסימלית</c:v>
                  </c:pt>
                </c:lvl>
              </c:multiLvlStrCache>
            </c:multiLvlStrRef>
          </c:xVal>
          <c:yVal>
            <c:numRef>
              <c:f>'גרפים לוורד'!$E$19:$J$19</c:f>
              <c:numCache>
                <c:formatCode>_ * #,##0_ ;_ * \-#,##0_ ;_ * "-"??_ ;_ @_ </c:formatCode>
                <c:ptCount val="6"/>
                <c:pt idx="0">
                  <c:v>340658.91463873658</c:v>
                </c:pt>
                <c:pt idx="1">
                  <c:v>320319.39328216336</c:v>
                </c:pt>
                <c:pt idx="2">
                  <c:v>309556.57940574107</c:v>
                </c:pt>
                <c:pt idx="3">
                  <c:v>253983.32848423795</c:v>
                </c:pt>
                <c:pt idx="4">
                  <c:v>240311.84934084001</c:v>
                </c:pt>
                <c:pt idx="5">
                  <c:v>231964.736816299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6E9-4A5A-B97B-5588BB5BE9A4}"/>
            </c:ext>
          </c:extLst>
        </c:ser>
        <c:ser>
          <c:idx val="16"/>
          <c:order val="14"/>
          <c:tx>
            <c:strRef>
              <c:f>'גרפים לוורד'!$D$22</c:f>
              <c:strCache>
                <c:ptCount val="1"/>
                <c:pt idx="0">
                  <c:v>סה"כ עלות הקמה ותפעול קבוע של אנרגיות מתחדשות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'גרפים לוורד'!$E$22:$J$22</c:f>
              <c:numCache>
                <c:formatCode>_ * #,##0_ ;_ * \-#,##0_ ;_ * "-"??_ ;_ @_ </c:formatCode>
                <c:ptCount val="6"/>
                <c:pt idx="0">
                  <c:v>19555.990000786438</c:v>
                </c:pt>
                <c:pt idx="1">
                  <c:v>30615.778404256867</c:v>
                </c:pt>
                <c:pt idx="2">
                  <c:v>37325.702109945858</c:v>
                </c:pt>
                <c:pt idx="3">
                  <c:v>22763.553506251905</c:v>
                </c:pt>
                <c:pt idx="4">
                  <c:v>36290.636394058754</c:v>
                </c:pt>
                <c:pt idx="5">
                  <c:v>44499.901952651686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6E9-4A5A-B97B-5588BB5BE9A4}"/>
            </c:ext>
          </c:extLst>
        </c:ser>
        <c:ser>
          <c:idx val="15"/>
          <c:order val="16"/>
          <c:tx>
            <c:strRef>
              <c:f>'גרפים לוורד'!$D$24</c:f>
              <c:strCache>
                <c:ptCount val="1"/>
                <c:pt idx="0">
                  <c:v>עלות עודפת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multiLvlStrRef>
              <c:f>'גרפים לוורד'!$E$6:$J$7</c:f>
              <c:multiLvlStrCache>
                <c:ptCount val="6"/>
                <c:lvl>
                  <c:pt idx="0">
                    <c:v>17%</c:v>
                  </c:pt>
                  <c:pt idx="1">
                    <c:v>25%</c:v>
                  </c:pt>
                  <c:pt idx="2">
                    <c:v>30%</c:v>
                  </c:pt>
                  <c:pt idx="3">
                    <c:v>17%</c:v>
                  </c:pt>
                  <c:pt idx="4">
                    <c:v>25%</c:v>
                  </c:pt>
                  <c:pt idx="5">
                    <c:v>30%</c:v>
                  </c:pt>
                </c:lvl>
                <c:lvl>
                  <c:pt idx="0">
                    <c:v>תרחיש עלות עודפת מנימלית</c:v>
                  </c:pt>
                  <c:pt idx="3">
                    <c:v>תרחיש עלות עודפת מקסימלית</c:v>
                  </c:pt>
                </c:lvl>
              </c:multiLvlStrCache>
            </c:multiLvlStrRef>
          </c:xVal>
          <c:yVal>
            <c:numRef>
              <c:f>'גרפים לוורד'!$E$24:$J$24</c:f>
              <c:numCache>
                <c:formatCode>_ * #,##0_ ;_ * \-#,##0_ ;_ * "-"??_ ;_ @_ </c:formatCode>
                <c:ptCount val="6"/>
                <c:pt idx="0">
                  <c:v>23743.951614129732</c:v>
                </c:pt>
                <c:pt idx="1">
                  <c:v>37853.289353539549</c:v>
                </c:pt>
                <c:pt idx="2">
                  <c:v>46425.316076993782</c:v>
                </c:pt>
                <c:pt idx="3">
                  <c:v>26470.664171985674</c:v>
                </c:pt>
                <c:pt idx="4">
                  <c:v>42691.074605625261</c:v>
                </c:pt>
                <c:pt idx="5">
                  <c:v>52544.928527429729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6E9-4A5A-B97B-5588BB5BE9A4}"/>
            </c:ext>
          </c:extLst>
        </c:ser>
        <c:ser>
          <c:idx val="17"/>
          <c:order val="17"/>
          <c:tx>
            <c:strRef>
              <c:f>'גרפים לוורד'!$D$26</c:f>
              <c:strCache>
                <c:ptCount val="1"/>
                <c:pt idx="0">
                  <c:v>סכום עלויות עודפות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multiLvlStrRef>
              <c:f>'גרפים לוורד'!$E$6:$J$7</c:f>
              <c:multiLvlStrCache>
                <c:ptCount val="6"/>
                <c:lvl>
                  <c:pt idx="0">
                    <c:v>17%</c:v>
                  </c:pt>
                  <c:pt idx="1">
                    <c:v>25%</c:v>
                  </c:pt>
                  <c:pt idx="2">
                    <c:v>30%</c:v>
                  </c:pt>
                  <c:pt idx="3">
                    <c:v>17%</c:v>
                  </c:pt>
                  <c:pt idx="4">
                    <c:v>25%</c:v>
                  </c:pt>
                  <c:pt idx="5">
                    <c:v>30%</c:v>
                  </c:pt>
                </c:lvl>
                <c:lvl>
                  <c:pt idx="0">
                    <c:v>תרחיש עלות עודפת מנימלית</c:v>
                  </c:pt>
                  <c:pt idx="3">
                    <c:v>תרחיש עלות עודפת מקסימלית</c:v>
                  </c:pt>
                </c:lvl>
              </c:multiLvlStrCache>
            </c:multiLvlStrRef>
          </c:xVal>
          <c:yVal>
            <c:numRef>
              <c:f>'גרפים לוורד'!$E$26:$J$26</c:f>
              <c:numCache>
                <c:formatCode>_ * #,##0_ ;_ * \-#,##0_ ;_ * "-"??_ ;_ @_ </c:formatCode>
                <c:ptCount val="6"/>
                <c:pt idx="0">
                  <c:v>364402.86625286628</c:v>
                </c:pt>
                <c:pt idx="1">
                  <c:v>358172.68263570289</c:v>
                </c:pt>
                <c:pt idx="2">
                  <c:v>355981.89548273484</c:v>
                </c:pt>
                <c:pt idx="3">
                  <c:v>280453.99265622365</c:v>
                </c:pt>
                <c:pt idx="4">
                  <c:v>283002.92394646525</c:v>
                </c:pt>
                <c:pt idx="5">
                  <c:v>284509.66534372873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6E9-4A5A-B97B-5588BB5BE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118496"/>
        <c:axId val="1377107616"/>
      </c:scatterChart>
      <c:catAx>
        <c:axId val="137711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377107616"/>
        <c:crosses val="autoZero"/>
        <c:auto val="1"/>
        <c:lblAlgn val="ctr"/>
        <c:lblOffset val="100"/>
        <c:noMultiLvlLbl val="0"/>
      </c:catAx>
      <c:valAx>
        <c:axId val="137710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37711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623333017496893"/>
          <c:y val="0.76067305729967472"/>
          <c:w val="0.74753328626925541"/>
          <c:h val="0.239326942700325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1"/>
          <c:order val="11"/>
          <c:tx>
            <c:strRef>
              <c:f>'גרפים לוורד'!$D$19</c:f>
              <c:strCache>
                <c:ptCount val="1"/>
                <c:pt idx="0">
                  <c:v>עלות נחסכת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'גרפים לוורד'!$K$6:$N$7</c:f>
              <c:multiLvlStrCache>
                <c:ptCount val="4"/>
                <c:lvl>
                  <c:pt idx="0">
                    <c:v>תרחיש עלות עודפת מנימלית</c:v>
                  </c:pt>
                  <c:pt idx="1">
                    <c:v>תרחיש עלות עודפת מקסימלית</c:v>
                  </c:pt>
                  <c:pt idx="2">
                    <c:v>תרחיש עלות עודפת מנימלית</c:v>
                  </c:pt>
                  <c:pt idx="3">
                    <c:v>תרחיש עלות עודפת מקסימלית</c:v>
                  </c:pt>
                </c:lvl>
                <c:lvl>
                  <c:pt idx="0">
                    <c:v>25%</c:v>
                  </c:pt>
                  <c:pt idx="2">
                    <c:v>30%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'גרפים לוורד'!$K$19:$N$19</c:f>
              <c:numCache>
                <c:formatCode>_ * #,##0_ ;_ * \-#,##0_ ;_ * "-"??_ ;_ @_ </c:formatCode>
                <c:ptCount val="4"/>
                <c:pt idx="0">
                  <c:v>-20339.521356573212</c:v>
                </c:pt>
                <c:pt idx="1">
                  <c:v>-13671.479143397941</c:v>
                </c:pt>
                <c:pt idx="2">
                  <c:v>-31102.335232995509</c:v>
                </c:pt>
                <c:pt idx="3">
                  <c:v>-22018.591667938948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0-B902-43B5-A8C1-DD87F2784026}"/>
            </c:ext>
          </c:extLst>
        </c:ser>
        <c:ser>
          <c:idx val="15"/>
          <c:order val="16"/>
          <c:tx>
            <c:strRef>
              <c:f>'גרפים לוורד'!$D$24</c:f>
              <c:strCache>
                <c:ptCount val="1"/>
                <c:pt idx="0">
                  <c:v>עלות עודפת</c:v>
                </c:pt>
              </c:strCache>
              <c:extLst xmlns:c15="http://schemas.microsoft.com/office/drawing/2012/chart"/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'גרפים לוורד'!$K$6:$N$7</c:f>
              <c:multiLvlStrCache>
                <c:ptCount val="4"/>
                <c:lvl>
                  <c:pt idx="0">
                    <c:v>תרחיש עלות עודפת מנימלית</c:v>
                  </c:pt>
                  <c:pt idx="1">
                    <c:v>תרחיש עלות עודפת מקסימלית</c:v>
                  </c:pt>
                  <c:pt idx="2">
                    <c:v>תרחיש עלות עודפת מנימלית</c:v>
                  </c:pt>
                  <c:pt idx="3">
                    <c:v>תרחיש עלות עודפת מקסימלית</c:v>
                  </c:pt>
                </c:lvl>
                <c:lvl>
                  <c:pt idx="0">
                    <c:v>25%</c:v>
                  </c:pt>
                  <c:pt idx="2">
                    <c:v>30%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'גרפים לוורד'!$K$24:$N$24</c:f>
              <c:numCache>
                <c:formatCode>_ * #,##0_ ;_ * \-#,##0_ ;_ * "-"??_ ;_ @_ </c:formatCode>
                <c:ptCount val="4"/>
                <c:pt idx="0">
                  <c:v>14109.337739409817</c:v>
                </c:pt>
                <c:pt idx="1">
                  <c:v>16220.410433639587</c:v>
                </c:pt>
                <c:pt idx="2">
                  <c:v>22681.36446286405</c:v>
                </c:pt>
                <c:pt idx="3">
                  <c:v>26074.264355444055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1-B902-43B5-A8C1-DD87F2784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7100544"/>
        <c:axId val="137711251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'גרפים לוורד'!$D$8</c15:sqref>
                        </c15:formulaRef>
                      </c:ext>
                    </c:extLst>
                    <c:strCache>
                      <c:ptCount val="1"/>
                      <c:pt idx="0">
                        <c:v>השקעות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dLbl>
                    <c:idx val="1"/>
                    <c:layout>
                      <c:manualLayout>
                        <c:x val="2.593444567052396E-2"/>
                        <c:y val="2.1153847435120983E-3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7-B902-43B5-A8C1-DD87F2784026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IL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'גרפים לוורד'!$K$6:$N$7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תרחיש עלות עודפת מנימלית</c:v>
                        </c:pt>
                        <c:pt idx="1">
                          <c:v>תרחיש עלות עודפת מקסימלית</c:v>
                        </c:pt>
                        <c:pt idx="2">
                          <c:v>תרחיש עלות עודפת מנימלית</c:v>
                        </c:pt>
                        <c:pt idx="3">
                          <c:v>תרחיש עלות עודפת מקסימלית</c:v>
                        </c:pt>
                      </c:lvl>
                      <c:lvl>
                        <c:pt idx="0">
                          <c:v>25%</c:v>
                        </c:pt>
                        <c:pt idx="2">
                          <c:v>30%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'גרפים לוורד'!$K$8:$N$8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-584.64101540770571</c:v>
                      </c:pt>
                      <c:pt idx="1">
                        <c:v>-236.54961058644585</c:v>
                      </c:pt>
                      <c:pt idx="2">
                        <c:v>-124.03238896772928</c:v>
                      </c:pt>
                      <c:pt idx="3">
                        <c:v>-341.8443296404912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B902-43B5-A8C1-DD87F278402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'גרפים לוורד'!$D$9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dLbl>
                    <c:idx val="1"/>
                    <c:layout>
                      <c:manualLayout>
                        <c:x val="-3.1627372768931662E-2"/>
                        <c:y val="7.7563211245275239E-17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9-B902-43B5-A8C1-DD87F2784026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IL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'גרפים לוורד'!$K$6:$N$7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תרחיש עלות עודפת מנימלית</c:v>
                        </c:pt>
                        <c:pt idx="1">
                          <c:v>תרחיש עלות עודפת מקסימלית</c:v>
                        </c:pt>
                        <c:pt idx="2">
                          <c:v>תרחיש עלות עודפת מנימלית</c:v>
                        </c:pt>
                        <c:pt idx="3">
                          <c:v>תרחיש עלות עודפת מקסימלית</c:v>
                        </c:pt>
                      </c:lvl>
                      <c:lvl>
                        <c:pt idx="0">
                          <c:v>25%</c:v>
                        </c:pt>
                        <c:pt idx="2">
                          <c:v>30%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'גרפים לוורד'!$K$9:$N$9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902-43B5-A8C1-DD87F278402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'גרפים לוורד'!$D$10</c15:sqref>
                        </c15:formulaRef>
                      </c:ext>
                    </c:extLst>
                    <c:strCache>
                      <c:ptCount val="1"/>
                      <c:pt idx="0">
                        <c:v>תפעול קבוע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IL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'גרפים לוורד'!$K$6:$N$7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תרחיש עלות עודפת מנימלית</c:v>
                        </c:pt>
                        <c:pt idx="1">
                          <c:v>תרחיש עלות עודפת מקסימלית</c:v>
                        </c:pt>
                        <c:pt idx="2">
                          <c:v>תרחיש עלות עודפת מנימלית</c:v>
                        </c:pt>
                        <c:pt idx="3">
                          <c:v>תרחיש עלות עודפת מקסימלית</c:v>
                        </c:pt>
                      </c:lvl>
                      <c:lvl>
                        <c:pt idx="0">
                          <c:v>25%</c:v>
                        </c:pt>
                        <c:pt idx="2">
                          <c:v>30%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'גרפים לוורד'!$K$10:$N$10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-710.33330533217668</c:v>
                      </c:pt>
                      <c:pt idx="1">
                        <c:v>-69.072448890365195</c:v>
                      </c:pt>
                      <c:pt idx="2">
                        <c:v>-864.39323454295118</c:v>
                      </c:pt>
                      <c:pt idx="3">
                        <c:v>-209.25060842406674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902-43B5-A8C1-DD87F278402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'גרפים לוורד'!$D$11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IL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'גרפים לוורד'!$K$6:$N$7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תרחיש עלות עודפת מנימלית</c:v>
                        </c:pt>
                        <c:pt idx="1">
                          <c:v>תרחיש עלות עודפת מקסימלית</c:v>
                        </c:pt>
                        <c:pt idx="2">
                          <c:v>תרחיש עלות עודפת מנימלית</c:v>
                        </c:pt>
                        <c:pt idx="3">
                          <c:v>תרחיש עלות עודפת מקסימלית</c:v>
                        </c:pt>
                      </c:lvl>
                      <c:lvl>
                        <c:pt idx="0">
                          <c:v>25%</c:v>
                        </c:pt>
                        <c:pt idx="2">
                          <c:v>30%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'גרפים לוורד'!$K$11:$N$11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902-43B5-A8C1-DD87F278402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'גרפים לוורד'!$D$12</c15:sqref>
                        </c15:formulaRef>
                      </c:ext>
                    </c:extLst>
                    <c:strCache>
                      <c:ptCount val="1"/>
                      <c:pt idx="0">
                        <c:v>סה"כ עלות הקמה ותפעול קבוע של יצור קונ' ואגירה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dLbl>
                    <c:idx val="0"/>
                    <c:layout>
                      <c:manualLayout>
                        <c:x val="-9.8044855583688154E-2"/>
                        <c:y val="-0.1057692371756049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D-B902-43B5-A8C1-DD87F2784026}"/>
                      </c:ext>
                    </c:extLst>
                  </c:dLbl>
                  <c:dLbl>
                    <c:idx val="1"/>
                    <c:layout>
                      <c:manualLayout>
                        <c:x val="6.0092008260970151E-2"/>
                        <c:y val="-1.9038462691608884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E-B902-43B5-A8C1-DD87F2784026}"/>
                      </c:ext>
                    </c:extLst>
                  </c:dLbl>
                  <c:dLbl>
                    <c:idx val="2"/>
                    <c:layout>
                      <c:manualLayout>
                        <c:x val="5.1236343885669292E-2"/>
                        <c:y val="-0.13115385409775018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F-B902-43B5-A8C1-DD87F2784026}"/>
                      </c:ext>
                    </c:extLst>
                  </c:dLbl>
                  <c:dLbl>
                    <c:idx val="3"/>
                    <c:layout>
                      <c:manualLayout>
                        <c:x val="4.8073606608776125E-2"/>
                        <c:y val="-9.0961543971020312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0-B902-43B5-A8C1-DD87F2784026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IL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'גרפים לוורד'!$K$12:$N$12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-1294.9743207398824</c:v>
                      </c:pt>
                      <c:pt idx="1">
                        <c:v>-305.62205947681286</c:v>
                      </c:pt>
                      <c:pt idx="2">
                        <c:v>-988.42562351068045</c:v>
                      </c:pt>
                      <c:pt idx="3">
                        <c:v>-551.09493806455794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902-43B5-A8C1-DD87F278402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'גרפים לוורד'!$D$13</c15:sqref>
                        </c15:formulaRef>
                      </c:ext>
                    </c:extLst>
                    <c:strCache>
                      <c:ptCount val="1"/>
                      <c:pt idx="0">
                        <c:v>עלות דלקים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IL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'גרפים לוורד'!$K$6:$N$7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תרחיש עלות עודפת מנימלית</c:v>
                        </c:pt>
                        <c:pt idx="1">
                          <c:v>תרחיש עלות עודפת מקסימלית</c:v>
                        </c:pt>
                        <c:pt idx="2">
                          <c:v>תרחיש עלות עודפת מנימלית</c:v>
                        </c:pt>
                        <c:pt idx="3">
                          <c:v>תרחיש עלות עודפת מקסימלית</c:v>
                        </c:pt>
                      </c:lvl>
                      <c:lvl>
                        <c:pt idx="0">
                          <c:v>25%</c:v>
                        </c:pt>
                        <c:pt idx="2">
                          <c:v>30%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'גרפים לוורד'!$K$13:$N$13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-10014.2187269766</c:v>
                      </c:pt>
                      <c:pt idx="1">
                        <c:v>-8677.0159152727865</c:v>
                      </c:pt>
                      <c:pt idx="2">
                        <c:v>-15806.451666832116</c:v>
                      </c:pt>
                      <c:pt idx="3">
                        <c:v>-14241.26052212459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902-43B5-A8C1-DD87F2784026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'גרפים לוורד'!$D$14</c15:sqref>
                        </c15:formulaRef>
                      </c:ext>
                    </c:extLst>
                    <c:strCache>
                      <c:ptCount val="1"/>
                      <c:pt idx="0">
                        <c:v>עלות דלקים בחרום</c:v>
                      </c:pt>
                    </c:strCache>
                  </c:strRef>
                </c:tx>
                <c:spPr>
                  <a:solidFill>
                    <a:schemeClr val="accent4">
                      <a:lumMod val="20000"/>
                      <a:lumOff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IL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'גרפים לוורד'!$K$6:$N$7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תרחיש עלות עודפת מנימלית</c:v>
                        </c:pt>
                        <c:pt idx="1">
                          <c:v>תרחיש עלות עודפת מקסימלית</c:v>
                        </c:pt>
                        <c:pt idx="2">
                          <c:v>תרחיש עלות עודפת מנימלית</c:v>
                        </c:pt>
                        <c:pt idx="3">
                          <c:v>תרחיש עלות עודפת מקסימלית</c:v>
                        </c:pt>
                      </c:lvl>
                      <c:lvl>
                        <c:pt idx="0">
                          <c:v>25%</c:v>
                        </c:pt>
                        <c:pt idx="2">
                          <c:v>30%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'גרפים לוורד'!$K$14:$N$14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-1115.0079476716073</c:v>
                      </c:pt>
                      <c:pt idx="1">
                        <c:v>-1176.1260786872281</c:v>
                      </c:pt>
                      <c:pt idx="2">
                        <c:v>-1623.557008427726</c:v>
                      </c:pt>
                      <c:pt idx="3">
                        <c:v>-1729.0626479104421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902-43B5-A8C1-DD87F2784026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'גרפים לוורד'!$D$15</c15:sqref>
                        </c15:formulaRef>
                      </c:ext>
                    </c:extLst>
                    <c:strCache>
                      <c:ptCount val="1"/>
                      <c:pt idx="0">
                        <c:v>סה"כ עלות דלקים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dLbls>
                  <c:spPr>
                    <a:solidFill>
                      <a:schemeClr val="bg2">
                        <a:lumMod val="90000"/>
                      </a:schemeClr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IL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'גרפים לוורד'!$K$15:$N$15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-11129.226674648206</c:v>
                      </c:pt>
                      <c:pt idx="1">
                        <c:v>-9853.1419939600164</c:v>
                      </c:pt>
                      <c:pt idx="2">
                        <c:v>-17430.008675259858</c:v>
                      </c:pt>
                      <c:pt idx="3">
                        <c:v>-15970.32317003503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B902-43B5-A8C1-DD87F2784026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'גרפים לוורד'!$D$16</c15:sqref>
                        </c15:formulaRef>
                      </c:ext>
                    </c:extLst>
                    <c:strCache>
                      <c:ptCount val="1"/>
                      <c:pt idx="0">
                        <c:v>גזי חממה</c:v>
                      </c:pt>
                    </c:strCache>
                  </c:strRef>
                </c:tx>
                <c:spPr>
                  <a:solidFill>
                    <a:schemeClr val="bg2">
                      <a:lumMod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dLbl>
                    <c:idx val="1"/>
                    <c:layout>
                      <c:manualLayout>
                        <c:x val="2.2771708393630796E-2"/>
                        <c:y val="-2.1153847435120983E-3"/>
                      </c:manualLayout>
                    </c:layout>
                    <c:dLblPos val="ct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5-B902-43B5-A8C1-DD87F2784026}"/>
                      </c:ext>
                    </c:extLst>
                  </c:dLbl>
                  <c:dLbl>
                    <c:idx val="3"/>
                    <c:layout>
                      <c:manualLayout>
                        <c:x val="2.4669350759766694E-2"/>
                        <c:y val="6.3461542305362946E-3"/>
                      </c:manualLayout>
                    </c:layout>
                    <c:dLblPos val="ct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6-B902-43B5-A8C1-DD87F2784026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IL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'גרפים לוורד'!$K$6:$N$7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תרחיש עלות עודפת מנימלית</c:v>
                        </c:pt>
                        <c:pt idx="1">
                          <c:v>תרחיש עלות עודפת מקסימלית</c:v>
                        </c:pt>
                        <c:pt idx="2">
                          <c:v>תרחיש עלות עודפת מנימלית</c:v>
                        </c:pt>
                        <c:pt idx="3">
                          <c:v>תרחיש עלות עודפת מקסימלית</c:v>
                        </c:pt>
                      </c:lvl>
                      <c:lvl>
                        <c:pt idx="0">
                          <c:v>25%</c:v>
                        </c:pt>
                        <c:pt idx="2">
                          <c:v>30%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'גרפים לוורד'!$K$16:$N$16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-5143.7371779934911</c:v>
                      </c:pt>
                      <c:pt idx="1">
                        <c:v>-777.45822776856039</c:v>
                      </c:pt>
                      <c:pt idx="2">
                        <c:v>-8241.4941576634883</c:v>
                      </c:pt>
                      <c:pt idx="3">
                        <c:v>-1220.6839524168063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B902-43B5-A8C1-DD87F2784026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'גרפים לוורד'!$D$17</c15:sqref>
                        </c15:formulaRef>
                      </c:ext>
                    </c:extLst>
                    <c:strCache>
                      <c:ptCount val="1"/>
                      <c:pt idx="0">
                        <c:v>מזהמים מקומיים</c:v>
                      </c:pt>
                    </c:strCache>
                  </c:strRef>
                </c:tx>
                <c:spPr>
                  <a:solidFill>
                    <a:schemeClr val="bg2">
                      <a:lumMod val="9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IL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'גרפים לוורד'!$K$6:$N$7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תרחיש עלות עודפת מנימלית</c:v>
                        </c:pt>
                        <c:pt idx="1">
                          <c:v>תרחיש עלות עודפת מקסימלית</c:v>
                        </c:pt>
                        <c:pt idx="2">
                          <c:v>תרחיש עלות עודפת מנימלית</c:v>
                        </c:pt>
                        <c:pt idx="3">
                          <c:v>תרחיש עלות עודפת מקסימלית</c:v>
                        </c:pt>
                      </c:lvl>
                      <c:lvl>
                        <c:pt idx="0">
                          <c:v>25%</c:v>
                        </c:pt>
                        <c:pt idx="2">
                          <c:v>30%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'גרפים לוורד'!$K$17:$N$17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-2771.5831831916366</c:v>
                      </c:pt>
                      <c:pt idx="1">
                        <c:v>-2735.2568621925311</c:v>
                      </c:pt>
                      <c:pt idx="2">
                        <c:v>-4442.4067765615182</c:v>
                      </c:pt>
                      <c:pt idx="3">
                        <c:v>-4276.4896074225326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B902-43B5-A8C1-DD87F2784026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'גרפים לוורד'!$D$18</c15:sqref>
                        </c15:formulaRef>
                      </c:ext>
                    </c:extLst>
                    <c:strCache>
                      <c:ptCount val="1"/>
                      <c:pt idx="0">
                        <c:v>סה"כ עלות זהום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dLbls>
                  <c:spPr>
                    <a:solidFill>
                      <a:schemeClr val="bg2">
                        <a:lumMod val="90000"/>
                      </a:schemeClr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IL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'גרפים לוורד'!$K$18:$N$18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-7915.3203611851204</c:v>
                      </c:pt>
                      <c:pt idx="1">
                        <c:v>-3512.7150899610933</c:v>
                      </c:pt>
                      <c:pt idx="2">
                        <c:v>-12683.900934225006</c:v>
                      </c:pt>
                      <c:pt idx="3">
                        <c:v>-5497.1735598393425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B902-43B5-A8C1-DD87F2784026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'גרפים לוורד'!$D$20</c15:sqref>
                        </c15:formulaRef>
                      </c:ext>
                    </c:extLst>
                    <c:strCache>
                      <c:ptCount val="1"/>
                      <c:pt idx="0">
                        <c:v>השקעות מתקני יצור מתחדשים</c:v>
                      </c:pt>
                    </c:strCache>
                  </c:strRef>
                </c:tx>
                <c:spPr>
                  <a:solidFill>
                    <a:srgbClr val="B17ED8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IL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'גרפים לוורד'!$K$6:$N$7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תרחיש עלות עודפת מנימלית</c:v>
                        </c:pt>
                        <c:pt idx="1">
                          <c:v>תרחיש עלות עודפת מקסימלית</c:v>
                        </c:pt>
                        <c:pt idx="2">
                          <c:v>תרחיש עלות עודפת מנימלית</c:v>
                        </c:pt>
                        <c:pt idx="3">
                          <c:v>תרחיש עלות עודפת מקסימלית</c:v>
                        </c:pt>
                      </c:lvl>
                      <c:lvl>
                        <c:pt idx="0">
                          <c:v>25%</c:v>
                        </c:pt>
                        <c:pt idx="2">
                          <c:v>30%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'גרפים לוורד'!$K$20:$N$20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8323.9105158414532</c:v>
                      </c:pt>
                      <c:pt idx="1">
                        <c:v>10398.014232984988</c:v>
                      </c:pt>
                      <c:pt idx="2">
                        <c:v>13363.263947178159</c:v>
                      </c:pt>
                      <c:pt idx="3">
                        <c:v>16696.621021027633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B902-43B5-A8C1-DD87F2784026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'גרפים לוורד'!$D$21</c15:sqref>
                        </c15:formulaRef>
                      </c:ext>
                    </c:extLst>
                    <c:strCache>
                      <c:ptCount val="1"/>
                      <c:pt idx="0">
                        <c:v>תפעול קבוע מתקני יצור מתחדשים</c:v>
                      </c:pt>
                    </c:strCache>
                  </c:strRef>
                </c:tx>
                <c:spPr>
                  <a:solidFill>
                    <a:srgbClr val="D77FCF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IL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'גרפים לוורד'!$K$6:$N$7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תרחיש עלות עודפת מנימלית</c:v>
                        </c:pt>
                        <c:pt idx="1">
                          <c:v>תרחיש עלות עודפת מקסימלית</c:v>
                        </c:pt>
                        <c:pt idx="2">
                          <c:v>תרחיש עלות עודפת מנימלית</c:v>
                        </c:pt>
                        <c:pt idx="3">
                          <c:v>תרחיש עלות עודפת מקסימלית</c:v>
                        </c:pt>
                      </c:lvl>
                      <c:lvl>
                        <c:pt idx="0">
                          <c:v>25%</c:v>
                        </c:pt>
                        <c:pt idx="2">
                          <c:v>30%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'גרפים לוורד'!$K$21:$N$21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2735.877887628978</c:v>
                      </c:pt>
                      <c:pt idx="1">
                        <c:v>3129.0686548218591</c:v>
                      </c:pt>
                      <c:pt idx="2">
                        <c:v>4406.4481619812632</c:v>
                      </c:pt>
                      <c:pt idx="3">
                        <c:v>5039.7274253721471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B902-43B5-A8C1-DD87F2784026}"/>
                  </c:ext>
                </c:extLst>
              </c15:ser>
            </c15:filteredBarSeries>
            <c15:filteredBarSeries>
              <c15:ser>
                <c:idx val="16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'גרפים לוורד'!$D$22</c15:sqref>
                        </c15:formulaRef>
                      </c:ext>
                    </c:extLst>
                    <c:strCache>
                      <c:ptCount val="1"/>
                      <c:pt idx="0">
                        <c:v>סה"כ עלות הקמה ותפעול קבוע של אנרגיות מתחדשות</c:v>
                      </c:pt>
                    </c:strCache>
                  </c:strRef>
                </c:tx>
                <c:spPr>
                  <a:solidFill>
                    <a:srgbClr val="B17ED8"/>
                  </a:solidFill>
                  <a:ln w="25400"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IL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'גרפים לוורד'!$K$22:$N$22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11059.788403470429</c:v>
                      </c:pt>
                      <c:pt idx="1">
                        <c:v>13527.08288780685</c:v>
                      </c:pt>
                      <c:pt idx="2">
                        <c:v>17769.71210915942</c:v>
                      </c:pt>
                      <c:pt idx="3">
                        <c:v>21736.348446399781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B902-43B5-A8C1-DD87F2784026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'גרפים לוורד'!$D$23</c15:sqref>
                        </c15:formulaRef>
                      </c:ext>
                    </c:extLst>
                    <c:strCache>
                      <c:ptCount val="1"/>
                      <c:pt idx="0">
                        <c:v>השקעה ברשת</c:v>
                      </c:pt>
                    </c:strCache>
                  </c:strRef>
                </c:tx>
                <c:spPr>
                  <a:solidFill>
                    <a:srgbClr val="838000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IL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'גרפים לוורד'!$K$6:$N$7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תרחיש עלות עודפת מנימלית</c:v>
                        </c:pt>
                        <c:pt idx="1">
                          <c:v>תרחיש עלות עודפת מקסימלית</c:v>
                        </c:pt>
                        <c:pt idx="2">
                          <c:v>תרחיש עלות עודפת מנימלית</c:v>
                        </c:pt>
                        <c:pt idx="3">
                          <c:v>תרחיש עלות עודפת מקסימלית</c:v>
                        </c:pt>
                      </c:lvl>
                      <c:lvl>
                        <c:pt idx="0">
                          <c:v>25%</c:v>
                        </c:pt>
                        <c:pt idx="2">
                          <c:v>30%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'גרפים לוורד'!$K$23:$N$23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3049.5493359393913</c:v>
                      </c:pt>
                      <c:pt idx="1">
                        <c:v>2693.3275458327385</c:v>
                      </c:pt>
                      <c:pt idx="2">
                        <c:v>4911.6523537046314</c:v>
                      </c:pt>
                      <c:pt idx="3">
                        <c:v>4337.9159090442754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B902-43B5-A8C1-DD87F2784026}"/>
                  </c:ext>
                </c:extLst>
              </c15:ser>
            </c15:filteredBarSeries>
          </c:ext>
        </c:extLst>
      </c:barChart>
      <c:lineChart>
        <c:grouping val="stacked"/>
        <c:varyColors val="0"/>
        <c:ser>
          <c:idx val="17"/>
          <c:order val="17"/>
          <c:tx>
            <c:strRef>
              <c:f>'גרפים לוורד'!$D$26</c:f>
              <c:strCache>
                <c:ptCount val="1"/>
                <c:pt idx="0">
                  <c:v>סכום עלויות עודפות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8976423661359019E-2"/>
                  <c:y val="0.200961550633649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902-43B5-A8C1-DD87F2784026}"/>
                </c:ext>
              </c:extLst>
            </c:dLbl>
            <c:dLbl>
              <c:idx val="1"/>
              <c:layout>
                <c:manualLayout>
                  <c:x val="-1.5813686384465831E-2"/>
                  <c:y val="-0.2157692438382340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902-43B5-A8C1-DD87F2784026}"/>
                </c:ext>
              </c:extLst>
            </c:dLbl>
            <c:dLbl>
              <c:idx val="2"/>
              <c:layout>
                <c:manualLayout>
                  <c:x val="-1.2650949107572711E-2"/>
                  <c:y val="0.2961538640916937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902-43B5-A8C1-DD87F2784026}"/>
                </c:ext>
              </c:extLst>
            </c:dLbl>
            <c:dLbl>
              <c:idx val="3"/>
              <c:layout>
                <c:manualLayout>
                  <c:x val="-1.5813686384465831E-2"/>
                  <c:y val="-0.3088461725527664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902-43B5-A8C1-DD87F2784026}"/>
                </c:ext>
              </c:extLst>
            </c:dLbl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'גרפים לוורד'!$K$26:$N$26</c:f>
              <c:numCache>
                <c:formatCode>_ * #,##0_ ;_ * \-#,##0_ ;_ * "-"??_ ;_ @_ </c:formatCode>
                <c:ptCount val="4"/>
                <c:pt idx="0">
                  <c:v>-6230.1836171633913</c:v>
                </c:pt>
                <c:pt idx="1">
                  <c:v>2548.9312902415986</c:v>
                </c:pt>
                <c:pt idx="2">
                  <c:v>-8420.9707701314474</c:v>
                </c:pt>
                <c:pt idx="3">
                  <c:v>4055.6726875050808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6-B902-43B5-A8C1-DD87F2784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100544"/>
        <c:axId val="1377112512"/>
      </c:lineChart>
      <c:catAx>
        <c:axId val="1377100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1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1" i="0" baseline="0">
                    <a:solidFill>
                      <a:schemeClr val="tx1"/>
                    </a:solidFill>
                    <a:effectLst/>
                  </a:rPr>
                  <a:t>תרחיש מחיר/יעד מתחדשות</a:t>
                </a:r>
                <a:endParaRPr lang="he-IL" sz="1000" b="1">
                  <a:solidFill>
                    <a:schemeClr val="tx1"/>
                  </a:solidFill>
                  <a:effectLst/>
                </a:endParaRPr>
              </a:p>
              <a:p>
                <a:pPr marL="0" marR="0" lvl="0" indent="0" algn="ctr" defTabSz="914400" rtl="1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b="1">
                    <a:solidFill>
                      <a:schemeClr val="tx1"/>
                    </a:solidFill>
                  </a:defRPr>
                </a:pPr>
                <a:endParaRPr lang="he-IL" sz="10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1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377112512"/>
        <c:crosses val="autoZero"/>
        <c:auto val="1"/>
        <c:lblAlgn val="ctr"/>
        <c:lblOffset val="100"/>
        <c:noMultiLvlLbl val="0"/>
      </c:catAx>
      <c:valAx>
        <c:axId val="13771125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b="1"/>
                  <a:t>מלש"ח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crossAx val="137710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559333175099082"/>
          <c:y val="8.6698800460811909E-2"/>
          <c:w val="0.36352680257294973"/>
          <c:h val="0.221724646948360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800" b="1" i="0" baseline="0">
                <a:effectLst/>
              </a:rPr>
              <a:t>עלות עודפת (ללא עלויות זיהום) במיליוני ₪</a:t>
            </a:r>
            <a:endParaRPr lang="he-I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'גרפים לוורד'!$D$28</c:f>
              <c:strCache>
                <c:ptCount val="1"/>
                <c:pt idx="0">
                  <c:v>חסכון לצרכן חשמל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'גרפים לוורד'!$K$6:$N$7</c:f>
              <c:multiLvlStrCache>
                <c:ptCount val="4"/>
                <c:lvl>
                  <c:pt idx="0">
                    <c:v>תרחיש עלות עודפת מנימלית</c:v>
                  </c:pt>
                  <c:pt idx="1">
                    <c:v>תרחיש עלות עודפת מקסימלית</c:v>
                  </c:pt>
                  <c:pt idx="2">
                    <c:v>תרחיש עלות עודפת מנימלית</c:v>
                  </c:pt>
                  <c:pt idx="3">
                    <c:v>תרחיש עלות עודפת מקסימלית</c:v>
                  </c:pt>
                </c:lvl>
                <c:lvl>
                  <c:pt idx="0">
                    <c:v>25%</c:v>
                  </c:pt>
                  <c:pt idx="2">
                    <c:v>30%</c:v>
                  </c:pt>
                </c:lvl>
              </c:multiLvlStrCache>
            </c:multiLvlStrRef>
          </c:cat>
          <c:val>
            <c:numRef>
              <c:f>'גרפים לוורד'!$K$28:$N$28</c:f>
              <c:numCache>
                <c:formatCode>_ * #,##0_ ;_ * \-#,##0_ ;_ * "-"??_ ;_ @_ </c:formatCode>
                <c:ptCount val="4"/>
                <c:pt idx="0">
                  <c:v>-12424.200995388092</c:v>
                </c:pt>
                <c:pt idx="1">
                  <c:v>-10158.764053436847</c:v>
                </c:pt>
                <c:pt idx="2">
                  <c:v>-18418.434298770502</c:v>
                </c:pt>
                <c:pt idx="3">
                  <c:v>-16521.418108099606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F2-4D29-89AE-27D835F46509}"/>
            </c:ext>
          </c:extLst>
        </c:ser>
        <c:ser>
          <c:idx val="1"/>
          <c:order val="1"/>
          <c:tx>
            <c:strRef>
              <c:f>'גרפים לוורד'!$D$29</c:f>
              <c:strCache>
                <c:ptCount val="1"/>
                <c:pt idx="0">
                  <c:v>עלות לצרכן חשמל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'גרפים לוורד'!$K$6:$N$7</c:f>
              <c:multiLvlStrCache>
                <c:ptCount val="4"/>
                <c:lvl>
                  <c:pt idx="0">
                    <c:v>תרחיש עלות עודפת מנימלית</c:v>
                  </c:pt>
                  <c:pt idx="1">
                    <c:v>תרחיש עלות עודפת מקסימלית</c:v>
                  </c:pt>
                  <c:pt idx="2">
                    <c:v>תרחיש עלות עודפת מנימלית</c:v>
                  </c:pt>
                  <c:pt idx="3">
                    <c:v>תרחיש עלות עודפת מקסימלית</c:v>
                  </c:pt>
                </c:lvl>
                <c:lvl>
                  <c:pt idx="0">
                    <c:v>25%</c:v>
                  </c:pt>
                  <c:pt idx="2">
                    <c:v>30%</c:v>
                  </c:pt>
                </c:lvl>
              </c:multiLvlStrCache>
            </c:multiLvlStrRef>
          </c:cat>
          <c:val>
            <c:numRef>
              <c:f>'גרפים לוורד'!$K$29:$N$29</c:f>
              <c:numCache>
                <c:formatCode>_ * #,##0_ ;_ * \-#,##0_ ;_ * "-"??_ ;_ @_ </c:formatCode>
                <c:ptCount val="4"/>
                <c:pt idx="0">
                  <c:v>14109.337739409817</c:v>
                </c:pt>
                <c:pt idx="1">
                  <c:v>16220.410433639587</c:v>
                </c:pt>
                <c:pt idx="2">
                  <c:v>22681.36446286405</c:v>
                </c:pt>
                <c:pt idx="3">
                  <c:v>26074.264355444055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F2-4D29-89AE-27D835F46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7122848"/>
        <c:axId val="1377123936"/>
      </c:barChart>
      <c:scatterChart>
        <c:scatterStyle val="lineMarker"/>
        <c:varyColors val="0"/>
        <c:ser>
          <c:idx val="2"/>
          <c:order val="2"/>
          <c:tx>
            <c:strRef>
              <c:f>'גרפים לוורד'!$D$30</c:f>
              <c:strCache>
                <c:ptCount val="1"/>
                <c:pt idx="0">
                  <c:v>עלות עודפת לצרכן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2.4209076831174809E-2"/>
                  <c:y val="-0.202738266494320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EF2-4D29-89AE-27D835F46509}"/>
                </c:ext>
              </c:extLst>
            </c:dLbl>
            <c:dLbl>
              <c:idx val="1"/>
              <c:layout>
                <c:manualLayout>
                  <c:x val="-1.6643740321432683E-2"/>
                  <c:y val="-0.1679831350952938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EF2-4D29-89AE-27D835F46509}"/>
                </c:ext>
              </c:extLst>
            </c:dLbl>
            <c:dLbl>
              <c:idx val="2"/>
              <c:layout>
                <c:manualLayout>
                  <c:x val="-2.5722144133123237E-2"/>
                  <c:y val="-0.2809373121421293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F2-4D29-89AE-27D835F46509}"/>
                </c:ext>
              </c:extLst>
            </c:dLbl>
            <c:dLbl>
              <c:idx val="3"/>
              <c:layout>
                <c:manualLayout>
                  <c:x val="-3.1774413340916935E-2"/>
                  <c:y val="-0.2461821807431030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EF2-4D29-89AE-27D835F46509}"/>
                </c:ext>
              </c:extLst>
            </c:dLbl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'גרפים לוורד'!$K$30:$N$30</c:f>
              <c:numCache>
                <c:formatCode>_ * #,##0_ ;_ * \-#,##0_ ;_ * "-"??_ ;_ @_ </c:formatCode>
                <c:ptCount val="4"/>
                <c:pt idx="0">
                  <c:v>1685.1367440217255</c:v>
                </c:pt>
                <c:pt idx="1">
                  <c:v>6061.6463802027392</c:v>
                </c:pt>
                <c:pt idx="2">
                  <c:v>4262.9301640935482</c:v>
                </c:pt>
                <c:pt idx="3">
                  <c:v>9552.8462473444488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EF2-4D29-89AE-27D835F46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122848"/>
        <c:axId val="1377123936"/>
      </c:scatterChart>
      <c:catAx>
        <c:axId val="137712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377123936"/>
        <c:crosses val="autoZero"/>
        <c:auto val="1"/>
        <c:lblAlgn val="ctr"/>
        <c:lblOffset val="100"/>
        <c:noMultiLvlLbl val="0"/>
      </c:catAx>
      <c:valAx>
        <c:axId val="137712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37712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3"/>
          <c:order val="1"/>
          <c:tx>
            <c:strRef>
              <c:f>'גרפים לוורד'!$C$203</c:f>
              <c:strCache>
                <c:ptCount val="1"/>
                <c:pt idx="0">
                  <c:v> NOX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'גרפים לוורד'!$D$198:$L$199</c:f>
              <c:multiLvlStrCache>
                <c:ptCount val="9"/>
                <c:lvl>
                  <c:pt idx="0">
                    <c:v>17%</c:v>
                  </c:pt>
                  <c:pt idx="1">
                    <c:v>25%</c:v>
                  </c:pt>
                  <c:pt idx="2">
                    <c:v>30%</c:v>
                  </c:pt>
                  <c:pt idx="3">
                    <c:v>17%</c:v>
                  </c:pt>
                  <c:pt idx="4">
                    <c:v>25%</c:v>
                  </c:pt>
                  <c:pt idx="5">
                    <c:v>30%</c:v>
                  </c:pt>
                  <c:pt idx="6">
                    <c:v>17%</c:v>
                  </c:pt>
                  <c:pt idx="7">
                    <c:v>25%</c:v>
                  </c:pt>
                  <c:pt idx="8">
                    <c:v>30%</c:v>
                  </c:pt>
                </c:lvl>
                <c:lvl>
                  <c:pt idx="0">
                    <c:v>2025</c:v>
                  </c:pt>
                  <c:pt idx="3">
                    <c:v>2030</c:v>
                  </c:pt>
                  <c:pt idx="6">
                    <c:v>2040</c:v>
                  </c:pt>
                </c:lvl>
              </c:multiLvlStrCache>
            </c:multiLvlStrRef>
          </c:cat>
          <c:val>
            <c:numRef>
              <c:f>'גרפים לוורד'!$D$203:$L$203</c:f>
              <c:numCache>
                <c:formatCode>_ * #,##0_ ;_ * \-#,##0_ ;_ * "-"??_ ;_ @_ </c:formatCode>
                <c:ptCount val="9"/>
                <c:pt idx="0">
                  <c:v>13115.411752600003</c:v>
                </c:pt>
                <c:pt idx="1">
                  <c:v>12477.399018500004</c:v>
                </c:pt>
                <c:pt idx="2">
                  <c:v>12144.467159</c:v>
                </c:pt>
                <c:pt idx="3">
                  <c:v>14023.082676799999</c:v>
                </c:pt>
                <c:pt idx="4">
                  <c:v>12846.655719999999</c:v>
                </c:pt>
                <c:pt idx="5">
                  <c:v>12096.675471999997</c:v>
                </c:pt>
                <c:pt idx="6">
                  <c:v>19589.830558911377</c:v>
                </c:pt>
                <c:pt idx="7">
                  <c:v>18465.358813217434</c:v>
                </c:pt>
                <c:pt idx="8">
                  <c:v>17765.564272158725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7-4D56-B949-0AF0F9B24EFE}"/>
            </c:ext>
          </c:extLst>
        </c:ser>
        <c:ser>
          <c:idx val="2"/>
          <c:order val="2"/>
          <c:tx>
            <c:strRef>
              <c:f>'גרפים לוורד'!$C$202</c:f>
              <c:strCache>
                <c:ptCount val="1"/>
                <c:pt idx="0">
                  <c:v> SOX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'גרפים לוורד'!$D$198:$L$199</c:f>
              <c:multiLvlStrCache>
                <c:ptCount val="9"/>
                <c:lvl>
                  <c:pt idx="0">
                    <c:v>17%</c:v>
                  </c:pt>
                  <c:pt idx="1">
                    <c:v>25%</c:v>
                  </c:pt>
                  <c:pt idx="2">
                    <c:v>30%</c:v>
                  </c:pt>
                  <c:pt idx="3">
                    <c:v>17%</c:v>
                  </c:pt>
                  <c:pt idx="4">
                    <c:v>25%</c:v>
                  </c:pt>
                  <c:pt idx="5">
                    <c:v>30%</c:v>
                  </c:pt>
                  <c:pt idx="6">
                    <c:v>17%</c:v>
                  </c:pt>
                  <c:pt idx="7">
                    <c:v>25%</c:v>
                  </c:pt>
                  <c:pt idx="8">
                    <c:v>30%</c:v>
                  </c:pt>
                </c:lvl>
                <c:lvl>
                  <c:pt idx="0">
                    <c:v>2025</c:v>
                  </c:pt>
                  <c:pt idx="3">
                    <c:v>2030</c:v>
                  </c:pt>
                  <c:pt idx="6">
                    <c:v>2040</c:v>
                  </c:pt>
                </c:lvl>
              </c:multiLvlStrCache>
            </c:multiLvlStrRef>
          </c:cat>
          <c:val>
            <c:numRef>
              <c:f>'גרפים לוורד'!$D$202:$L$202</c:f>
              <c:numCache>
                <c:formatCode>_ * #,##0_ ;_ * \-#,##0_ ;_ * "-"??_ ;_ @_ </c:formatCode>
                <c:ptCount val="9"/>
                <c:pt idx="0">
                  <c:v>1458.67931688</c:v>
                </c:pt>
                <c:pt idx="1">
                  <c:v>1426.8506998</c:v>
                </c:pt>
                <c:pt idx="2">
                  <c:v>1408.5877891999999</c:v>
                </c:pt>
                <c:pt idx="3">
                  <c:v>642.95129383999995</c:v>
                </c:pt>
                <c:pt idx="4">
                  <c:v>580.67474600000003</c:v>
                </c:pt>
                <c:pt idx="5">
                  <c:v>542.02577359999998</c:v>
                </c:pt>
                <c:pt idx="6">
                  <c:v>916.64948794556904</c:v>
                </c:pt>
                <c:pt idx="7">
                  <c:v>858.0145006608717</c:v>
                </c:pt>
                <c:pt idx="8">
                  <c:v>821.43021360793603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97-4D56-B949-0AF0F9B24EFE}"/>
            </c:ext>
          </c:extLst>
        </c:ser>
        <c:ser>
          <c:idx val="1"/>
          <c:order val="3"/>
          <c:tx>
            <c:strRef>
              <c:f>'גרפים לוורד'!$C$201</c:f>
              <c:strCache>
                <c:ptCount val="1"/>
                <c:pt idx="0">
                  <c:v> חלקקים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'גרפים לוורד'!$D$198:$L$199</c:f>
              <c:multiLvlStrCache>
                <c:ptCount val="9"/>
                <c:lvl>
                  <c:pt idx="0">
                    <c:v>17%</c:v>
                  </c:pt>
                  <c:pt idx="1">
                    <c:v>25%</c:v>
                  </c:pt>
                  <c:pt idx="2">
                    <c:v>30%</c:v>
                  </c:pt>
                  <c:pt idx="3">
                    <c:v>17%</c:v>
                  </c:pt>
                  <c:pt idx="4">
                    <c:v>25%</c:v>
                  </c:pt>
                  <c:pt idx="5">
                    <c:v>30%</c:v>
                  </c:pt>
                  <c:pt idx="6">
                    <c:v>17%</c:v>
                  </c:pt>
                  <c:pt idx="7">
                    <c:v>25%</c:v>
                  </c:pt>
                  <c:pt idx="8">
                    <c:v>30%</c:v>
                  </c:pt>
                </c:lvl>
                <c:lvl>
                  <c:pt idx="0">
                    <c:v>2025</c:v>
                  </c:pt>
                  <c:pt idx="3">
                    <c:v>2030</c:v>
                  </c:pt>
                  <c:pt idx="6">
                    <c:v>2040</c:v>
                  </c:pt>
                </c:lvl>
              </c:multiLvlStrCache>
            </c:multiLvlStrRef>
          </c:cat>
          <c:val>
            <c:numRef>
              <c:f>'גרפים לוורד'!$D$201:$L$201</c:f>
              <c:numCache>
                <c:formatCode>_ * #,##0_ ;_ * \-#,##0_ ;_ * "-"??_ ;_ @_ </c:formatCode>
                <c:ptCount val="9"/>
                <c:pt idx="0">
                  <c:v>1114.8823302600001</c:v>
                </c:pt>
                <c:pt idx="1">
                  <c:v>1055.8813443500003</c:v>
                </c:pt>
                <c:pt idx="2">
                  <c:v>1022.2825309</c:v>
                </c:pt>
                <c:pt idx="3">
                  <c:v>1198.59832768</c:v>
                </c:pt>
                <c:pt idx="4">
                  <c:v>1068.8624320000001</c:v>
                </c:pt>
                <c:pt idx="5">
                  <c:v>989.83954719999986</c:v>
                </c:pt>
                <c:pt idx="6">
                  <c:v>1739.0359158911381</c:v>
                </c:pt>
                <c:pt idx="7">
                  <c:v>1618.1488413217435</c:v>
                </c:pt>
                <c:pt idx="8">
                  <c:v>1542.5884272158721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97-4D56-B949-0AF0F9B24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77108160"/>
        <c:axId val="1377104896"/>
      </c:barChart>
      <c:lineChart>
        <c:grouping val="stacked"/>
        <c:varyColors val="0"/>
        <c:ser>
          <c:idx val="0"/>
          <c:order val="0"/>
          <c:tx>
            <c:strRef>
              <c:f>'גרפים לוורד'!$C$200</c:f>
              <c:strCache>
                <c:ptCount val="1"/>
                <c:pt idx="0">
                  <c:v> CO2 במיליוני טון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'גרפים לוורד'!$D$198:$L$199</c:f>
              <c:multiLvlStrCache>
                <c:ptCount val="9"/>
                <c:lvl>
                  <c:pt idx="0">
                    <c:v>17%</c:v>
                  </c:pt>
                  <c:pt idx="1">
                    <c:v>25%</c:v>
                  </c:pt>
                  <c:pt idx="2">
                    <c:v>30%</c:v>
                  </c:pt>
                  <c:pt idx="3">
                    <c:v>17%</c:v>
                  </c:pt>
                  <c:pt idx="4">
                    <c:v>25%</c:v>
                  </c:pt>
                  <c:pt idx="5">
                    <c:v>30%</c:v>
                  </c:pt>
                  <c:pt idx="6">
                    <c:v>17%</c:v>
                  </c:pt>
                  <c:pt idx="7">
                    <c:v>25%</c:v>
                  </c:pt>
                  <c:pt idx="8">
                    <c:v>30%</c:v>
                  </c:pt>
                </c:lvl>
                <c:lvl>
                  <c:pt idx="0">
                    <c:v>2025</c:v>
                  </c:pt>
                  <c:pt idx="3">
                    <c:v>2030</c:v>
                  </c:pt>
                  <c:pt idx="6">
                    <c:v>2040</c:v>
                  </c:pt>
                </c:lvl>
              </c:multiLvlStrCache>
            </c:multiLvlStrRef>
          </c:cat>
          <c:val>
            <c:numRef>
              <c:f>'גרפים לוורד'!$D$200:$L$200</c:f>
              <c:numCache>
                <c:formatCode>0</c:formatCode>
                <c:ptCount val="9"/>
                <c:pt idx="0">
                  <c:v>29.485431909840003</c:v>
                </c:pt>
                <c:pt idx="1">
                  <c:v>28.040737206400006</c:v>
                </c:pt>
                <c:pt idx="2">
                  <c:v>27.270546195600001</c:v>
                </c:pt>
                <c:pt idx="3">
                  <c:v>31.183952978369998</c:v>
                </c:pt>
                <c:pt idx="4">
                  <c:v>28.402146209249999</c:v>
                </c:pt>
                <c:pt idx="5">
                  <c:v>26.649648807299997</c:v>
                </c:pt>
                <c:pt idx="6">
                  <c:v>43.930061181489364</c:v>
                </c:pt>
                <c:pt idx="7">
                  <c:v>41.288821642982711</c:v>
                </c:pt>
                <c:pt idx="8">
                  <c:v>39.643228602666049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97-4D56-B949-0AF0F9B24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126656"/>
        <c:axId val="1377127200"/>
      </c:lineChart>
      <c:catAx>
        <c:axId val="13771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377104896"/>
        <c:crosses val="autoZero"/>
        <c:auto val="1"/>
        <c:lblAlgn val="ctr"/>
        <c:lblOffset val="100"/>
        <c:noMultiLvlLbl val="0"/>
      </c:catAx>
      <c:valAx>
        <c:axId val="137710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600" b="1">
                    <a:solidFill>
                      <a:schemeClr val="tx1"/>
                    </a:solidFill>
                  </a:rPr>
                  <a:t>טון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377108160"/>
        <c:crosses val="autoZero"/>
        <c:crossBetween val="between"/>
      </c:valAx>
      <c:valAx>
        <c:axId val="1377127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600" b="1">
                    <a:solidFill>
                      <a:schemeClr val="tx1"/>
                    </a:solidFill>
                  </a:rPr>
                  <a:t>מיליוני</a:t>
                </a:r>
                <a:r>
                  <a:rPr lang="he-IL" sz="1600" b="1" baseline="0">
                    <a:solidFill>
                      <a:schemeClr val="tx1"/>
                    </a:solidFill>
                  </a:rPr>
                  <a:t> טון</a:t>
                </a:r>
                <a:endParaRPr lang="he-IL" sz="16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377126656"/>
        <c:crosses val="autoZero"/>
        <c:crossBetween val="between"/>
      </c:valAx>
      <c:catAx>
        <c:axId val="137712665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377127200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194686614017406"/>
          <c:y val="0.12699095089986287"/>
          <c:w val="0.37889945245236595"/>
          <c:h val="6.51039945738804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2800" b="1"/>
              <a:t>עלות עודפת מהגדלת יעד מלש"ח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סיכום!$E$87</c:f>
              <c:strCache>
                <c:ptCount val="1"/>
                <c:pt idx="0">
                  <c:v>סה"כ עלות מהוון- מוטה קרקע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4.1394046022169749E-2"/>
                  <c:y val="-4.21607319811284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3A0-4C23-8D47-923A0BFCD160}"/>
                </c:ext>
              </c:extLst>
            </c:dLbl>
            <c:dLbl>
              <c:idx val="2"/>
              <c:layout>
                <c:manualLayout>
                  <c:x val="4.7783127213635521E-3"/>
                  <c:y val="-2.28644518846624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613-4613-91FD-0B9A7E7FCB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סיכום!$F$86:$H$86</c:f>
              <c:numCache>
                <c:formatCode>0%</c:formatCode>
                <c:ptCount val="3"/>
                <c:pt idx="0">
                  <c:v>0.17</c:v>
                </c:pt>
                <c:pt idx="1">
                  <c:v>0.25</c:v>
                </c:pt>
                <c:pt idx="2">
                  <c:v>0.3</c:v>
                </c:pt>
              </c:numCache>
            </c:numRef>
          </c:cat>
          <c:val>
            <c:numRef>
              <c:f>סיכום!$F$87:$H$87</c:f>
              <c:numCache>
                <c:formatCode>#,##0</c:formatCode>
                <c:ptCount val="3"/>
                <c:pt idx="0" formatCode="General">
                  <c:v>0</c:v>
                </c:pt>
                <c:pt idx="1">
                  <c:v>-4242.739940194424</c:v>
                </c:pt>
                <c:pt idx="2">
                  <c:v>-6384.6294125523764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49-49E3-910B-2A0DE3538988}"/>
            </c:ext>
          </c:extLst>
        </c:ser>
        <c:ser>
          <c:idx val="1"/>
          <c:order val="1"/>
          <c:tx>
            <c:strRef>
              <c:f>סיכום!$E$88</c:f>
              <c:strCache>
                <c:ptCount val="1"/>
                <c:pt idx="0">
                  <c:v>סה"כ עלות מהוון- מוטה דואלי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סיכום!$F$86:$H$86</c:f>
              <c:numCache>
                <c:formatCode>0%</c:formatCode>
                <c:ptCount val="3"/>
                <c:pt idx="0">
                  <c:v>0.17</c:v>
                </c:pt>
                <c:pt idx="1">
                  <c:v>0.25</c:v>
                </c:pt>
                <c:pt idx="2">
                  <c:v>0.3</c:v>
                </c:pt>
              </c:numCache>
            </c:numRef>
          </c:cat>
          <c:val>
            <c:numRef>
              <c:f>סיכום!$F$88:$H$88</c:f>
              <c:numCache>
                <c:formatCode>#,##0</c:formatCode>
                <c:ptCount val="3"/>
                <c:pt idx="0" formatCode="General">
                  <c:v>0</c:v>
                </c:pt>
                <c:pt idx="1">
                  <c:v>-2171.5312601835449</c:v>
                </c:pt>
                <c:pt idx="2">
                  <c:v>-3055.8241041913898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49-49E3-910B-2A0DE3538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124480"/>
        <c:axId val="1377096736"/>
        <c:extLst/>
      </c:lineChart>
      <c:catAx>
        <c:axId val="1377124480"/>
        <c:scaling>
          <c:orientation val="maxMin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377096736"/>
        <c:crosses val="autoZero"/>
        <c:auto val="1"/>
        <c:lblAlgn val="ctr"/>
        <c:lblOffset val="100"/>
        <c:noMultiLvlLbl val="0"/>
      </c:catAx>
      <c:valAx>
        <c:axId val="137709673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37712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800" b="1"/>
              <a:t>עלות עודפת במיליוני ₪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סיכום!$D$10</c:f>
              <c:strCache>
                <c:ptCount val="1"/>
                <c:pt idx="0">
                  <c:v>השקעות של יחידות קונבנציונאליות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סיכום!$E$9:$G$9</c:f>
              <c:numCache>
                <c:formatCode>0%</c:formatCode>
                <c:ptCount val="3"/>
                <c:pt idx="0">
                  <c:v>0.17</c:v>
                </c:pt>
                <c:pt idx="1">
                  <c:v>0.25</c:v>
                </c:pt>
                <c:pt idx="2">
                  <c:v>0.3</c:v>
                </c:pt>
              </c:numCache>
            </c:numRef>
          </c:cat>
          <c:val>
            <c:numRef>
              <c:f>סיכום!$E$10:$G$10</c:f>
              <c:numCache>
                <c:formatCode>#,##0</c:formatCode>
                <c:ptCount val="3"/>
                <c:pt idx="0">
                  <c:v>12606.615985160241</c:v>
                </c:pt>
                <c:pt idx="1">
                  <c:v>12370.066374573795</c:v>
                </c:pt>
                <c:pt idx="2">
                  <c:v>12152.651292282913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10-4DC4-8259-CB1795690254}"/>
            </c:ext>
          </c:extLst>
        </c:ser>
        <c:ser>
          <c:idx val="1"/>
          <c:order val="1"/>
          <c:tx>
            <c:strRef>
              <c:f>סיכום!$D$11</c:f>
              <c:strCache>
                <c:ptCount val="1"/>
                <c:pt idx="0">
                  <c:v>תפעול קבוע של יחידות קונבנציונאליות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סיכום!$E$9:$G$9</c:f>
              <c:numCache>
                <c:formatCode>0%</c:formatCode>
                <c:ptCount val="3"/>
                <c:pt idx="0">
                  <c:v>0.17</c:v>
                </c:pt>
                <c:pt idx="1">
                  <c:v>0.25</c:v>
                </c:pt>
                <c:pt idx="2">
                  <c:v>0.3</c:v>
                </c:pt>
              </c:numCache>
            </c:numRef>
          </c:cat>
          <c:val>
            <c:numRef>
              <c:f>סיכום!$E$11:$G$11</c:f>
              <c:numCache>
                <c:formatCode>#,##0</c:formatCode>
                <c:ptCount val="3"/>
                <c:pt idx="0">
                  <c:v>8384.9531794513823</c:v>
                </c:pt>
                <c:pt idx="1">
                  <c:v>8315.8807305610171</c:v>
                </c:pt>
                <c:pt idx="2">
                  <c:v>8290.6740360700569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10-4DC4-8259-CB1795690254}"/>
            </c:ext>
          </c:extLst>
        </c:ser>
        <c:ser>
          <c:idx val="2"/>
          <c:order val="2"/>
          <c:tx>
            <c:strRef>
              <c:f>סיכום!$D$12</c:f>
              <c:strCache>
                <c:ptCount val="1"/>
                <c:pt idx="0">
                  <c:v>השקעות מתקני אגירה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סיכום!$E$9:$G$9</c:f>
              <c:numCache>
                <c:formatCode>0%</c:formatCode>
                <c:ptCount val="3"/>
                <c:pt idx="0">
                  <c:v>0.17</c:v>
                </c:pt>
                <c:pt idx="1">
                  <c:v>0.25</c:v>
                </c:pt>
                <c:pt idx="2">
                  <c:v>0.3</c:v>
                </c:pt>
              </c:numCache>
            </c:numRef>
          </c:cat>
          <c:val>
            <c:numRef>
              <c:f>סיכום!$E$12:$G$12</c:f>
              <c:numCache>
                <c:formatCode>_ * #,##0_ ;_ * \-#,##0_ ;_ * "-"??_ ;_ @_ 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10-4DC4-8259-CB1795690254}"/>
            </c:ext>
          </c:extLst>
        </c:ser>
        <c:ser>
          <c:idx val="3"/>
          <c:order val="3"/>
          <c:tx>
            <c:strRef>
              <c:f>סיכום!$D$13</c:f>
              <c:strCache>
                <c:ptCount val="1"/>
                <c:pt idx="0">
                  <c:v>תפעול קבוע מתקני אגירה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סיכום!$E$9:$G$9</c:f>
              <c:numCache>
                <c:formatCode>0%</c:formatCode>
                <c:ptCount val="3"/>
                <c:pt idx="0">
                  <c:v>0.17</c:v>
                </c:pt>
                <c:pt idx="1">
                  <c:v>0.25</c:v>
                </c:pt>
                <c:pt idx="2">
                  <c:v>0.3</c:v>
                </c:pt>
              </c:numCache>
            </c:numRef>
          </c:cat>
          <c:val>
            <c:numRef>
              <c:f>סיכום!$E$13:$G$13</c:f>
              <c:numCache>
                <c:formatCode>_ * #,##0_ ;_ * \-#,##0_ ;_ * "-"??_ ;_ @_ 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10-4DC4-8259-CB1795690254}"/>
            </c:ext>
          </c:extLst>
        </c:ser>
        <c:ser>
          <c:idx val="5"/>
          <c:order val="5"/>
          <c:tx>
            <c:strRef>
              <c:f>סיכום!$D$15</c:f>
              <c:strCache>
                <c:ptCount val="1"/>
                <c:pt idx="0">
                  <c:v>עלות דלקים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סיכום!$E$9:$G$9</c:f>
              <c:numCache>
                <c:formatCode>0%</c:formatCode>
                <c:ptCount val="3"/>
                <c:pt idx="0">
                  <c:v>0.17</c:v>
                </c:pt>
                <c:pt idx="1">
                  <c:v>0.25</c:v>
                </c:pt>
                <c:pt idx="2">
                  <c:v>0.3</c:v>
                </c:pt>
              </c:numCache>
            </c:numRef>
          </c:cat>
          <c:val>
            <c:numRef>
              <c:f>סיכום!$E$15:$G$15</c:f>
              <c:numCache>
                <c:formatCode>#,##0</c:formatCode>
                <c:ptCount val="3"/>
                <c:pt idx="0">
                  <c:v>172943.14506839716</c:v>
                </c:pt>
                <c:pt idx="1">
                  <c:v>163561.15402412243</c:v>
                </c:pt>
                <c:pt idx="2">
                  <c:v>158228.11904052005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10-4DC4-8259-CB1795690254}"/>
            </c:ext>
          </c:extLst>
        </c:ser>
        <c:ser>
          <c:idx val="6"/>
          <c:order val="6"/>
          <c:tx>
            <c:strRef>
              <c:f>סיכום!$D$16</c:f>
              <c:strCache>
                <c:ptCount val="1"/>
                <c:pt idx="0">
                  <c:v>עלות דלקים בחרום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סיכום!$E$9:$G$9</c:f>
              <c:numCache>
                <c:formatCode>0%</c:formatCode>
                <c:ptCount val="3"/>
                <c:pt idx="0">
                  <c:v>0.17</c:v>
                </c:pt>
                <c:pt idx="1">
                  <c:v>0.25</c:v>
                </c:pt>
                <c:pt idx="2">
                  <c:v>0.3</c:v>
                </c:pt>
              </c:numCache>
            </c:numRef>
          </c:cat>
          <c:val>
            <c:numRef>
              <c:f>סיכום!$E$16:$G$16</c:f>
              <c:numCache>
                <c:formatCode>#,##0</c:formatCode>
                <c:ptCount val="3"/>
                <c:pt idx="0">
                  <c:v>6485.2275178512555</c:v>
                </c:pt>
                <c:pt idx="1">
                  <c:v>5354.083576841942</c:v>
                </c:pt>
                <c:pt idx="2">
                  <c:v>4807.6037764162757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10-4DC4-8259-CB1795690254}"/>
            </c:ext>
          </c:extLst>
        </c:ser>
        <c:ser>
          <c:idx val="8"/>
          <c:order val="8"/>
          <c:tx>
            <c:strRef>
              <c:f>סיכום!$D$18</c:f>
              <c:strCache>
                <c:ptCount val="1"/>
                <c:pt idx="0">
                  <c:v>גזי חממה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סיכום!$E$9:$G$9</c:f>
              <c:numCache>
                <c:formatCode>0%</c:formatCode>
                <c:ptCount val="3"/>
                <c:pt idx="0">
                  <c:v>0.17</c:v>
                </c:pt>
                <c:pt idx="1">
                  <c:v>0.25</c:v>
                </c:pt>
                <c:pt idx="2">
                  <c:v>0.3</c:v>
                </c:pt>
              </c:numCache>
            </c:numRef>
          </c:cat>
          <c:val>
            <c:numRef>
              <c:f>סיכום!$E$18:$G$18</c:f>
              <c:numCache>
                <c:formatCode>_ * #,##0_ ;_ * \-#,##0_ ;_ * "-"??_ ;_ @_ </c:formatCode>
                <c:ptCount val="3"/>
                <c:pt idx="0">
                  <c:v>88902.761146034711</c:v>
                </c:pt>
                <c:pt idx="1">
                  <c:v>83813.260142894564</c:v>
                </c:pt>
                <c:pt idx="2">
                  <c:v>80714.701490429521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10-4DC4-8259-CB1795690254}"/>
            </c:ext>
          </c:extLst>
        </c:ser>
        <c:ser>
          <c:idx val="9"/>
          <c:order val="9"/>
          <c:tx>
            <c:strRef>
              <c:f>סיכום!$D$19</c:f>
              <c:strCache>
                <c:ptCount val="1"/>
                <c:pt idx="0">
                  <c:v>מזהמים מקומיים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סיכום!$E$9:$G$9</c:f>
              <c:numCache>
                <c:formatCode>0%</c:formatCode>
                <c:ptCount val="3"/>
                <c:pt idx="0">
                  <c:v>0.17</c:v>
                </c:pt>
                <c:pt idx="1">
                  <c:v>0.25</c:v>
                </c:pt>
                <c:pt idx="2">
                  <c:v>0.3</c:v>
                </c:pt>
              </c:numCache>
            </c:numRef>
          </c:cat>
          <c:val>
            <c:numRef>
              <c:f>סיכום!$E$19:$G$19</c:f>
              <c:numCache>
                <c:formatCode>_ * #,##0_ ;_ * \-#,##0_ ;_ * "-"??_ ;_ @_ </c:formatCode>
                <c:ptCount val="3"/>
                <c:pt idx="0">
                  <c:v>48535.920905124796</c:v>
                </c:pt>
                <c:pt idx="1">
                  <c:v>45800.664042932265</c:v>
                </c:pt>
                <c:pt idx="2">
                  <c:v>44130.382465907605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F10-4DC4-8259-CB1795690254}"/>
            </c:ext>
          </c:extLst>
        </c:ser>
        <c:ser>
          <c:idx val="12"/>
          <c:order val="12"/>
          <c:tx>
            <c:strRef>
              <c:f>סיכום!$D$22</c:f>
              <c:strCache>
                <c:ptCount val="1"/>
                <c:pt idx="0">
                  <c:v>השקעות מתקני יצור מתחדשים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סיכום!$E$9:$G$9</c:f>
              <c:numCache>
                <c:formatCode>0%</c:formatCode>
                <c:ptCount val="3"/>
                <c:pt idx="0">
                  <c:v>0.17</c:v>
                </c:pt>
                <c:pt idx="1">
                  <c:v>0.25</c:v>
                </c:pt>
                <c:pt idx="2">
                  <c:v>0.3</c:v>
                </c:pt>
              </c:numCache>
            </c:numRef>
          </c:cat>
          <c:val>
            <c:numRef>
              <c:f>סיכום!$E$22:$G$22</c:f>
              <c:numCache>
                <c:formatCode>#,##0</c:formatCode>
                <c:ptCount val="3"/>
                <c:pt idx="0">
                  <c:v>15351.912747978075</c:v>
                </c:pt>
                <c:pt idx="1">
                  <c:v>23847.75886224251</c:v>
                </c:pt>
                <c:pt idx="2">
                  <c:v>28991.203302995138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F10-4DC4-8259-CB1795690254}"/>
            </c:ext>
          </c:extLst>
        </c:ser>
        <c:ser>
          <c:idx val="13"/>
          <c:order val="13"/>
          <c:tx>
            <c:strRef>
              <c:f>סיכום!$D$23</c:f>
              <c:strCache>
                <c:ptCount val="1"/>
                <c:pt idx="0">
                  <c:v>תפעול קבוע מתקני יצור מתחדשים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סיכום!$E$9:$G$9</c:f>
              <c:numCache>
                <c:formatCode>0%</c:formatCode>
                <c:ptCount val="3"/>
                <c:pt idx="0">
                  <c:v>0.17</c:v>
                </c:pt>
                <c:pt idx="1">
                  <c:v>0.25</c:v>
                </c:pt>
                <c:pt idx="2">
                  <c:v>0.3</c:v>
                </c:pt>
              </c:numCache>
            </c:numRef>
          </c:cat>
          <c:val>
            <c:numRef>
              <c:f>סיכום!$E$23:$G$23</c:f>
              <c:numCache>
                <c:formatCode>#,##0</c:formatCode>
                <c:ptCount val="3"/>
                <c:pt idx="0">
                  <c:v>4692.9525199759792</c:v>
                </c:pt>
                <c:pt idx="1">
                  <c:v>7485.3416832759849</c:v>
                </c:pt>
                <c:pt idx="2">
                  <c:v>9190.4186356231567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F10-4DC4-8259-CB1795690254}"/>
            </c:ext>
          </c:extLst>
        </c:ser>
        <c:ser>
          <c:idx val="15"/>
          <c:order val="15"/>
          <c:tx>
            <c:strRef>
              <c:f>סיכום!$D$25</c:f>
              <c:strCache>
                <c:ptCount val="1"/>
                <c:pt idx="0">
                  <c:v>השקעה ברשת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סיכום!$E$9:$G$9</c:f>
              <c:numCache>
                <c:formatCode>0%</c:formatCode>
                <c:ptCount val="3"/>
                <c:pt idx="0">
                  <c:v>0.17</c:v>
                </c:pt>
                <c:pt idx="1">
                  <c:v>0.25</c:v>
                </c:pt>
                <c:pt idx="2">
                  <c:v>0.3</c:v>
                </c:pt>
              </c:numCache>
            </c:numRef>
          </c:cat>
          <c:val>
            <c:numRef>
              <c:f>סיכום!$E$25:$G$25</c:f>
              <c:numCache>
                <c:formatCode>#,##0</c:formatCode>
                <c:ptCount val="3"/>
                <c:pt idx="0">
                  <c:v>4313.2010331304928</c:v>
                </c:pt>
                <c:pt idx="1">
                  <c:v>7425.7407254651489</c:v>
                </c:pt>
                <c:pt idx="2">
                  <c:v>9326.3066503069858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F10-4DC4-8259-CB1795690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7127744"/>
        <c:axId val="1377095648"/>
      </c:barChart>
      <c:scatterChart>
        <c:scatterStyle val="lineMarker"/>
        <c:varyColors val="0"/>
        <c:ser>
          <c:idx val="18"/>
          <c:order val="17"/>
          <c:tx>
            <c:strRef>
              <c:f>סיכום!$D$28</c:f>
              <c:strCache>
                <c:ptCount val="1"/>
                <c:pt idx="0">
                  <c:v>סה"כ עלות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סיכום!$E$9:$G$9</c:f>
              <c:numCache>
                <c:formatCode>0%</c:formatCode>
                <c:ptCount val="3"/>
                <c:pt idx="0">
                  <c:v>0.17</c:v>
                </c:pt>
                <c:pt idx="1">
                  <c:v>0.25</c:v>
                </c:pt>
                <c:pt idx="2">
                  <c:v>0.3</c:v>
                </c:pt>
              </c:numCache>
            </c:numRef>
          </c:xVal>
          <c:yVal>
            <c:numRef>
              <c:f>סיכום!$E$28:$G$28</c:f>
              <c:numCache>
                <c:formatCode>#,##0</c:formatCode>
                <c:ptCount val="3"/>
                <c:pt idx="0">
                  <c:v>362216.69010310405</c:v>
                </c:pt>
                <c:pt idx="1">
                  <c:v>357973.95016290963</c:v>
                </c:pt>
                <c:pt idx="2">
                  <c:v>355832.06069055171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F10-4DC4-8259-CB1795690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127744"/>
        <c:axId val="137709564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סיכום!$D$14</c15:sqref>
                        </c15:formulaRef>
                      </c:ext>
                    </c:extLst>
                    <c:strCache>
                      <c:ptCount val="1"/>
                      <c:pt idx="0">
                        <c:v>סה"כ עלות הקמה ותפעול קבוע של יצור קונ' ואגירה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סיכום!$E$9:$G$9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0.17</c:v>
                      </c:pt>
                      <c:pt idx="1">
                        <c:v>0.25</c:v>
                      </c:pt>
                      <c:pt idx="2">
                        <c:v>0.3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סיכום!$E$14:$G$14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3"/>
                      <c:pt idx="0">
                        <c:v>20991.569164611625</c:v>
                      </c:pt>
                      <c:pt idx="1">
                        <c:v>20685.947105134812</c:v>
                      </c:pt>
                      <c:pt idx="2">
                        <c:v>20443.32532835297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9F10-4DC4-8259-CB1795690254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סיכום!$D$17</c15:sqref>
                        </c15:formulaRef>
                      </c:ext>
                    </c:extLst>
                    <c:strCache>
                      <c:ptCount val="1"/>
                      <c:pt idx="0">
                        <c:v>סה"כ עלות דלקים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סיכום!$E$9:$G$9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0.17</c:v>
                      </c:pt>
                      <c:pt idx="1">
                        <c:v>0.25</c:v>
                      </c:pt>
                      <c:pt idx="2">
                        <c:v>0.3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סיכום!$E$17:$G$17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3"/>
                      <c:pt idx="0">
                        <c:v>179428.37258624841</c:v>
                      </c:pt>
                      <c:pt idx="1">
                        <c:v>168915.23760096438</c:v>
                      </c:pt>
                      <c:pt idx="2">
                        <c:v>163035.72281693632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F10-4DC4-8259-CB1795690254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סיכום!$D$20</c15:sqref>
                        </c15:formulaRef>
                      </c:ext>
                    </c:extLst>
                    <c:strCache>
                      <c:ptCount val="1"/>
                      <c:pt idx="0">
                        <c:v>סה"כ עלות זהום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סיכום!$E$9:$G$9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0.17</c:v>
                      </c:pt>
                      <c:pt idx="1">
                        <c:v>0.25</c:v>
                      </c:pt>
                      <c:pt idx="2">
                        <c:v>0.3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סיכום!$E$20:$G$20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3"/>
                      <c:pt idx="0">
                        <c:v>137438.6820511595</c:v>
                      </c:pt>
                      <c:pt idx="1">
                        <c:v>129613.92418582682</c:v>
                      </c:pt>
                      <c:pt idx="2">
                        <c:v>124845.08395633713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F10-4DC4-8259-CB1795690254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סיכום!$D$21</c15:sqref>
                        </c15:formulaRef>
                      </c:ext>
                    </c:extLst>
                    <c:strCache>
                      <c:ptCount val="1"/>
                      <c:pt idx="0">
                        <c:v>סה"כ עלות יצור קונבנציונאלי ואגירה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סיכום!$E$9:$G$9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0.17</c:v>
                      </c:pt>
                      <c:pt idx="1">
                        <c:v>0.25</c:v>
                      </c:pt>
                      <c:pt idx="2">
                        <c:v>0.3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סיכום!$E$21:$G$21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3"/>
                      <c:pt idx="0">
                        <c:v>337858.62380201952</c:v>
                      </c:pt>
                      <c:pt idx="1">
                        <c:v>319215.10889192601</c:v>
                      </c:pt>
                      <c:pt idx="2">
                        <c:v>308324.13210162643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9F10-4DC4-8259-CB1795690254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סיכום!$D$24</c15:sqref>
                        </c15:formulaRef>
                      </c:ext>
                    </c:extLst>
                    <c:strCache>
                      <c:ptCount val="1"/>
                      <c:pt idx="0">
                        <c:v>סה"כ עלות הקמה ותפעול קבוע של אנרגיות מתחדשות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סיכום!$E$9:$G$9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0.17</c:v>
                      </c:pt>
                      <c:pt idx="1">
                        <c:v>0.25</c:v>
                      </c:pt>
                      <c:pt idx="2">
                        <c:v>0.3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סיכום!$E$24:$G$24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3"/>
                      <c:pt idx="0">
                        <c:v>20044.865267954054</c:v>
                      </c:pt>
                      <c:pt idx="1">
                        <c:v>31333.100545518493</c:v>
                      </c:pt>
                      <c:pt idx="2">
                        <c:v>38181.621938618293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9F10-4DC4-8259-CB1795690254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סיכום!$D$26</c15:sqref>
                        </c15:formulaRef>
                      </c:ext>
                    </c:extLst>
                    <c:strCache>
                      <c:ptCount val="1"/>
                      <c:pt idx="0">
                        <c:v>סה"כ עלות מתחדשות ורשת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סיכום!$E$9:$G$9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0.17</c:v>
                      </c:pt>
                      <c:pt idx="1">
                        <c:v>0.25</c:v>
                      </c:pt>
                      <c:pt idx="2">
                        <c:v>0.3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סיכום!$E$26:$G$26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3"/>
                      <c:pt idx="0">
                        <c:v>24358.066301084546</c:v>
                      </c:pt>
                      <c:pt idx="1">
                        <c:v>38758.841270983641</c:v>
                      </c:pt>
                      <c:pt idx="2">
                        <c:v>47507.928588925279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9F10-4DC4-8259-CB1795690254}"/>
                  </c:ext>
                </c:extLst>
              </c15:ser>
            </c15:filteredScatterSeries>
          </c:ext>
        </c:extLst>
      </c:scatterChart>
      <c:catAx>
        <c:axId val="137712774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377095648"/>
        <c:crosses val="autoZero"/>
        <c:auto val="1"/>
        <c:lblAlgn val="ctr"/>
        <c:lblOffset val="100"/>
        <c:noMultiLvlLbl val="0"/>
      </c:catAx>
      <c:valAx>
        <c:axId val="137709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37712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236280416210907E-2"/>
          <c:y val="0.80348437940683393"/>
          <c:w val="0.78946720926116698"/>
          <c:h val="0.19650822230029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800" b="1">
                <a:cs typeface="+mn-cs"/>
              </a:rPr>
              <a:t>יצור חשמל </a:t>
            </a:r>
            <a:r>
              <a:rPr lang="en-US" sz="1800" b="1">
                <a:cs typeface="+mn-cs"/>
              </a:rPr>
              <a:t>TWH</a:t>
            </a:r>
            <a:r>
              <a:rPr lang="he-IL" sz="1800" b="1">
                <a:cs typeface="+mn-cs"/>
              </a:rPr>
              <a:t> עם הפסקה באספקת גז טבעי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'ביטחון אנרגטי'!$C$12</c:f>
              <c:strCache>
                <c:ptCount val="1"/>
                <c:pt idx="0">
                  <c:v>אנרגיות מתחדשות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'ביטחון אנרגטי'!$B$13:$B$15</c:f>
              <c:numCache>
                <c:formatCode>0%</c:formatCode>
                <c:ptCount val="3"/>
                <c:pt idx="0">
                  <c:v>0.3</c:v>
                </c:pt>
                <c:pt idx="1">
                  <c:v>0.25</c:v>
                </c:pt>
                <c:pt idx="2">
                  <c:v>0.17</c:v>
                </c:pt>
              </c:numCache>
            </c:numRef>
          </c:cat>
          <c:val>
            <c:numRef>
              <c:f>'ביטחון אנרגטי'!$C$13:$C$15</c:f>
              <c:numCache>
                <c:formatCode>_ * #,##0_ ;_ * \-#,##0_ ;_ * "-"??_ ;_ @_ </c:formatCode>
                <c:ptCount val="3"/>
                <c:pt idx="0">
                  <c:v>29.14620930000001</c:v>
                </c:pt>
                <c:pt idx="1">
                  <c:v>24.314057750000003</c:v>
                </c:pt>
                <c:pt idx="2">
                  <c:v>16.533559270000001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77-47CB-9065-ED653BEA1C03}"/>
            </c:ext>
          </c:extLst>
        </c:ser>
        <c:ser>
          <c:idx val="2"/>
          <c:order val="1"/>
          <c:tx>
            <c:strRef>
              <c:f>'ביטחון אנרגטי'!$D$12</c:f>
              <c:strCache>
                <c:ptCount val="1"/>
                <c:pt idx="0">
                  <c:v>יחידה פחמית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'ביטחון אנרגטי'!$B$13:$B$15</c:f>
              <c:numCache>
                <c:formatCode>0%</c:formatCode>
                <c:ptCount val="3"/>
                <c:pt idx="0">
                  <c:v>0.3</c:v>
                </c:pt>
                <c:pt idx="1">
                  <c:v>0.25</c:v>
                </c:pt>
                <c:pt idx="2">
                  <c:v>0.17</c:v>
                </c:pt>
              </c:numCache>
            </c:numRef>
          </c:cat>
          <c:val>
            <c:numRef>
              <c:f>'ביטחון אנרגטי'!$D$13:$D$15</c:f>
              <c:numCache>
                <c:formatCode>_ * #,##0_ ;_ * \-#,##0_ ;_ * "-"??_ ;_ @_ </c:formatCode>
                <c:ptCount val="3"/>
                <c:pt idx="0">
                  <c:v>27.155847850642417</c:v>
                </c:pt>
                <c:pt idx="1">
                  <c:v>28.7970473967282</c:v>
                </c:pt>
                <c:pt idx="2">
                  <c:v>29.758539231809323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77-47CB-9065-ED653BEA1C03}"/>
            </c:ext>
          </c:extLst>
        </c:ser>
        <c:ser>
          <c:idx val="3"/>
          <c:order val="2"/>
          <c:tx>
            <c:strRef>
              <c:f>'ביטחון אנרגטי'!$E$12</c:f>
              <c:strCache>
                <c:ptCount val="1"/>
                <c:pt idx="0">
                  <c:v>סולר ופצלי שמן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'ביטחון אנרגטי'!$B$13:$B$15</c:f>
              <c:numCache>
                <c:formatCode>0%</c:formatCode>
                <c:ptCount val="3"/>
                <c:pt idx="0">
                  <c:v>0.3</c:v>
                </c:pt>
                <c:pt idx="1">
                  <c:v>0.25</c:v>
                </c:pt>
                <c:pt idx="2">
                  <c:v>0.17</c:v>
                </c:pt>
              </c:numCache>
            </c:numRef>
          </c:cat>
          <c:val>
            <c:numRef>
              <c:f>'ביטחון אנרגטי'!$E$13:$E$15</c:f>
              <c:numCache>
                <c:formatCode>_ * #,##0_ ;_ * \-#,##0_ ;_ * "-"??_ ;_ @_ </c:formatCode>
                <c:ptCount val="3"/>
                <c:pt idx="0">
                  <c:v>40.954173849357574</c:v>
                </c:pt>
                <c:pt idx="1">
                  <c:v>44.145125853271793</c:v>
                </c:pt>
                <c:pt idx="2">
                  <c:v>50.964132498190679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77-47CB-9065-ED653BEA1C03}"/>
            </c:ext>
          </c:extLst>
        </c:ser>
        <c:ser>
          <c:idx val="0"/>
          <c:order val="3"/>
          <c:tx>
            <c:strRef>
              <c:f>'ביטחון אנרגטי'!$F$12</c:f>
              <c:strCache>
                <c:ptCount val="1"/>
                <c:pt idx="0">
                  <c:v>גז פחמיות מוסבות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'ביטחון אנרגטי'!$F$13:$F$15</c:f>
              <c:numCache>
                <c:formatCode>_ * #,##0_ ;_ * \-#,##0_ ;_ * "-"??_ ;_ @_ 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77-47CB-9065-ED653BEA1C03}"/>
            </c:ext>
          </c:extLst>
        </c:ser>
        <c:ser>
          <c:idx val="4"/>
          <c:order val="4"/>
          <c:tx>
            <c:strRef>
              <c:f>'ביטחון אנרגטי'!$G$12</c:f>
              <c:strCache>
                <c:ptCount val="1"/>
                <c:pt idx="0">
                  <c:v>גז חח"י מחזמים ופקירים ויח"פים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'ביטחון אנרגטי'!$G$13:$G$15</c:f>
              <c:numCache>
                <c:formatCode>_ * #,##0_ ;_ * \-#,##0_ ;_ * "-"??_ ;_ @_ 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77-47CB-9065-ED653BEA1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7099456"/>
        <c:axId val="1377102720"/>
      </c:barChart>
      <c:catAx>
        <c:axId val="1377099456"/>
        <c:scaling>
          <c:orientation val="maxMin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377102720"/>
        <c:crosses val="autoZero"/>
        <c:auto val="1"/>
        <c:lblAlgn val="ctr"/>
        <c:lblOffset val="100"/>
        <c:noMultiLvlLbl val="0"/>
      </c:catAx>
      <c:valAx>
        <c:axId val="137710272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37709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800" b="1">
                <a:cs typeface="+mn-cs"/>
              </a:rPr>
              <a:t>יצור חשמל </a:t>
            </a:r>
            <a:r>
              <a:rPr lang="en-US" sz="1800" b="1">
                <a:cs typeface="+mn-cs"/>
              </a:rPr>
              <a:t>TWH</a:t>
            </a:r>
            <a:r>
              <a:rPr lang="he-IL" sz="1800" b="1">
                <a:cs typeface="+mn-cs"/>
              </a:rPr>
              <a:t> במצב עסקים כרגיל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'ביטחון אנרגטי'!$C$32</c:f>
              <c:strCache>
                <c:ptCount val="1"/>
                <c:pt idx="0">
                  <c:v>אנרגיות מתחדשות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'ביטחון אנרגטי'!$B$33:$B$35</c:f>
              <c:numCache>
                <c:formatCode>0%</c:formatCode>
                <c:ptCount val="3"/>
                <c:pt idx="0">
                  <c:v>0.3</c:v>
                </c:pt>
                <c:pt idx="1">
                  <c:v>0.25</c:v>
                </c:pt>
                <c:pt idx="2">
                  <c:v>0.17</c:v>
                </c:pt>
              </c:numCache>
            </c:numRef>
          </c:cat>
          <c:val>
            <c:numRef>
              <c:f>'ביטחון אנרגטי'!$C$33:$C$35</c:f>
              <c:numCache>
                <c:formatCode>_ * #,##0_ ;_ * \-#,##0_ ;_ * "-"??_ ;_ @_ </c:formatCode>
                <c:ptCount val="3"/>
                <c:pt idx="0">
                  <c:v>29.146209300000013</c:v>
                </c:pt>
                <c:pt idx="1">
                  <c:v>24.314057750000007</c:v>
                </c:pt>
                <c:pt idx="2">
                  <c:v>16.533559269999998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2-4943-A915-EB76C031D759}"/>
            </c:ext>
          </c:extLst>
        </c:ser>
        <c:ser>
          <c:idx val="3"/>
          <c:order val="1"/>
          <c:tx>
            <c:strRef>
              <c:f>'ביטחון אנרגטי'!$D$32</c:f>
              <c:strCache>
                <c:ptCount val="1"/>
                <c:pt idx="0">
                  <c:v>יחידה פחמית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'ביטחון אנרגטי'!$B$33:$B$35</c:f>
              <c:numCache>
                <c:formatCode>0%</c:formatCode>
                <c:ptCount val="3"/>
                <c:pt idx="0">
                  <c:v>0.3</c:v>
                </c:pt>
                <c:pt idx="1">
                  <c:v>0.25</c:v>
                </c:pt>
                <c:pt idx="2">
                  <c:v>0.17</c:v>
                </c:pt>
              </c:numCache>
            </c:numRef>
          </c:cat>
          <c:val>
            <c:numRef>
              <c:f>'ביטחון אנרגטי'!$D$33:$D$35</c:f>
              <c:numCache>
                <c:formatCode>_ * #,##0_ ;_ * \-#,##0_ ;_ * "-"??_ ;_ @_ 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2-4943-A915-EB76C031D759}"/>
            </c:ext>
          </c:extLst>
        </c:ser>
        <c:ser>
          <c:idx val="0"/>
          <c:order val="2"/>
          <c:tx>
            <c:strRef>
              <c:f>'ביטחון אנרגטי'!$E$32</c:f>
              <c:strCache>
                <c:ptCount val="1"/>
                <c:pt idx="0">
                  <c:v>סולר ופצלי שמן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'ביטחון אנרגטי'!$B$33:$B$35</c:f>
              <c:numCache>
                <c:formatCode>0%</c:formatCode>
                <c:ptCount val="3"/>
                <c:pt idx="0">
                  <c:v>0.3</c:v>
                </c:pt>
                <c:pt idx="1">
                  <c:v>0.25</c:v>
                </c:pt>
                <c:pt idx="2">
                  <c:v>0.17</c:v>
                </c:pt>
              </c:numCache>
            </c:numRef>
          </c:cat>
          <c:val>
            <c:numRef>
              <c:f>'ביטחון אנרגטי'!$E$33:$E$35</c:f>
              <c:numCache>
                <c:formatCode>_ * #,##0_ ;_ * \-#,##0_ ;_ * "-"??_ ;_ @_ </c:formatCode>
                <c:ptCount val="3"/>
                <c:pt idx="0">
                  <c:v>0.35680000000000001</c:v>
                </c:pt>
                <c:pt idx="1">
                  <c:v>0.35783000000000004</c:v>
                </c:pt>
                <c:pt idx="2">
                  <c:v>0.35375999999999996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12-4943-A915-EB76C031D759}"/>
            </c:ext>
          </c:extLst>
        </c:ser>
        <c:ser>
          <c:idx val="4"/>
          <c:order val="3"/>
          <c:tx>
            <c:strRef>
              <c:f>'ביטחון אנרגטי'!$F$32</c:f>
              <c:strCache>
                <c:ptCount val="1"/>
                <c:pt idx="0">
                  <c:v>גז פחמיות מוסבות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'ביטחון אנרגטי'!$B$33:$B$35</c:f>
              <c:numCache>
                <c:formatCode>0%</c:formatCode>
                <c:ptCount val="3"/>
                <c:pt idx="0">
                  <c:v>0.3</c:v>
                </c:pt>
                <c:pt idx="1">
                  <c:v>0.25</c:v>
                </c:pt>
                <c:pt idx="2">
                  <c:v>0.17</c:v>
                </c:pt>
              </c:numCache>
            </c:numRef>
          </c:cat>
          <c:val>
            <c:numRef>
              <c:f>'ביטחון אנרגטי'!$F$33:$F$35</c:f>
              <c:numCache>
                <c:formatCode>_ * #,##0_ ;_ * \-#,##0_ ;_ * "-"??_ ;_ @_ </c:formatCode>
                <c:ptCount val="3"/>
                <c:pt idx="0">
                  <c:v>15.702</c:v>
                </c:pt>
                <c:pt idx="1">
                  <c:v>15.414509999999998</c:v>
                </c:pt>
                <c:pt idx="2">
                  <c:v>14.550709999999999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12-4943-A915-EB76C031D759}"/>
            </c:ext>
          </c:extLst>
        </c:ser>
        <c:ser>
          <c:idx val="5"/>
          <c:order val="4"/>
          <c:tx>
            <c:strRef>
              <c:f>'ביטחון אנרגטי'!$G$32</c:f>
              <c:strCache>
                <c:ptCount val="1"/>
                <c:pt idx="0">
                  <c:v>גז חח"י מחזמים ופקירים ויח"פים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'ביטחון אנרגטי'!$B$33:$B$35</c:f>
              <c:numCache>
                <c:formatCode>0%</c:formatCode>
                <c:ptCount val="3"/>
                <c:pt idx="0">
                  <c:v>0.3</c:v>
                </c:pt>
                <c:pt idx="1">
                  <c:v>0.25</c:v>
                </c:pt>
                <c:pt idx="2">
                  <c:v>0.17</c:v>
                </c:pt>
              </c:numCache>
            </c:numRef>
          </c:cat>
          <c:val>
            <c:numRef>
              <c:f>'ביטחון אנרגטי'!$G$33:$G$35</c:f>
              <c:numCache>
                <c:formatCode>_ * #,##0_ ;_ * \-#,##0_ ;_ * "-"??_ ;_ @_ </c:formatCode>
                <c:ptCount val="3"/>
                <c:pt idx="0">
                  <c:v>52.051221699999985</c:v>
                </c:pt>
                <c:pt idx="1">
                  <c:v>57.169833249999996</c:v>
                </c:pt>
                <c:pt idx="2">
                  <c:v>65.818201729999998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12-4943-A915-EB76C031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7103264"/>
        <c:axId val="1377105984"/>
      </c:barChart>
      <c:catAx>
        <c:axId val="1377103264"/>
        <c:scaling>
          <c:orientation val="maxMin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377105984"/>
        <c:crosses val="autoZero"/>
        <c:auto val="1"/>
        <c:lblAlgn val="ctr"/>
        <c:lblOffset val="100"/>
        <c:noMultiLvlLbl val="0"/>
      </c:catAx>
      <c:valAx>
        <c:axId val="13771059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37710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663037</xdr:colOff>
      <xdr:row>66</xdr:row>
      <xdr:rowOff>42718</xdr:rowOff>
    </xdr:from>
    <xdr:to>
      <xdr:col>17</xdr:col>
      <xdr:colOff>311726</xdr:colOff>
      <xdr:row>97</xdr:row>
      <xdr:rowOff>34636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681182</xdr:colOff>
      <xdr:row>30</xdr:row>
      <xdr:rowOff>92364</xdr:rowOff>
    </xdr:from>
    <xdr:to>
      <xdr:col>11</xdr:col>
      <xdr:colOff>830036</xdr:colOff>
      <xdr:row>65</xdr:row>
      <xdr:rowOff>34636</xdr:rowOff>
    </xdr:to>
    <xdr:graphicFrame macro="">
      <xdr:nvGraphicFramePr>
        <xdr:cNvPr id="8" name="תרשים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42058</xdr:colOff>
      <xdr:row>5</xdr:row>
      <xdr:rowOff>56903</xdr:rowOff>
    </xdr:from>
    <xdr:to>
      <xdr:col>37</xdr:col>
      <xdr:colOff>492332</xdr:colOff>
      <xdr:row>27</xdr:row>
      <xdr:rowOff>198912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585107</xdr:colOff>
      <xdr:row>204</xdr:row>
      <xdr:rowOff>108856</xdr:rowOff>
    </xdr:from>
    <xdr:to>
      <xdr:col>10</xdr:col>
      <xdr:colOff>680357</xdr:colOff>
      <xdr:row>243</xdr:row>
      <xdr:rowOff>95249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1778000</xdr:colOff>
      <xdr:row>80</xdr:row>
      <xdr:rowOff>79374</xdr:rowOff>
    </xdr:from>
    <xdr:to>
      <xdr:col>9</xdr:col>
      <xdr:colOff>330199</xdr:colOff>
      <xdr:row>117</xdr:row>
      <xdr:rowOff>165100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611909</xdr:colOff>
      <xdr:row>3</xdr:row>
      <xdr:rowOff>34635</xdr:rowOff>
    </xdr:from>
    <xdr:to>
      <xdr:col>17</xdr:col>
      <xdr:colOff>1373909</xdr:colOff>
      <xdr:row>29</xdr:row>
      <xdr:rowOff>80818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773206</xdr:colOff>
      <xdr:row>28</xdr:row>
      <xdr:rowOff>1119</xdr:rowOff>
    </xdr:from>
    <xdr:to>
      <xdr:col>13</xdr:col>
      <xdr:colOff>515471</xdr:colOff>
      <xdr:row>49</xdr:row>
      <xdr:rowOff>112060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560294</xdr:colOff>
      <xdr:row>28</xdr:row>
      <xdr:rowOff>44823</xdr:rowOff>
    </xdr:from>
    <xdr:to>
      <xdr:col>7</xdr:col>
      <xdr:colOff>56031</xdr:colOff>
      <xdr:row>49</xdr:row>
      <xdr:rowOff>155764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gov.il/he/departments/general/heshavon31819" TargetMode="Externa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U203"/>
  <sheetViews>
    <sheetView rightToLeft="1" topLeftCell="C1" zoomScale="70" zoomScaleNormal="70" workbookViewId="0">
      <selection activeCell="N19" sqref="N19"/>
    </sheetView>
  </sheetViews>
  <sheetFormatPr defaultColWidth="8.28515625" defaultRowHeight="15"/>
  <cols>
    <col min="2" max="2" width="41.28515625" bestFit="1" customWidth="1"/>
    <col min="3" max="3" width="20.140625" bestFit="1" customWidth="1"/>
    <col min="4" max="4" width="48.28515625" bestFit="1" customWidth="1"/>
    <col min="5" max="5" width="34.42578125" customWidth="1"/>
    <col min="6" max="6" width="33.5703125" bestFit="1" customWidth="1"/>
    <col min="7" max="7" width="12" bestFit="1" customWidth="1"/>
    <col min="8" max="8" width="22.7109375" bestFit="1" customWidth="1"/>
    <col min="9" max="10" width="12" bestFit="1" customWidth="1"/>
    <col min="11" max="11" width="21.5703125" bestFit="1" customWidth="1"/>
    <col min="12" max="12" width="23.140625" bestFit="1" customWidth="1"/>
    <col min="13" max="13" width="21.5703125" bestFit="1" customWidth="1"/>
    <col min="14" max="14" width="23.140625" bestFit="1" customWidth="1"/>
  </cols>
  <sheetData>
    <row r="3" spans="3:14">
      <c r="K3" s="243"/>
      <c r="L3" s="243"/>
      <c r="M3" s="243"/>
      <c r="N3" s="243"/>
    </row>
    <row r="4" spans="3:14">
      <c r="D4" s="123" t="s">
        <v>452</v>
      </c>
    </row>
    <row r="5" spans="3:14" ht="15.75" thickBot="1"/>
    <row r="6" spans="3:14" ht="16.5" thickBot="1">
      <c r="C6" s="658"/>
      <c r="D6" s="1197" t="s">
        <v>440</v>
      </c>
      <c r="E6" s="1191" t="s">
        <v>473</v>
      </c>
      <c r="F6" s="1192"/>
      <c r="G6" s="1193"/>
      <c r="H6" s="1199" t="s">
        <v>471</v>
      </c>
      <c r="I6" s="1200"/>
      <c r="J6" s="1201"/>
      <c r="K6" s="1189">
        <v>0.25</v>
      </c>
      <c r="L6" s="1190"/>
      <c r="M6" s="1189">
        <v>0.3</v>
      </c>
      <c r="N6" s="1190"/>
    </row>
    <row r="7" spans="3:14" ht="16.149999999999999" customHeight="1" thickBot="1">
      <c r="D7" s="1198"/>
      <c r="E7" s="1018">
        <v>0.17</v>
      </c>
      <c r="F7" s="1018">
        <v>0.25</v>
      </c>
      <c r="G7" s="1140">
        <v>0.3</v>
      </c>
      <c r="H7" s="1057">
        <v>0.17</v>
      </c>
      <c r="I7" s="1057">
        <v>0.25</v>
      </c>
      <c r="J7" s="1066">
        <v>0.3</v>
      </c>
      <c r="K7" s="1159" t="s">
        <v>473</v>
      </c>
      <c r="L7" s="1158" t="s">
        <v>471</v>
      </c>
      <c r="M7" s="1159" t="s">
        <v>473</v>
      </c>
      <c r="N7" s="1158" t="s">
        <v>471</v>
      </c>
    </row>
    <row r="8" spans="3:14" ht="14.65" customHeight="1">
      <c r="C8" s="1194" t="s">
        <v>428</v>
      </c>
      <c r="D8" s="240" t="s">
        <v>488</v>
      </c>
      <c r="E8" s="660">
        <v>13874.498309164903</v>
      </c>
      <c r="F8" s="661">
        <v>13289.857293757197</v>
      </c>
      <c r="G8" s="662">
        <v>13750.465920197174</v>
      </c>
      <c r="H8" s="665">
        <v>15116.174887038134</v>
      </c>
      <c r="I8" s="664">
        <v>14879.625276451688</v>
      </c>
      <c r="J8" s="666">
        <v>14774.330557397643</v>
      </c>
      <c r="K8" s="1166">
        <f t="shared" ref="K8:K26" si="0">F8-$E8</f>
        <v>-584.64101540770571</v>
      </c>
      <c r="L8" s="1082">
        <f t="shared" ref="L8:L26" si="1">I8-$H8</f>
        <v>-236.54961058644585</v>
      </c>
      <c r="M8" s="662">
        <f t="shared" ref="M8:M26" si="2">G8-$E8</f>
        <v>-124.03238896772928</v>
      </c>
      <c r="N8" s="1084">
        <f t="shared" ref="N8:N26" si="3">J8-$H8</f>
        <v>-341.8443296404912</v>
      </c>
    </row>
    <row r="9" spans="3:14" ht="14.65" customHeight="1">
      <c r="C9" s="1195"/>
      <c r="D9" s="1015"/>
      <c r="E9" s="667"/>
      <c r="F9" s="668"/>
      <c r="G9" s="669"/>
      <c r="H9" s="672"/>
      <c r="I9" s="671"/>
      <c r="J9" s="673"/>
      <c r="K9" s="1167">
        <f t="shared" si="0"/>
        <v>0</v>
      </c>
      <c r="L9" s="1085">
        <f t="shared" si="1"/>
        <v>0</v>
      </c>
      <c r="M9" s="669">
        <f t="shared" si="2"/>
        <v>0</v>
      </c>
      <c r="N9" s="1087">
        <f t="shared" si="3"/>
        <v>0</v>
      </c>
    </row>
    <row r="10" spans="3:14" ht="14.65" customHeight="1">
      <c r="C10" s="1195"/>
      <c r="D10" s="241" t="s">
        <v>487</v>
      </c>
      <c r="E10" s="667">
        <v>8448.6344552629871</v>
      </c>
      <c r="F10" s="668">
        <v>7738.3011499308104</v>
      </c>
      <c r="G10" s="669">
        <v>7584.2412207200359</v>
      </c>
      <c r="H10" s="672">
        <v>9106.8140849869633</v>
      </c>
      <c r="I10" s="671">
        <v>9037.7416360965981</v>
      </c>
      <c r="J10" s="673">
        <v>8897.5634765628965</v>
      </c>
      <c r="K10" s="1167">
        <f t="shared" si="0"/>
        <v>-710.33330533217668</v>
      </c>
      <c r="L10" s="1085">
        <f t="shared" si="1"/>
        <v>-69.072448890365195</v>
      </c>
      <c r="M10" s="669">
        <f t="shared" si="2"/>
        <v>-864.39323454295118</v>
      </c>
      <c r="N10" s="1087">
        <f t="shared" si="3"/>
        <v>-209.25060842406674</v>
      </c>
    </row>
    <row r="11" spans="3:14" ht="14.65" customHeight="1" thickBot="1">
      <c r="C11" s="1195"/>
      <c r="D11" s="1016"/>
      <c r="E11" s="674"/>
      <c r="F11" s="675"/>
      <c r="G11" s="676"/>
      <c r="H11" s="679"/>
      <c r="I11" s="678"/>
      <c r="J11" s="680"/>
      <c r="K11" s="1168">
        <f t="shared" si="0"/>
        <v>0</v>
      </c>
      <c r="L11" s="1088">
        <f t="shared" si="1"/>
        <v>0</v>
      </c>
      <c r="M11" s="676">
        <f t="shared" si="2"/>
        <v>0</v>
      </c>
      <c r="N11" s="1090">
        <f t="shared" si="3"/>
        <v>0</v>
      </c>
    </row>
    <row r="12" spans="3:14" ht="16.5" thickBot="1">
      <c r="C12" s="1195"/>
      <c r="D12" s="82" t="s">
        <v>457</v>
      </c>
      <c r="E12" s="1169">
        <f t="shared" ref="E12:J12" si="4">SUM(E8:E11)</f>
        <v>22323.13276442789</v>
      </c>
      <c r="F12" s="1169">
        <f t="shared" si="4"/>
        <v>21028.158443688008</v>
      </c>
      <c r="G12" s="1169">
        <f t="shared" si="4"/>
        <v>21334.707140917209</v>
      </c>
      <c r="H12" s="1170">
        <f t="shared" si="4"/>
        <v>24222.988972025098</v>
      </c>
      <c r="I12" s="1170">
        <f t="shared" si="4"/>
        <v>23917.366912548285</v>
      </c>
      <c r="J12" s="1170">
        <f t="shared" si="4"/>
        <v>23671.89403396054</v>
      </c>
      <c r="K12" s="65">
        <f t="shared" si="0"/>
        <v>-1294.9743207398824</v>
      </c>
      <c r="L12" s="1151">
        <f t="shared" si="1"/>
        <v>-305.62205947681286</v>
      </c>
      <c r="M12" s="65">
        <f t="shared" si="2"/>
        <v>-988.42562351068045</v>
      </c>
      <c r="N12" s="1151">
        <f t="shared" si="3"/>
        <v>-551.09493806455794</v>
      </c>
    </row>
    <row r="13" spans="3:14" ht="14.65" customHeight="1">
      <c r="C13" s="1195"/>
      <c r="D13" s="1015" t="s">
        <v>424</v>
      </c>
      <c r="E13" s="1051">
        <v>173756.38670167414</v>
      </c>
      <c r="F13" s="1052">
        <v>163742.16797469754</v>
      </c>
      <c r="G13" s="1141">
        <v>157949.93503484203</v>
      </c>
      <c r="H13" s="1058">
        <v>160533.82044851489</v>
      </c>
      <c r="I13" s="1059">
        <v>151856.8045332421</v>
      </c>
      <c r="J13" s="1068">
        <v>146292.5599263903</v>
      </c>
      <c r="K13" s="1146">
        <f t="shared" si="0"/>
        <v>-10014.2187269766</v>
      </c>
      <c r="L13" s="1152">
        <f t="shared" si="1"/>
        <v>-8677.0159152727865</v>
      </c>
      <c r="M13" s="1146">
        <f t="shared" si="2"/>
        <v>-15806.451666832116</v>
      </c>
      <c r="N13" s="1152">
        <f t="shared" si="3"/>
        <v>-14241.26052212459</v>
      </c>
    </row>
    <row r="14" spans="3:14" ht="14.65" customHeight="1" thickBot="1">
      <c r="C14" s="1195"/>
      <c r="D14" s="241" t="s">
        <v>443</v>
      </c>
      <c r="E14" s="667">
        <v>6445.8106535869238</v>
      </c>
      <c r="F14" s="668">
        <v>5330.8027059153164</v>
      </c>
      <c r="G14" s="1127">
        <v>4822.2536451591977</v>
      </c>
      <c r="H14" s="672">
        <v>7110.0559636344897</v>
      </c>
      <c r="I14" s="671">
        <v>5933.9298849472616</v>
      </c>
      <c r="J14" s="1069">
        <v>5380.9933157240475</v>
      </c>
      <c r="K14" s="1147">
        <f t="shared" si="0"/>
        <v>-1115.0079476716073</v>
      </c>
      <c r="L14" s="1153">
        <f t="shared" si="1"/>
        <v>-1176.1260786872281</v>
      </c>
      <c r="M14" s="1147">
        <f t="shared" si="2"/>
        <v>-1623.557008427726</v>
      </c>
      <c r="N14" s="1153">
        <f t="shared" si="3"/>
        <v>-1729.0626479104421</v>
      </c>
    </row>
    <row r="15" spans="3:14" ht="16.5" thickBot="1">
      <c r="C15" s="1195"/>
      <c r="D15" s="82" t="s">
        <v>429</v>
      </c>
      <c r="E15" s="1143">
        <f>SUM(E13:E14)</f>
        <v>180202.19735526107</v>
      </c>
      <c r="F15" s="1143">
        <f t="shared" ref="F15:G15" si="5">SUM(F13:F14)</f>
        <v>169072.97068061287</v>
      </c>
      <c r="G15" s="1143">
        <f t="shared" si="5"/>
        <v>162772.18868000121</v>
      </c>
      <c r="H15" s="1071">
        <f>SUM(H13:H14)</f>
        <v>167643.87641214937</v>
      </c>
      <c r="I15" s="1071">
        <f t="shared" ref="I15" si="6">SUM(I13:I14)</f>
        <v>157790.73441818936</v>
      </c>
      <c r="J15" s="1071">
        <f t="shared" ref="J15" si="7">SUM(J13:J14)</f>
        <v>151673.55324211434</v>
      </c>
      <c r="K15" s="318">
        <f t="shared" si="0"/>
        <v>-11129.226674648206</v>
      </c>
      <c r="L15" s="1154">
        <f t="shared" si="1"/>
        <v>-9853.1419939600164</v>
      </c>
      <c r="M15" s="318">
        <f t="shared" si="2"/>
        <v>-17430.008675259858</v>
      </c>
      <c r="N15" s="1154">
        <f t="shared" si="3"/>
        <v>-15970.32317003503</v>
      </c>
    </row>
    <row r="16" spans="3:14" ht="14.65" customHeight="1">
      <c r="C16" s="1195"/>
      <c r="D16" s="1016" t="s">
        <v>448</v>
      </c>
      <c r="E16" s="717">
        <v>89324.043376032656</v>
      </c>
      <c r="F16" s="718">
        <v>84180.306198039165</v>
      </c>
      <c r="G16" s="1142">
        <v>81082.549218369168</v>
      </c>
      <c r="H16" s="1060">
        <v>13580.542194938664</v>
      </c>
      <c r="I16" s="1061">
        <v>12803.083967170103</v>
      </c>
      <c r="J16" s="1070">
        <v>12359.858242521857</v>
      </c>
      <c r="K16" s="1146">
        <f t="shared" si="0"/>
        <v>-5143.7371779934911</v>
      </c>
      <c r="L16" s="1152">
        <f t="shared" si="1"/>
        <v>-777.45822776856039</v>
      </c>
      <c r="M16" s="1146">
        <f t="shared" si="2"/>
        <v>-8241.4941576634883</v>
      </c>
      <c r="N16" s="1152">
        <f t="shared" si="3"/>
        <v>-1220.6839524168063</v>
      </c>
    </row>
    <row r="17" spans="3:21" ht="14.65" customHeight="1" thickBot="1">
      <c r="C17" s="1195"/>
      <c r="D17" s="242" t="s">
        <v>264</v>
      </c>
      <c r="E17" s="674">
        <v>48809.541143014983</v>
      </c>
      <c r="F17" s="675">
        <v>46037.957959823347</v>
      </c>
      <c r="G17" s="1128">
        <v>44367.134366453465</v>
      </c>
      <c r="H17" s="679">
        <v>48535.920905124796</v>
      </c>
      <c r="I17" s="678">
        <v>45800.664042932265</v>
      </c>
      <c r="J17" s="1072">
        <v>44259.431297702264</v>
      </c>
      <c r="K17" s="1147">
        <f t="shared" si="0"/>
        <v>-2771.5831831916366</v>
      </c>
      <c r="L17" s="1153">
        <f t="shared" si="1"/>
        <v>-2735.2568621925311</v>
      </c>
      <c r="M17" s="1147">
        <f t="shared" si="2"/>
        <v>-4442.4067765615182</v>
      </c>
      <c r="N17" s="1153">
        <f t="shared" si="3"/>
        <v>-4276.4896074225326</v>
      </c>
    </row>
    <row r="18" spans="3:21" ht="16.5" thickBot="1">
      <c r="C18" s="1195"/>
      <c r="D18" s="987" t="s">
        <v>451</v>
      </c>
      <c r="E18" s="1143">
        <f t="shared" ref="E18:I18" si="8">SUM(E16:E17)</f>
        <v>138133.58451904764</v>
      </c>
      <c r="F18" s="1143">
        <f t="shared" si="8"/>
        <v>130218.26415786252</v>
      </c>
      <c r="G18" s="1143">
        <f t="shared" si="8"/>
        <v>125449.68358482263</v>
      </c>
      <c r="H18" s="1071">
        <f t="shared" si="8"/>
        <v>62116.463100063462</v>
      </c>
      <c r="I18" s="1071">
        <f t="shared" si="8"/>
        <v>58603.748010102368</v>
      </c>
      <c r="J18" s="1071">
        <f>SUM(J16:J17)</f>
        <v>56619.289540224119</v>
      </c>
      <c r="K18" s="318">
        <f t="shared" si="0"/>
        <v>-7915.3203611851204</v>
      </c>
      <c r="L18" s="1154">
        <f t="shared" si="1"/>
        <v>-3512.7150899610933</v>
      </c>
      <c r="M18" s="318">
        <f t="shared" si="2"/>
        <v>-12683.900934225006</v>
      </c>
      <c r="N18" s="1154">
        <f t="shared" si="3"/>
        <v>-5497.1735598393425</v>
      </c>
    </row>
    <row r="19" spans="3:21" ht="16.5" thickBot="1">
      <c r="C19" s="1196"/>
      <c r="D19" s="987" t="s">
        <v>504</v>
      </c>
      <c r="E19" s="1143">
        <f>E18+E15+E12</f>
        <v>340658.91463873658</v>
      </c>
      <c r="F19" s="1143">
        <f t="shared" ref="F19:J19" si="9">F18+F15+F12</f>
        <v>320319.39328216336</v>
      </c>
      <c r="G19" s="1143">
        <f t="shared" si="9"/>
        <v>309556.57940574107</v>
      </c>
      <c r="H19" s="1071">
        <f t="shared" si="9"/>
        <v>253983.32848423795</v>
      </c>
      <c r="I19" s="1071">
        <f t="shared" si="9"/>
        <v>240311.84934084001</v>
      </c>
      <c r="J19" s="1071">
        <f t="shared" si="9"/>
        <v>231964.736816299</v>
      </c>
      <c r="K19" s="318">
        <f t="shared" si="0"/>
        <v>-20339.521356573212</v>
      </c>
      <c r="L19" s="1154">
        <f t="shared" si="1"/>
        <v>-13671.479143397941</v>
      </c>
      <c r="M19" s="318">
        <f t="shared" si="2"/>
        <v>-31102.335232995509</v>
      </c>
      <c r="N19" s="1154">
        <f t="shared" si="3"/>
        <v>-22018.591667938948</v>
      </c>
    </row>
    <row r="20" spans="3:21" ht="14.65" customHeight="1">
      <c r="C20" s="1194" t="s">
        <v>425</v>
      </c>
      <c r="D20" s="240" t="s">
        <v>447</v>
      </c>
      <c r="E20" s="660">
        <v>14975.394987284359</v>
      </c>
      <c r="F20" s="661">
        <v>23299.305503125812</v>
      </c>
      <c r="G20" s="1126">
        <v>28338.658934462517</v>
      </c>
      <c r="H20" s="665">
        <v>17697.093390453243</v>
      </c>
      <c r="I20" s="664">
        <v>28095.107623438231</v>
      </c>
      <c r="J20" s="1067">
        <v>34393.714411480876</v>
      </c>
      <c r="K20" s="1148">
        <f t="shared" si="0"/>
        <v>8323.9105158414532</v>
      </c>
      <c r="L20" s="1155">
        <f t="shared" si="1"/>
        <v>10398.014232984988</v>
      </c>
      <c r="M20" s="1148">
        <f t="shared" si="2"/>
        <v>13363.263947178159</v>
      </c>
      <c r="N20" s="1155">
        <f t="shared" si="3"/>
        <v>16696.621021027633</v>
      </c>
    </row>
    <row r="21" spans="3:21" ht="14.65" customHeight="1" thickBot="1">
      <c r="C21" s="1195"/>
      <c r="D21" s="357" t="s">
        <v>446</v>
      </c>
      <c r="E21" s="1053">
        <v>4580.5950135020794</v>
      </c>
      <c r="F21" s="1054">
        <v>7316.4729011310574</v>
      </c>
      <c r="G21" s="1144">
        <v>8987.0431754833426</v>
      </c>
      <c r="H21" s="1062">
        <v>5066.4601157986626</v>
      </c>
      <c r="I21" s="1063">
        <v>8195.5287706205218</v>
      </c>
      <c r="J21" s="1073">
        <v>10106.18754117081</v>
      </c>
      <c r="K21" s="1149">
        <f t="shared" si="0"/>
        <v>2735.877887628978</v>
      </c>
      <c r="L21" s="1156">
        <f t="shared" si="1"/>
        <v>3129.0686548218591</v>
      </c>
      <c r="M21" s="1149">
        <f t="shared" si="2"/>
        <v>4406.4481619812632</v>
      </c>
      <c r="N21" s="1156">
        <f t="shared" si="3"/>
        <v>5039.7274253721471</v>
      </c>
    </row>
    <row r="22" spans="3:21" ht="14.65" customHeight="1" thickBot="1">
      <c r="C22" s="1195"/>
      <c r="D22" s="82" t="s">
        <v>456</v>
      </c>
      <c r="E22" s="1143">
        <f>SUM(E20:E21)</f>
        <v>19555.990000786438</v>
      </c>
      <c r="F22" s="1143">
        <f t="shared" ref="F22:J22" si="10">SUM(F20:F21)</f>
        <v>30615.778404256867</v>
      </c>
      <c r="G22" s="1143">
        <f t="shared" si="10"/>
        <v>37325.702109945858</v>
      </c>
      <c r="H22" s="1071">
        <f>SUM(H20:H21)</f>
        <v>22763.553506251905</v>
      </c>
      <c r="I22" s="1071">
        <f t="shared" si="10"/>
        <v>36290.636394058754</v>
      </c>
      <c r="J22" s="1071">
        <f t="shared" si="10"/>
        <v>44499.901952651686</v>
      </c>
      <c r="K22" s="318">
        <f t="shared" si="0"/>
        <v>11059.788403470429</v>
      </c>
      <c r="L22" s="1154">
        <f t="shared" si="1"/>
        <v>13527.08288780685</v>
      </c>
      <c r="M22" s="318">
        <f t="shared" si="2"/>
        <v>17769.71210915942</v>
      </c>
      <c r="N22" s="1154">
        <f t="shared" si="3"/>
        <v>21736.348446399781</v>
      </c>
    </row>
    <row r="23" spans="3:21" ht="14.65" customHeight="1" thickBot="1">
      <c r="C23" s="1196"/>
      <c r="D23" s="242" t="s">
        <v>426</v>
      </c>
      <c r="E23" s="674">
        <v>4187.9616133432928</v>
      </c>
      <c r="F23" s="675">
        <v>7237.5109492826841</v>
      </c>
      <c r="G23" s="1128">
        <v>9099.6139670479242</v>
      </c>
      <c r="H23" s="679">
        <v>3707.1106657337709</v>
      </c>
      <c r="I23" s="678">
        <v>6400.4382115665094</v>
      </c>
      <c r="J23" s="1072">
        <v>8045.0265747780468</v>
      </c>
      <c r="K23" s="1150">
        <f t="shared" si="0"/>
        <v>3049.5493359393913</v>
      </c>
      <c r="L23" s="1157">
        <f t="shared" si="1"/>
        <v>2693.3275458327385</v>
      </c>
      <c r="M23" s="1150">
        <f t="shared" si="2"/>
        <v>4911.6523537046314</v>
      </c>
      <c r="N23" s="1157">
        <f t="shared" si="3"/>
        <v>4337.9159090442754</v>
      </c>
    </row>
    <row r="24" spans="3:21" ht="16.5" thickBot="1">
      <c r="C24" s="935"/>
      <c r="D24" s="82" t="s">
        <v>505</v>
      </c>
      <c r="E24" s="1143">
        <f>E23+E22</f>
        <v>23743.951614129732</v>
      </c>
      <c r="F24" s="1143">
        <f t="shared" ref="F24:J24" si="11">F23+F22</f>
        <v>37853.289353539549</v>
      </c>
      <c r="G24" s="1143">
        <f t="shared" si="11"/>
        <v>46425.316076993782</v>
      </c>
      <c r="H24" s="1071">
        <f t="shared" si="11"/>
        <v>26470.664171985674</v>
      </c>
      <c r="I24" s="1071">
        <f t="shared" si="11"/>
        <v>42691.074605625261</v>
      </c>
      <c r="J24" s="1071">
        <f t="shared" si="11"/>
        <v>52544.928527429729</v>
      </c>
      <c r="K24" s="318">
        <f t="shared" si="0"/>
        <v>14109.337739409817</v>
      </c>
      <c r="L24" s="1154">
        <f t="shared" si="1"/>
        <v>16220.410433639587</v>
      </c>
      <c r="M24" s="318">
        <f t="shared" si="2"/>
        <v>22681.36446286405</v>
      </c>
      <c r="N24" s="1154">
        <f t="shared" si="3"/>
        <v>26074.264355444055</v>
      </c>
    </row>
    <row r="25" spans="3:21" ht="15.75" thickBot="1">
      <c r="D25" s="357"/>
      <c r="E25" s="1055"/>
      <c r="F25" s="1056"/>
      <c r="G25" s="1056"/>
      <c r="H25" s="1064"/>
      <c r="I25" s="1065"/>
      <c r="J25" s="1065"/>
      <c r="K25" s="1149">
        <f t="shared" si="0"/>
        <v>0</v>
      </c>
      <c r="L25" s="1156">
        <f t="shared" si="1"/>
        <v>0</v>
      </c>
      <c r="M25" s="1149">
        <f t="shared" si="2"/>
        <v>0</v>
      </c>
      <c r="N25" s="1156">
        <f t="shared" si="3"/>
        <v>0</v>
      </c>
    </row>
    <row r="26" spans="3:21" ht="16.5" thickBot="1">
      <c r="D26" s="1017" t="s">
        <v>506</v>
      </c>
      <c r="E26" s="1143">
        <f>E24+E19</f>
        <v>364402.86625286628</v>
      </c>
      <c r="F26" s="1143">
        <f t="shared" ref="F26:J26" si="12">F24+F19</f>
        <v>358172.68263570289</v>
      </c>
      <c r="G26" s="1143">
        <f t="shared" si="12"/>
        <v>355981.89548273484</v>
      </c>
      <c r="H26" s="1071">
        <f t="shared" si="12"/>
        <v>280453.99265622365</v>
      </c>
      <c r="I26" s="1071">
        <f t="shared" si="12"/>
        <v>283002.92394646525</v>
      </c>
      <c r="J26" s="1071">
        <f t="shared" si="12"/>
        <v>284509.66534372873</v>
      </c>
      <c r="K26" s="318">
        <f t="shared" si="0"/>
        <v>-6230.1836171633913</v>
      </c>
      <c r="L26" s="1154">
        <f t="shared" si="1"/>
        <v>2548.9312902415986</v>
      </c>
      <c r="M26" s="318">
        <f t="shared" si="2"/>
        <v>-8420.9707701314474</v>
      </c>
      <c r="N26" s="1154">
        <f t="shared" si="3"/>
        <v>4055.6726875050808</v>
      </c>
    </row>
    <row r="27" spans="3:21" ht="15.75" thickBot="1">
      <c r="E27" s="1145"/>
      <c r="F27" s="1145"/>
      <c r="G27" s="1145"/>
      <c r="H27" s="243"/>
      <c r="I27" s="243"/>
      <c r="J27" s="243"/>
      <c r="K27" s="1145"/>
      <c r="L27" s="243"/>
      <c r="M27" s="1145"/>
      <c r="N27" s="243"/>
    </row>
    <row r="28" spans="3:21" ht="15.75">
      <c r="C28" s="1186" t="s">
        <v>489</v>
      </c>
      <c r="D28" s="1119" t="s">
        <v>507</v>
      </c>
      <c r="E28" s="660">
        <f>E19-E18</f>
        <v>202525.33011968894</v>
      </c>
      <c r="F28" s="661">
        <f t="shared" ref="F28:J28" si="13">F19-F18</f>
        <v>190101.12912430085</v>
      </c>
      <c r="G28" s="1126">
        <f t="shared" si="13"/>
        <v>184106.89582091843</v>
      </c>
      <c r="H28" s="665">
        <f t="shared" si="13"/>
        <v>191866.86538417448</v>
      </c>
      <c r="I28" s="664">
        <f t="shared" si="13"/>
        <v>181708.10133073764</v>
      </c>
      <c r="J28" s="1067">
        <f t="shared" si="13"/>
        <v>175345.44727607488</v>
      </c>
      <c r="K28" s="1148">
        <f>K19-K18</f>
        <v>-12424.200995388092</v>
      </c>
      <c r="L28" s="1074">
        <f>L19-L18</f>
        <v>-10158.764053436847</v>
      </c>
      <c r="M28" s="1148">
        <f>M19-M18</f>
        <v>-18418.434298770502</v>
      </c>
      <c r="N28" s="1074">
        <f>N19-N18</f>
        <v>-16521.418108099606</v>
      </c>
    </row>
    <row r="29" spans="3:21" ht="16.5" thickBot="1">
      <c r="C29" s="1187"/>
      <c r="D29" s="1120" t="s">
        <v>508</v>
      </c>
      <c r="E29" s="1053">
        <f>E24</f>
        <v>23743.951614129732</v>
      </c>
      <c r="F29" s="1054">
        <f t="shared" ref="F29:J29" si="14">F24</f>
        <v>37853.289353539549</v>
      </c>
      <c r="G29" s="1144">
        <f t="shared" si="14"/>
        <v>46425.316076993782</v>
      </c>
      <c r="H29" s="1062">
        <f t="shared" si="14"/>
        <v>26470.664171985674</v>
      </c>
      <c r="I29" s="1063">
        <f t="shared" si="14"/>
        <v>42691.074605625261</v>
      </c>
      <c r="J29" s="1073">
        <f t="shared" si="14"/>
        <v>52544.928527429729</v>
      </c>
      <c r="K29" s="1149">
        <f>K24</f>
        <v>14109.337739409817</v>
      </c>
      <c r="L29" s="1075">
        <f>L24</f>
        <v>16220.410433639587</v>
      </c>
      <c r="M29" s="1149">
        <f>M24</f>
        <v>22681.36446286405</v>
      </c>
      <c r="N29" s="1075">
        <f>N24</f>
        <v>26074.264355444055</v>
      </c>
    </row>
    <row r="30" spans="3:21" ht="16.5" thickBot="1">
      <c r="C30" s="1188"/>
      <c r="D30" s="1121" t="s">
        <v>509</v>
      </c>
      <c r="E30" s="1143">
        <f>E28+E29</f>
        <v>226269.28173381867</v>
      </c>
      <c r="F30" s="1143">
        <f t="shared" ref="F30:J30" si="15">F28+F29</f>
        <v>227954.4184778404</v>
      </c>
      <c r="G30" s="1143">
        <f t="shared" si="15"/>
        <v>230532.2118979122</v>
      </c>
      <c r="H30" s="1071">
        <f t="shared" si="15"/>
        <v>218337.52955616015</v>
      </c>
      <c r="I30" s="1071">
        <f t="shared" si="15"/>
        <v>224399.17593636291</v>
      </c>
      <c r="J30" s="1071">
        <f t="shared" si="15"/>
        <v>227890.3758035046</v>
      </c>
      <c r="K30" s="318">
        <f>K28+K29</f>
        <v>1685.1367440217255</v>
      </c>
      <c r="L30" s="384">
        <f>L28+L29</f>
        <v>6061.6463802027392</v>
      </c>
      <c r="M30" s="318">
        <f>M28+M29</f>
        <v>4262.9301640935482</v>
      </c>
      <c r="N30" s="384">
        <f>N28+N29</f>
        <v>9552.8462473444488</v>
      </c>
    </row>
    <row r="31" spans="3:21">
      <c r="U31" s="532"/>
    </row>
    <row r="98" spans="2:15" ht="15.75" thickBot="1"/>
    <row r="99" spans="2:15" ht="15.75" thickBot="1">
      <c r="D99" s="1079" t="s">
        <v>458</v>
      </c>
      <c r="E99" s="1079" t="s">
        <v>455</v>
      </c>
    </row>
    <row r="100" spans="2:15" ht="15.75">
      <c r="B100" s="1208" t="s">
        <v>218</v>
      </c>
      <c r="C100" s="1076" t="s">
        <v>275</v>
      </c>
      <c r="D100" s="919">
        <v>3864.0711600000004</v>
      </c>
      <c r="E100" s="233">
        <v>3029.6856557377059</v>
      </c>
    </row>
    <row r="101" spans="2:15" ht="15.75">
      <c r="B101" s="1209"/>
      <c r="C101" s="1077" t="s">
        <v>276</v>
      </c>
      <c r="D101" s="920">
        <v>3564.3360655737715</v>
      </c>
      <c r="E101" s="236">
        <v>3100.1669999999999</v>
      </c>
    </row>
    <row r="102" spans="2:15" ht="15.75" thickBot="1">
      <c r="B102" s="1210"/>
      <c r="C102" s="1078" t="s">
        <v>454</v>
      </c>
      <c r="D102" s="831" t="s">
        <v>461</v>
      </c>
      <c r="E102" s="239" t="s">
        <v>460</v>
      </c>
    </row>
    <row r="103" spans="2:15">
      <c r="B103" s="1208" t="s">
        <v>219</v>
      </c>
      <c r="C103" s="1076" t="s">
        <v>275</v>
      </c>
      <c r="D103" s="829">
        <v>148.5</v>
      </c>
      <c r="E103" s="233">
        <v>128.31609836065579</v>
      </c>
    </row>
    <row r="104" spans="2:15">
      <c r="B104" s="1209"/>
      <c r="C104" s="1077" t="s">
        <v>276</v>
      </c>
      <c r="D104" s="830">
        <v>146.70000000000002</v>
      </c>
      <c r="E104" s="236">
        <v>139.00910655737709</v>
      </c>
    </row>
    <row r="105" spans="2:15" ht="15.75" thickBot="1">
      <c r="B105" s="1210"/>
      <c r="C105" s="1078" t="s">
        <v>454</v>
      </c>
      <c r="D105" s="831" t="s">
        <v>459</v>
      </c>
      <c r="E105" s="239">
        <v>59.42692296250884</v>
      </c>
    </row>
    <row r="107" spans="2:15" ht="15.75" thickBot="1"/>
    <row r="108" spans="2:15" ht="15.75" thickBot="1">
      <c r="D108" s="1214" t="s">
        <v>465</v>
      </c>
      <c r="E108" s="1215"/>
      <c r="F108" s="1216"/>
      <c r="G108" s="1211" t="s">
        <v>466</v>
      </c>
      <c r="H108" s="1212"/>
      <c r="I108" s="1213"/>
      <c r="J108" s="1214" t="s">
        <v>467</v>
      </c>
      <c r="K108" s="1215"/>
      <c r="L108" s="1216"/>
      <c r="M108" s="1217" t="s">
        <v>468</v>
      </c>
      <c r="N108" s="1218"/>
      <c r="O108" s="1219"/>
    </row>
    <row r="109" spans="2:15" ht="30.75" thickBot="1">
      <c r="D109" s="1080" t="s">
        <v>463</v>
      </c>
      <c r="E109" s="1080" t="s">
        <v>462</v>
      </c>
      <c r="F109" s="1080" t="s">
        <v>464</v>
      </c>
      <c r="G109" s="1081" t="s">
        <v>463</v>
      </c>
      <c r="H109" s="1081" t="s">
        <v>462</v>
      </c>
      <c r="I109" s="1081" t="s">
        <v>464</v>
      </c>
      <c r="J109" s="1080" t="s">
        <v>463</v>
      </c>
      <c r="K109" s="1080" t="s">
        <v>462</v>
      </c>
      <c r="L109" s="1091" t="s">
        <v>464</v>
      </c>
      <c r="M109" s="1081" t="s">
        <v>463</v>
      </c>
      <c r="N109" s="1081" t="s">
        <v>462</v>
      </c>
      <c r="O109" s="1081" t="s">
        <v>464</v>
      </c>
    </row>
    <row r="110" spans="2:15">
      <c r="C110" s="195">
        <v>2020</v>
      </c>
      <c r="D110" s="660">
        <f>'הספק נוסף נדרש'!E8*'הנחות עבודה'!$M$12</f>
        <v>1554.1309951535354</v>
      </c>
      <c r="E110" s="661">
        <f>'הספק נוסף נדרש'!E8*('הנחות עבודה'!$M$13+'הנחות עבודה'!$M$14+'הנחות עבודה'!$M$15)</f>
        <v>269.8395870667855</v>
      </c>
      <c r="F110" s="662">
        <f>'הספק נוסף נדרש'!E8*'הנחות עבודה'!$M$16</f>
        <v>114.6976985954751</v>
      </c>
      <c r="G110" s="1082">
        <f>'הספק נוסף נדרש'!E8*'הנחות עבודה'!$N$12</f>
        <v>1041.4146142705215</v>
      </c>
      <c r="H110" s="1083">
        <f>'הספק נוסף נדרש'!E8*('הנחות עבודה'!$N$13+'הנחות עבודה'!$N$14+'הנחות עבודה'!$N$15)</f>
        <v>629.62570315583287</v>
      </c>
      <c r="I110" s="1084">
        <f>'הספק נוסף נדרש'!E8*'הנחות עבודה'!$N$16</f>
        <v>267.6279633894419</v>
      </c>
      <c r="J110" s="660">
        <f>'הספק נוסף נדרש'!AK8*'הנחות עבודה'!$M$12</f>
        <v>1554.1309951535354</v>
      </c>
      <c r="K110" s="661">
        <f>'הספק נוסף נדרש'!AK8*('הנחות עבודה'!$M$13+'הנחות עבודה'!$M$14+'הנחות עבודה'!$M$15)</f>
        <v>269.8395870667855</v>
      </c>
      <c r="L110" s="662">
        <f>'הספק נוסף נדרש'!AK8*'הנחות עבודה'!$M$16</f>
        <v>114.6976985954751</v>
      </c>
      <c r="M110" s="1085">
        <f>'הספק נוסף נדרש'!AK8*'הנחות עבודה'!$N$12</f>
        <v>1041.4146142705215</v>
      </c>
      <c r="N110" s="1086">
        <f>'הספק נוסף נדרש'!AK8*('הנחות עבודה'!$N$13+'הנחות עבודה'!$N$14+'הנחות עבודה'!$N$15)</f>
        <v>629.62570315583287</v>
      </c>
      <c r="O110" s="1087">
        <f>'הספק נוסף נדרש'!AK8*'הנחות עבודה'!$N$16</f>
        <v>267.6279633894419</v>
      </c>
    </row>
    <row r="111" spans="2:15">
      <c r="C111" s="196">
        <f t="shared" ref="C111:C119" si="16">C110+1</f>
        <v>2021</v>
      </c>
      <c r="D111" s="667">
        <f>'הספק נוסף נדרש'!E9*'הנחות עבודה'!$M$12</f>
        <v>259.66545272619493</v>
      </c>
      <c r="E111" s="668">
        <f>'הספק נוסף נדרש'!E9*('הנחות עבודה'!$M$13+'הנחות עבודה'!$M$14+'הנחות עבודה'!$M$15)</f>
        <v>45.085014556462284</v>
      </c>
      <c r="F111" s="669">
        <f>'הספק נוסף נדרש'!E9*'הנחות עבודה'!$M$16</f>
        <v>19.163783442530452</v>
      </c>
      <c r="G111" s="1085">
        <f>'הספק נוסף נדרש'!E9*'הנחות עבודה'!$N$12</f>
        <v>174.00038872753797</v>
      </c>
      <c r="H111" s="1086">
        <f>'הספק נוסף נדרש'!E9*('הנחות עבודה'!$N$13+'הנחות עבודה'!$N$14+'הנחות עבודה'!$N$15)</f>
        <v>105.19836729841198</v>
      </c>
      <c r="I111" s="1087">
        <f>'הספק נוסף נדרש'!E9*'הנחות עבודה'!$N$16</f>
        <v>44.715494699237716</v>
      </c>
      <c r="J111" s="667">
        <f>'הספק נוסף נדרש'!AK9*'הנחות עבודה'!$M$12</f>
        <v>779.62079075546603</v>
      </c>
      <c r="K111" s="668">
        <f>'הספק נוסף נדרש'!AK9*('הנחות עבודה'!$M$13+'הנחות עבודה'!$M$14+'הנחות עבודה'!$M$15)</f>
        <v>135.3634622191887</v>
      </c>
      <c r="L111" s="669">
        <f>'הספק נוסף נדרש'!AK9*'הנחות עבודה'!$M$16</f>
        <v>57.537434589291081</v>
      </c>
      <c r="M111" s="1085">
        <f>'הספק נוסף נדרש'!AK9*'הנחות עבודה'!$N$12</f>
        <v>522.41959501082636</v>
      </c>
      <c r="N111" s="1086">
        <f>'הספק נוסף נדרש'!AK9*('הנחות עבודה'!$N$13+'הנחות עבודה'!$N$14+'הנחות עבודה'!$N$15)</f>
        <v>315.84807851144024</v>
      </c>
      <c r="O111" s="1087">
        <f>'הספק נוסף נדרש'!AK9*'הנחות עבודה'!$N$16</f>
        <v>134.25401404167917</v>
      </c>
    </row>
    <row r="112" spans="2:15">
      <c r="C112" s="196">
        <f t="shared" si="16"/>
        <v>2022</v>
      </c>
      <c r="D112" s="667">
        <f>'הספק נוסף נדרש'!E10*'הנחות עבודה'!$M$12</f>
        <v>92.028057141063258</v>
      </c>
      <c r="E112" s="668">
        <f>'הספק נוסף נדרש'!E10*('הנחות עבודה'!$M$13+'הנחות עבודה'!$M$14+'הנחות עבודה'!$M$15)</f>
        <v>15.978584183021052</v>
      </c>
      <c r="F112" s="669">
        <f>'הספק נוסף נדרש'!E10*'הנחות עבודה'!$M$16</f>
        <v>6.7918382640905026</v>
      </c>
      <c r="G112" s="1085">
        <f>'הספק נוסף נדרש'!E10*'הנחות עבודה'!$N$12</f>
        <v>61.667493878247853</v>
      </c>
      <c r="H112" s="1086">
        <f>'הספק נוסף נדרש'!E10*('הנחות עבודה'!$N$13+'הנחות עבודה'!$N$14+'הנחות עבודה'!$N$15)</f>
        <v>37.283363093715785</v>
      </c>
      <c r="I112" s="1087">
        <f>'הספק נוסף נדרש'!E10*'הנחות עבודה'!$N$16</f>
        <v>15.84762261621117</v>
      </c>
      <c r="J112" s="667">
        <f>'הספק נוסף נדרש'!AK10*'הנחות עבודה'!$M$12</f>
        <v>643.58055153796533</v>
      </c>
      <c r="K112" s="668">
        <f>'הספק נוסף נדרש'!AK10*('הנחות עבודה'!$M$13+'הנחות עבודה'!$M$14+'הנחות עבודה'!$M$15)</f>
        <v>111.74316117031184</v>
      </c>
      <c r="L112" s="669">
        <f>'הספק נוסף נדרש'!AK10*'הנחות עבודה'!$M$16</f>
        <v>47.497417111173846</v>
      </c>
      <c r="M112" s="1085">
        <f>'הספק נוסף נדרש'!AK10*'הנחות עבודה'!$N$12</f>
        <v>431.25978049598444</v>
      </c>
      <c r="N112" s="1086">
        <f>'הספק נוסף נדרש'!AK10*('הנחות עבודה'!$N$13+'הנחות עבודה'!$N$14+'הנחות עבודה'!$N$15)</f>
        <v>260.73404273072759</v>
      </c>
      <c r="O112" s="1087">
        <f>'הספק נוסף נדרש'!AK10*'הנחות עבודה'!$N$16</f>
        <v>110.82730659273896</v>
      </c>
    </row>
    <row r="113" spans="3:15">
      <c r="C113" s="196">
        <f t="shared" si="16"/>
        <v>2023</v>
      </c>
      <c r="D113" s="667">
        <f>'הספק נוסף נדרש'!E11*'הנחות עבודה'!$M$12</f>
        <v>97.92892325035325</v>
      </c>
      <c r="E113" s="668">
        <f>'הספק נוסף נדרש'!E11*('הנחות עבודה'!$M$13+'הנחות עבודה'!$M$14+'הנחות עבודה'!$M$15)</f>
        <v>17.003135703602428</v>
      </c>
      <c r="F113" s="669">
        <f>'הספק נוסף נדרש'!E11*'הנחות עבודה'!$M$16</f>
        <v>7.2273329325362177</v>
      </c>
      <c r="G113" s="1085">
        <f>'הספק נוסף נדרש'!E11*'הנחות עבודה'!$N$12</f>
        <v>65.621631735501722</v>
      </c>
      <c r="H113" s="1086">
        <f>'הספק נוסף נדרש'!E11*('הנחות עבודה'!$N$13+'הנחות עבודה'!$N$14+'הנחות עבודה'!$N$15)</f>
        <v>39.673983308405667</v>
      </c>
      <c r="I113" s="1087">
        <f>'הספק נוסף נדרש'!E11*'הנחות עבודה'!$N$16</f>
        <v>16.863776842584507</v>
      </c>
      <c r="J113" s="667">
        <f>'הספק נוסף נדרש'!AK11*'הנחות עבודה'!$M$12</f>
        <v>682.5161820000144</v>
      </c>
      <c r="K113" s="668">
        <f>'הספק נוסף נדרש'!AK11*('הנחות עבודה'!$M$13+'הנחות עבודה'!$M$14+'הנחות עבודה'!$M$15)</f>
        <v>118.5034500255163</v>
      </c>
      <c r="L113" s="669">
        <f>'הספק נוסף נדרש'!AK11*'הנחות עבודה'!$M$16</f>
        <v>50.370937568128454</v>
      </c>
      <c r="M113" s="1085">
        <f>'הספק נוסף נדרש'!AK11*'הנחות עבודה'!$N$12</f>
        <v>457.35033187515472</v>
      </c>
      <c r="N113" s="1086">
        <f>'הספק נוסף נדרש'!AK11*('הנחות עבודה'!$N$13+'הנחות עבודה'!$N$14+'הנחות עבודה'!$N$15)</f>
        <v>276.50805005953799</v>
      </c>
      <c r="O113" s="1087">
        <f>'הספק נוסף נדרש'!AK11*'הנחות עבודה'!$N$16</f>
        <v>117.53218765896638</v>
      </c>
    </row>
    <row r="114" spans="3:15">
      <c r="C114" s="196">
        <f t="shared" si="16"/>
        <v>2024</v>
      </c>
      <c r="D114" s="667">
        <f>'הספק נוסף נדרש'!E12*'הנחות עבודה'!$M$12</f>
        <v>100.2641592638728</v>
      </c>
      <c r="E114" s="668">
        <f>'הספק נוסף נדרש'!E12*('הנחות עבודה'!$M$13+'הנחות עבודה'!$M$14+'הנחות עבודה'!$M$15)</f>
        <v>17.408596455338706</v>
      </c>
      <c r="F114" s="669">
        <f>'הספק נוסף נדרש'!E12*'הנחות עבודה'!$M$16</f>
        <v>7.3996776044224521</v>
      </c>
      <c r="G114" s="1085">
        <f>'הספק נוסף נדרש'!E12*'הנחות עבודה'!$N$12</f>
        <v>67.186460517524594</v>
      </c>
      <c r="H114" s="1086">
        <f>'הספק נוסף נדרש'!E12*('הנחות עבודה'!$N$13+'הנחות עבודה'!$N$14+'הנחות עבודה'!$N$15)</f>
        <v>40.620058395790309</v>
      </c>
      <c r="I114" s="1087">
        <f>'הספק נוסף נדרש'!E12*'הנחות עבודה'!$N$16</f>
        <v>17.265914410319052</v>
      </c>
      <c r="J114" s="667">
        <f>'הספק נוסף נדרש'!AK12*'הנחות עבודה'!$M$12</f>
        <v>713.47652718898973</v>
      </c>
      <c r="K114" s="668">
        <f>'הספק נוסף נדרש'!AK12*('הנחות עבודה'!$M$13+'הנחות עבודה'!$M$14+'הנחות עבודה'!$M$15)</f>
        <v>123.87901153692732</v>
      </c>
      <c r="L114" s="669">
        <f>'הספק נוסף נדרש'!AK12*'הנחות עבודה'!$M$16</f>
        <v>52.655867443390449</v>
      </c>
      <c r="M114" s="1085">
        <f>'הספק נוסף נדרש'!AK12*'הנחות עבודה'!$N$12</f>
        <v>478.09668854856608</v>
      </c>
      <c r="N114" s="1086">
        <f>'הספק נוסף נדרש'!AK12*('הנחות עבודה'!$N$13+'הנחות עבודה'!$N$14+'הנחות עבודה'!$N$15)</f>
        <v>289.05102691949708</v>
      </c>
      <c r="O114" s="1087">
        <f>'הספק נוסף נדרש'!AK12*'הנחות עבודה'!$N$16</f>
        <v>122.86369070124437</v>
      </c>
    </row>
    <row r="115" spans="3:15">
      <c r="C115" s="196">
        <f t="shared" si="16"/>
        <v>2025</v>
      </c>
      <c r="D115" s="667">
        <f>'הספק נוסף נדרש'!E13*'הנחות עבודה'!$M$12</f>
        <v>145.25789898336305</v>
      </c>
      <c r="E115" s="668">
        <f>'הספק נוסף נדרש'!E13*('הנחות עבודה'!$M$13+'הנחות עבודה'!$M$14+'הנחות עבודה'!$M$15)</f>
        <v>25.220738536256558</v>
      </c>
      <c r="F115" s="669">
        <f>'הספק נוסף נדרש'!E13*'הנחות עבודה'!$M$16</f>
        <v>10.720297560605436</v>
      </c>
      <c r="G115" s="1085">
        <f>'הספק נוסף נדרש'!E13*'הנחות עבודה'!$N$12</f>
        <v>97.336517520880406</v>
      </c>
      <c r="H115" s="1086">
        <f>'הספק נוסף נדרש'!E13*('הנחות עבודה'!$N$13+'הנחות עבודה'!$N$14+'הנחות עבודה'!$N$15)</f>
        <v>58.848389917931968</v>
      </c>
      <c r="I115" s="1087">
        <f>'הספק נוסף נדרש'!E13*'הנחות עבודה'!$N$16</f>
        <v>25.014027641412682</v>
      </c>
      <c r="J115" s="667">
        <f>'הספק נוסף נדרש'!AK13*'הנחות עבודה'!$M$12</f>
        <v>806.22322581502829</v>
      </c>
      <c r="K115" s="668">
        <f>'הספק נוסף נדרש'!AK13*('הנחות עבודה'!$M$13+'הנחות עבודה'!$M$14+'הנחות עבודה'!$M$15)</f>
        <v>139.98237150922193</v>
      </c>
      <c r="L115" s="669">
        <f>'הספק נוסף נדרש'!AK13*'הנחות עבודה'!$M$16</f>
        <v>59.500742758217946</v>
      </c>
      <c r="M115" s="1085">
        <f>'הספק נוסף נדרש'!AK13*'הנחות עבודה'!$N$12</f>
        <v>540.24574012510845</v>
      </c>
      <c r="N115" s="1086">
        <f>'הספק נוסף נדרש'!AK13*('הנחות עבודה'!$N$13+'הנחות עבודה'!$N$14+'הנחות עבודה'!$N$15)</f>
        <v>326.62553352151781</v>
      </c>
      <c r="O115" s="1087">
        <f>'הספק נוסף נדרש'!AK13*'הנחות עבודה'!$N$16</f>
        <v>138.83506643584187</v>
      </c>
    </row>
    <row r="116" spans="3:15">
      <c r="C116" s="196">
        <f t="shared" si="16"/>
        <v>2026</v>
      </c>
      <c r="D116" s="667">
        <f>'הספק נוסף נדרש'!E14*'הנחות עבודה'!$M$12</f>
        <v>496.24639666558761</v>
      </c>
      <c r="E116" s="668">
        <f>'הספק נוסף נדרש'!E14*('הנחות עבודה'!$M$13+'הנחות עבודה'!$M$14+'הנחות עבודה'!$M$15)</f>
        <v>86.161927905178601</v>
      </c>
      <c r="F116" s="669">
        <f>'הספק נוסף נדרש'!E14*'הנחות עבודה'!$M$16</f>
        <v>36.623888083653512</v>
      </c>
      <c r="G116" s="1085">
        <f>'הספק נוסף נדרש'!E14*'הנחות עבודה'!$N$12</f>
        <v>332.53197534714479</v>
      </c>
      <c r="H116" s="1086">
        <f>'הספק נוסף נדרש'!E14*('הנחות עבודה'!$N$13+'הנחות עבודה'!$N$14+'הנחות עבודה'!$N$15)</f>
        <v>201.04449844541674</v>
      </c>
      <c r="I116" s="1087">
        <f>'הספק נוסף נדרש'!E14*'הנחות עבודה'!$N$16</f>
        <v>85.455738861858194</v>
      </c>
      <c r="J116" s="667">
        <f>'הספק נוסף נדרש'!AK14*'הנחות עבודה'!$M$12</f>
        <v>1104.0525604432053</v>
      </c>
      <c r="K116" s="668">
        <f>'הספק נוסף נדרש'!AK14*('הנחות עבודה'!$M$13+'הנחות עבודה'!$M$14+'הנחות עבודה'!$M$15)</f>
        <v>191.69367829292275</v>
      </c>
      <c r="L116" s="669">
        <f>'הספק נוסף נדרש'!AK14*'הנחות עבודה'!$M$16</f>
        <v>81.481090208079323</v>
      </c>
      <c r="M116" s="1085">
        <f>'הספק נוסף נדרש'!AK14*'הנחות עבודה'!$N$12</f>
        <v>739.81953577520244</v>
      </c>
      <c r="N116" s="1086">
        <f>'הספק נוסף נדרש'!AK14*('הנחות עבודה'!$N$13+'הנחות עבודה'!$N$14+'הנחות עבודה'!$N$15)</f>
        <v>447.28524935015309</v>
      </c>
      <c r="O116" s="1087">
        <f>'הספק נוסף נדרש'!AK14*'הנחות עבודה'!$N$16</f>
        <v>190.12254381885174</v>
      </c>
    </row>
    <row r="117" spans="3:15">
      <c r="C117" s="196">
        <f t="shared" si="16"/>
        <v>2027</v>
      </c>
      <c r="D117" s="667">
        <f>'הספק נוסף נדרש'!E15*'הנחות עבודה'!$M$12</f>
        <v>522.32342962622749</v>
      </c>
      <c r="E117" s="668">
        <f>'הספק נוסף נדרש'!E15*('הנחות עבודה'!$M$13+'הנחות עבודה'!$M$14+'הנחות עבודה'!$M$15)</f>
        <v>90.68961304109655</v>
      </c>
      <c r="F117" s="669">
        <f>'הספק נוסף נדרש'!E15*'הנחות עבודה'!$M$16</f>
        <v>38.548420620557373</v>
      </c>
      <c r="G117" s="1085">
        <f>'הספק נוסף נדרש'!E15*'הנחות עבודה'!$N$12</f>
        <v>350.006051410689</v>
      </c>
      <c r="H117" s="1086">
        <f>'הספק נוסף נדרש'!E15*('הנחות עבודה'!$N$13+'הנחות עבודה'!$N$14+'הנחות עבודה'!$N$15)</f>
        <v>211.60909709589194</v>
      </c>
      <c r="I117" s="1087">
        <f>'הספק נוסף נדרש'!E15*'הנחות עבודה'!$N$16</f>
        <v>89.946314781300529</v>
      </c>
      <c r="J117" s="667">
        <f>'הספק נוסף נדרש'!AK15*'הנחות עבודה'!$M$12</f>
        <v>1164.2891042557401</v>
      </c>
      <c r="K117" s="668">
        <f>'הספק נוסף נדרש'!AK15*('הנחות עבודה'!$M$13+'הנחות עבודה'!$M$14+'הנחות עבודה'!$M$15)</f>
        <v>202.15238747470505</v>
      </c>
      <c r="L117" s="669">
        <f>'הספק נוסף נדרש'!AK15*'הנחות עבודה'!$M$16</f>
        <v>85.926656874073714</v>
      </c>
      <c r="M117" s="1085">
        <f>'הספק נוסף נדרש'!AK15*'הנחות עבודה'!$N$12</f>
        <v>780.18371179070175</v>
      </c>
      <c r="N117" s="1086">
        <f>'הספק נוסף נדרש'!AK15*('הנחות עבודה'!$N$13+'הנחות עבודה'!$N$14+'הנחות עבודה'!$N$15)</f>
        <v>471.6889041076451</v>
      </c>
      <c r="O117" s="1087">
        <f>'הספק נוסף נדרש'!AK15*'הנחות עבודה'!$N$16</f>
        <v>200.49553270617199</v>
      </c>
    </row>
    <row r="118" spans="3:15">
      <c r="C118" s="196">
        <f t="shared" si="16"/>
        <v>2028</v>
      </c>
      <c r="D118" s="667">
        <f>'הספק נוסף נדרש'!E16*'הנחות עבודה'!$M$12</f>
        <v>531.08322446763657</v>
      </c>
      <c r="E118" s="668">
        <f>'הספק נוסף נדרש'!E16*('הנחות עבודה'!$M$13+'הנחות עבודה'!$M$14+'הנחות עבודה'!$M$15)</f>
        <v>92.210552672418984</v>
      </c>
      <c r="F118" s="669">
        <f>'הספק נוסף נדרש'!E16*'הנחות עבודה'!$M$16</f>
        <v>39.194909437530534</v>
      </c>
      <c r="G118" s="1085">
        <f>'הספק נוסף נדרש'!E16*'הנחות עבודה'!$N$12</f>
        <v>355.87594165437059</v>
      </c>
      <c r="H118" s="1086">
        <f>'הספק נוסף נדרש'!E16*('הנחות עבודה'!$N$13+'הנחות עבודה'!$N$14+'הנחות עבודה'!$N$15)</f>
        <v>215.15795623564429</v>
      </c>
      <c r="I118" s="1087">
        <f>'הספק נוסף נדרש'!E16*'הנחות עבודה'!$N$16</f>
        <v>91.454788687571238</v>
      </c>
      <c r="J118" s="667">
        <f>'הספק נוסף נדרש'!AK16*'הנחות עבודה'!$M$12</f>
        <v>1196.036252062582</v>
      </c>
      <c r="K118" s="668">
        <f>'הספק נוסף נדרש'!AK16*('הנחות עבודה'!$M$13+'הנחות עבודה'!$M$14+'הנחות עבודה'!$M$15)</f>
        <v>207.66455940967128</v>
      </c>
      <c r="L118" s="669">
        <f>'הספק נוסף נדרש'!AK16*'הנחות עבודה'!$M$16</f>
        <v>88.269654215848902</v>
      </c>
      <c r="M118" s="1085">
        <f>'הספק נוסף נדרש'!AK16*'הנחות עבודה'!$N$12</f>
        <v>801.45730056188847</v>
      </c>
      <c r="N118" s="1086">
        <f>'הספק נוסף נדרש'!AK16*('הנחות עבודה'!$N$13+'הנחות עבודה'!$N$14+'הנחות עבודה'!$N$15)</f>
        <v>484.55063862256628</v>
      </c>
      <c r="O118" s="1087">
        <f>'הספק נוסף נדרש'!AK16*'הנחות עבודה'!$N$16</f>
        <v>205.96252650364741</v>
      </c>
    </row>
    <row r="119" spans="3:15">
      <c r="C119" s="196">
        <f t="shared" si="16"/>
        <v>2029</v>
      </c>
      <c r="D119" s="667">
        <f>'הספק נוסף נדרש'!E17*'הנחות עבודה'!$M$12</f>
        <v>596.28254751998713</v>
      </c>
      <c r="E119" s="668">
        <f>'הספק נוסף נדרש'!E17*('הנחות עבודה'!$M$13+'הנחות עבודה'!$M$14+'הנחות עבודה'!$M$15)</f>
        <v>103.53093587328432</v>
      </c>
      <c r="F119" s="669">
        <f>'הספק נוסף נדרש'!E17*'הנחות עבודה'!$M$16</f>
        <v>44.006738252094991</v>
      </c>
      <c r="G119" s="1085">
        <f>'הספק נוסף נדרש'!E17*'הנחות עבודה'!$N$12</f>
        <v>399.56564868614805</v>
      </c>
      <c r="H119" s="1086">
        <f>'הספק נוסף נדרש'!E17*('הנחות עבודה'!$N$13+'הנחות עבודה'!$N$14+'הנחות עבודה'!$N$15)</f>
        <v>241.57218370433009</v>
      </c>
      <c r="I119" s="1087">
        <f>'הספק נוסף נדרש'!E17*'הנחות עבודה'!$N$16</f>
        <v>102.68238925488831</v>
      </c>
      <c r="J119" s="667">
        <f>'הספק נוסף נדרש'!AK17*'הנחות עבודה'!$M$12</f>
        <v>1323.8537865123812</v>
      </c>
      <c r="K119" s="668">
        <f>'הספק נוסף נדרש'!AK17*('הנחות עבודה'!$M$13+'הנחות עבודה'!$M$14+'הנחות עבודה'!$M$15)</f>
        <v>229.85717433298478</v>
      </c>
      <c r="L119" s="669">
        <f>'הספק נוסף נדרש'!AK17*'הנחות עבודה'!$M$16</f>
        <v>97.702821102847054</v>
      </c>
      <c r="M119" s="1085">
        <f>'הספק נוסף נדרש'!AK17*'הנחות עבודה'!$N$12</f>
        <v>887.10712593127209</v>
      </c>
      <c r="N119" s="1086">
        <f>'הספק נוסף נדרש'!AK17*('הנחות עבודה'!$N$13+'הנחות עבודה'!$N$14+'הנחות עבודה'!$N$15)</f>
        <v>536.33340677696447</v>
      </c>
      <c r="O119" s="1087">
        <f>'הספק נוסף נדרש'!AK17*'הנחות עבודה'!$N$16</f>
        <v>227.97324923997644</v>
      </c>
    </row>
    <row r="120" spans="3:15">
      <c r="C120" s="196">
        <f t="shared" ref="C120:C130" si="17">C119+1</f>
        <v>2030</v>
      </c>
      <c r="D120" s="667">
        <f>'הספק נוסף נדרש'!E18*'הנחות עבודה'!$M$12</f>
        <v>607.6562350769118</v>
      </c>
      <c r="E120" s="668">
        <f>'הספק נוסף נדרש'!E18*('הנחות עבודה'!$M$13+'הנחות עבודה'!$M$14+'הנחות עבודה'!$M$15)</f>
        <v>105.50571867046031</v>
      </c>
      <c r="F120" s="669">
        <f>'הספק נוסף נדרש'!E18*'הנחות עבודה'!$M$16</f>
        <v>44.846137113189307</v>
      </c>
      <c r="G120" s="1085">
        <f>'הספק נוסף נדרש'!E18*'הנחות עבודה'!$N$12</f>
        <v>407.18709403204565</v>
      </c>
      <c r="H120" s="1086">
        <f>'הספק נוסף נדרש'!E18*('הנחות עבודה'!$N$13+'הנחות עבודה'!$N$14+'הנחות עבודה'!$N$15)</f>
        <v>246.18001023107402</v>
      </c>
      <c r="I120" s="1087">
        <f>'הספק נוסף נדרש'!E18*'הנחות עבודה'!$N$16</f>
        <v>104.6409865974417</v>
      </c>
      <c r="J120" s="667">
        <f>'הספק נוסף נדרש'!AK18*'הנחות עבודה'!$M$12</f>
        <v>1361.6223249580632</v>
      </c>
      <c r="K120" s="668">
        <f>'הספק נוסף נדרש'!AK18*('הנחות עבודה'!$M$13+'הנחות עבודה'!$M$14+'הנחות עבודה'!$M$15)</f>
        <v>236.41482413861911</v>
      </c>
      <c r="L120" s="669">
        <f>'הספק נוסף נדרש'!AK18*'הנחות עבודה'!$M$16</f>
        <v>100.49020804290772</v>
      </c>
      <c r="M120" s="1085">
        <f>'הספק נוסף נדרש'!AK18*'הנחות עבודה'!$N$12</f>
        <v>912.41561538269411</v>
      </c>
      <c r="N120" s="1086">
        <f>'הספק נוסף נדרש'!AK18*('הנחות עבודה'!$N$13+'הנחות עבודה'!$N$14+'הנחות עבודה'!$N$15)</f>
        <v>551.63458965677785</v>
      </c>
      <c r="O120" s="1087">
        <f>'הספק נוסף נדרש'!AK18*'הנחות עבודה'!$N$16</f>
        <v>234.47715210011799</v>
      </c>
    </row>
    <row r="121" spans="3:15">
      <c r="C121" s="196">
        <f t="shared" si="17"/>
        <v>2031</v>
      </c>
      <c r="D121" s="667">
        <f>'הספק נוסף נדרש'!E19*'הנחות עבודה'!$M$12</f>
        <v>0</v>
      </c>
      <c r="E121" s="668">
        <f>'הספק נוסף נדרש'!E19*('הנחות עבודה'!$M$13+'הנחות עבודה'!$M$14+'הנחות עבודה'!$M$15)</f>
        <v>0</v>
      </c>
      <c r="F121" s="669">
        <f>'הספק נוסף נדרש'!E19*'הנחות עבודה'!$M$16</f>
        <v>0</v>
      </c>
      <c r="G121" s="1085">
        <f>'הספק נוסף נדרש'!E19*'הנחות עבודה'!$N$12</f>
        <v>0</v>
      </c>
      <c r="H121" s="1086">
        <f>'הספק נוסף נדרש'!E19*('הנחות עבודה'!$N$13+'הנחות עבודה'!$N$14+'הנחות עבודה'!$N$15)</f>
        <v>0</v>
      </c>
      <c r="I121" s="1087">
        <f>'הספק נוסף נדרש'!E19*'הנחות עבודה'!$N$16</f>
        <v>0</v>
      </c>
      <c r="J121" s="667">
        <f>'הספק נוסף נדרש'!AK19*'הנחות עבודה'!$M$12</f>
        <v>0</v>
      </c>
      <c r="K121" s="668">
        <f>'הספק נוסף נדרש'!AK19*('הנחות עבודה'!$M$13+'הנחות עבודה'!$M$14+'הנחות עבודה'!$M$15)</f>
        <v>0</v>
      </c>
      <c r="L121" s="669">
        <f>'הספק נוסף נדרש'!AK19*'הנחות עבודה'!$M$16</f>
        <v>0</v>
      </c>
      <c r="M121" s="1085">
        <f>'הספק נוסף נדרש'!AK19*'הנחות עבודה'!$N$12</f>
        <v>0</v>
      </c>
      <c r="N121" s="1086">
        <f>'הספק נוסף נדרש'!AK19*('הנחות עבודה'!$N$13+'הנחות עבודה'!$N$14+'הנחות עבודה'!$N$15)</f>
        <v>0</v>
      </c>
      <c r="O121" s="1087">
        <f>'הספק נוסף נדרש'!AK19*'הנחות עבודה'!$N$16</f>
        <v>0</v>
      </c>
    </row>
    <row r="122" spans="3:15">
      <c r="C122" s="196">
        <f t="shared" si="17"/>
        <v>2032</v>
      </c>
      <c r="D122" s="667">
        <f>'הספק נוסף נדרש'!E20*'הנחות עבודה'!$M$12</f>
        <v>0</v>
      </c>
      <c r="E122" s="668">
        <f>'הספק נוסף נדרש'!E20*('הנחות עבודה'!$M$13+'הנחות עבודה'!$M$14+'הנחות עבודה'!$M$15)</f>
        <v>0</v>
      </c>
      <c r="F122" s="669">
        <f>'הספק נוסף נדרש'!E20*'הנחות עבודה'!$M$16</f>
        <v>0</v>
      </c>
      <c r="G122" s="1085">
        <f>'הספק נוסף נדרש'!E20*'הנחות עבודה'!$N$12</f>
        <v>0</v>
      </c>
      <c r="H122" s="1086">
        <f>'הספק נוסף נדרש'!E20*('הנחות עבודה'!$N$13+'הנחות עבודה'!$N$14+'הנחות עבודה'!$N$15)</f>
        <v>0</v>
      </c>
      <c r="I122" s="1087">
        <f>'הספק נוסף נדרש'!E20*'הנחות עבודה'!$N$16</f>
        <v>0</v>
      </c>
      <c r="J122" s="667">
        <f>'הספק נוסף נדרש'!AK20*'הנחות עבודה'!$M$12</f>
        <v>0</v>
      </c>
      <c r="K122" s="668">
        <f>'הספק נוסף נדרש'!AK20*('הנחות עבודה'!$M$13+'הנחות עבודה'!$M$14+'הנחות עבודה'!$M$15)</f>
        <v>0</v>
      </c>
      <c r="L122" s="669">
        <f>'הספק נוסף נדרש'!AK20*'הנחות עבודה'!$M$16</f>
        <v>0</v>
      </c>
      <c r="M122" s="1085">
        <f>'הספק נוסף נדרש'!AK20*'הנחות עבודה'!$N$12</f>
        <v>0</v>
      </c>
      <c r="N122" s="1086">
        <f>'הספק נוסף נדרש'!AK20*('הנחות עבודה'!$N$13+'הנחות עבודה'!$N$14+'הנחות עבודה'!$N$15)</f>
        <v>0</v>
      </c>
      <c r="O122" s="1087">
        <f>'הספק נוסף נדרש'!AK20*'הנחות עבודה'!$N$16</f>
        <v>0</v>
      </c>
    </row>
    <row r="123" spans="3:15">
      <c r="C123" s="196">
        <f t="shared" si="17"/>
        <v>2033</v>
      </c>
      <c r="D123" s="667">
        <f>'הספק נוסף נדרש'!E21*'הנחות עבודה'!$M$12</f>
        <v>0</v>
      </c>
      <c r="E123" s="668">
        <f>'הספק נוסף נדרש'!E21*('הנחות עבודה'!$M$13+'הנחות עבודה'!$M$14+'הנחות עבודה'!$M$15)</f>
        <v>0</v>
      </c>
      <c r="F123" s="669">
        <f>'הספק נוסף נדרש'!E21*'הנחות עבודה'!$M$16</f>
        <v>0</v>
      </c>
      <c r="G123" s="1085">
        <f>'הספק נוסף נדרש'!E21*'הנחות עבודה'!$N$12</f>
        <v>0</v>
      </c>
      <c r="H123" s="1086">
        <f>'הספק נוסף נדרש'!E21*('הנחות עבודה'!$N$13+'הנחות עבודה'!$N$14+'הנחות עבודה'!$N$15)</f>
        <v>0</v>
      </c>
      <c r="I123" s="1087">
        <f>'הספק נוסף נדרש'!E21*'הנחות עבודה'!$N$16</f>
        <v>0</v>
      </c>
      <c r="J123" s="667">
        <f>'הספק נוסף נדרש'!AK21*'הנחות עבודה'!$M$12</f>
        <v>0</v>
      </c>
      <c r="K123" s="668">
        <f>'הספק נוסף נדרש'!AK21*('הנחות עבודה'!$M$13+'הנחות עבודה'!$M$14+'הנחות עבודה'!$M$15)</f>
        <v>0</v>
      </c>
      <c r="L123" s="669">
        <f>'הספק נוסף נדרש'!AK21*'הנחות עבודה'!$M$16</f>
        <v>0</v>
      </c>
      <c r="M123" s="1085">
        <f>'הספק נוסף נדרש'!AK21*'הנחות עבודה'!$N$12</f>
        <v>0</v>
      </c>
      <c r="N123" s="1086">
        <f>'הספק נוסף נדרש'!AK21*('הנחות עבודה'!$N$13+'הנחות עבודה'!$N$14+'הנחות עבודה'!$N$15)</f>
        <v>0</v>
      </c>
      <c r="O123" s="1087">
        <f>'הספק נוסף נדרש'!AK21*'הנחות עבודה'!$N$16</f>
        <v>0</v>
      </c>
    </row>
    <row r="124" spans="3:15">
      <c r="C124" s="196">
        <f t="shared" si="17"/>
        <v>2034</v>
      </c>
      <c r="D124" s="667">
        <f>'הספק נוסף נדרש'!E22*'הנחות עבודה'!$M$12</f>
        <v>0</v>
      </c>
      <c r="E124" s="668">
        <f>'הספק נוסף נדרש'!E22*('הנחות עבודה'!$M$13+'הנחות עבודה'!$M$14+'הנחות עבודה'!$M$15)</f>
        <v>0</v>
      </c>
      <c r="F124" s="669">
        <f>'הספק נוסף נדרש'!E22*'הנחות עבודה'!$M$16</f>
        <v>0</v>
      </c>
      <c r="G124" s="1085">
        <f>'הספק נוסף נדרש'!E22*'הנחות עבודה'!$N$12</f>
        <v>0</v>
      </c>
      <c r="H124" s="1086">
        <f>'הספק נוסף נדרש'!E22*('הנחות עבודה'!$N$13+'הנחות עבודה'!$N$14+'הנחות עבודה'!$N$15)</f>
        <v>0</v>
      </c>
      <c r="I124" s="1087">
        <f>'הספק נוסף נדרש'!E22*'הנחות עבודה'!$N$16</f>
        <v>0</v>
      </c>
      <c r="J124" s="667">
        <f>'הספק נוסף נדרש'!AK22*'הנחות עבודה'!$M$12</f>
        <v>0</v>
      </c>
      <c r="K124" s="668">
        <f>'הספק נוסף נדרש'!AK22*('הנחות עבודה'!$M$13+'הנחות עבודה'!$M$14+'הנחות עבודה'!$M$15)</f>
        <v>0</v>
      </c>
      <c r="L124" s="669">
        <f>'הספק נוסף נדרש'!AK22*'הנחות עבודה'!$M$16</f>
        <v>0</v>
      </c>
      <c r="M124" s="1085">
        <f>'הספק נוסף נדרש'!AK22*'הנחות עבודה'!$N$12</f>
        <v>0</v>
      </c>
      <c r="N124" s="1086">
        <f>'הספק נוסף נדרש'!AK22*('הנחות עבודה'!$N$13+'הנחות עבודה'!$N$14+'הנחות עבודה'!$N$15)</f>
        <v>0</v>
      </c>
      <c r="O124" s="1087">
        <f>'הספק נוסף נדרש'!AK22*'הנחות עבודה'!$N$16</f>
        <v>0</v>
      </c>
    </row>
    <row r="125" spans="3:15">
      <c r="C125" s="196">
        <f t="shared" si="17"/>
        <v>2035</v>
      </c>
      <c r="D125" s="667">
        <f>'הספק נוסף נדרש'!E23*'הנחות עבודה'!$M$12</f>
        <v>0</v>
      </c>
      <c r="E125" s="668">
        <f>'הספק נוסף נדרש'!E23*('הנחות עבודה'!$M$13+'הנחות עבודה'!$M$14+'הנחות עבודה'!$M$15)</f>
        <v>0</v>
      </c>
      <c r="F125" s="669">
        <f>'הספק נוסף נדרש'!E23*'הנחות עבודה'!$M$16</f>
        <v>0</v>
      </c>
      <c r="G125" s="1085">
        <f>'הספק נוסף נדרש'!E23*'הנחות עבודה'!$N$12</f>
        <v>0</v>
      </c>
      <c r="H125" s="1086">
        <f>'הספק נוסף נדרש'!E23*('הנחות עבודה'!$N$13+'הנחות עבודה'!$N$14+'הנחות עבודה'!$N$15)</f>
        <v>0</v>
      </c>
      <c r="I125" s="1087">
        <f>'הספק נוסף נדרש'!E23*'הנחות עבודה'!$N$16</f>
        <v>0</v>
      </c>
      <c r="J125" s="667">
        <f>'הספק נוסף נדרש'!AK23*'הנחות עבודה'!$M$12</f>
        <v>0</v>
      </c>
      <c r="K125" s="668">
        <f>'הספק נוסף נדרש'!AK23*('הנחות עבודה'!$M$13+'הנחות עבודה'!$M$14+'הנחות עבודה'!$M$15)</f>
        <v>0</v>
      </c>
      <c r="L125" s="669">
        <f>'הספק נוסף נדרש'!AK23*'הנחות עבודה'!$M$16</f>
        <v>0</v>
      </c>
      <c r="M125" s="1085">
        <f>'הספק נוסף נדרש'!AK23*'הנחות עבודה'!$N$12</f>
        <v>0</v>
      </c>
      <c r="N125" s="1086">
        <f>'הספק נוסף נדרש'!AK23*('הנחות עבודה'!$N$13+'הנחות עבודה'!$N$14+'הנחות עבודה'!$N$15)</f>
        <v>0</v>
      </c>
      <c r="O125" s="1087">
        <f>'הספק נוסף נדרש'!AK23*'הנחות עבודה'!$N$16</f>
        <v>0</v>
      </c>
    </row>
    <row r="126" spans="3:15">
      <c r="C126" s="196">
        <f t="shared" si="17"/>
        <v>2036</v>
      </c>
      <c r="D126" s="667">
        <f>'הספק נוסף נדרש'!E24*'הנחות עבודה'!$M$12</f>
        <v>0</v>
      </c>
      <c r="E126" s="668">
        <f>'הספק נוסף נדרש'!E24*('הנחות עבודה'!$M$13+'הנחות עבודה'!$M$14+'הנחות עבודה'!$M$15)</f>
        <v>0</v>
      </c>
      <c r="F126" s="669">
        <f>'הספק נוסף נדרש'!E24*'הנחות עבודה'!$M$16</f>
        <v>0</v>
      </c>
      <c r="G126" s="1085">
        <f>'הספק נוסף נדרש'!E24*'הנחות עבודה'!$N$12</f>
        <v>0</v>
      </c>
      <c r="H126" s="1086">
        <f>'הספק נוסף נדרש'!E24*('הנחות עבודה'!$N$13+'הנחות עבודה'!$N$14+'הנחות עבודה'!$N$15)</f>
        <v>0</v>
      </c>
      <c r="I126" s="1087">
        <f>'הספק נוסף נדרש'!E24*'הנחות עבודה'!$N$16</f>
        <v>0</v>
      </c>
      <c r="J126" s="667">
        <f>'הספק נוסף נדרש'!AK24*'הנחות עבודה'!$M$12</f>
        <v>0</v>
      </c>
      <c r="K126" s="668">
        <f>'הספק נוסף נדרש'!AK24*('הנחות עבודה'!$M$13+'הנחות עבודה'!$M$14+'הנחות עבודה'!$M$15)</f>
        <v>0</v>
      </c>
      <c r="L126" s="669">
        <f>'הספק נוסף נדרש'!AK24*'הנחות עבודה'!$M$16</f>
        <v>0</v>
      </c>
      <c r="M126" s="1085">
        <f>'הספק נוסף נדרש'!AK24*'הנחות עבודה'!$N$12</f>
        <v>0</v>
      </c>
      <c r="N126" s="1086">
        <f>'הספק נוסף נדרש'!AK24*('הנחות עבודה'!$N$13+'הנחות עבודה'!$N$14+'הנחות עבודה'!$N$15)</f>
        <v>0</v>
      </c>
      <c r="O126" s="1087">
        <f>'הספק נוסף נדרש'!AK24*'הנחות עבודה'!$N$16</f>
        <v>0</v>
      </c>
    </row>
    <row r="127" spans="3:15">
      <c r="C127" s="196">
        <f t="shared" si="17"/>
        <v>2037</v>
      </c>
      <c r="D127" s="667">
        <f>'הספק נוסף נדרש'!E25*'הנחות עבודה'!$M$12</f>
        <v>0</v>
      </c>
      <c r="E127" s="668">
        <f>'הספק נוסף נדרש'!E25*('הנחות עבודה'!$M$13+'הנחות עבודה'!$M$14+'הנחות עבודה'!$M$15)</f>
        <v>0</v>
      </c>
      <c r="F127" s="669">
        <f>'הספק נוסף נדרש'!E25*'הנחות עבודה'!$M$16</f>
        <v>0</v>
      </c>
      <c r="G127" s="1085">
        <f>'הספק נוסף נדרש'!E25*'הנחות עבודה'!$N$12</f>
        <v>0</v>
      </c>
      <c r="H127" s="1086">
        <f>'הספק נוסף נדרש'!E25*('הנחות עבודה'!$N$13+'הנחות עבודה'!$N$14+'הנחות עבודה'!$N$15)</f>
        <v>0</v>
      </c>
      <c r="I127" s="1087">
        <f>'הספק נוסף נדרש'!E25*'הנחות עבודה'!$N$16</f>
        <v>0</v>
      </c>
      <c r="J127" s="667">
        <f>'הספק נוסף נדרש'!AK25*'הנחות עבודה'!$M$12</f>
        <v>0</v>
      </c>
      <c r="K127" s="668">
        <f>'הספק נוסף נדרש'!AK25*('הנחות עבודה'!$M$13+'הנחות עבודה'!$M$14+'הנחות עבודה'!$M$15)</f>
        <v>0</v>
      </c>
      <c r="L127" s="669">
        <f>'הספק נוסף נדרש'!AK25*'הנחות עבודה'!$M$16</f>
        <v>0</v>
      </c>
      <c r="M127" s="1085">
        <f>'הספק נוסף נדרש'!AK25*'הנחות עבודה'!$N$12</f>
        <v>0</v>
      </c>
      <c r="N127" s="1086">
        <f>'הספק נוסף נדרש'!AK25*('הנחות עבודה'!$N$13+'הנחות עבודה'!$N$14+'הנחות עבודה'!$N$15)</f>
        <v>0</v>
      </c>
      <c r="O127" s="1087">
        <f>'הספק נוסף נדרש'!AK25*'הנחות עבודה'!$N$16</f>
        <v>0</v>
      </c>
    </row>
    <row r="128" spans="3:15">
      <c r="C128" s="196">
        <f t="shared" si="17"/>
        <v>2038</v>
      </c>
      <c r="D128" s="667">
        <f>'הספק נוסף נדרש'!E26*'הנחות עבודה'!$M$12</f>
        <v>0</v>
      </c>
      <c r="E128" s="668">
        <f>'הספק נוסף נדרש'!E26*('הנחות עבודה'!$M$13+'הנחות עבודה'!$M$14+'הנחות עבודה'!$M$15)</f>
        <v>0</v>
      </c>
      <c r="F128" s="669">
        <f>'הספק נוסף נדרש'!E26*'הנחות עבודה'!$M$16</f>
        <v>0</v>
      </c>
      <c r="G128" s="1085">
        <f>'הספק נוסף נדרש'!E26*'הנחות עבודה'!$N$12</f>
        <v>0</v>
      </c>
      <c r="H128" s="1086">
        <f>'הספק נוסף נדרש'!E26*('הנחות עבודה'!$N$13+'הנחות עבודה'!$N$14+'הנחות עבודה'!$N$15)</f>
        <v>0</v>
      </c>
      <c r="I128" s="1087">
        <f>'הספק נוסף נדרש'!E26*'הנחות עבודה'!$N$16</f>
        <v>0</v>
      </c>
      <c r="J128" s="667">
        <f>'הספק נוסף נדרש'!AK26*'הנחות עבודה'!$M$12</f>
        <v>0</v>
      </c>
      <c r="K128" s="668">
        <f>'הספק נוסף נדרש'!AK26*('הנחות עבודה'!$M$13+'הנחות עבודה'!$M$14+'הנחות עבודה'!$M$15)</f>
        <v>0</v>
      </c>
      <c r="L128" s="669">
        <f>'הספק נוסף נדרש'!AK26*'הנחות עבודה'!$M$16</f>
        <v>0</v>
      </c>
      <c r="M128" s="1085">
        <f>'הספק נוסף נדרש'!AK26*'הנחות עבודה'!$N$12</f>
        <v>0</v>
      </c>
      <c r="N128" s="1086">
        <f>'הספק נוסף נדרש'!AK26*('הנחות עבודה'!$N$13+'הנחות עבודה'!$N$14+'הנחות עבודה'!$N$15)</f>
        <v>0</v>
      </c>
      <c r="O128" s="1087">
        <f>'הספק נוסף נדרש'!AK26*'הנחות עבודה'!$N$16</f>
        <v>0</v>
      </c>
    </row>
    <row r="129" spans="3:15">
      <c r="C129" s="196">
        <f t="shared" si="17"/>
        <v>2039</v>
      </c>
      <c r="D129" s="667">
        <f>'הספק נוסף נדרש'!E27*'הנחות עבודה'!$M$12</f>
        <v>0</v>
      </c>
      <c r="E129" s="668">
        <f>'הספק נוסף נדרש'!E27*('הנחות עבודה'!$M$13+'הנחות עבודה'!$M$14+'הנחות עבודה'!$M$15)</f>
        <v>0</v>
      </c>
      <c r="F129" s="669">
        <f>'הספק נוסף נדרש'!E27*'הנחות עבודה'!$M$16</f>
        <v>0</v>
      </c>
      <c r="G129" s="1085">
        <f>'הספק נוסף נדרש'!E27*'הנחות עבודה'!$N$12</f>
        <v>0</v>
      </c>
      <c r="H129" s="1086">
        <f>'הספק נוסף נדרש'!E27*('הנחות עבודה'!$N$13+'הנחות עבודה'!$N$14+'הנחות עבודה'!$N$15)</f>
        <v>0</v>
      </c>
      <c r="I129" s="1087">
        <f>'הספק נוסף נדרש'!E27*'הנחות עבודה'!$N$16</f>
        <v>0</v>
      </c>
      <c r="J129" s="667">
        <f>'הספק נוסף נדרש'!AK27*'הנחות עבודה'!$M$12</f>
        <v>0</v>
      </c>
      <c r="K129" s="668">
        <f>'הספק נוסף נדרש'!AK27*('הנחות עבודה'!$M$13+'הנחות עבודה'!$M$14+'הנחות עבודה'!$M$15)</f>
        <v>0</v>
      </c>
      <c r="L129" s="669">
        <f>'הספק נוסף נדרש'!AK27*'הנחות עבודה'!$M$16</f>
        <v>0</v>
      </c>
      <c r="M129" s="1085">
        <f>'הספק נוסף נדרש'!AK27*'הנחות עבודה'!$N$12</f>
        <v>0</v>
      </c>
      <c r="N129" s="1086">
        <f>'הספק נוסף נדרש'!AK27*('הנחות עבודה'!$N$13+'הנחות עבודה'!$N$14+'הנחות עבודה'!$N$15)</f>
        <v>0</v>
      </c>
      <c r="O129" s="1087">
        <f>'הספק נוסף נדרש'!AK27*'הנחות עבודה'!$N$16</f>
        <v>0</v>
      </c>
    </row>
    <row r="130" spans="3:15" ht="15.75" thickBot="1">
      <c r="C130" s="197">
        <f t="shared" si="17"/>
        <v>2040</v>
      </c>
      <c r="D130" s="674">
        <f>'הספק נוסף נדרש'!E28*'הנחות עבודה'!$M$12</f>
        <v>0</v>
      </c>
      <c r="E130" s="675">
        <f>'הספק נוסף נדרש'!E28*('הנחות עבודה'!$M$13+'הנחות עבודה'!$M$14+'הנחות עבודה'!$M$15)</f>
        <v>0</v>
      </c>
      <c r="F130" s="676">
        <f>'הספק נוסף נדרש'!E28*'הנחות עבודה'!$M$16</f>
        <v>0</v>
      </c>
      <c r="G130" s="1088">
        <f>'הספק נוסף נדרש'!E28*'הנחות עבודה'!$N$12</f>
        <v>0</v>
      </c>
      <c r="H130" s="1089">
        <f>'הספק נוסף נדרש'!E28*('הנחות עבודה'!$N$13+'הנחות עבודה'!$N$14+'הנחות עבודה'!$N$15)</f>
        <v>0</v>
      </c>
      <c r="I130" s="1090">
        <f>'הספק נוסף נדרש'!E28*'הנחות עבודה'!$N$16</f>
        <v>0</v>
      </c>
      <c r="J130" s="674">
        <f>'הספק נוסף נדרש'!AK28*'הנחות עבודה'!$M$12</f>
        <v>0</v>
      </c>
      <c r="K130" s="675">
        <f>'הספק נוסף נדרש'!AK28*('הנחות עבודה'!$M$13+'הנחות עבודה'!$M$14+'הנחות עבודה'!$M$15)</f>
        <v>0</v>
      </c>
      <c r="L130" s="676">
        <f>'הספק נוסף נדרש'!AK28*'הנחות עבודה'!$M$16</f>
        <v>0</v>
      </c>
      <c r="M130" s="1088">
        <f>'הספק נוסף נדרש'!AK28*'הנחות עבודה'!$N$12</f>
        <v>0</v>
      </c>
      <c r="N130" s="1089">
        <f>'הספק נוסף נדרש'!AK28*('הנחות עבודה'!$N$13+'הנחות עבודה'!$N$14+'הנחות עבודה'!$N$15)</f>
        <v>0</v>
      </c>
      <c r="O130" s="1090">
        <f>'הספק נוסף נדרש'!AK28*'הנחות עבודה'!$N$16</f>
        <v>0</v>
      </c>
    </row>
    <row r="131" spans="3:15">
      <c r="C131" s="244"/>
    </row>
    <row r="132" spans="3:15">
      <c r="C132" s="244"/>
    </row>
    <row r="133" spans="3:15" ht="15.75" thickBot="1"/>
    <row r="134" spans="3:15" ht="15.75" thickBot="1">
      <c r="D134" s="1214" t="s">
        <v>465</v>
      </c>
      <c r="E134" s="1215"/>
      <c r="F134" s="1216"/>
      <c r="G134" s="1211" t="s">
        <v>466</v>
      </c>
      <c r="H134" s="1212"/>
      <c r="I134" s="1213"/>
      <c r="J134" s="1214" t="s">
        <v>467</v>
      </c>
      <c r="K134" s="1215"/>
      <c r="L134" s="1216"/>
      <c r="M134" s="1217" t="s">
        <v>468</v>
      </c>
      <c r="N134" s="1218"/>
      <c r="O134" s="1219"/>
    </row>
    <row r="135" spans="3:15" ht="30.75" thickBot="1">
      <c r="D135" s="1080" t="s">
        <v>463</v>
      </c>
      <c r="E135" s="1080" t="s">
        <v>462</v>
      </c>
      <c r="F135" s="1080" t="s">
        <v>464</v>
      </c>
      <c r="G135" s="1081" t="s">
        <v>463</v>
      </c>
      <c r="H135" s="1081" t="s">
        <v>462</v>
      </c>
      <c r="I135" s="1081" t="s">
        <v>464</v>
      </c>
      <c r="J135" s="1080" t="s">
        <v>463</v>
      </c>
      <c r="K135" s="1080" t="s">
        <v>462</v>
      </c>
      <c r="L135" s="1091" t="s">
        <v>464</v>
      </c>
      <c r="M135" s="1081" t="s">
        <v>463</v>
      </c>
      <c r="N135" s="1081" t="s">
        <v>462</v>
      </c>
      <c r="O135" s="1081" t="s">
        <v>464</v>
      </c>
    </row>
    <row r="136" spans="3:15">
      <c r="C136" s="195">
        <v>2020</v>
      </c>
      <c r="D136" s="660">
        <f t="shared" ref="D136:O136" si="18">D110</f>
        <v>1554.1309951535354</v>
      </c>
      <c r="E136" s="661">
        <f t="shared" si="18"/>
        <v>269.8395870667855</v>
      </c>
      <c r="F136" s="662">
        <f t="shared" si="18"/>
        <v>114.6976985954751</v>
      </c>
      <c r="G136" s="1082">
        <f t="shared" si="18"/>
        <v>1041.4146142705215</v>
      </c>
      <c r="H136" s="1083">
        <f t="shared" si="18"/>
        <v>629.62570315583287</v>
      </c>
      <c r="I136" s="1084">
        <f t="shared" si="18"/>
        <v>267.6279633894419</v>
      </c>
      <c r="J136" s="660">
        <f t="shared" si="18"/>
        <v>1554.1309951535354</v>
      </c>
      <c r="K136" s="661">
        <f t="shared" si="18"/>
        <v>269.8395870667855</v>
      </c>
      <c r="L136" s="662">
        <f t="shared" si="18"/>
        <v>114.6976985954751</v>
      </c>
      <c r="M136" s="1085">
        <f t="shared" si="18"/>
        <v>1041.4146142705215</v>
      </c>
      <c r="N136" s="1086">
        <f t="shared" si="18"/>
        <v>629.62570315583287</v>
      </c>
      <c r="O136" s="1087">
        <f t="shared" si="18"/>
        <v>267.6279633894419</v>
      </c>
    </row>
    <row r="137" spans="3:15" hidden="1">
      <c r="C137" s="196">
        <f>C136+1</f>
        <v>2021</v>
      </c>
      <c r="D137" s="667">
        <f t="shared" ref="D137:D156" si="19">D136+D111</f>
        <v>1813.7964478797303</v>
      </c>
      <c r="E137" s="668">
        <f t="shared" ref="E137:E156" si="20">E136+E111</f>
        <v>314.92460162324778</v>
      </c>
      <c r="F137" s="669">
        <f t="shared" ref="F137:F156" si="21">F136+F111</f>
        <v>133.86148203800556</v>
      </c>
      <c r="G137" s="1085">
        <f t="shared" ref="G137:G156" si="22">G136+G111</f>
        <v>1215.4150029980594</v>
      </c>
      <c r="H137" s="1086">
        <f t="shared" ref="H137:H156" si="23">H136+H111</f>
        <v>734.82407045424486</v>
      </c>
      <c r="I137" s="1087">
        <f t="shared" ref="I137:I156" si="24">I136+I111</f>
        <v>312.3434580886796</v>
      </c>
      <c r="J137" s="667">
        <f t="shared" ref="J137:J156" si="25">J136+J111</f>
        <v>2333.7517859090012</v>
      </c>
      <c r="K137" s="668">
        <f t="shared" ref="K137:K156" si="26">K136+K111</f>
        <v>405.2030492859742</v>
      </c>
      <c r="L137" s="669">
        <f t="shared" ref="L137:L156" si="27">L136+L111</f>
        <v>172.2351331847662</v>
      </c>
      <c r="M137" s="1085">
        <f t="shared" ref="M137:M156" si="28">M136+M111</f>
        <v>1563.8342092813477</v>
      </c>
      <c r="N137" s="1086">
        <f t="shared" ref="N137:N156" si="29">N136+N111</f>
        <v>945.4737816672731</v>
      </c>
      <c r="O137" s="1087">
        <f t="shared" ref="O137:O156" si="30">O136+O111</f>
        <v>401.88197743112107</v>
      </c>
    </row>
    <row r="138" spans="3:15" hidden="1">
      <c r="C138" s="196">
        <f t="shared" ref="C138:C146" si="31">C137+1</f>
        <v>2022</v>
      </c>
      <c r="D138" s="667">
        <f t="shared" si="19"/>
        <v>1905.8245050207936</v>
      </c>
      <c r="E138" s="668">
        <f t="shared" si="20"/>
        <v>330.90318580626882</v>
      </c>
      <c r="F138" s="669">
        <f t="shared" si="21"/>
        <v>140.65332030209606</v>
      </c>
      <c r="G138" s="1085">
        <f t="shared" si="22"/>
        <v>1277.0824968763072</v>
      </c>
      <c r="H138" s="1086">
        <f t="shared" si="23"/>
        <v>772.10743354796068</v>
      </c>
      <c r="I138" s="1087">
        <f t="shared" si="24"/>
        <v>328.19108070489079</v>
      </c>
      <c r="J138" s="667">
        <f t="shared" si="25"/>
        <v>2977.3323374469664</v>
      </c>
      <c r="K138" s="668">
        <f t="shared" si="26"/>
        <v>516.94621045628605</v>
      </c>
      <c r="L138" s="669">
        <f t="shared" si="27"/>
        <v>219.73255029594003</v>
      </c>
      <c r="M138" s="1085">
        <f t="shared" si="28"/>
        <v>1995.0939897773321</v>
      </c>
      <c r="N138" s="1086">
        <f t="shared" si="29"/>
        <v>1206.2078243980006</v>
      </c>
      <c r="O138" s="1087">
        <f t="shared" si="30"/>
        <v>512.70928402386005</v>
      </c>
    </row>
    <row r="139" spans="3:15" hidden="1">
      <c r="C139" s="196">
        <f t="shared" si="31"/>
        <v>2023</v>
      </c>
      <c r="D139" s="667">
        <f t="shared" si="19"/>
        <v>2003.7534282711467</v>
      </c>
      <c r="E139" s="668">
        <f t="shared" si="20"/>
        <v>347.90632150987125</v>
      </c>
      <c r="F139" s="669">
        <f t="shared" si="21"/>
        <v>147.88065323463229</v>
      </c>
      <c r="G139" s="1085">
        <f t="shared" si="22"/>
        <v>1342.704128611809</v>
      </c>
      <c r="H139" s="1086">
        <f t="shared" si="23"/>
        <v>811.78141685636638</v>
      </c>
      <c r="I139" s="1087">
        <f t="shared" si="24"/>
        <v>345.05485754747531</v>
      </c>
      <c r="J139" s="667">
        <f t="shared" si="25"/>
        <v>3659.8485194469808</v>
      </c>
      <c r="K139" s="668">
        <f t="shared" si="26"/>
        <v>635.44966048180231</v>
      </c>
      <c r="L139" s="669">
        <f t="shared" si="27"/>
        <v>270.10348786406848</v>
      </c>
      <c r="M139" s="1085">
        <f t="shared" si="28"/>
        <v>2452.4443216524869</v>
      </c>
      <c r="N139" s="1086">
        <f t="shared" si="29"/>
        <v>1482.7158744575386</v>
      </c>
      <c r="O139" s="1087">
        <f t="shared" si="30"/>
        <v>630.24147168282639</v>
      </c>
    </row>
    <row r="140" spans="3:15" hidden="1">
      <c r="C140" s="196">
        <f t="shared" si="31"/>
        <v>2024</v>
      </c>
      <c r="D140" s="667">
        <f t="shared" si="19"/>
        <v>2104.0175875350196</v>
      </c>
      <c r="E140" s="668">
        <f t="shared" si="20"/>
        <v>365.31491796520993</v>
      </c>
      <c r="F140" s="669">
        <f t="shared" si="21"/>
        <v>155.28033083905476</v>
      </c>
      <c r="G140" s="1085">
        <f t="shared" si="22"/>
        <v>1409.8905891293336</v>
      </c>
      <c r="H140" s="1086">
        <f t="shared" si="23"/>
        <v>852.40147525215673</v>
      </c>
      <c r="I140" s="1087">
        <f t="shared" si="24"/>
        <v>362.32077195779436</v>
      </c>
      <c r="J140" s="667">
        <f t="shared" si="25"/>
        <v>4373.3250466359705</v>
      </c>
      <c r="K140" s="668">
        <f t="shared" si="26"/>
        <v>759.32867201872966</v>
      </c>
      <c r="L140" s="669">
        <f t="shared" si="27"/>
        <v>322.75935530745892</v>
      </c>
      <c r="M140" s="1085">
        <f t="shared" si="28"/>
        <v>2930.5410102010528</v>
      </c>
      <c r="N140" s="1086">
        <f t="shared" si="29"/>
        <v>1771.7669013770355</v>
      </c>
      <c r="O140" s="1087">
        <f t="shared" si="30"/>
        <v>753.10516238407081</v>
      </c>
    </row>
    <row r="141" spans="3:15">
      <c r="C141" s="196">
        <f t="shared" si="31"/>
        <v>2025</v>
      </c>
      <c r="D141" s="667">
        <f t="shared" si="19"/>
        <v>2249.2754865183829</v>
      </c>
      <c r="E141" s="668">
        <f t="shared" si="20"/>
        <v>390.53565650146646</v>
      </c>
      <c r="F141" s="669">
        <f t="shared" si="21"/>
        <v>166.0006283996602</v>
      </c>
      <c r="G141" s="1085">
        <f t="shared" si="22"/>
        <v>1507.227106650214</v>
      </c>
      <c r="H141" s="1086">
        <f t="shared" si="23"/>
        <v>911.2498651700887</v>
      </c>
      <c r="I141" s="1087">
        <f t="shared" si="24"/>
        <v>387.33479959920703</v>
      </c>
      <c r="J141" s="667">
        <f t="shared" si="25"/>
        <v>5179.5482724509984</v>
      </c>
      <c r="K141" s="668">
        <f t="shared" si="26"/>
        <v>899.3110435279516</v>
      </c>
      <c r="L141" s="669">
        <f t="shared" si="27"/>
        <v>382.26009806567686</v>
      </c>
      <c r="M141" s="1085">
        <f t="shared" si="28"/>
        <v>3470.7867503261614</v>
      </c>
      <c r="N141" s="1086">
        <f t="shared" si="29"/>
        <v>2098.3924348985533</v>
      </c>
      <c r="O141" s="1087">
        <f t="shared" si="30"/>
        <v>891.9402288199127</v>
      </c>
    </row>
    <row r="142" spans="3:15" hidden="1">
      <c r="C142" s="196">
        <f>C141+1</f>
        <v>2026</v>
      </c>
      <c r="D142" s="667">
        <f t="shared" si="19"/>
        <v>2745.5218831839707</v>
      </c>
      <c r="E142" s="668">
        <f t="shared" si="20"/>
        <v>476.69758440664509</v>
      </c>
      <c r="F142" s="669">
        <f t="shared" si="21"/>
        <v>202.6245164833137</v>
      </c>
      <c r="G142" s="1085">
        <f t="shared" si="22"/>
        <v>1839.7590819973589</v>
      </c>
      <c r="H142" s="1086">
        <f t="shared" si="23"/>
        <v>1112.2943636155055</v>
      </c>
      <c r="I142" s="1087">
        <f t="shared" si="24"/>
        <v>472.79053846106524</v>
      </c>
      <c r="J142" s="667">
        <f t="shared" si="25"/>
        <v>6283.6008328942034</v>
      </c>
      <c r="K142" s="668">
        <f t="shared" si="26"/>
        <v>1091.0047218208742</v>
      </c>
      <c r="L142" s="669">
        <f t="shared" si="27"/>
        <v>463.74118827375617</v>
      </c>
      <c r="M142" s="1085">
        <f t="shared" si="28"/>
        <v>4210.6062861013634</v>
      </c>
      <c r="N142" s="1086">
        <f t="shared" si="29"/>
        <v>2545.6776842487066</v>
      </c>
      <c r="O142" s="1087">
        <f t="shared" si="30"/>
        <v>1082.0627726387645</v>
      </c>
    </row>
    <row r="143" spans="3:15" hidden="1">
      <c r="C143" s="196">
        <f t="shared" si="31"/>
        <v>2027</v>
      </c>
      <c r="D143" s="667">
        <f t="shared" si="19"/>
        <v>3267.8453128101983</v>
      </c>
      <c r="E143" s="668">
        <f t="shared" si="20"/>
        <v>567.38719744774164</v>
      </c>
      <c r="F143" s="669">
        <f t="shared" si="21"/>
        <v>241.17293710387108</v>
      </c>
      <c r="G143" s="1085">
        <f t="shared" si="22"/>
        <v>2189.7651334080479</v>
      </c>
      <c r="H143" s="1086">
        <f t="shared" si="23"/>
        <v>1323.9034607113974</v>
      </c>
      <c r="I143" s="1087">
        <f t="shared" si="24"/>
        <v>562.73685324236578</v>
      </c>
      <c r="J143" s="667">
        <f t="shared" si="25"/>
        <v>7447.8899371499438</v>
      </c>
      <c r="K143" s="668">
        <f t="shared" si="26"/>
        <v>1293.1571092955792</v>
      </c>
      <c r="L143" s="669">
        <f t="shared" si="27"/>
        <v>549.66784514782989</v>
      </c>
      <c r="M143" s="1085">
        <f t="shared" si="28"/>
        <v>4990.789997892065</v>
      </c>
      <c r="N143" s="1086">
        <f t="shared" si="29"/>
        <v>3017.3665883563517</v>
      </c>
      <c r="O143" s="1087">
        <f t="shared" si="30"/>
        <v>1282.5583053449366</v>
      </c>
    </row>
    <row r="144" spans="3:15" hidden="1">
      <c r="C144" s="196">
        <f t="shared" si="31"/>
        <v>2028</v>
      </c>
      <c r="D144" s="667">
        <f t="shared" si="19"/>
        <v>3798.9285372778349</v>
      </c>
      <c r="E144" s="668">
        <f t="shared" si="20"/>
        <v>659.59775012016064</v>
      </c>
      <c r="F144" s="669">
        <f t="shared" si="21"/>
        <v>280.3678465414016</v>
      </c>
      <c r="G144" s="1085">
        <f t="shared" si="22"/>
        <v>2545.6410750624186</v>
      </c>
      <c r="H144" s="1086">
        <f t="shared" si="23"/>
        <v>1539.0614169470418</v>
      </c>
      <c r="I144" s="1087">
        <f t="shared" si="24"/>
        <v>654.19164192993708</v>
      </c>
      <c r="J144" s="667">
        <f t="shared" si="25"/>
        <v>8643.9261892125251</v>
      </c>
      <c r="K144" s="668">
        <f t="shared" si="26"/>
        <v>1500.8216687052504</v>
      </c>
      <c r="L144" s="669">
        <f t="shared" si="27"/>
        <v>637.93749936367885</v>
      </c>
      <c r="M144" s="1085">
        <f t="shared" si="28"/>
        <v>5792.2472984539536</v>
      </c>
      <c r="N144" s="1086">
        <f t="shared" si="29"/>
        <v>3501.9172269789178</v>
      </c>
      <c r="O144" s="1087">
        <f t="shared" si="30"/>
        <v>1488.5208318485841</v>
      </c>
    </row>
    <row r="145" spans="3:15" hidden="1">
      <c r="C145" s="196">
        <f t="shared" si="31"/>
        <v>2029</v>
      </c>
      <c r="D145" s="667">
        <f t="shared" si="19"/>
        <v>4395.211084797822</v>
      </c>
      <c r="E145" s="668">
        <f t="shared" si="20"/>
        <v>763.12868599344495</v>
      </c>
      <c r="F145" s="669">
        <f t="shared" si="21"/>
        <v>324.37458479349658</v>
      </c>
      <c r="G145" s="1085">
        <f t="shared" si="22"/>
        <v>2945.2067237485667</v>
      </c>
      <c r="H145" s="1086">
        <f t="shared" si="23"/>
        <v>1780.633600651372</v>
      </c>
      <c r="I145" s="1087">
        <f t="shared" si="24"/>
        <v>756.87403118482541</v>
      </c>
      <c r="J145" s="667">
        <f t="shared" si="25"/>
        <v>9967.7799757249068</v>
      </c>
      <c r="K145" s="668">
        <f t="shared" si="26"/>
        <v>1730.6788430382353</v>
      </c>
      <c r="L145" s="669">
        <f t="shared" si="27"/>
        <v>735.64032046652596</v>
      </c>
      <c r="M145" s="1085">
        <f t="shared" si="28"/>
        <v>6679.3544243852257</v>
      </c>
      <c r="N145" s="1086">
        <f t="shared" si="29"/>
        <v>4038.2506337558825</v>
      </c>
      <c r="O145" s="1087">
        <f t="shared" si="30"/>
        <v>1716.4940810885605</v>
      </c>
    </row>
    <row r="146" spans="3:15">
      <c r="C146" s="196">
        <f t="shared" si="31"/>
        <v>2030</v>
      </c>
      <c r="D146" s="667">
        <f t="shared" si="19"/>
        <v>5002.8673198747338</v>
      </c>
      <c r="E146" s="668">
        <f t="shared" si="20"/>
        <v>868.63440466390523</v>
      </c>
      <c r="F146" s="669">
        <f t="shared" si="21"/>
        <v>369.22072190668587</v>
      </c>
      <c r="G146" s="1085">
        <f t="shared" si="22"/>
        <v>3352.3938177806122</v>
      </c>
      <c r="H146" s="1086">
        <f t="shared" si="23"/>
        <v>2026.813610882446</v>
      </c>
      <c r="I146" s="1087">
        <f t="shared" si="24"/>
        <v>861.51501778226714</v>
      </c>
      <c r="J146" s="667">
        <f t="shared" si="25"/>
        <v>11329.40230068297</v>
      </c>
      <c r="K146" s="668">
        <f t="shared" si="26"/>
        <v>1967.0936671768545</v>
      </c>
      <c r="L146" s="669">
        <f t="shared" si="27"/>
        <v>836.1305285094337</v>
      </c>
      <c r="M146" s="1085">
        <f t="shared" si="28"/>
        <v>7591.77003976792</v>
      </c>
      <c r="N146" s="1086">
        <f t="shared" si="29"/>
        <v>4589.8852234126607</v>
      </c>
      <c r="O146" s="1087">
        <f t="shared" si="30"/>
        <v>1950.9712331886785</v>
      </c>
    </row>
    <row r="147" spans="3:15" hidden="1">
      <c r="C147" s="196">
        <f>C146+1</f>
        <v>2031</v>
      </c>
      <c r="D147" s="667">
        <f t="shared" si="19"/>
        <v>5002.8673198747338</v>
      </c>
      <c r="E147" s="668">
        <f t="shared" si="20"/>
        <v>868.63440466390523</v>
      </c>
      <c r="F147" s="669">
        <f t="shared" si="21"/>
        <v>369.22072190668587</v>
      </c>
      <c r="G147" s="1085">
        <f t="shared" si="22"/>
        <v>3352.3938177806122</v>
      </c>
      <c r="H147" s="1086">
        <f t="shared" si="23"/>
        <v>2026.813610882446</v>
      </c>
      <c r="I147" s="1087">
        <f t="shared" si="24"/>
        <v>861.51501778226714</v>
      </c>
      <c r="J147" s="667">
        <f t="shared" si="25"/>
        <v>11329.40230068297</v>
      </c>
      <c r="K147" s="668">
        <f t="shared" si="26"/>
        <v>1967.0936671768545</v>
      </c>
      <c r="L147" s="669">
        <f t="shared" si="27"/>
        <v>836.1305285094337</v>
      </c>
      <c r="M147" s="1085">
        <f t="shared" si="28"/>
        <v>7591.77003976792</v>
      </c>
      <c r="N147" s="1086">
        <f t="shared" si="29"/>
        <v>4589.8852234126607</v>
      </c>
      <c r="O147" s="1087">
        <f t="shared" si="30"/>
        <v>1950.9712331886785</v>
      </c>
    </row>
    <row r="148" spans="3:15" hidden="1">
      <c r="C148" s="196">
        <f t="shared" ref="C148:C156" si="32">C147+1</f>
        <v>2032</v>
      </c>
      <c r="D148" s="667">
        <f t="shared" si="19"/>
        <v>5002.8673198747338</v>
      </c>
      <c r="E148" s="668">
        <f t="shared" si="20"/>
        <v>868.63440466390523</v>
      </c>
      <c r="F148" s="669">
        <f t="shared" si="21"/>
        <v>369.22072190668587</v>
      </c>
      <c r="G148" s="1085">
        <f t="shared" si="22"/>
        <v>3352.3938177806122</v>
      </c>
      <c r="H148" s="1086">
        <f t="shared" si="23"/>
        <v>2026.813610882446</v>
      </c>
      <c r="I148" s="1087">
        <f t="shared" si="24"/>
        <v>861.51501778226714</v>
      </c>
      <c r="J148" s="667">
        <f t="shared" si="25"/>
        <v>11329.40230068297</v>
      </c>
      <c r="K148" s="668">
        <f t="shared" si="26"/>
        <v>1967.0936671768545</v>
      </c>
      <c r="L148" s="669">
        <f t="shared" si="27"/>
        <v>836.1305285094337</v>
      </c>
      <c r="M148" s="1085">
        <f t="shared" si="28"/>
        <v>7591.77003976792</v>
      </c>
      <c r="N148" s="1086">
        <f t="shared" si="29"/>
        <v>4589.8852234126607</v>
      </c>
      <c r="O148" s="1087">
        <f t="shared" si="30"/>
        <v>1950.9712331886785</v>
      </c>
    </row>
    <row r="149" spans="3:15" hidden="1">
      <c r="C149" s="196">
        <f t="shared" si="32"/>
        <v>2033</v>
      </c>
      <c r="D149" s="667">
        <f t="shared" si="19"/>
        <v>5002.8673198747338</v>
      </c>
      <c r="E149" s="668">
        <f t="shared" si="20"/>
        <v>868.63440466390523</v>
      </c>
      <c r="F149" s="669">
        <f t="shared" si="21"/>
        <v>369.22072190668587</v>
      </c>
      <c r="G149" s="1085">
        <f t="shared" si="22"/>
        <v>3352.3938177806122</v>
      </c>
      <c r="H149" s="1086">
        <f t="shared" si="23"/>
        <v>2026.813610882446</v>
      </c>
      <c r="I149" s="1087">
        <f t="shared" si="24"/>
        <v>861.51501778226714</v>
      </c>
      <c r="J149" s="667">
        <f t="shared" si="25"/>
        <v>11329.40230068297</v>
      </c>
      <c r="K149" s="668">
        <f t="shared" si="26"/>
        <v>1967.0936671768545</v>
      </c>
      <c r="L149" s="669">
        <f t="shared" si="27"/>
        <v>836.1305285094337</v>
      </c>
      <c r="M149" s="1085">
        <f t="shared" si="28"/>
        <v>7591.77003976792</v>
      </c>
      <c r="N149" s="1086">
        <f t="shared" si="29"/>
        <v>4589.8852234126607</v>
      </c>
      <c r="O149" s="1087">
        <f t="shared" si="30"/>
        <v>1950.9712331886785</v>
      </c>
    </row>
    <row r="150" spans="3:15" hidden="1">
      <c r="C150" s="196">
        <f t="shared" si="32"/>
        <v>2034</v>
      </c>
      <c r="D150" s="667">
        <f t="shared" si="19"/>
        <v>5002.8673198747338</v>
      </c>
      <c r="E150" s="668">
        <f t="shared" si="20"/>
        <v>868.63440466390523</v>
      </c>
      <c r="F150" s="669">
        <f t="shared" si="21"/>
        <v>369.22072190668587</v>
      </c>
      <c r="G150" s="1085">
        <f t="shared" si="22"/>
        <v>3352.3938177806122</v>
      </c>
      <c r="H150" s="1086">
        <f t="shared" si="23"/>
        <v>2026.813610882446</v>
      </c>
      <c r="I150" s="1087">
        <f t="shared" si="24"/>
        <v>861.51501778226714</v>
      </c>
      <c r="J150" s="667">
        <f t="shared" si="25"/>
        <v>11329.40230068297</v>
      </c>
      <c r="K150" s="668">
        <f t="shared" si="26"/>
        <v>1967.0936671768545</v>
      </c>
      <c r="L150" s="669">
        <f t="shared" si="27"/>
        <v>836.1305285094337</v>
      </c>
      <c r="M150" s="1085">
        <f t="shared" si="28"/>
        <v>7591.77003976792</v>
      </c>
      <c r="N150" s="1086">
        <f t="shared" si="29"/>
        <v>4589.8852234126607</v>
      </c>
      <c r="O150" s="1087">
        <f t="shared" si="30"/>
        <v>1950.9712331886785</v>
      </c>
    </row>
    <row r="151" spans="3:15">
      <c r="C151" s="196">
        <f t="shared" si="32"/>
        <v>2035</v>
      </c>
      <c r="D151" s="667">
        <f t="shared" si="19"/>
        <v>5002.8673198747338</v>
      </c>
      <c r="E151" s="668">
        <f t="shared" si="20"/>
        <v>868.63440466390523</v>
      </c>
      <c r="F151" s="669">
        <f t="shared" si="21"/>
        <v>369.22072190668587</v>
      </c>
      <c r="G151" s="1085">
        <f t="shared" si="22"/>
        <v>3352.3938177806122</v>
      </c>
      <c r="H151" s="1086">
        <f t="shared" si="23"/>
        <v>2026.813610882446</v>
      </c>
      <c r="I151" s="1087">
        <f t="shared" si="24"/>
        <v>861.51501778226714</v>
      </c>
      <c r="J151" s="667">
        <f t="shared" si="25"/>
        <v>11329.40230068297</v>
      </c>
      <c r="K151" s="668">
        <f t="shared" si="26"/>
        <v>1967.0936671768545</v>
      </c>
      <c r="L151" s="669">
        <f t="shared" si="27"/>
        <v>836.1305285094337</v>
      </c>
      <c r="M151" s="1085">
        <f t="shared" si="28"/>
        <v>7591.77003976792</v>
      </c>
      <c r="N151" s="1086">
        <f t="shared" si="29"/>
        <v>4589.8852234126607</v>
      </c>
      <c r="O151" s="1087">
        <f t="shared" si="30"/>
        <v>1950.9712331886785</v>
      </c>
    </row>
    <row r="152" spans="3:15" hidden="1">
      <c r="C152" s="196">
        <f>C151+1</f>
        <v>2036</v>
      </c>
      <c r="D152" s="667">
        <f t="shared" si="19"/>
        <v>5002.8673198747338</v>
      </c>
      <c r="E152" s="668">
        <f t="shared" si="20"/>
        <v>868.63440466390523</v>
      </c>
      <c r="F152" s="669">
        <f t="shared" si="21"/>
        <v>369.22072190668587</v>
      </c>
      <c r="G152" s="1085">
        <f t="shared" si="22"/>
        <v>3352.3938177806122</v>
      </c>
      <c r="H152" s="1086">
        <f t="shared" si="23"/>
        <v>2026.813610882446</v>
      </c>
      <c r="I152" s="1087">
        <f t="shared" si="24"/>
        <v>861.51501778226714</v>
      </c>
      <c r="J152" s="667">
        <f t="shared" si="25"/>
        <v>11329.40230068297</v>
      </c>
      <c r="K152" s="668">
        <f t="shared" si="26"/>
        <v>1967.0936671768545</v>
      </c>
      <c r="L152" s="669">
        <f t="shared" si="27"/>
        <v>836.1305285094337</v>
      </c>
      <c r="M152" s="1085">
        <f t="shared" si="28"/>
        <v>7591.77003976792</v>
      </c>
      <c r="N152" s="1086">
        <f t="shared" si="29"/>
        <v>4589.8852234126607</v>
      </c>
      <c r="O152" s="1087">
        <f t="shared" si="30"/>
        <v>1950.9712331886785</v>
      </c>
    </row>
    <row r="153" spans="3:15" hidden="1">
      <c r="C153" s="196">
        <f t="shared" si="32"/>
        <v>2037</v>
      </c>
      <c r="D153" s="667">
        <f t="shared" si="19"/>
        <v>5002.8673198747338</v>
      </c>
      <c r="E153" s="668">
        <f t="shared" si="20"/>
        <v>868.63440466390523</v>
      </c>
      <c r="F153" s="669">
        <f t="shared" si="21"/>
        <v>369.22072190668587</v>
      </c>
      <c r="G153" s="1085">
        <f t="shared" si="22"/>
        <v>3352.3938177806122</v>
      </c>
      <c r="H153" s="1086">
        <f t="shared" si="23"/>
        <v>2026.813610882446</v>
      </c>
      <c r="I153" s="1087">
        <f t="shared" si="24"/>
        <v>861.51501778226714</v>
      </c>
      <c r="J153" s="667">
        <f t="shared" si="25"/>
        <v>11329.40230068297</v>
      </c>
      <c r="K153" s="668">
        <f t="shared" si="26"/>
        <v>1967.0936671768545</v>
      </c>
      <c r="L153" s="669">
        <f t="shared" si="27"/>
        <v>836.1305285094337</v>
      </c>
      <c r="M153" s="1085">
        <f t="shared" si="28"/>
        <v>7591.77003976792</v>
      </c>
      <c r="N153" s="1086">
        <f t="shared" si="29"/>
        <v>4589.8852234126607</v>
      </c>
      <c r="O153" s="1087">
        <f t="shared" si="30"/>
        <v>1950.9712331886785</v>
      </c>
    </row>
    <row r="154" spans="3:15" hidden="1">
      <c r="C154" s="196">
        <f t="shared" si="32"/>
        <v>2038</v>
      </c>
      <c r="D154" s="667">
        <f t="shared" si="19"/>
        <v>5002.8673198747338</v>
      </c>
      <c r="E154" s="668">
        <f t="shared" si="20"/>
        <v>868.63440466390523</v>
      </c>
      <c r="F154" s="669">
        <f t="shared" si="21"/>
        <v>369.22072190668587</v>
      </c>
      <c r="G154" s="1085">
        <f t="shared" si="22"/>
        <v>3352.3938177806122</v>
      </c>
      <c r="H154" s="1086">
        <f t="shared" si="23"/>
        <v>2026.813610882446</v>
      </c>
      <c r="I154" s="1087">
        <f t="shared" si="24"/>
        <v>861.51501778226714</v>
      </c>
      <c r="J154" s="667">
        <f t="shared" si="25"/>
        <v>11329.40230068297</v>
      </c>
      <c r="K154" s="668">
        <f t="shared" si="26"/>
        <v>1967.0936671768545</v>
      </c>
      <c r="L154" s="669">
        <f t="shared" si="27"/>
        <v>836.1305285094337</v>
      </c>
      <c r="M154" s="1085">
        <f t="shared" si="28"/>
        <v>7591.77003976792</v>
      </c>
      <c r="N154" s="1086">
        <f t="shared" si="29"/>
        <v>4589.8852234126607</v>
      </c>
      <c r="O154" s="1087">
        <f t="shared" si="30"/>
        <v>1950.9712331886785</v>
      </c>
    </row>
    <row r="155" spans="3:15" hidden="1">
      <c r="C155" s="196">
        <f t="shared" si="32"/>
        <v>2039</v>
      </c>
      <c r="D155" s="667">
        <f t="shared" si="19"/>
        <v>5002.8673198747338</v>
      </c>
      <c r="E155" s="668">
        <f t="shared" si="20"/>
        <v>868.63440466390523</v>
      </c>
      <c r="F155" s="669">
        <f t="shared" si="21"/>
        <v>369.22072190668587</v>
      </c>
      <c r="G155" s="1085">
        <f t="shared" si="22"/>
        <v>3352.3938177806122</v>
      </c>
      <c r="H155" s="1086">
        <f t="shared" si="23"/>
        <v>2026.813610882446</v>
      </c>
      <c r="I155" s="1087">
        <f t="shared" si="24"/>
        <v>861.51501778226714</v>
      </c>
      <c r="J155" s="667">
        <f t="shared" si="25"/>
        <v>11329.40230068297</v>
      </c>
      <c r="K155" s="668">
        <f t="shared" si="26"/>
        <v>1967.0936671768545</v>
      </c>
      <c r="L155" s="669">
        <f t="shared" si="27"/>
        <v>836.1305285094337</v>
      </c>
      <c r="M155" s="1085">
        <f t="shared" si="28"/>
        <v>7591.77003976792</v>
      </c>
      <c r="N155" s="1086">
        <f t="shared" si="29"/>
        <v>4589.8852234126607</v>
      </c>
      <c r="O155" s="1087">
        <f t="shared" si="30"/>
        <v>1950.9712331886785</v>
      </c>
    </row>
    <row r="156" spans="3:15" ht="15.75" thickBot="1">
      <c r="C156" s="197">
        <f t="shared" si="32"/>
        <v>2040</v>
      </c>
      <c r="D156" s="674">
        <f t="shared" si="19"/>
        <v>5002.8673198747338</v>
      </c>
      <c r="E156" s="675">
        <f t="shared" si="20"/>
        <v>868.63440466390523</v>
      </c>
      <c r="F156" s="676">
        <f t="shared" si="21"/>
        <v>369.22072190668587</v>
      </c>
      <c r="G156" s="1088">
        <f t="shared" si="22"/>
        <v>3352.3938177806122</v>
      </c>
      <c r="H156" s="1089">
        <f t="shared" si="23"/>
        <v>2026.813610882446</v>
      </c>
      <c r="I156" s="1090">
        <f t="shared" si="24"/>
        <v>861.51501778226714</v>
      </c>
      <c r="J156" s="674">
        <f t="shared" si="25"/>
        <v>11329.40230068297</v>
      </c>
      <c r="K156" s="675">
        <f t="shared" si="26"/>
        <v>1967.0936671768545</v>
      </c>
      <c r="L156" s="676">
        <f t="shared" si="27"/>
        <v>836.1305285094337</v>
      </c>
      <c r="M156" s="1088">
        <f t="shared" si="28"/>
        <v>7591.77003976792</v>
      </c>
      <c r="N156" s="1089">
        <f t="shared" si="29"/>
        <v>4589.8852234126607</v>
      </c>
      <c r="O156" s="1090">
        <f t="shared" si="30"/>
        <v>1950.9712331886785</v>
      </c>
    </row>
    <row r="157" spans="3:15" ht="15.75" thickBot="1">
      <c r="C157" s="731" t="s">
        <v>472</v>
      </c>
      <c r="D157" s="1202">
        <f>SUM(D156:F156)</f>
        <v>6240.7224464453247</v>
      </c>
      <c r="E157" s="1203"/>
      <c r="F157" s="1204"/>
      <c r="G157" s="1205">
        <f>SUM(G156:I156)</f>
        <v>6240.7224464453247</v>
      </c>
      <c r="H157" s="1206"/>
      <c r="I157" s="1207"/>
      <c r="J157" s="1202">
        <f>SUM(J156:L156)</f>
        <v>14132.626496369257</v>
      </c>
      <c r="K157" s="1203"/>
      <c r="L157" s="1204"/>
      <c r="M157" s="1205">
        <f>SUM(M156:O156)</f>
        <v>14132.626496369259</v>
      </c>
      <c r="N157" s="1206"/>
      <c r="O157" s="1207"/>
    </row>
    <row r="159" spans="3:15">
      <c r="J159" s="1115"/>
      <c r="M159" s="1115"/>
    </row>
    <row r="160" spans="3:15" ht="15.75" thickBot="1"/>
    <row r="161" spans="4:8" ht="15.75" thickBot="1">
      <c r="E161" s="442" t="s">
        <v>473</v>
      </c>
      <c r="F161" s="442" t="s">
        <v>471</v>
      </c>
    </row>
    <row r="162" spans="4:8" ht="30">
      <c r="D162" s="1100" t="s">
        <v>475</v>
      </c>
      <c r="E162" s="1103" t="s">
        <v>460</v>
      </c>
      <c r="F162" s="1104" t="s">
        <v>461</v>
      </c>
    </row>
    <row r="163" spans="4:8">
      <c r="D163" s="1101" t="s">
        <v>478</v>
      </c>
      <c r="E163" s="1105" t="s">
        <v>480</v>
      </c>
      <c r="F163" s="1106" t="s">
        <v>479</v>
      </c>
    </row>
    <row r="164" spans="4:8">
      <c r="D164" s="1101" t="s">
        <v>476</v>
      </c>
      <c r="E164" s="1107">
        <v>5</v>
      </c>
      <c r="F164" s="1108">
        <v>4.5</v>
      </c>
    </row>
    <row r="165" spans="4:8">
      <c r="D165" s="1101" t="s">
        <v>477</v>
      </c>
      <c r="E165" s="1107">
        <v>140</v>
      </c>
      <c r="F165" s="1108">
        <v>21.386016393442631</v>
      </c>
    </row>
    <row r="166" spans="4:8" ht="15.75" thickBot="1">
      <c r="D166" s="1102" t="s">
        <v>474</v>
      </c>
      <c r="E166" s="1109" t="s">
        <v>482</v>
      </c>
      <c r="F166" s="1110" t="s">
        <v>481</v>
      </c>
    </row>
    <row r="168" spans="4:8" ht="15.75" thickBot="1"/>
    <row r="169" spans="4:8" ht="15.75" thickBot="1">
      <c r="E169" s="1183" t="s">
        <v>306</v>
      </c>
      <c r="F169" s="1185"/>
      <c r="G169" s="1183" t="s">
        <v>483</v>
      </c>
      <c r="H169" s="1185"/>
    </row>
    <row r="170" spans="4:8" ht="15.75" thickBot="1">
      <c r="E170" s="774" t="str">
        <f>'הנחות עבודה'!AC11</f>
        <v>סוללות לית'יום-יון מחיר נמוך</v>
      </c>
      <c r="F170" s="774" t="str">
        <f>'הנחות עבודה'!AD11</f>
        <v>סוללות לית'יום-יון מחיר גבוה</v>
      </c>
      <c r="G170" s="774" t="str">
        <f>E170</f>
        <v>סוללות לית'יום-יון מחיר נמוך</v>
      </c>
      <c r="H170" s="774" t="str">
        <f>F170</f>
        <v>סוללות לית'יום-יון מחיר גבוה</v>
      </c>
    </row>
    <row r="171" spans="4:8">
      <c r="D171" s="1111">
        <v>2020</v>
      </c>
      <c r="E171" s="231">
        <f>'הנחות עבודה'!AC12</f>
        <v>3961.794864167256</v>
      </c>
      <c r="F171" s="233">
        <f>'הנחות עבודה'!AD12</f>
        <v>6166.3013934426253</v>
      </c>
      <c r="G171" s="231">
        <f>'הנחות עבודה'!$D$32</f>
        <v>59.42692296250884</v>
      </c>
      <c r="H171" s="233">
        <f>'הנחות עבודה'!BA12*'הנחות עבודה'!$D$11</f>
        <v>129.02896557377053</v>
      </c>
    </row>
    <row r="172" spans="4:8">
      <c r="D172" s="1112">
        <f>D171+1</f>
        <v>2021</v>
      </c>
      <c r="E172" s="234">
        <f>'הנחות עבודה'!AC13</f>
        <v>3737.8330733835605</v>
      </c>
      <c r="F172" s="236">
        <f>'הנחות עבודה'!AD13</f>
        <v>5894.9841321311487</v>
      </c>
      <c r="G172" s="234">
        <f>'הנחות עבודה'!$D$32</f>
        <v>59.42692296250884</v>
      </c>
      <c r="H172" s="236">
        <f>'הנחות עבודה'!BA13*'הנחות עבודה'!$D$11</f>
        <v>123.35169108852463</v>
      </c>
    </row>
    <row r="173" spans="4:8">
      <c r="D173" s="1112">
        <f t="shared" ref="D173:D191" si="33">D172+1</f>
        <v>2022</v>
      </c>
      <c r="E173" s="234">
        <f>'הנחות עבודה'!AC14</f>
        <v>3510.8874517971458</v>
      </c>
      <c r="F173" s="236">
        <f>'הנחות עבודה'!AD14</f>
        <v>5635.6048303173784</v>
      </c>
      <c r="G173" s="234">
        <f>'הנחות עבודה'!$D$32</f>
        <v>59.42692296250884</v>
      </c>
      <c r="H173" s="236">
        <f>'הנחות עבודה'!BA14*'הנחות עבודה'!$D$11</f>
        <v>117.92421668062956</v>
      </c>
    </row>
    <row r="174" spans="4:8">
      <c r="D174" s="1112">
        <f t="shared" si="33"/>
        <v>2023</v>
      </c>
      <c r="E174" s="234">
        <f>'הנחות עבודה'!AC15</f>
        <v>3270.0623062773379</v>
      </c>
      <c r="F174" s="236">
        <f>'הנחות עבודה'!AD15</f>
        <v>5387.6382177834139</v>
      </c>
      <c r="G174" s="234">
        <f>'הנחות עבודה'!$D$32</f>
        <v>59.42692296250884</v>
      </c>
      <c r="H174" s="236">
        <f>'הנחות עבודה'!BA15*'הנחות עבודה'!$D$11</f>
        <v>112.73555114668186</v>
      </c>
    </row>
    <row r="175" spans="4:8">
      <c r="D175" s="1112">
        <f t="shared" si="33"/>
        <v>2024</v>
      </c>
      <c r="E175" s="234">
        <f>'הנחות עבודה'!AC16</f>
        <v>3066.5734699120881</v>
      </c>
      <c r="F175" s="236">
        <f>'הנחות עבודה'!AD16</f>
        <v>5150.5821362009438</v>
      </c>
      <c r="G175" s="234">
        <f>'הנחות עבודה'!$D$32</f>
        <v>59.42692296250884</v>
      </c>
      <c r="H175" s="236">
        <f>'הנחות עבודה'!BA16*'הנחות עבודה'!$D$11</f>
        <v>107.77518689622785</v>
      </c>
    </row>
    <row r="176" spans="4:8">
      <c r="D176" s="1112">
        <f t="shared" si="33"/>
        <v>2025</v>
      </c>
      <c r="E176" s="234">
        <f>'הנחות עבודה'!AC17</f>
        <v>2938.1595306738022</v>
      </c>
      <c r="F176" s="236">
        <f>'הנחות עבודה'!AD17</f>
        <v>4923.956522208101</v>
      </c>
      <c r="G176" s="234">
        <f>'הנחות עבודה'!$D$32</f>
        <v>59.42692296250884</v>
      </c>
      <c r="H176" s="236">
        <f>'הנחות עבודה'!BA17*'הנחות עבודה'!$D$11</f>
        <v>103.03307867279382</v>
      </c>
    </row>
    <row r="177" spans="4:8">
      <c r="D177" s="1112">
        <f t="shared" si="33"/>
        <v>2026</v>
      </c>
      <c r="E177" s="234">
        <f>'הנחות עבודה'!AC18</f>
        <v>2751.9478276383197</v>
      </c>
      <c r="F177" s="236">
        <f>'הנחות עבודה'!AD18</f>
        <v>4707.3024352309449</v>
      </c>
      <c r="G177" s="234">
        <f>'הנחות עבודה'!$D$32</f>
        <v>59.42692296250884</v>
      </c>
      <c r="H177" s="236">
        <f>'הנחות עבודה'!BA18*'הנחות עבודה'!$D$11</f>
        <v>98.49962321119088</v>
      </c>
    </row>
    <row r="178" spans="4:8">
      <c r="D178" s="1112">
        <f t="shared" si="33"/>
        <v>2027</v>
      </c>
      <c r="E178" s="234">
        <f>'הנחות עבודה'!AC19</f>
        <v>2617.9856519981522</v>
      </c>
      <c r="F178" s="236">
        <f>'הנחות עבודה'!AD19</f>
        <v>4500.1811280807824</v>
      </c>
      <c r="G178" s="234">
        <f>'הנחות עבודה'!$D$32</f>
        <v>59.42692296250884</v>
      </c>
      <c r="H178" s="236">
        <f>'הנחות עבודה'!BA19*'הנחות עבודה'!$D$11</f>
        <v>94.165639789898478</v>
      </c>
    </row>
    <row r="179" spans="4:8">
      <c r="D179" s="1112">
        <f t="shared" si="33"/>
        <v>2028</v>
      </c>
      <c r="E179" s="234">
        <f>'הנחות עבודה'!AC20</f>
        <v>2490.6024638597387</v>
      </c>
      <c r="F179" s="236">
        <f>'הנחות עבודה'!AD20</f>
        <v>4302.1731584452282</v>
      </c>
      <c r="G179" s="234">
        <f>'הנחות עבודה'!$D$32</f>
        <v>59.42692296250884</v>
      </c>
      <c r="H179" s="236">
        <f>'הנחות עבודה'!BA20*'הנחות עבודה'!$D$11</f>
        <v>90.02235163914294</v>
      </c>
    </row>
    <row r="180" spans="4:8">
      <c r="D180" s="1112">
        <f t="shared" si="33"/>
        <v>2029</v>
      </c>
      <c r="E180" s="234">
        <f>'הנחות עבודה'!AC21</f>
        <v>2412.8772102053758</v>
      </c>
      <c r="F180" s="236">
        <f>'הנחות עבודה'!AD21</f>
        <v>4112.8775394736376</v>
      </c>
      <c r="G180" s="234">
        <f>'הנחות עבודה'!$D$32</f>
        <v>59.42692296250884</v>
      </c>
      <c r="H180" s="236">
        <f>'הנחות עבודה'!BA21*'הנחות עבודה'!$D$11</f>
        <v>86.061368167020646</v>
      </c>
    </row>
    <row r="181" spans="4:8">
      <c r="D181" s="1112">
        <f t="shared" si="33"/>
        <v>2030</v>
      </c>
      <c r="E181" s="234">
        <f>'הנחות עבודה'!AC22</f>
        <v>2298.8116529474378</v>
      </c>
      <c r="F181" s="236">
        <f>'הנחות עבודה'!AD22</f>
        <v>3931.9109277367979</v>
      </c>
      <c r="G181" s="234">
        <f>'הנחות עבודה'!$D$32</f>
        <v>59.42692296250884</v>
      </c>
      <c r="H181" s="236">
        <f>'הנחות עבודה'!BA22*'הנחות עבודה'!$D$11</f>
        <v>82.274667967671732</v>
      </c>
    </row>
    <row r="182" spans="4:8">
      <c r="D182" s="1112">
        <f t="shared" si="33"/>
        <v>2031</v>
      </c>
      <c r="E182" s="234">
        <f>'הנחות עבודה'!AC23</f>
        <v>2298.8116529474378</v>
      </c>
      <c r="F182" s="236">
        <f>'הנחות עבודה'!AD23</f>
        <v>3758.9068469163781</v>
      </c>
      <c r="G182" s="234">
        <f>'הנחות עבודה'!$D$32</f>
        <v>59.42692296250884</v>
      </c>
      <c r="H182" s="236">
        <f>'הנחות עבודה'!BA23*'הנחות עבודה'!$D$11</f>
        <v>78.654582577094175</v>
      </c>
    </row>
    <row r="183" spans="4:8">
      <c r="D183" s="1112">
        <f t="shared" si="33"/>
        <v>2032</v>
      </c>
      <c r="E183" s="234">
        <f>'הנחות עבודה'!AC24</f>
        <v>2298.8116529474378</v>
      </c>
      <c r="F183" s="236">
        <f>'הנחות עבודה'!AD24</f>
        <v>3593.5149456520571</v>
      </c>
      <c r="G183" s="234">
        <f>'הנחות עבודה'!$D$32</f>
        <v>59.42692296250884</v>
      </c>
      <c r="H183" s="236">
        <f>'הנחות עבודה'!BA24*'הנחות עבודה'!$D$11</f>
        <v>75.193780943702023</v>
      </c>
    </row>
    <row r="184" spans="4:8">
      <c r="D184" s="1112">
        <f t="shared" si="33"/>
        <v>2033</v>
      </c>
      <c r="E184" s="234">
        <f>'הנחות עבודה'!AC25</f>
        <v>2298.8116529474378</v>
      </c>
      <c r="F184" s="236">
        <f>'הנחות עבודה'!AD25</f>
        <v>3435.4002880433668</v>
      </c>
      <c r="G184" s="234">
        <f>'הנחות עבודה'!$D$32</f>
        <v>59.42692296250884</v>
      </c>
      <c r="H184" s="236">
        <f>'הנחות עבודה'!BA25*'הנחות עבודה'!$D$11</f>
        <v>71.88525458217913</v>
      </c>
    </row>
    <row r="185" spans="4:8">
      <c r="D185" s="1112">
        <f t="shared" si="33"/>
        <v>2034</v>
      </c>
      <c r="E185" s="234">
        <f>'הנחות עבודה'!AC26</f>
        <v>2298.8116529474378</v>
      </c>
      <c r="F185" s="236">
        <f>'הנחות עבודה'!AD26</f>
        <v>3284.2426753694585</v>
      </c>
      <c r="G185" s="234">
        <f>'הנחות עבודה'!$D$32</f>
        <v>59.42692296250884</v>
      </c>
      <c r="H185" s="236">
        <f>'הנחות עבודה'!BA26*'הנחות עבודה'!$D$11</f>
        <v>68.722303380563247</v>
      </c>
    </row>
    <row r="186" spans="4:8">
      <c r="D186" s="1112">
        <f t="shared" si="33"/>
        <v>2035</v>
      </c>
      <c r="E186" s="234">
        <f>'הנחות עבודה'!AC27</f>
        <v>2298.8116529474378</v>
      </c>
      <c r="F186" s="236">
        <f>'הנחות עבודה'!AD27</f>
        <v>3139.735997653202</v>
      </c>
      <c r="G186" s="234">
        <f>'הנחות עבודה'!$D$32</f>
        <v>59.42692296250884</v>
      </c>
      <c r="H186" s="236">
        <f>'הנחות עבודה'!BA27*'הנחות עבודה'!$D$11</f>
        <v>65.698522031818456</v>
      </c>
    </row>
    <row r="187" spans="4:8">
      <c r="D187" s="1112">
        <f t="shared" si="33"/>
        <v>2036</v>
      </c>
      <c r="E187" s="234">
        <f>'הנחות עבודה'!AC28</f>
        <v>2298.8116529474378</v>
      </c>
      <c r="F187" s="236">
        <f>'הנחות עבודה'!AD28</f>
        <v>3001.587613756461</v>
      </c>
      <c r="G187" s="234">
        <f>'הנחות עבודה'!$D$32</f>
        <v>59.42692296250884</v>
      </c>
      <c r="H187" s="236">
        <f>'הנחות עבודה'!BA28*'הנחות עבודה'!$D$11</f>
        <v>62.807787062418441</v>
      </c>
    </row>
    <row r="188" spans="4:8">
      <c r="D188" s="1112">
        <f>D187+1</f>
        <v>2037</v>
      </c>
      <c r="E188" s="234">
        <f>'הנחות עבודה'!AC29</f>
        <v>2298.8116529474378</v>
      </c>
      <c r="F188" s="236">
        <f>'הנחות עבודה'!AD29</f>
        <v>2869.5177587511771</v>
      </c>
      <c r="G188" s="234">
        <f>'הנחות עבודה'!$D$32</f>
        <v>59.42692296250884</v>
      </c>
      <c r="H188" s="236">
        <f>'הנחות עבודה'!BA29*'הנחות עבודה'!$D$11</f>
        <v>60.044244431672027</v>
      </c>
    </row>
    <row r="189" spans="4:8">
      <c r="D189" s="1112">
        <f t="shared" si="33"/>
        <v>2038</v>
      </c>
      <c r="E189" s="234">
        <f>'הנחות עבודה'!AC30</f>
        <v>2298.8116529474378</v>
      </c>
      <c r="F189" s="236">
        <f>'הנחות עבודה'!AD30</f>
        <v>2743.2589773661248</v>
      </c>
      <c r="G189" s="234">
        <f>'הנחות עבודה'!$D$32</f>
        <v>59.42692296250884</v>
      </c>
      <c r="H189" s="236">
        <f>'הנחות עבודה'!BA30*'הנחות עבודה'!$D$11</f>
        <v>57.402297676678458</v>
      </c>
    </row>
    <row r="190" spans="4:8">
      <c r="D190" s="1112">
        <f t="shared" si="33"/>
        <v>2039</v>
      </c>
      <c r="E190" s="234">
        <f>'הנחות עבודה'!AC31</f>
        <v>2298.8116529474378</v>
      </c>
      <c r="F190" s="236">
        <f>'הנחות עבודה'!AD31</f>
        <v>2622.5555823620152</v>
      </c>
      <c r="G190" s="234">
        <f>'הנחות עבודה'!$D$32</f>
        <v>59.42692296250884</v>
      </c>
      <c r="H190" s="236">
        <f>'הנחות עבודה'!BA31*'הנחות עבודה'!$D$11</f>
        <v>54.876596578904604</v>
      </c>
    </row>
    <row r="191" spans="4:8" ht="15.75" thickBot="1">
      <c r="D191" s="1113">
        <f t="shared" si="33"/>
        <v>2040</v>
      </c>
      <c r="E191" s="237">
        <f>'הנחות עבודה'!AC32</f>
        <v>2298.8116529474378</v>
      </c>
      <c r="F191" s="239">
        <f>'הנחות עבודה'!AD32</f>
        <v>2507.1631367380865</v>
      </c>
      <c r="G191" s="237">
        <f>'הנחות עבודה'!$D$32</f>
        <v>59.42692296250884</v>
      </c>
      <c r="H191" s="239">
        <f>'הנחות עבודה'!BA32*'הנחות עבודה'!$D$11</f>
        <v>52.462026329432796</v>
      </c>
    </row>
    <row r="197" spans="3:12" ht="15.75" thickBot="1"/>
    <row r="198" spans="3:12" ht="15.75" thickBot="1">
      <c r="D198" s="1183">
        <v>2025</v>
      </c>
      <c r="E198" s="1184"/>
      <c r="F198" s="1185"/>
      <c r="G198" s="1183">
        <v>2030</v>
      </c>
      <c r="H198" s="1184"/>
      <c r="I198" s="1185"/>
      <c r="J198" s="1183">
        <v>2040</v>
      </c>
      <c r="K198" s="1184"/>
      <c r="L198" s="1185"/>
    </row>
    <row r="199" spans="3:12" ht="15.75" thickBot="1">
      <c r="D199" s="1161">
        <v>0.17</v>
      </c>
      <c r="E199" s="1161">
        <v>0.25</v>
      </c>
      <c r="F199" s="1161">
        <v>0.3</v>
      </c>
      <c r="G199" s="1160">
        <v>0.17</v>
      </c>
      <c r="H199" s="1160">
        <v>0.25</v>
      </c>
      <c r="I199" s="1160">
        <v>0.3</v>
      </c>
      <c r="J199" s="1160">
        <v>0.17</v>
      </c>
      <c r="K199" s="1160">
        <v>0.25</v>
      </c>
      <c r="L199" s="1160">
        <v>0.3</v>
      </c>
    </row>
    <row r="200" spans="3:12" ht="15.75" thickBot="1">
      <c r="C200" s="1165" t="s">
        <v>503</v>
      </c>
      <c r="D200" s="1162">
        <f ca="1">SUM('גזי חממה (CO2)'!G29:R29)</f>
        <v>29.485431909840003</v>
      </c>
      <c r="E200" s="1163">
        <f ca="1">SUM('גזי חממה (CO2)'!AE29:AP29)</f>
        <v>28.040737206400006</v>
      </c>
      <c r="F200" s="1164">
        <f ca="1">SUM('גזי חממה (CO2)'!BC29:BN29)</f>
        <v>27.270546195600001</v>
      </c>
      <c r="G200" s="1162">
        <f ca="1">SUM('גזי חממה (CO2)'!G34:R34)</f>
        <v>31.183952978369998</v>
      </c>
      <c r="H200" s="1163">
        <f ca="1">SUM('גזי חממה (CO2)'!AE34:AP34)</f>
        <v>28.402146209249999</v>
      </c>
      <c r="I200" s="1164">
        <f ca="1">SUM('גזי חממה (CO2)'!BC34:BN34)</f>
        <v>26.649648807299997</v>
      </c>
      <c r="J200" s="1162">
        <f ca="1">SUM('גזי חממה (CO2)'!G44:R44)</f>
        <v>43.930061181489364</v>
      </c>
      <c r="K200" s="1163">
        <f ca="1">SUM('גזי חממה (CO2)'!AE44:AP44)</f>
        <v>41.288821642982711</v>
      </c>
      <c r="L200" s="1164">
        <f ca="1">SUM('גזי חממה (CO2)'!BC44:BN44)</f>
        <v>39.643228602666049</v>
      </c>
    </row>
    <row r="201" spans="3:12" ht="15.75" thickBot="1">
      <c r="C201" s="1165" t="s">
        <v>502</v>
      </c>
      <c r="D201" s="234">
        <f ca="1">SUM('מזהם מקומי- חלקיקים'!G29:R29)*1000000</f>
        <v>1114.8823302600001</v>
      </c>
      <c r="E201" s="235">
        <f ca="1">SUM('מזהם מקומי- חלקיקים'!AE29:AP29)*1000000</f>
        <v>1055.8813443500003</v>
      </c>
      <c r="F201" s="236">
        <f ca="1">SUM('מזהם מקומי- חלקיקים'!BC29:BN29)*1000000</f>
        <v>1022.2825309</v>
      </c>
      <c r="G201" s="234">
        <f ca="1">SUM('מזהם מקומי- חלקיקים'!G34:R34)*1000000</f>
        <v>1198.59832768</v>
      </c>
      <c r="H201" s="235">
        <f ca="1">SUM('מזהם מקומי- חלקיקים'!AE34:AP34)*1000000</f>
        <v>1068.8624320000001</v>
      </c>
      <c r="I201" s="236">
        <f ca="1">SUM('מזהם מקומי- חלקיקים'!BC34:BN34)*1000000</f>
        <v>989.83954719999986</v>
      </c>
      <c r="J201" s="234">
        <f ca="1">SUM('מזהם מקומי- חלקיקים'!G44:R44)*1000000</f>
        <v>1739.0359158911381</v>
      </c>
      <c r="K201" s="235">
        <f ca="1">SUM('מזהם מקומי- חלקיקים'!AE44:AP44)*1000000</f>
        <v>1618.1488413217435</v>
      </c>
      <c r="L201" s="236">
        <f ca="1">SUM('מזהם מקומי- חלקיקים'!BC44:BN44)*1000000</f>
        <v>1542.5884272158721</v>
      </c>
    </row>
    <row r="202" spans="3:12" ht="15.75" thickBot="1">
      <c r="C202" s="1165" t="s">
        <v>242</v>
      </c>
      <c r="D202" s="234">
        <f ca="1">SUM('מזהם מקומי- SOX'!G29:R29)*1000000</f>
        <v>1458.67931688</v>
      </c>
      <c r="E202" s="235">
        <f ca="1">SUM('מזהם מקומי- SOX'!AE29:AP29)*1000000</f>
        <v>1426.8506998</v>
      </c>
      <c r="F202" s="236">
        <f ca="1">SUM('מזהם מקומי- SOX'!BC29:BN29)*1000000</f>
        <v>1408.5877891999999</v>
      </c>
      <c r="G202" s="234">
        <f ca="1">SUM('מזהם מקומי- SOX'!G34:R34)*1000000</f>
        <v>642.95129383999995</v>
      </c>
      <c r="H202" s="235">
        <f ca="1">SUM('מזהם מקומי- SOX'!AE34:AP34)*1000000</f>
        <v>580.67474600000003</v>
      </c>
      <c r="I202" s="236">
        <f ca="1">SUM('מזהם מקומי- SOX'!BC34:BN34)*1000000</f>
        <v>542.02577359999998</v>
      </c>
      <c r="J202" s="234">
        <f ca="1">SUM('מזהם מקומי- SOX'!G44:R44)*1000000</f>
        <v>916.64948794556904</v>
      </c>
      <c r="K202" s="235">
        <f ca="1">SUM('מזהם מקומי- SOX'!AE44:AP44)*1000000</f>
        <v>858.0145006608717</v>
      </c>
      <c r="L202" s="236">
        <f ca="1">SUM('מזהם מקומי- SOX'!BC44:BN44)*1000000</f>
        <v>821.43021360793603</v>
      </c>
    </row>
    <row r="203" spans="3:12" ht="15.75" thickBot="1">
      <c r="C203" s="1165" t="s">
        <v>241</v>
      </c>
      <c r="D203" s="237">
        <f ca="1">SUM('מזהם מקומי- NOX'!G29:R29)*1000000</f>
        <v>13115.411752600003</v>
      </c>
      <c r="E203" s="238">
        <f ca="1">SUM('מזהם מקומי- NOX'!AE29:AP29)*1000000</f>
        <v>12477.399018500004</v>
      </c>
      <c r="F203" s="239">
        <f ca="1">SUM('מזהם מקומי- NOX'!BC29:BN29)*1000000</f>
        <v>12144.467159</v>
      </c>
      <c r="G203" s="237">
        <f ca="1">SUM('מזהם מקומי- NOX'!G34:R34)*1000000</f>
        <v>14023.082676799999</v>
      </c>
      <c r="H203" s="238">
        <f ca="1">SUM('מזהם מקומי- NOX'!AE34:AP34)*1000000</f>
        <v>12846.655719999999</v>
      </c>
      <c r="I203" s="239">
        <f ca="1">SUM('מזהם מקומי- NOX'!BC34:BN34)*1000000</f>
        <v>12096.675471999997</v>
      </c>
      <c r="J203" s="237">
        <f ca="1">SUM('מזהם מקומי- NOX'!G44:R44)*1000000</f>
        <v>19589.830558911377</v>
      </c>
      <c r="K203" s="238">
        <f ca="1">SUM('מזהם מקומי- NOX'!AE44:AP44)*1000000</f>
        <v>18465.358813217434</v>
      </c>
      <c r="L203" s="239">
        <f ca="1">SUM('מזהם מקומי- NOX'!BC44:BN44)*1000000</f>
        <v>17765.564272158725</v>
      </c>
    </row>
  </sheetData>
  <mergeCells count="27">
    <mergeCell ref="M157:O157"/>
    <mergeCell ref="M108:O108"/>
    <mergeCell ref="D134:F134"/>
    <mergeCell ref="G134:I134"/>
    <mergeCell ref="J134:L134"/>
    <mergeCell ref="M134:O134"/>
    <mergeCell ref="B100:B102"/>
    <mergeCell ref="B103:B105"/>
    <mergeCell ref="G108:I108"/>
    <mergeCell ref="D108:F108"/>
    <mergeCell ref="J108:L108"/>
    <mergeCell ref="D198:F198"/>
    <mergeCell ref="G198:I198"/>
    <mergeCell ref="J198:L198"/>
    <mergeCell ref="C28:C30"/>
    <mergeCell ref="M6:N6"/>
    <mergeCell ref="E6:G6"/>
    <mergeCell ref="C8:C19"/>
    <mergeCell ref="C20:C23"/>
    <mergeCell ref="D6:D7"/>
    <mergeCell ref="H6:J6"/>
    <mergeCell ref="K6:L6"/>
    <mergeCell ref="E169:F169"/>
    <mergeCell ref="G169:H169"/>
    <mergeCell ref="D157:F157"/>
    <mergeCell ref="G157:I157"/>
    <mergeCell ref="J157:L15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S131"/>
  <sheetViews>
    <sheetView rightToLeft="1" topLeftCell="D19" zoomScale="115" zoomScaleNormal="115" workbookViewId="0">
      <selection activeCell="L52" sqref="L52"/>
    </sheetView>
  </sheetViews>
  <sheetFormatPr defaultColWidth="12.42578125" defaultRowHeight="15.75"/>
  <cols>
    <col min="1" max="1" width="2.28515625" style="3" bestFit="1" customWidth="1"/>
    <col min="2" max="2" width="17.7109375" style="3" bestFit="1" customWidth="1"/>
    <col min="3" max="3" width="31.140625" style="3" bestFit="1" customWidth="1"/>
    <col min="4" max="4" width="12.140625" style="3" bestFit="1" customWidth="1"/>
    <col min="5" max="5" width="2.28515625" style="3" bestFit="1" customWidth="1"/>
    <col min="6" max="6" width="17.7109375" style="3" bestFit="1" customWidth="1"/>
    <col min="7" max="7" width="13.140625" style="3" customWidth="1"/>
    <col min="8" max="8" width="17.140625" style="3" customWidth="1"/>
    <col min="9" max="11" width="13.140625" style="3" customWidth="1"/>
    <col min="12" max="12" width="14.42578125" style="3" bestFit="1" customWidth="1"/>
    <col min="13" max="42" width="13.140625" style="3" customWidth="1"/>
    <col min="43" max="43" width="3.28515625" style="3" bestFit="1" customWidth="1"/>
    <col min="44" max="44" width="5.7109375" style="3" bestFit="1" customWidth="1"/>
    <col min="45" max="80" width="13.140625" style="3" customWidth="1"/>
    <col min="81" max="81" width="3.28515625" style="3" bestFit="1" customWidth="1"/>
    <col min="82" max="82" width="9.140625" style="3" bestFit="1" customWidth="1"/>
    <col min="83" max="118" width="13.140625" style="3" customWidth="1"/>
    <col min="119" max="119" width="3.28515625" style="3" bestFit="1" customWidth="1"/>
    <col min="120" max="120" width="16.42578125" style="3" bestFit="1" customWidth="1"/>
    <col min="121" max="156" width="13.140625" style="3" customWidth="1"/>
    <col min="157" max="16384" width="12.42578125" style="3"/>
  </cols>
  <sheetData>
    <row r="1" spans="1:201" ht="16.5" thickBot="1"/>
    <row r="2" spans="1:201" ht="16.5" thickBot="1">
      <c r="A2" s="2">
        <v>1</v>
      </c>
      <c r="B2" s="2">
        <f>+A2+1</f>
        <v>2</v>
      </c>
      <c r="C2" s="2">
        <f t="shared" ref="C2:F2" si="0">+B2+1</f>
        <v>3</v>
      </c>
      <c r="D2" s="2">
        <f t="shared" si="0"/>
        <v>4</v>
      </c>
      <c r="E2" s="2">
        <f t="shared" si="0"/>
        <v>5</v>
      </c>
      <c r="F2" s="2">
        <f t="shared" si="0"/>
        <v>6</v>
      </c>
      <c r="G2" s="2">
        <f t="shared" ref="G2" si="1">+F2+1</f>
        <v>7</v>
      </c>
      <c r="H2" s="2">
        <f t="shared" ref="H2" si="2">+G2+1</f>
        <v>8</v>
      </c>
      <c r="I2" s="2">
        <f t="shared" ref="I2" si="3">+H2+1</f>
        <v>9</v>
      </c>
      <c r="J2" s="2">
        <f t="shared" ref="J2" si="4">+I2+1</f>
        <v>10</v>
      </c>
      <c r="K2" s="2">
        <f t="shared" ref="K2" si="5">+J2+1</f>
        <v>11</v>
      </c>
      <c r="L2" s="2">
        <f t="shared" ref="L2" si="6">+K2+1</f>
        <v>12</v>
      </c>
      <c r="M2" s="2">
        <f t="shared" ref="M2" si="7">+L2+1</f>
        <v>13</v>
      </c>
      <c r="N2" s="2">
        <f t="shared" ref="N2" si="8">+M2+1</f>
        <v>14</v>
      </c>
      <c r="O2" s="2">
        <f t="shared" ref="O2" si="9">+N2+1</f>
        <v>15</v>
      </c>
      <c r="P2" s="2">
        <f t="shared" ref="P2" si="10">+O2+1</f>
        <v>16</v>
      </c>
      <c r="Q2" s="2">
        <f t="shared" ref="Q2" si="11">+P2+1</f>
        <v>17</v>
      </c>
      <c r="R2" s="2">
        <f t="shared" ref="R2" si="12">+Q2+1</f>
        <v>18</v>
      </c>
      <c r="S2" s="2">
        <f t="shared" ref="S2" si="13">+R2+1</f>
        <v>19</v>
      </c>
      <c r="T2" s="2">
        <f t="shared" ref="T2" si="14">+S2+1</f>
        <v>20</v>
      </c>
      <c r="U2" s="2">
        <f t="shared" ref="U2" si="15">+T2+1</f>
        <v>21</v>
      </c>
      <c r="V2" s="2">
        <f t="shared" ref="V2" si="16">+U2+1</f>
        <v>22</v>
      </c>
      <c r="W2" s="2">
        <f t="shared" ref="W2" si="17">+V2+1</f>
        <v>23</v>
      </c>
      <c r="X2" s="2">
        <f t="shared" ref="X2" si="18">+W2+1</f>
        <v>24</v>
      </c>
      <c r="Y2" s="2">
        <f t="shared" ref="Y2" si="19">+X2+1</f>
        <v>25</v>
      </c>
      <c r="Z2" s="2">
        <f t="shared" ref="Z2" si="20">+Y2+1</f>
        <v>26</v>
      </c>
      <c r="AA2" s="2">
        <f t="shared" ref="AA2" si="21">+Z2+1</f>
        <v>27</v>
      </c>
      <c r="AB2" s="2">
        <f t="shared" ref="AB2" si="22">+AA2+1</f>
        <v>28</v>
      </c>
      <c r="AC2" s="2">
        <f t="shared" ref="AC2" si="23">+AB2+1</f>
        <v>29</v>
      </c>
      <c r="AD2" s="2">
        <f t="shared" ref="AD2" si="24">+AC2+1</f>
        <v>30</v>
      </c>
      <c r="AE2" s="2">
        <f t="shared" ref="AE2" si="25">+AD2+1</f>
        <v>31</v>
      </c>
      <c r="AF2" s="2">
        <f t="shared" ref="AF2" si="26">+AE2+1</f>
        <v>32</v>
      </c>
      <c r="AG2" s="2">
        <f t="shared" ref="AG2" si="27">+AF2+1</f>
        <v>33</v>
      </c>
      <c r="AH2" s="2">
        <f t="shared" ref="AH2" si="28">+AG2+1</f>
        <v>34</v>
      </c>
      <c r="AI2" s="2">
        <f t="shared" ref="AI2" si="29">+AH2+1</f>
        <v>35</v>
      </c>
      <c r="AJ2" s="2">
        <f t="shared" ref="AJ2" si="30">+AI2+1</f>
        <v>36</v>
      </c>
      <c r="AK2" s="2">
        <f t="shared" ref="AK2" si="31">+AJ2+1</f>
        <v>37</v>
      </c>
      <c r="AL2" s="2">
        <f t="shared" ref="AL2" si="32">+AK2+1</f>
        <v>38</v>
      </c>
      <c r="AM2" s="2">
        <f t="shared" ref="AM2" si="33">+AL2+1</f>
        <v>39</v>
      </c>
      <c r="AN2" s="2">
        <f t="shared" ref="AN2" si="34">+AM2+1</f>
        <v>40</v>
      </c>
      <c r="AO2" s="2">
        <f t="shared" ref="AO2" si="35">+AN2+1</f>
        <v>41</v>
      </c>
      <c r="AP2" s="2">
        <f t="shared" ref="AP2" si="36">+AO2+1</f>
        <v>42</v>
      </c>
      <c r="AQ2" s="2">
        <f t="shared" ref="AQ2" si="37">+AP2+1</f>
        <v>43</v>
      </c>
      <c r="AR2" s="2">
        <f t="shared" ref="AR2" si="38">+AQ2+1</f>
        <v>44</v>
      </c>
      <c r="AS2" s="2">
        <f t="shared" ref="AS2" si="39">+AR2+1</f>
        <v>45</v>
      </c>
      <c r="AT2" s="2">
        <f t="shared" ref="AT2" si="40">+AS2+1</f>
        <v>46</v>
      </c>
      <c r="AU2" s="2">
        <f t="shared" ref="AU2" si="41">+AT2+1</f>
        <v>47</v>
      </c>
      <c r="AV2" s="2">
        <f t="shared" ref="AV2" si="42">+AU2+1</f>
        <v>48</v>
      </c>
      <c r="AW2" s="2">
        <f t="shared" ref="AW2" si="43">+AV2+1</f>
        <v>49</v>
      </c>
      <c r="AX2" s="2">
        <f t="shared" ref="AX2" si="44">+AW2+1</f>
        <v>50</v>
      </c>
      <c r="AY2" s="2">
        <f t="shared" ref="AY2" si="45">+AX2+1</f>
        <v>51</v>
      </c>
      <c r="AZ2" s="2">
        <f t="shared" ref="AZ2" si="46">+AY2+1</f>
        <v>52</v>
      </c>
      <c r="BA2" s="2">
        <f t="shared" ref="BA2" si="47">+AZ2+1</f>
        <v>53</v>
      </c>
      <c r="BB2" s="2">
        <f t="shared" ref="BB2" si="48">+BA2+1</f>
        <v>54</v>
      </c>
      <c r="BC2" s="2">
        <f t="shared" ref="BC2" si="49">+BB2+1</f>
        <v>55</v>
      </c>
      <c r="BD2" s="2">
        <f t="shared" ref="BD2" si="50">+BC2+1</f>
        <v>56</v>
      </c>
      <c r="BE2" s="2">
        <f t="shared" ref="BE2" si="51">+BD2+1</f>
        <v>57</v>
      </c>
      <c r="BF2" s="2">
        <f t="shared" ref="BF2" si="52">+BE2+1</f>
        <v>58</v>
      </c>
      <c r="BG2" s="2">
        <f t="shared" ref="BG2" si="53">+BF2+1</f>
        <v>59</v>
      </c>
      <c r="BH2" s="2">
        <f t="shared" ref="BH2" si="54">+BG2+1</f>
        <v>60</v>
      </c>
      <c r="BI2" s="2">
        <f t="shared" ref="BI2" si="55">+BH2+1</f>
        <v>61</v>
      </c>
      <c r="BJ2" s="2">
        <f t="shared" ref="BJ2" si="56">+BI2+1</f>
        <v>62</v>
      </c>
      <c r="BK2" s="2">
        <f t="shared" ref="BK2" si="57">+BJ2+1</f>
        <v>63</v>
      </c>
      <c r="BL2" s="2">
        <f t="shared" ref="BL2" si="58">+BK2+1</f>
        <v>64</v>
      </c>
      <c r="BM2" s="2">
        <f t="shared" ref="BM2" si="59">+BL2+1</f>
        <v>65</v>
      </c>
      <c r="BN2" s="2">
        <f t="shared" ref="BN2" si="60">+BM2+1</f>
        <v>66</v>
      </c>
      <c r="BO2" s="2">
        <f t="shared" ref="BO2" si="61">+BN2+1</f>
        <v>67</v>
      </c>
      <c r="BP2" s="2">
        <f t="shared" ref="BP2" si="62">+BO2+1</f>
        <v>68</v>
      </c>
      <c r="BQ2" s="2">
        <f t="shared" ref="BQ2" si="63">+BP2+1</f>
        <v>69</v>
      </c>
      <c r="BR2" s="2">
        <f t="shared" ref="BR2" si="64">+BQ2+1</f>
        <v>70</v>
      </c>
      <c r="BS2" s="2">
        <f t="shared" ref="BS2" si="65">+BR2+1</f>
        <v>71</v>
      </c>
      <c r="BT2" s="2">
        <f t="shared" ref="BT2" si="66">+BS2+1</f>
        <v>72</v>
      </c>
      <c r="BU2" s="2">
        <f t="shared" ref="BU2" si="67">+BT2+1</f>
        <v>73</v>
      </c>
      <c r="BV2" s="2">
        <f t="shared" ref="BV2" si="68">+BU2+1</f>
        <v>74</v>
      </c>
      <c r="BW2" s="2">
        <f t="shared" ref="BW2" si="69">+BV2+1</f>
        <v>75</v>
      </c>
      <c r="BX2" s="2">
        <f t="shared" ref="BX2" si="70">+BW2+1</f>
        <v>76</v>
      </c>
      <c r="BY2" s="2">
        <f t="shared" ref="BY2" si="71">+BX2+1</f>
        <v>77</v>
      </c>
      <c r="BZ2" s="2">
        <f t="shared" ref="BZ2" si="72">+BY2+1</f>
        <v>78</v>
      </c>
      <c r="CA2" s="2">
        <f t="shared" ref="CA2" si="73">+BZ2+1</f>
        <v>79</v>
      </c>
      <c r="CB2" s="2">
        <f t="shared" ref="CB2" si="74">+CA2+1</f>
        <v>80</v>
      </c>
      <c r="CC2" s="2">
        <f t="shared" ref="CC2" si="75">+CB2+1</f>
        <v>81</v>
      </c>
      <c r="CD2" s="2">
        <f t="shared" ref="CD2" si="76">+CC2+1</f>
        <v>82</v>
      </c>
      <c r="CE2" s="2">
        <f t="shared" ref="CE2" si="77">+CD2+1</f>
        <v>83</v>
      </c>
      <c r="CF2" s="2">
        <f t="shared" ref="CF2" si="78">+CE2+1</f>
        <v>84</v>
      </c>
      <c r="CG2" s="2">
        <f t="shared" ref="CG2" si="79">+CF2+1</f>
        <v>85</v>
      </c>
      <c r="CH2" s="2">
        <f t="shared" ref="CH2" si="80">+CG2+1</f>
        <v>86</v>
      </c>
      <c r="CI2" s="2">
        <f t="shared" ref="CI2" si="81">+CH2+1</f>
        <v>87</v>
      </c>
      <c r="CJ2" s="2">
        <f t="shared" ref="CJ2" si="82">+CI2+1</f>
        <v>88</v>
      </c>
      <c r="CK2" s="2">
        <f t="shared" ref="CK2" si="83">+CJ2+1</f>
        <v>89</v>
      </c>
      <c r="CL2" s="2">
        <f t="shared" ref="CL2" si="84">+CK2+1</f>
        <v>90</v>
      </c>
      <c r="CM2" s="2">
        <f t="shared" ref="CM2" si="85">+CL2+1</f>
        <v>91</v>
      </c>
      <c r="CN2" s="2">
        <f t="shared" ref="CN2" si="86">+CM2+1</f>
        <v>92</v>
      </c>
      <c r="CO2" s="2">
        <f t="shared" ref="CO2" si="87">+CN2+1</f>
        <v>93</v>
      </c>
      <c r="CP2" s="2">
        <f t="shared" ref="CP2" si="88">+CO2+1</f>
        <v>94</v>
      </c>
      <c r="CQ2" s="2">
        <f t="shared" ref="CQ2" si="89">+CP2+1</f>
        <v>95</v>
      </c>
      <c r="CR2" s="2">
        <f t="shared" ref="CR2" si="90">+CQ2+1</f>
        <v>96</v>
      </c>
      <c r="CS2" s="2">
        <f t="shared" ref="CS2" si="91">+CR2+1</f>
        <v>97</v>
      </c>
      <c r="CT2" s="2">
        <f t="shared" ref="CT2" si="92">+CS2+1</f>
        <v>98</v>
      </c>
      <c r="CU2" s="2">
        <f t="shared" ref="CU2" si="93">+CT2+1</f>
        <v>99</v>
      </c>
      <c r="CV2" s="2">
        <f t="shared" ref="CV2" si="94">+CU2+1</f>
        <v>100</v>
      </c>
      <c r="CW2" s="2">
        <f t="shared" ref="CW2" si="95">+CV2+1</f>
        <v>101</v>
      </c>
      <c r="CX2" s="2">
        <f t="shared" ref="CX2" si="96">+CW2+1</f>
        <v>102</v>
      </c>
      <c r="CY2" s="2">
        <f t="shared" ref="CY2" si="97">+CX2+1</f>
        <v>103</v>
      </c>
      <c r="CZ2" s="2">
        <f t="shared" ref="CZ2" si="98">+CY2+1</f>
        <v>104</v>
      </c>
      <c r="DA2" s="2">
        <f t="shared" ref="DA2" si="99">+CZ2+1</f>
        <v>105</v>
      </c>
      <c r="DB2" s="2">
        <f t="shared" ref="DB2" si="100">+DA2+1</f>
        <v>106</v>
      </c>
      <c r="DC2" s="2">
        <f t="shared" ref="DC2" si="101">+DB2+1</f>
        <v>107</v>
      </c>
      <c r="DD2" s="2">
        <f t="shared" ref="DD2" si="102">+DC2+1</f>
        <v>108</v>
      </c>
      <c r="DE2" s="2">
        <f t="shared" ref="DE2" si="103">+DD2+1</f>
        <v>109</v>
      </c>
      <c r="DF2" s="2">
        <f t="shared" ref="DF2" si="104">+DE2+1</f>
        <v>110</v>
      </c>
      <c r="DG2" s="2">
        <f t="shared" ref="DG2" si="105">+DF2+1</f>
        <v>111</v>
      </c>
      <c r="DH2" s="2">
        <f t="shared" ref="DH2" si="106">+DG2+1</f>
        <v>112</v>
      </c>
      <c r="DI2" s="2">
        <f t="shared" ref="DI2" si="107">+DH2+1</f>
        <v>113</v>
      </c>
      <c r="DJ2" s="2">
        <f t="shared" ref="DJ2" si="108">+DI2+1</f>
        <v>114</v>
      </c>
      <c r="DK2" s="2">
        <f t="shared" ref="DK2" si="109">+DJ2+1</f>
        <v>115</v>
      </c>
      <c r="DL2" s="2">
        <f t="shared" ref="DL2" si="110">+DK2+1</f>
        <v>116</v>
      </c>
      <c r="DM2" s="2">
        <f t="shared" ref="DM2" si="111">+DL2+1</f>
        <v>117</v>
      </c>
      <c r="DN2" s="2">
        <f t="shared" ref="DN2" si="112">+DM2+1</f>
        <v>118</v>
      </c>
      <c r="DO2" s="2">
        <f t="shared" ref="DO2" si="113">+DN2+1</f>
        <v>119</v>
      </c>
      <c r="DP2" s="2">
        <f t="shared" ref="DP2" si="114">+DO2+1</f>
        <v>120</v>
      </c>
      <c r="DQ2" s="2">
        <f t="shared" ref="DQ2" si="115">+DP2+1</f>
        <v>121</v>
      </c>
      <c r="DR2" s="2">
        <f t="shared" ref="DR2" si="116">+DQ2+1</f>
        <v>122</v>
      </c>
      <c r="DS2" s="2">
        <f t="shared" ref="DS2" si="117">+DR2+1</f>
        <v>123</v>
      </c>
      <c r="DT2" s="2">
        <f t="shared" ref="DT2" si="118">+DS2+1</f>
        <v>124</v>
      </c>
      <c r="DU2" s="2">
        <f t="shared" ref="DU2" si="119">+DT2+1</f>
        <v>125</v>
      </c>
      <c r="DV2" s="2">
        <f t="shared" ref="DV2" si="120">+DU2+1</f>
        <v>126</v>
      </c>
      <c r="DW2" s="2">
        <f t="shared" ref="DW2" si="121">+DV2+1</f>
        <v>127</v>
      </c>
      <c r="DX2" s="2">
        <f t="shared" ref="DX2" si="122">+DW2+1</f>
        <v>128</v>
      </c>
      <c r="DY2" s="2">
        <f t="shared" ref="DY2" si="123">+DX2+1</f>
        <v>129</v>
      </c>
      <c r="DZ2" s="2">
        <f t="shared" ref="DZ2" si="124">+DY2+1</f>
        <v>130</v>
      </c>
      <c r="EA2" s="2">
        <f t="shared" ref="EA2" si="125">+DZ2+1</f>
        <v>131</v>
      </c>
      <c r="EB2" s="2">
        <f t="shared" ref="EB2" si="126">+EA2+1</f>
        <v>132</v>
      </c>
      <c r="EC2" s="2">
        <f t="shared" ref="EC2" si="127">+EB2+1</f>
        <v>133</v>
      </c>
      <c r="ED2" s="2">
        <f t="shared" ref="ED2" si="128">+EC2+1</f>
        <v>134</v>
      </c>
      <c r="EE2" s="2">
        <f t="shared" ref="EE2" si="129">+ED2+1</f>
        <v>135</v>
      </c>
      <c r="EF2" s="2">
        <f t="shared" ref="EF2" si="130">+EE2+1</f>
        <v>136</v>
      </c>
      <c r="EG2" s="2">
        <f t="shared" ref="EG2" si="131">+EF2+1</f>
        <v>137</v>
      </c>
      <c r="EH2" s="2">
        <f t="shared" ref="EH2" si="132">+EG2+1</f>
        <v>138</v>
      </c>
      <c r="EI2" s="2">
        <f t="shared" ref="EI2" si="133">+EH2+1</f>
        <v>139</v>
      </c>
      <c r="EJ2" s="2">
        <f t="shared" ref="EJ2" si="134">+EI2+1</f>
        <v>140</v>
      </c>
      <c r="EK2" s="2">
        <f t="shared" ref="EK2" si="135">+EJ2+1</f>
        <v>141</v>
      </c>
      <c r="EL2" s="2">
        <f t="shared" ref="EL2" si="136">+EK2+1</f>
        <v>142</v>
      </c>
      <c r="EM2" s="2">
        <f t="shared" ref="EM2" si="137">+EL2+1</f>
        <v>143</v>
      </c>
      <c r="EN2" s="2">
        <f t="shared" ref="EN2" si="138">+EM2+1</f>
        <v>144</v>
      </c>
      <c r="EO2" s="2">
        <f t="shared" ref="EO2" si="139">+EN2+1</f>
        <v>145</v>
      </c>
      <c r="EP2" s="2">
        <f t="shared" ref="EP2" si="140">+EO2+1</f>
        <v>146</v>
      </c>
      <c r="EQ2" s="2">
        <f t="shared" ref="EQ2" si="141">+EP2+1</f>
        <v>147</v>
      </c>
      <c r="ER2" s="2">
        <f t="shared" ref="ER2" si="142">+EQ2+1</f>
        <v>148</v>
      </c>
      <c r="ES2" s="2">
        <f t="shared" ref="ES2" si="143">+ER2+1</f>
        <v>149</v>
      </c>
      <c r="ET2" s="2">
        <f t="shared" ref="ET2" si="144">+ES2+1</f>
        <v>150</v>
      </c>
      <c r="EU2" s="2">
        <f t="shared" ref="EU2" si="145">+ET2+1</f>
        <v>151</v>
      </c>
      <c r="EV2" s="2">
        <f t="shared" ref="EV2" si="146">+EU2+1</f>
        <v>152</v>
      </c>
      <c r="EW2" s="2">
        <f t="shared" ref="EW2" si="147">+EV2+1</f>
        <v>153</v>
      </c>
      <c r="EX2" s="2">
        <f t="shared" ref="EX2" si="148">+EW2+1</f>
        <v>154</v>
      </c>
      <c r="EY2" s="2">
        <f t="shared" ref="EY2" si="149">+EX2+1</f>
        <v>155</v>
      </c>
      <c r="EZ2" s="2">
        <f t="shared" ref="EZ2" si="150">+EY2+1</f>
        <v>156</v>
      </c>
      <c r="FA2" s="2">
        <f t="shared" ref="FA2" si="151">+EZ2+1</f>
        <v>157</v>
      </c>
      <c r="FB2" s="2">
        <f t="shared" ref="FB2" si="152">+FA2+1</f>
        <v>158</v>
      </c>
      <c r="FC2" s="2">
        <f t="shared" ref="FC2" si="153">+FB2+1</f>
        <v>159</v>
      </c>
      <c r="FD2" s="2">
        <f t="shared" ref="FD2" si="154">+FC2+1</f>
        <v>160</v>
      </c>
      <c r="FE2" s="2">
        <f t="shared" ref="FE2" si="155">+FD2+1</f>
        <v>161</v>
      </c>
      <c r="FF2" s="2">
        <f t="shared" ref="FF2" si="156">+FE2+1</f>
        <v>162</v>
      </c>
      <c r="FG2" s="2">
        <f t="shared" ref="FG2" si="157">+FF2+1</f>
        <v>163</v>
      </c>
      <c r="FH2" s="2">
        <f t="shared" ref="FH2" si="158">+FG2+1</f>
        <v>164</v>
      </c>
      <c r="FI2" s="2">
        <f t="shared" ref="FI2" si="159">+FH2+1</f>
        <v>165</v>
      </c>
      <c r="FJ2" s="2">
        <f t="shared" ref="FJ2" si="160">+FI2+1</f>
        <v>166</v>
      </c>
      <c r="FK2" s="2">
        <f t="shared" ref="FK2" si="161">+FJ2+1</f>
        <v>167</v>
      </c>
      <c r="FL2" s="2">
        <f t="shared" ref="FL2" si="162">+FK2+1</f>
        <v>168</v>
      </c>
      <c r="FM2" s="2">
        <f t="shared" ref="FM2" si="163">+FL2+1</f>
        <v>169</v>
      </c>
      <c r="FN2" s="2">
        <f t="shared" ref="FN2" si="164">+FM2+1</f>
        <v>170</v>
      </c>
      <c r="FO2" s="2">
        <f t="shared" ref="FO2" si="165">+FN2+1</f>
        <v>171</v>
      </c>
      <c r="FP2" s="2">
        <f t="shared" ref="FP2" si="166">+FO2+1</f>
        <v>172</v>
      </c>
      <c r="FQ2" s="2">
        <f t="shared" ref="FQ2" si="167">+FP2+1</f>
        <v>173</v>
      </c>
      <c r="FR2" s="2">
        <f t="shared" ref="FR2" si="168">+FQ2+1</f>
        <v>174</v>
      </c>
      <c r="FS2" s="2">
        <f t="shared" ref="FS2" si="169">+FR2+1</f>
        <v>175</v>
      </c>
      <c r="FT2" s="2">
        <f t="shared" ref="FT2" si="170">+FS2+1</f>
        <v>176</v>
      </c>
      <c r="FU2" s="2">
        <f t="shared" ref="FU2" si="171">+FT2+1</f>
        <v>177</v>
      </c>
      <c r="FV2" s="2">
        <f t="shared" ref="FV2" si="172">+FU2+1</f>
        <v>178</v>
      </c>
      <c r="FW2" s="2">
        <f t="shared" ref="FW2" si="173">+FV2+1</f>
        <v>179</v>
      </c>
      <c r="FX2" s="2">
        <f t="shared" ref="FX2" si="174">+FW2+1</f>
        <v>180</v>
      </c>
      <c r="FY2" s="2">
        <f t="shared" ref="FY2" si="175">+FX2+1</f>
        <v>181</v>
      </c>
      <c r="FZ2" s="2">
        <f t="shared" ref="FZ2" si="176">+FY2+1</f>
        <v>182</v>
      </c>
      <c r="GA2" s="2">
        <f t="shared" ref="GA2" si="177">+FZ2+1</f>
        <v>183</v>
      </c>
      <c r="GB2" s="2">
        <f t="shared" ref="GB2" si="178">+GA2+1</f>
        <v>184</v>
      </c>
      <c r="GC2" s="2">
        <f t="shared" ref="GC2" si="179">+GB2+1</f>
        <v>185</v>
      </c>
      <c r="GD2" s="2">
        <f t="shared" ref="GD2" si="180">+GC2+1</f>
        <v>186</v>
      </c>
      <c r="GE2" s="2">
        <f t="shared" ref="GE2" si="181">+GD2+1</f>
        <v>187</v>
      </c>
      <c r="GF2" s="2">
        <f t="shared" ref="GF2" si="182">+GE2+1</f>
        <v>188</v>
      </c>
      <c r="GG2" s="2">
        <f t="shared" ref="GG2" si="183">+GF2+1</f>
        <v>189</v>
      </c>
      <c r="GH2" s="2">
        <f t="shared" ref="GH2" si="184">+GG2+1</f>
        <v>190</v>
      </c>
      <c r="GI2" s="2">
        <f t="shared" ref="GI2" si="185">+GH2+1</f>
        <v>191</v>
      </c>
      <c r="GJ2" s="2">
        <f t="shared" ref="GJ2" si="186">+GI2+1</f>
        <v>192</v>
      </c>
      <c r="GK2" s="2">
        <f t="shared" ref="GK2" si="187">+GJ2+1</f>
        <v>193</v>
      </c>
      <c r="GL2" s="2">
        <f t="shared" ref="GL2" si="188">+GK2+1</f>
        <v>194</v>
      </c>
      <c r="GM2" s="2">
        <f t="shared" ref="GM2" si="189">+GL2+1</f>
        <v>195</v>
      </c>
      <c r="GN2" s="2">
        <f t="shared" ref="GN2" si="190">+GM2+1</f>
        <v>196</v>
      </c>
      <c r="GO2" s="2">
        <f t="shared" ref="GO2" si="191">+GN2+1</f>
        <v>197</v>
      </c>
      <c r="GP2" s="2">
        <f t="shared" ref="GP2" si="192">+GO2+1</f>
        <v>198</v>
      </c>
      <c r="GQ2" s="2">
        <f t="shared" ref="GQ2" si="193">+GP2+1</f>
        <v>199</v>
      </c>
      <c r="GR2" s="2">
        <f t="shared" ref="GR2" si="194">+GQ2+1</f>
        <v>200</v>
      </c>
      <c r="GS2" s="2">
        <f t="shared" ref="GS2" si="195">+GR2+1</f>
        <v>201</v>
      </c>
    </row>
    <row r="3" spans="1:201" ht="16.5" thickBot="1">
      <c r="A3" s="172"/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172"/>
      <c r="Z3" s="172"/>
      <c r="AA3" s="172"/>
      <c r="AB3" s="172"/>
      <c r="AC3" s="172"/>
      <c r="AD3" s="172"/>
      <c r="AE3" s="172"/>
      <c r="AF3" s="172"/>
      <c r="AG3" s="172"/>
      <c r="AH3" s="172"/>
      <c r="AI3" s="172"/>
      <c r="AJ3" s="172"/>
      <c r="AK3" s="172"/>
      <c r="AL3" s="172"/>
      <c r="AM3" s="172"/>
      <c r="AN3" s="172"/>
      <c r="AO3" s="172"/>
      <c r="AP3" s="172"/>
      <c r="AQ3" s="172"/>
      <c r="AR3" s="172"/>
      <c r="AS3" s="172"/>
      <c r="AT3" s="172"/>
      <c r="AU3" s="172"/>
      <c r="AV3" s="172"/>
      <c r="AW3" s="172"/>
      <c r="AX3" s="172"/>
      <c r="AY3" s="172"/>
      <c r="AZ3" s="172"/>
      <c r="BA3" s="172"/>
      <c r="BB3" s="172"/>
      <c r="BC3" s="172"/>
      <c r="BD3" s="172"/>
      <c r="BE3" s="172"/>
      <c r="BF3" s="172"/>
      <c r="BG3" s="172"/>
      <c r="BH3" s="172"/>
      <c r="BI3" s="172"/>
      <c r="BJ3" s="172"/>
      <c r="BK3" s="172"/>
      <c r="BL3" s="172"/>
      <c r="BM3" s="172"/>
      <c r="BN3" s="172"/>
      <c r="BO3" s="172"/>
      <c r="BP3" s="172"/>
      <c r="BQ3" s="172"/>
      <c r="BR3" s="172"/>
      <c r="BS3" s="172"/>
      <c r="BT3" s="172"/>
      <c r="BU3" s="172"/>
      <c r="BV3" s="172"/>
      <c r="BW3" s="172"/>
      <c r="BX3" s="172"/>
      <c r="BY3" s="172"/>
      <c r="BZ3" s="172"/>
      <c r="CA3" s="172"/>
      <c r="CB3" s="172"/>
      <c r="CC3" s="172"/>
      <c r="CD3" s="172"/>
      <c r="CE3" s="172"/>
      <c r="CF3" s="172"/>
      <c r="CG3" s="172"/>
      <c r="CH3" s="172"/>
      <c r="CI3" s="172"/>
      <c r="CJ3" s="172"/>
      <c r="CK3" s="172"/>
      <c r="CL3" s="172"/>
      <c r="CM3" s="172"/>
      <c r="CN3" s="172"/>
      <c r="CO3" s="172"/>
      <c r="CP3" s="172"/>
      <c r="CQ3" s="172"/>
      <c r="CR3" s="172"/>
      <c r="CS3" s="172"/>
      <c r="CT3" s="172"/>
      <c r="CU3" s="172"/>
      <c r="CV3" s="172"/>
      <c r="CW3" s="172"/>
      <c r="CX3" s="172"/>
      <c r="CY3" s="172"/>
      <c r="CZ3" s="172"/>
      <c r="DA3" s="172"/>
      <c r="DB3" s="172"/>
      <c r="DC3" s="172"/>
      <c r="DD3" s="172"/>
      <c r="DE3" s="172"/>
      <c r="DF3" s="172"/>
      <c r="DG3" s="172"/>
      <c r="DH3" s="172"/>
      <c r="DI3" s="172"/>
      <c r="DJ3" s="172"/>
      <c r="DK3" s="172"/>
      <c r="DL3" s="172"/>
      <c r="DM3" s="172"/>
      <c r="DN3" s="172"/>
      <c r="DO3" s="172"/>
      <c r="DP3" s="172"/>
      <c r="DQ3" s="172"/>
      <c r="DR3" s="172"/>
      <c r="DS3" s="172"/>
      <c r="DT3" s="172"/>
      <c r="DU3" s="172"/>
      <c r="DV3" s="172"/>
      <c r="DW3" s="172"/>
      <c r="DX3" s="172"/>
      <c r="DY3" s="172"/>
      <c r="DZ3" s="172"/>
      <c r="EA3" s="172"/>
      <c r="EB3" s="172"/>
      <c r="EC3" s="172"/>
      <c r="ED3" s="172"/>
      <c r="EE3" s="172"/>
      <c r="EF3" s="172"/>
      <c r="EG3" s="172"/>
      <c r="EH3" s="172"/>
      <c r="EI3" s="172"/>
      <c r="EJ3" s="172"/>
      <c r="EK3" s="172"/>
      <c r="EL3" s="172"/>
      <c r="EM3" s="172"/>
      <c r="EN3" s="172"/>
      <c r="EO3" s="172"/>
      <c r="EP3" s="172"/>
      <c r="EQ3" s="172"/>
      <c r="ER3" s="172"/>
      <c r="ES3" s="172"/>
      <c r="ET3" s="172"/>
      <c r="EU3" s="172"/>
      <c r="EV3" s="172"/>
      <c r="EW3" s="172"/>
      <c r="EX3" s="172"/>
      <c r="EY3" s="172"/>
      <c r="EZ3" s="172"/>
      <c r="FA3" s="172"/>
      <c r="FB3" s="172"/>
      <c r="FC3" s="172"/>
      <c r="FD3" s="172"/>
      <c r="FE3" s="172"/>
      <c r="FF3" s="172"/>
      <c r="FG3" s="172"/>
      <c r="FH3" s="172"/>
      <c r="FI3" s="172"/>
      <c r="FJ3" s="172"/>
      <c r="FK3" s="172"/>
      <c r="FL3" s="172"/>
      <c r="FM3" s="172"/>
      <c r="FN3" s="172"/>
      <c r="FO3" s="172"/>
      <c r="FP3" s="172"/>
      <c r="FQ3" s="172"/>
      <c r="FR3" s="172"/>
      <c r="FS3" s="172"/>
      <c r="FT3" s="172"/>
      <c r="FU3" s="172"/>
      <c r="FV3" s="172"/>
      <c r="FW3" s="172"/>
      <c r="FX3" s="172"/>
      <c r="FY3" s="172"/>
      <c r="FZ3" s="172"/>
      <c r="GA3" s="172"/>
      <c r="GB3" s="172"/>
      <c r="GC3" s="172"/>
      <c r="GD3" s="172"/>
      <c r="GE3" s="172"/>
      <c r="GF3" s="172"/>
      <c r="GG3" s="172"/>
      <c r="GH3" s="172"/>
      <c r="GI3" s="172"/>
      <c r="GJ3" s="172"/>
      <c r="GK3" s="172"/>
      <c r="GL3" s="172"/>
      <c r="GM3" s="172"/>
      <c r="GN3" s="172"/>
      <c r="GO3" s="172"/>
      <c r="GP3" s="172"/>
      <c r="GQ3" s="172"/>
      <c r="GR3" s="172"/>
      <c r="GS3" s="172"/>
    </row>
    <row r="4" spans="1:201">
      <c r="A4" s="172"/>
      <c r="B4" s="172"/>
      <c r="C4" s="295" t="str">
        <f>'הנחות עבודה'!B6</f>
        <v>שנת התחלת חישוב תזרים</v>
      </c>
      <c r="D4" s="297">
        <f>'הנחות עבודה'!C6</f>
        <v>2020</v>
      </c>
      <c r="E4" s="172"/>
      <c r="F4" s="172"/>
      <c r="G4" s="172"/>
      <c r="H4" s="172"/>
      <c r="I4" s="172"/>
      <c r="J4" s="172"/>
      <c r="K4" s="172"/>
      <c r="L4" s="172"/>
      <c r="M4" s="172"/>
      <c r="N4" s="172"/>
      <c r="O4" s="172"/>
      <c r="P4" s="172"/>
      <c r="Q4" s="172"/>
      <c r="R4" s="172"/>
      <c r="S4" s="172"/>
      <c r="T4" s="172"/>
      <c r="U4" s="172"/>
      <c r="V4" s="172"/>
      <c r="W4" s="172"/>
      <c r="X4" s="172"/>
      <c r="Y4" s="172"/>
      <c r="Z4" s="172"/>
      <c r="AA4" s="172"/>
      <c r="AB4" s="172"/>
      <c r="AC4" s="172"/>
      <c r="AD4" s="172"/>
      <c r="AE4" s="172"/>
      <c r="AF4" s="172"/>
      <c r="AG4" s="172"/>
      <c r="AH4" s="172"/>
      <c r="AI4" s="172"/>
      <c r="AJ4" s="172"/>
      <c r="AK4" s="172"/>
      <c r="AL4" s="172"/>
      <c r="AM4" s="172"/>
      <c r="AN4" s="172"/>
      <c r="AO4" s="172"/>
      <c r="AP4" s="172"/>
      <c r="AQ4" s="172"/>
      <c r="AR4" s="172"/>
      <c r="AS4" s="172"/>
      <c r="AT4" s="172"/>
      <c r="AU4" s="172"/>
      <c r="AV4" s="172"/>
      <c r="AW4" s="172"/>
      <c r="AX4" s="172"/>
      <c r="AY4" s="172"/>
      <c r="AZ4" s="172"/>
      <c r="BA4" s="172"/>
      <c r="BB4" s="172"/>
      <c r="BC4" s="172"/>
      <c r="BD4" s="172"/>
      <c r="BE4" s="172"/>
      <c r="BF4" s="172"/>
      <c r="BG4" s="172"/>
      <c r="BH4" s="172"/>
      <c r="BI4" s="172"/>
      <c r="BJ4" s="172"/>
      <c r="BK4" s="172"/>
      <c r="BL4" s="172"/>
      <c r="BM4" s="172"/>
      <c r="BN4" s="172"/>
      <c r="BO4" s="172"/>
      <c r="BP4" s="172"/>
      <c r="BQ4" s="172"/>
      <c r="BR4" s="172"/>
      <c r="BS4" s="172"/>
      <c r="BT4" s="172"/>
      <c r="BU4" s="172"/>
      <c r="BV4" s="172"/>
      <c r="BW4" s="172"/>
      <c r="BX4" s="172"/>
      <c r="BY4" s="172"/>
      <c r="BZ4" s="172"/>
      <c r="CA4" s="172"/>
      <c r="CB4" s="172"/>
      <c r="CC4" s="172"/>
      <c r="CD4" s="172"/>
      <c r="CE4" s="172"/>
      <c r="CF4" s="172"/>
      <c r="CG4" s="172"/>
      <c r="CH4" s="172"/>
      <c r="CI4" s="172"/>
      <c r="CJ4" s="172"/>
      <c r="CK4" s="172"/>
      <c r="CL4" s="172"/>
      <c r="CM4" s="172"/>
      <c r="CN4" s="172"/>
      <c r="CO4" s="172"/>
      <c r="CP4" s="172"/>
      <c r="CQ4" s="172"/>
      <c r="CR4" s="172"/>
      <c r="CS4" s="172"/>
      <c r="CT4" s="172"/>
      <c r="CU4" s="172"/>
      <c r="CV4" s="172"/>
      <c r="CW4" s="172"/>
      <c r="CX4" s="172"/>
      <c r="CY4" s="172"/>
      <c r="CZ4" s="172"/>
      <c r="DA4" s="172"/>
      <c r="DB4" s="172"/>
      <c r="DC4" s="172"/>
      <c r="DD4" s="172"/>
      <c r="DE4" s="172"/>
      <c r="DF4" s="172"/>
      <c r="DG4" s="172"/>
      <c r="DH4" s="172"/>
      <c r="DI4" s="172"/>
      <c r="DJ4" s="172"/>
      <c r="DK4" s="172"/>
      <c r="DL4" s="172"/>
      <c r="DM4" s="172"/>
      <c r="DN4" s="172"/>
      <c r="DO4" s="172"/>
      <c r="DP4" s="172"/>
      <c r="DQ4" s="172"/>
      <c r="DR4" s="172"/>
      <c r="DS4" s="172"/>
      <c r="DT4" s="172"/>
      <c r="DU4" s="172"/>
      <c r="DV4" s="172"/>
      <c r="DW4" s="172"/>
      <c r="DX4" s="172"/>
      <c r="DY4" s="172"/>
      <c r="DZ4" s="172"/>
      <c r="EA4" s="172"/>
      <c r="EB4" s="172"/>
      <c r="EC4" s="172"/>
      <c r="ED4" s="172"/>
      <c r="EE4" s="172"/>
      <c r="EF4" s="172"/>
      <c r="EG4" s="172"/>
      <c r="EH4" s="172"/>
      <c r="EI4" s="172"/>
      <c r="EJ4" s="172"/>
      <c r="EK4" s="172"/>
      <c r="EL4" s="172"/>
      <c r="EM4" s="172"/>
      <c r="EN4" s="172"/>
      <c r="EO4" s="172"/>
      <c r="EP4" s="172"/>
      <c r="EQ4" s="172"/>
      <c r="ER4" s="172"/>
      <c r="ES4" s="172"/>
      <c r="ET4" s="172"/>
      <c r="EU4" s="172"/>
      <c r="EV4" s="172"/>
      <c r="EW4" s="172"/>
      <c r="EX4" s="172"/>
      <c r="EY4" s="172"/>
      <c r="EZ4" s="172"/>
      <c r="FA4" s="172"/>
      <c r="FB4" s="172"/>
      <c r="FC4" s="172"/>
      <c r="FD4" s="172"/>
      <c r="FE4" s="172"/>
      <c r="FF4" s="172"/>
      <c r="FG4" s="172"/>
      <c r="FH4" s="172"/>
      <c r="FI4" s="172"/>
      <c r="FJ4" s="172"/>
      <c r="FK4" s="172"/>
      <c r="FL4" s="172"/>
      <c r="FM4" s="172"/>
      <c r="FN4" s="172"/>
      <c r="FO4" s="172"/>
      <c r="FP4" s="172"/>
      <c r="FQ4" s="172"/>
      <c r="FR4" s="172"/>
      <c r="FS4" s="172"/>
      <c r="FT4" s="172"/>
      <c r="FU4" s="172"/>
      <c r="FV4" s="172"/>
      <c r="FW4" s="172"/>
      <c r="FX4" s="172"/>
      <c r="FY4" s="172"/>
      <c r="FZ4" s="172"/>
      <c r="GA4" s="172"/>
      <c r="GB4" s="172"/>
      <c r="GC4" s="172"/>
      <c r="GD4" s="172"/>
      <c r="GE4" s="172"/>
      <c r="GF4" s="172"/>
      <c r="GG4" s="172"/>
      <c r="GH4" s="172"/>
      <c r="GI4" s="172"/>
      <c r="GJ4" s="172"/>
      <c r="GK4" s="172"/>
      <c r="GL4" s="172"/>
      <c r="GM4" s="172"/>
      <c r="GN4" s="172"/>
      <c r="GO4" s="172"/>
      <c r="GP4" s="172"/>
      <c r="GQ4" s="172"/>
      <c r="GR4" s="172"/>
      <c r="GS4" s="172"/>
    </row>
    <row r="5" spans="1:201" ht="16.5" thickBot="1">
      <c r="A5" s="172"/>
      <c r="B5" s="172"/>
      <c r="C5" s="296" t="str">
        <f>'הנחות עבודה'!B8</f>
        <v>שנת היוון מקסימלית - השקעות</v>
      </c>
      <c r="D5" s="298">
        <f>'הנחות עבודה'!C8</f>
        <v>2040</v>
      </c>
      <c r="E5" s="172"/>
      <c r="F5" s="172"/>
      <c r="G5" s="172"/>
      <c r="H5" s="172"/>
      <c r="I5" s="172"/>
      <c r="J5" s="172"/>
      <c r="K5" s="172"/>
      <c r="L5" s="172"/>
      <c r="M5" s="172"/>
      <c r="N5" s="172"/>
      <c r="O5" s="172"/>
      <c r="P5" s="172"/>
      <c r="Q5" s="172"/>
      <c r="R5" s="172"/>
      <c r="S5" s="172"/>
      <c r="T5" s="172"/>
      <c r="U5" s="172"/>
      <c r="V5" s="172"/>
      <c r="W5" s="172"/>
      <c r="X5" s="172"/>
      <c r="Y5" s="172"/>
      <c r="Z5" s="172"/>
      <c r="AA5" s="172"/>
      <c r="AB5" s="172"/>
      <c r="AC5" s="172"/>
      <c r="AD5" s="172"/>
      <c r="AE5" s="172"/>
      <c r="AF5" s="172"/>
      <c r="AG5" s="172"/>
      <c r="AH5" s="172"/>
      <c r="AI5" s="172"/>
      <c r="AJ5" s="172"/>
      <c r="AK5" s="172"/>
      <c r="AL5" s="172"/>
      <c r="AM5" s="172"/>
      <c r="AN5" s="172"/>
      <c r="AO5" s="172"/>
      <c r="AP5" s="172"/>
      <c r="AQ5" s="172"/>
      <c r="AR5" s="172"/>
      <c r="AS5" s="172"/>
      <c r="AT5" s="172"/>
      <c r="AU5" s="172"/>
      <c r="AV5" s="172"/>
      <c r="AW5" s="172"/>
      <c r="AX5" s="172"/>
      <c r="AY5" s="172"/>
      <c r="AZ5" s="172"/>
      <c r="BA5" s="172"/>
      <c r="BB5" s="172"/>
      <c r="BC5" s="172"/>
      <c r="BD5" s="172"/>
      <c r="BE5" s="172"/>
      <c r="BF5" s="172"/>
      <c r="BG5" s="172"/>
      <c r="BH5" s="172"/>
      <c r="BI5" s="172"/>
      <c r="BJ5" s="172"/>
      <c r="BK5" s="172"/>
      <c r="BL5" s="172"/>
      <c r="BM5" s="172"/>
      <c r="BN5" s="172"/>
      <c r="BO5" s="172"/>
      <c r="BP5" s="172"/>
      <c r="BQ5" s="172"/>
      <c r="BR5" s="172"/>
      <c r="BS5" s="172"/>
      <c r="BT5" s="172"/>
      <c r="BU5" s="172"/>
      <c r="BV5" s="172"/>
      <c r="BW5" s="172"/>
      <c r="BX5" s="172"/>
      <c r="BY5" s="172"/>
      <c r="BZ5" s="172"/>
      <c r="CA5" s="172"/>
      <c r="CB5" s="172"/>
      <c r="CC5" s="172"/>
      <c r="CD5" s="172"/>
      <c r="CE5" s="172"/>
      <c r="CF5" s="172"/>
      <c r="CG5" s="172"/>
      <c r="CH5" s="172"/>
      <c r="CI5" s="172"/>
      <c r="CJ5" s="172"/>
      <c r="CK5" s="172"/>
      <c r="CL5" s="172"/>
      <c r="CM5" s="172"/>
      <c r="CN5" s="172"/>
      <c r="CO5" s="172"/>
      <c r="CP5" s="172"/>
      <c r="CQ5" s="172"/>
      <c r="CR5" s="172"/>
      <c r="CS5" s="172"/>
      <c r="CT5" s="172"/>
      <c r="CU5" s="172"/>
      <c r="CV5" s="172"/>
      <c r="CW5" s="172"/>
      <c r="CX5" s="172"/>
      <c r="CY5" s="172"/>
      <c r="CZ5" s="172"/>
      <c r="DA5" s="172"/>
      <c r="DB5" s="172"/>
      <c r="DC5" s="172"/>
      <c r="DD5" s="172"/>
      <c r="DE5" s="172"/>
      <c r="DF5" s="172"/>
      <c r="DG5" s="172"/>
      <c r="DH5" s="172"/>
      <c r="DI5" s="172"/>
      <c r="DJ5" s="172"/>
      <c r="DK5" s="172"/>
      <c r="DL5" s="172"/>
      <c r="DM5" s="172"/>
      <c r="DN5" s="172"/>
      <c r="DO5" s="172"/>
      <c r="DP5" s="172"/>
      <c r="DQ5" s="172"/>
      <c r="DR5" s="172"/>
      <c r="DS5" s="172"/>
      <c r="DT5" s="172"/>
      <c r="DU5" s="172"/>
      <c r="DV5" s="172"/>
      <c r="DW5" s="172"/>
      <c r="DX5" s="172"/>
      <c r="DY5" s="172"/>
      <c r="DZ5" s="172"/>
      <c r="EA5" s="172"/>
      <c r="EB5" s="172"/>
      <c r="EC5" s="172"/>
      <c r="ED5" s="172"/>
      <c r="EE5" s="172"/>
      <c r="EF5" s="172"/>
      <c r="EG5" s="172"/>
      <c r="EH5" s="172"/>
      <c r="EI5" s="172"/>
      <c r="EJ5" s="172"/>
      <c r="EK5" s="172"/>
      <c r="EL5" s="172"/>
      <c r="EM5" s="172"/>
      <c r="EN5" s="172"/>
      <c r="EO5" s="172"/>
      <c r="EP5" s="172"/>
      <c r="EQ5" s="172"/>
      <c r="ER5" s="172"/>
      <c r="ES5" s="172"/>
      <c r="ET5" s="172"/>
      <c r="EU5" s="172"/>
      <c r="EV5" s="172"/>
      <c r="EW5" s="172"/>
      <c r="EX5" s="172"/>
      <c r="EY5" s="172"/>
      <c r="EZ5" s="172"/>
      <c r="FA5" s="172"/>
      <c r="FB5" s="172"/>
      <c r="FC5" s="172"/>
      <c r="FD5" s="172"/>
      <c r="FE5" s="172"/>
      <c r="FF5" s="172"/>
      <c r="FG5" s="172"/>
      <c r="FH5" s="172"/>
      <c r="FI5" s="172"/>
      <c r="FJ5" s="172"/>
      <c r="FK5" s="172"/>
      <c r="FL5" s="172"/>
      <c r="FM5" s="172"/>
      <c r="FN5" s="172"/>
      <c r="FO5" s="172"/>
      <c r="FP5" s="172"/>
      <c r="FQ5" s="172"/>
      <c r="FR5" s="172"/>
      <c r="FS5" s="172"/>
      <c r="FT5" s="172"/>
      <c r="FU5" s="172"/>
      <c r="FV5" s="172"/>
      <c r="FW5" s="172"/>
      <c r="FX5" s="172"/>
      <c r="FY5" s="172"/>
      <c r="FZ5" s="172"/>
      <c r="GA5" s="172"/>
      <c r="GB5" s="172"/>
      <c r="GC5" s="172"/>
      <c r="GD5" s="172"/>
      <c r="GE5" s="172"/>
      <c r="GF5" s="172"/>
      <c r="GG5" s="172"/>
      <c r="GH5" s="172"/>
      <c r="GI5" s="172"/>
      <c r="GJ5" s="172"/>
      <c r="GK5" s="172"/>
      <c r="GL5" s="172"/>
      <c r="GM5" s="172"/>
      <c r="GN5" s="172"/>
      <c r="GO5" s="172"/>
      <c r="GP5" s="172"/>
      <c r="GQ5" s="172"/>
      <c r="GR5" s="172"/>
      <c r="GS5" s="172"/>
    </row>
    <row r="6" spans="1:201">
      <c r="B6" s="1323" t="s">
        <v>11</v>
      </c>
      <c r="C6" s="12" t="str">
        <f>'הנחות עבודה'!C9</f>
        <v>ריבית שנתית להיוון</v>
      </c>
      <c r="D6" s="34">
        <f>VLOOKUP(C6,'הנחות עבודה'!$C$9:$D$16,2,FALSE)</f>
        <v>0.03</v>
      </c>
    </row>
    <row r="7" spans="1:201">
      <c r="B7" s="1329"/>
      <c r="C7" s="13" t="str">
        <f>'הנחות עבודה'!C13</f>
        <v>MW TO KW / KW TO W</v>
      </c>
      <c r="D7" s="15">
        <f>VLOOKUP(C7,'הנחות עבודה'!$C$9:$D$16,2,FALSE)</f>
        <v>1000</v>
      </c>
    </row>
    <row r="8" spans="1:201" ht="16.5" thickBot="1">
      <c r="B8" s="1329"/>
      <c r="C8" s="32" t="str">
        <f>'הנחות עבודה'!C16</f>
        <v>מלש"ח ל- ₪ / טון לגר' / מיליון טון לטון</v>
      </c>
      <c r="D8" s="129">
        <f>VLOOKUP(C8,'הנחות עבודה'!$C$9:$D$16,2,FALSE)</f>
        <v>1000000</v>
      </c>
    </row>
    <row r="9" spans="1:201" ht="16.5" thickBot="1">
      <c r="B9" s="1249" t="str">
        <f>'הנחות עבודה'!G49</f>
        <v>WACC</v>
      </c>
      <c r="C9" s="12" t="str">
        <f t="shared" ref="C9:C13" si="196">F10</f>
        <v>מוטה קרקע PV</v>
      </c>
      <c r="D9" s="34">
        <f>VLOOKUP(C9,'הנחות עבודה'!$H$49:$I$58,2,FALSE)</f>
        <v>3.1755633651151478E-2</v>
      </c>
      <c r="F9" s="4" t="s">
        <v>18</v>
      </c>
    </row>
    <row r="10" spans="1:201">
      <c r="B10" s="1250"/>
      <c r="C10" s="13" t="str">
        <f t="shared" si="196"/>
        <v>מוטה דואלי PV</v>
      </c>
      <c r="D10" s="35">
        <f>VLOOKUP(C10,'הנחות עבודה'!$H$49:$I$58,2,FALSE)</f>
        <v>3.2229983067023182E-2</v>
      </c>
      <c r="F10" s="58" t="s">
        <v>35</v>
      </c>
    </row>
    <row r="11" spans="1:201">
      <c r="B11" s="1250"/>
      <c r="C11" s="13" t="str">
        <f t="shared" si="196"/>
        <v>רוח</v>
      </c>
      <c r="D11" s="35">
        <f>VLOOKUP(C11,'הנחות עבודה'!$H$49:$I$58,2,FALSE)</f>
        <v>3.7200000000000004E-2</v>
      </c>
      <c r="F11" s="131" t="s">
        <v>36</v>
      </c>
    </row>
    <row r="12" spans="1:201">
      <c r="B12" s="1250"/>
      <c r="C12" s="13" t="str">
        <f t="shared" si="196"/>
        <v>ביומסה/ביוגז</v>
      </c>
      <c r="D12" s="35">
        <f>VLOOKUP(C12,'הנחות עבודה'!$H$49:$I$58,2,FALSE)</f>
        <v>3.7200000000000004E-2</v>
      </c>
      <c r="F12" s="131" t="s">
        <v>6</v>
      </c>
    </row>
    <row r="13" spans="1:201">
      <c r="B13" s="1250"/>
      <c r="C13" s="13" t="str">
        <f t="shared" si="196"/>
        <v>תרמו סולארי</v>
      </c>
      <c r="D13" s="35">
        <f>VLOOKUP(C13,'הנחות עבודה'!$H$49:$I$58,2,FALSE)</f>
        <v>3.7200000000000004E-2</v>
      </c>
      <c r="F13" s="131" t="s">
        <v>223</v>
      </c>
    </row>
    <row r="14" spans="1:201" ht="16.5" thickBot="1">
      <c r="B14" s="1251"/>
      <c r="C14" s="16" t="str">
        <f>F15</f>
        <v>סוללות לית'יום-יון</v>
      </c>
      <c r="D14" s="292">
        <f>VLOOKUP(C14,'הנחות עבודה'!$H$49:$I$58,2,FALSE)</f>
        <v>4.8000000000000001E-2</v>
      </c>
      <c r="F14" s="131" t="s">
        <v>15</v>
      </c>
    </row>
    <row r="15" spans="1:201">
      <c r="B15" s="1249" t="s">
        <v>16</v>
      </c>
      <c r="C15" s="12" t="str">
        <f t="shared" ref="C15:C19" si="197">F10</f>
        <v>מוטה קרקע PV</v>
      </c>
      <c r="D15" s="559">
        <f>VLOOKUP(C15,'הנחות עבודה'!$C$17:$E$24,2,FALSE)</f>
        <v>23</v>
      </c>
      <c r="F15" s="131" t="s">
        <v>12</v>
      </c>
    </row>
    <row r="16" spans="1:201" ht="18" customHeight="1">
      <c r="B16" s="1250"/>
      <c r="C16" s="13" t="str">
        <f t="shared" si="197"/>
        <v>מוטה דואלי PV</v>
      </c>
      <c r="D16" s="130">
        <f>VLOOKUP(C16,'הנחות עבודה'!$C$17:$E$24,2,FALSE)</f>
        <v>20</v>
      </c>
    </row>
    <row r="17" spans="2:20">
      <c r="B17" s="1250"/>
      <c r="C17" s="13" t="str">
        <f t="shared" si="197"/>
        <v>רוח</v>
      </c>
      <c r="D17" s="130">
        <f>VLOOKUP(C17,'הנחות עבודה'!$C$17:$E$24,2,FALSE)</f>
        <v>20</v>
      </c>
    </row>
    <row r="18" spans="2:20">
      <c r="B18" s="1250"/>
      <c r="C18" s="13" t="str">
        <f t="shared" si="197"/>
        <v>ביומסה/ביוגז</v>
      </c>
      <c r="D18" s="130">
        <f>VLOOKUP(C18,'הנחות עבודה'!$C$17:$E$24,2,FALSE)</f>
        <v>25</v>
      </c>
    </row>
    <row r="19" spans="2:20">
      <c r="B19" s="1250"/>
      <c r="C19" s="13" t="str">
        <f t="shared" si="197"/>
        <v>תרמו סולארי</v>
      </c>
      <c r="D19" s="130">
        <f>VLOOKUP(C19,'הנחות עבודה'!$C$17:$E$24,2,FALSE)</f>
        <v>25</v>
      </c>
    </row>
    <row r="20" spans="2:20" ht="16.5" thickBot="1">
      <c r="B20" s="1251"/>
      <c r="C20" s="16" t="str">
        <f>F15</f>
        <v>סוללות לית'יום-יון</v>
      </c>
      <c r="D20" s="33">
        <f>VLOOKUP(C20,'הנחות עבודה'!$C$17:$E$24,2,FALSE)</f>
        <v>23</v>
      </c>
    </row>
    <row r="22" spans="2:20" ht="16.5" thickBot="1">
      <c r="B22" s="31"/>
    </row>
    <row r="23" spans="2:20" ht="16.5" thickBot="1">
      <c r="B23" s="31"/>
      <c r="G23" s="1243" t="s">
        <v>7</v>
      </c>
      <c r="H23" s="1244"/>
      <c r="I23" s="1244"/>
      <c r="J23" s="1244"/>
      <c r="K23" s="1244"/>
      <c r="L23" s="1245"/>
      <c r="O23" s="1243" t="s">
        <v>211</v>
      </c>
      <c r="P23" s="1244"/>
      <c r="Q23" s="1244"/>
      <c r="R23" s="1244"/>
      <c r="S23" s="1244"/>
      <c r="T23" s="1245"/>
    </row>
    <row r="24" spans="2:20" ht="32.25" customHeight="1" thickBot="1">
      <c r="B24" s="31"/>
      <c r="F24" s="7" t="s">
        <v>0</v>
      </c>
      <c r="G24" s="4" t="str">
        <f ca="1">OFFSET($F$10,COUNT($A$2:A2)-1,0)</f>
        <v>מוטה קרקע PV</v>
      </c>
      <c r="H24" s="4" t="str">
        <f ca="1">OFFSET($F$10,COUNT($A$2:B2)-1,0)</f>
        <v>מוטה דואלי PV</v>
      </c>
      <c r="I24" s="4" t="str">
        <f ca="1">OFFSET($F$10,COUNT($A$2:C2)-1,0)</f>
        <v>רוח</v>
      </c>
      <c r="J24" s="4" t="str">
        <f ca="1">OFFSET($F$10,COUNT($A$2:D2)-1,0)</f>
        <v>ביומסה/ביוגז</v>
      </c>
      <c r="K24" s="4" t="str">
        <f ca="1">OFFSET($F$10,COUNT($A$2:E2)-1,0)</f>
        <v>תרמו סולארי</v>
      </c>
      <c r="L24" s="4" t="str">
        <f ca="1">OFFSET($F$10,COUNT($A$2:F2)-1,0)</f>
        <v>סוללות לית'יום-יון</v>
      </c>
      <c r="N24" s="7" t="s">
        <v>0</v>
      </c>
      <c r="O24" s="4" t="str">
        <f t="shared" ref="O24:T24" ca="1" si="198">G24</f>
        <v>מוטה קרקע PV</v>
      </c>
      <c r="P24" s="4" t="str">
        <f t="shared" ca="1" si="198"/>
        <v>מוטה דואלי PV</v>
      </c>
      <c r="Q24" s="4" t="str">
        <f t="shared" ca="1" si="198"/>
        <v>רוח</v>
      </c>
      <c r="R24" s="4" t="str">
        <f t="shared" ca="1" si="198"/>
        <v>ביומסה/ביוגז</v>
      </c>
      <c r="S24" s="4" t="str">
        <f t="shared" ca="1" si="198"/>
        <v>תרמו סולארי</v>
      </c>
      <c r="T24" s="4" t="str">
        <f t="shared" ca="1" si="198"/>
        <v>סוללות לית'יום-יון</v>
      </c>
    </row>
    <row r="25" spans="2:20">
      <c r="B25" s="31"/>
      <c r="F25" s="8">
        <f>D4</f>
        <v>2020</v>
      </c>
      <c r="G25" s="20">
        <f ca="1">IF($F25&gt;MAX('הנחות עבודה'!$B$69:$B$89),0,VLOOKUP($F25,'הנחות עבודה'!$B$69:$M$89,MATCH(G$24,'הנחות עבודה'!$B$68:$M$68,0),FALSE))</f>
        <v>3264.817719779961</v>
      </c>
      <c r="H25" s="133">
        <f ca="1">IF($F25&gt;MAX('הנחות עבודה'!$B$69:$B$89),0,VLOOKUP($F25,'הנחות עבודה'!$B$69:$M$89,MATCH(H$24,'הנחות עבודה'!$B$68:$M$68,0),FALSE))</f>
        <v>3610.2658267913857</v>
      </c>
      <c r="I25" s="133">
        <f ca="1">IF($F25&gt;MAX('הנחות עבודה'!$B$69:$B$89),0,VLOOKUP($F25,'הנחות עבודה'!$B$69:$M$89,MATCH(I$24,'הנחות עבודה'!$B$68:$M$68,0),FALSE))</f>
        <v>5082.9091073354357</v>
      </c>
      <c r="J25" s="133">
        <f ca="1">IF($F25&gt;MAX('הנחות עבודה'!$B$69:$B$89),0,VLOOKUP($F25,'הנחות עבודה'!$B$69:$M$89,MATCH(J$24,'הנחות עבודה'!$B$68:$M$68,0),FALSE))</f>
        <v>5082.9091073354357</v>
      </c>
      <c r="K25" s="133">
        <f ca="1">IF($F25&gt;MAX('הנחות עבודה'!$B$69:$B$89),0,VLOOKUP($F25,'הנחות עבודה'!$B$69:$M$89,MATCH(K$24,'הנחות עבודה'!$B$68:$M$68,0),FALSE))</f>
        <v>5082.9091073354357</v>
      </c>
      <c r="L25" s="560">
        <f ca="1">IF($F25&gt;MAX('הנחות עבודה'!$B$69:$B$89),0,VLOOKUP($F25,'הנחות עבודה'!$B$69:$M$89,MATCH(L$24,'הנחות עבודה'!$B$68:$M$68,0),FALSE))</f>
        <v>0</v>
      </c>
      <c r="N25" s="8">
        <f>F25</f>
        <v>2020</v>
      </c>
      <c r="O25" s="20">
        <f ca="1">IF($N25&gt;MAX('הנחות עבודה'!$B$69:$B$89),0,VLOOKUP($N25,'הנחות עבודה'!$B$94:$M$114,MATCH(O$24,'הנחות עבודה'!$B$93:$M$93,0),FALSE))</f>
        <v>55.512685332272802</v>
      </c>
      <c r="P25" s="133">
        <f ca="1">IF($N25&gt;MAX('הנחות עבודה'!$B$69:$B$89),0,VLOOKUP($N25,'הנחות עבודה'!$B$94:$M$114,MATCH(P$24,'הנחות עבודה'!$B$93:$M$93,0),FALSE))</f>
        <v>63.170664832377113</v>
      </c>
      <c r="Q25" s="133">
        <f ca="1">IF($N25&gt;MAX('הנחות עבודה'!$B$69:$B$89),0,VLOOKUP($N25,'הנחות עבודה'!$B$94:$M$114,MATCH(Q$24,'הנחות עבודה'!$B$93:$M$93,0),FALSE))</f>
        <v>86.409454824702422</v>
      </c>
      <c r="R25" s="133">
        <f ca="1">IF($N25&gt;MAX('הנחות עבודה'!$B$69:$B$89),0,VLOOKUP($N25,'הנחות עבודה'!$B$94:$M$114,MATCH(R$24,'הנחות עבודה'!$B$93:$M$93,0),FALSE))</f>
        <v>86.409454824702422</v>
      </c>
      <c r="S25" s="133">
        <f ca="1">IF($N25&gt;MAX('הנחות עבודה'!$B$69:$B$89),0,VLOOKUP($N25,'הנחות עבודה'!$B$94:$M$114,MATCH(S$24,'הנחות עבודה'!$B$93:$M$93,0),FALSE))</f>
        <v>86.409454824702422</v>
      </c>
      <c r="T25" s="560">
        <f ca="1">IF($N25&gt;MAX('הנחות עבודה'!$B$69:$B$89),0,VLOOKUP($N25,'הנחות עבודה'!$B$94:$M$114,MATCH(T$24,'הנחות עבודה'!$B$93:$M$93,0),FALSE))</f>
        <v>0</v>
      </c>
    </row>
    <row r="26" spans="2:20">
      <c r="B26" s="31"/>
      <c r="F26" s="10">
        <f t="shared" ref="F26:F27" si="199">+F25+1</f>
        <v>2021</v>
      </c>
      <c r="G26" s="22">
        <f ca="1">IF($F26&gt;MAX('הנחות עבודה'!$B$69:$B$89),0,VLOOKUP($F26,'הנחות עבודה'!$B$69:$M$89,MATCH(G$24,'הנחות עבודה'!$B$68:$M$68,0),FALSE))</f>
        <v>3143.4095733288982</v>
      </c>
      <c r="H26" s="132">
        <f ca="1">IF($F26&gt;MAX('הנחות עבודה'!$B$69:$B$89),0,VLOOKUP($F26,'הנחות עבודה'!$B$69:$M$89,MATCH(H$24,'הנחות עבודה'!$B$68:$M$68,0),FALSE))</f>
        <v>3489.8584794413268</v>
      </c>
      <c r="I26" s="132">
        <f ca="1">IF($F26&gt;MAX('הנחות עבודה'!$B$69:$B$89),0,VLOOKUP($F26,'הנחות עבודה'!$B$69:$M$89,MATCH(I$24,'הנחות עבודה'!$B$68:$M$68,0),FALSE))</f>
        <v>4484.7739336164905</v>
      </c>
      <c r="J26" s="132">
        <f ca="1">IF($F26&gt;MAX('הנחות עבודה'!$B$69:$B$89),0,VLOOKUP($F26,'הנחות עבודה'!$B$69:$M$89,MATCH(J$24,'הנחות עבודה'!$B$68:$M$68,0),FALSE))</f>
        <v>4484.7739336164905</v>
      </c>
      <c r="K26" s="132">
        <f ca="1">IF($F26&gt;MAX('הנחות עבודה'!$B$69:$B$89),0,VLOOKUP($F26,'הנחות עבודה'!$B$69:$M$89,MATCH(K$24,'הנחות עבודה'!$B$68:$M$68,0),FALSE))</f>
        <v>4484.7739336164905</v>
      </c>
      <c r="L26" s="561">
        <f ca="1">IF($F26&gt;MAX('הנחות עבודה'!$B$69:$B$89),0,VLOOKUP($F26,'הנחות עבודה'!$B$69:$M$89,MATCH(L$24,'הנחות עבודה'!$B$68:$M$68,0),FALSE))</f>
        <v>0</v>
      </c>
      <c r="N26" s="10">
        <f t="shared" ref="N26:N45" si="200">+N25+1</f>
        <v>2021</v>
      </c>
      <c r="O26" s="22">
        <f ca="1">IF($N26&gt;MAX('הנחות עבודה'!$B$69:$B$89),0,VLOOKUP($N26,'הנחות עבודה'!$B$94:$M$114,MATCH(O$24,'הנחות עבודה'!$B$93:$M$93,0),FALSE))</f>
        <v>55.512685332272802</v>
      </c>
      <c r="P26" s="132">
        <f ca="1">IF($N26&gt;MAX('הנחות עבודה'!$B$69:$B$89),0,VLOOKUP($N26,'הנחות עבודה'!$B$94:$M$114,MATCH(P$24,'הנחות עבודה'!$B$93:$M$93,0),FALSE))</f>
        <v>63.170664832377113</v>
      </c>
      <c r="Q26" s="132">
        <f ca="1">IF($N26&gt;MAX('הנחות עבודה'!$B$69:$B$89),0,VLOOKUP($N26,'הנחות עבודה'!$B$94:$M$114,MATCH(Q$24,'הנחות עבודה'!$B$93:$M$93,0),FALSE))</f>
        <v>86.409454824702422</v>
      </c>
      <c r="R26" s="132">
        <f ca="1">IF($N26&gt;MAX('הנחות עבודה'!$B$69:$B$89),0,VLOOKUP($N26,'הנחות עבודה'!$B$94:$M$114,MATCH(R$24,'הנחות עבודה'!$B$93:$M$93,0),FALSE))</f>
        <v>86.409454824702422</v>
      </c>
      <c r="S26" s="132">
        <f ca="1">IF($N26&gt;MAX('הנחות עבודה'!$B$69:$B$89),0,VLOOKUP($N26,'הנחות עבודה'!$B$94:$M$114,MATCH(S$24,'הנחות עבודה'!$B$93:$M$93,0),FALSE))</f>
        <v>86.409454824702422</v>
      </c>
      <c r="T26" s="561">
        <f ca="1">IF($N26&gt;MAX('הנחות עבודה'!$B$69:$B$89),0,VLOOKUP($N26,'הנחות עבודה'!$B$94:$M$114,MATCH(T$24,'הנחות עבודה'!$B$93:$M$93,0),FALSE))</f>
        <v>0</v>
      </c>
    </row>
    <row r="27" spans="2:20">
      <c r="B27" s="31"/>
      <c r="F27" s="10">
        <f t="shared" si="199"/>
        <v>2022</v>
      </c>
      <c r="G27" s="22">
        <f ca="1">IF($F27&gt;MAX('הנחות עבודה'!$B$69:$B$89),0,VLOOKUP($F27,'הנחות עבודה'!$B$69:$M$89,MATCH(G$24,'הנחות עבודה'!$B$68:$M$68,0),FALSE))</f>
        <v>3018.5845787104295</v>
      </c>
      <c r="H27" s="132">
        <f ca="1">IF($F27&gt;MAX('הנחות עבודה'!$B$69:$B$89),0,VLOOKUP($F27,'הנחות עבודה'!$B$69:$M$89,MATCH(H$24,'הנחות עבודה'!$B$68:$M$68,0),FALSE))</f>
        <v>3362.1742970213973</v>
      </c>
      <c r="I27" s="132">
        <f ca="1">IF($F27&gt;MAX('הנחות עבודה'!$B$69:$B$89),0,VLOOKUP($F27,'הנחות עבודה'!$B$69:$M$89,MATCH(I$24,'הנחות עבודה'!$B$68:$M$68,0),FALSE))</f>
        <v>4380.8905716557283</v>
      </c>
      <c r="J27" s="132">
        <f ca="1">IF($F27&gt;MAX('הנחות עבודה'!$B$69:$B$89),0,VLOOKUP($F27,'הנחות עבודה'!$B$69:$M$89,MATCH(J$24,'הנחות עבודה'!$B$68:$M$68,0),FALSE))</f>
        <v>4380.8905716557283</v>
      </c>
      <c r="K27" s="132">
        <f ca="1">IF($F27&gt;MAX('הנחות עבודה'!$B$69:$B$89),0,VLOOKUP($F27,'הנחות עבודה'!$B$69:$M$89,MATCH(K$24,'הנחות עבודה'!$B$68:$M$68,0),FALSE))</f>
        <v>4380.8905716557283</v>
      </c>
      <c r="L27" s="561">
        <f ca="1">IF($F27&gt;MAX('הנחות עבודה'!$B$69:$B$89),0,VLOOKUP($F27,'הנחות עבודה'!$B$69:$M$89,MATCH(L$24,'הנחות עבודה'!$B$68:$M$68,0),FALSE))</f>
        <v>0</v>
      </c>
      <c r="N27" s="10">
        <f t="shared" si="200"/>
        <v>2022</v>
      </c>
      <c r="O27" s="22">
        <f ca="1">IF($N27&gt;MAX('הנחות עבודה'!$B$69:$B$89),0,VLOOKUP($N27,'הנחות עבודה'!$B$94:$M$114,MATCH(O$24,'הנחות עבודה'!$B$93:$M$93,0),FALSE))</f>
        <v>55.512685332272802</v>
      </c>
      <c r="P27" s="132">
        <f ca="1">IF($N27&gt;MAX('הנחות עבודה'!$B$69:$B$89),0,VLOOKUP($N27,'הנחות עבודה'!$B$94:$M$114,MATCH(P$24,'הנחות עבודה'!$B$93:$M$93,0),FALSE))</f>
        <v>63.170664832377113</v>
      </c>
      <c r="Q27" s="132">
        <f ca="1">IF($N27&gt;MAX('הנחות עבודה'!$B$69:$B$89),0,VLOOKUP($N27,'הנחות עבודה'!$B$94:$M$114,MATCH(Q$24,'הנחות עבודה'!$B$93:$M$93,0),FALSE))</f>
        <v>86.409454824702422</v>
      </c>
      <c r="R27" s="132">
        <f ca="1">IF($N27&gt;MAX('הנחות עבודה'!$B$69:$B$89),0,VLOOKUP($N27,'הנחות עבודה'!$B$94:$M$114,MATCH(R$24,'הנחות עבודה'!$B$93:$M$93,0),FALSE))</f>
        <v>86.409454824702422</v>
      </c>
      <c r="S27" s="132">
        <f ca="1">IF($N27&gt;MAX('הנחות עבודה'!$B$69:$B$89),0,VLOOKUP($N27,'הנחות עבודה'!$B$94:$M$114,MATCH(S$24,'הנחות עבודה'!$B$93:$M$93,0),FALSE))</f>
        <v>86.409454824702422</v>
      </c>
      <c r="T27" s="561">
        <f ca="1">IF($N27&gt;MAX('הנחות עבודה'!$B$69:$B$89),0,VLOOKUP($N27,'הנחות עבודה'!$B$94:$M$114,MATCH(T$24,'הנחות עבודה'!$B$93:$M$93,0),FALSE))</f>
        <v>0</v>
      </c>
    </row>
    <row r="28" spans="2:20">
      <c r="B28" s="31"/>
      <c r="F28" s="10">
        <f>+F27+1</f>
        <v>2023</v>
      </c>
      <c r="G28" s="22">
        <f ca="1">IF($F28&gt;MAX('הנחות עבודה'!$B$69:$B$89),0,VLOOKUP($F28,'הנחות עבודה'!$B$69:$M$89,MATCH(G$24,'הנחות עבודה'!$B$68:$M$68,0),FALSE))</f>
        <v>2902.4587365488387</v>
      </c>
      <c r="H28" s="132">
        <f ca="1">IF($F28&gt;MAX('הנחות עבודה'!$B$69:$B$89),0,VLOOKUP($F28,'הנחות עבודה'!$B$69:$M$89,MATCH(H$24,'הנחות עבודה'!$B$68:$M$68,0),FALSE))</f>
        <v>3245.9638283146828</v>
      </c>
      <c r="I28" s="132">
        <f ca="1">IF($F28&gt;MAX('הנחות עבודה'!$B$69:$B$89),0,VLOOKUP($F28,'הנחות עבודה'!$B$69:$M$89,MATCH(I$24,'הנחות עבודה'!$B$68:$M$68,0),FALSE))</f>
        <v>4281.641318123854</v>
      </c>
      <c r="J28" s="132">
        <f ca="1">IF($F28&gt;MAX('הנחות עבודה'!$B$69:$B$89),0,VLOOKUP($F28,'הנחות עבודה'!$B$69:$M$89,MATCH(J$24,'הנחות עבודה'!$B$68:$M$68,0),FALSE))</f>
        <v>4281.641318123854</v>
      </c>
      <c r="K28" s="132">
        <f ca="1">IF($F28&gt;MAX('הנחות עבודה'!$B$69:$B$89),0,VLOOKUP($F28,'הנחות עבודה'!$B$69:$M$89,MATCH(K$24,'הנחות עבודה'!$B$68:$M$68,0),FALSE))</f>
        <v>4281.641318123854</v>
      </c>
      <c r="L28" s="561">
        <f ca="1">IF($F28&gt;MAX('הנחות עבודה'!$B$69:$B$89),0,VLOOKUP($F28,'הנחות עבודה'!$B$69:$M$89,MATCH(L$24,'הנחות עבודה'!$B$68:$M$68,0),FALSE))</f>
        <v>0</v>
      </c>
      <c r="N28" s="10">
        <f t="shared" si="200"/>
        <v>2023</v>
      </c>
      <c r="O28" s="22">
        <f ca="1">IF($N28&gt;MAX('הנחות עבודה'!$B$69:$B$89),0,VLOOKUP($N28,'הנחות עבודה'!$B$94:$M$114,MATCH(O$24,'הנחות עבודה'!$B$93:$M$93,0),FALSE))</f>
        <v>55.512685332272802</v>
      </c>
      <c r="P28" s="132">
        <f ca="1">IF($N28&gt;MAX('הנחות עבודה'!$B$69:$B$89),0,VLOOKUP($N28,'הנחות עבודה'!$B$94:$M$114,MATCH(P$24,'הנחות עבודה'!$B$93:$M$93,0),FALSE))</f>
        <v>63.170664832377113</v>
      </c>
      <c r="Q28" s="132">
        <f ca="1">IF($N28&gt;MAX('הנחות עבודה'!$B$69:$B$89),0,VLOOKUP($N28,'הנחות עבודה'!$B$94:$M$114,MATCH(Q$24,'הנחות עבודה'!$B$93:$M$93,0),FALSE))</f>
        <v>86.409454824702422</v>
      </c>
      <c r="R28" s="132">
        <f ca="1">IF($N28&gt;MAX('הנחות עבודה'!$B$69:$B$89),0,VLOOKUP($N28,'הנחות עבודה'!$B$94:$M$114,MATCH(R$24,'הנחות עבודה'!$B$93:$M$93,0),FALSE))</f>
        <v>86.409454824702422</v>
      </c>
      <c r="S28" s="132">
        <f ca="1">IF($N28&gt;MAX('הנחות עבודה'!$B$69:$B$89),0,VLOOKUP($N28,'הנחות עבודה'!$B$94:$M$114,MATCH(S$24,'הנחות עבודה'!$B$93:$M$93,0),FALSE))</f>
        <v>86.409454824702422</v>
      </c>
      <c r="T28" s="561">
        <f ca="1">IF($N28&gt;MAX('הנחות עבודה'!$B$69:$B$89),0,VLOOKUP($N28,'הנחות עבודה'!$B$94:$M$114,MATCH(T$24,'הנחות עבודה'!$B$93:$M$93,0),FALSE))</f>
        <v>0</v>
      </c>
    </row>
    <row r="29" spans="2:20">
      <c r="B29" s="31"/>
      <c r="F29" s="10">
        <f t="shared" ref="F29:F45" si="201">+F28+1</f>
        <v>2024</v>
      </c>
      <c r="G29" s="22">
        <f ca="1">IF($F29&gt;MAX('הנחות עבודה'!$B$69:$B$89),0,VLOOKUP($F29,'הנחות עבודה'!$B$69:$M$89,MATCH(G$24,'הנחות עבודה'!$B$68:$M$68,0),FALSE))</f>
        <v>2790.4182774448532</v>
      </c>
      <c r="H29" s="132">
        <f ca="1">IF($F29&gt;MAX('הנחות עבודה'!$B$69:$B$89),0,VLOOKUP($F29,'הנחות עבודה'!$B$69:$M$89,MATCH(H$24,'הנחות עבודה'!$B$68:$M$68,0),FALSE))</f>
        <v>3131.0696209381699</v>
      </c>
      <c r="I29" s="132">
        <f ca="1">IF($F29&gt;MAX('הנחות עבודה'!$B$69:$B$89),0,VLOOKUP($F29,'הנחות עבודה'!$B$69:$M$89,MATCH(I$24,'הנחות עבודה'!$B$68:$M$68,0),FALSE))</f>
        <v>4186.8194511693118</v>
      </c>
      <c r="J29" s="132">
        <f ca="1">IF($F29&gt;MAX('הנחות עבודה'!$B$69:$B$89),0,VLOOKUP($F29,'הנחות עבודה'!$B$69:$M$89,MATCH(J$24,'הנחות עבודה'!$B$68:$M$68,0),FALSE))</f>
        <v>4186.8194511693118</v>
      </c>
      <c r="K29" s="132">
        <f ca="1">IF($F29&gt;MAX('הנחות עבודה'!$B$69:$B$89),0,VLOOKUP($F29,'הנחות עבודה'!$B$69:$M$89,MATCH(K$24,'הנחות עבודה'!$B$68:$M$68,0),FALSE))</f>
        <v>4186.8194511693118</v>
      </c>
      <c r="L29" s="561">
        <f ca="1">IF($F29&gt;MAX('הנחות עבודה'!$B$69:$B$89),0,VLOOKUP($F29,'הנחות עבודה'!$B$69:$M$89,MATCH(L$24,'הנחות עבודה'!$B$68:$M$68,0),FALSE))</f>
        <v>0</v>
      </c>
      <c r="N29" s="10">
        <f t="shared" si="200"/>
        <v>2024</v>
      </c>
      <c r="O29" s="22">
        <f ca="1">IF($N29&gt;MAX('הנחות עבודה'!$B$69:$B$89),0,VLOOKUP($N29,'הנחות עבודה'!$B$94:$M$114,MATCH(O$24,'הנחות עבודה'!$B$93:$M$93,0),FALSE))</f>
        <v>55.512685332272802</v>
      </c>
      <c r="P29" s="132">
        <f ca="1">IF($N29&gt;MAX('הנחות עבודה'!$B$69:$B$89),0,VLOOKUP($N29,'הנחות עבודה'!$B$94:$M$114,MATCH(P$24,'הנחות עבודה'!$B$93:$M$93,0),FALSE))</f>
        <v>63.170664832377113</v>
      </c>
      <c r="Q29" s="132">
        <f ca="1">IF($N29&gt;MAX('הנחות עבודה'!$B$69:$B$89),0,VLOOKUP($N29,'הנחות עבודה'!$B$94:$M$114,MATCH(Q$24,'הנחות עבודה'!$B$93:$M$93,0),FALSE))</f>
        <v>86.409454824702422</v>
      </c>
      <c r="R29" s="132">
        <f ca="1">IF($N29&gt;MAX('הנחות עבודה'!$B$69:$B$89),0,VLOOKUP($N29,'הנחות עבודה'!$B$94:$M$114,MATCH(R$24,'הנחות עבודה'!$B$93:$M$93,0),FALSE))</f>
        <v>86.409454824702422</v>
      </c>
      <c r="S29" s="132">
        <f ca="1">IF($N29&gt;MAX('הנחות עבודה'!$B$69:$B$89),0,VLOOKUP($N29,'הנחות עבודה'!$B$94:$M$114,MATCH(S$24,'הנחות עבודה'!$B$93:$M$93,0),FALSE))</f>
        <v>86.409454824702422</v>
      </c>
      <c r="T29" s="561">
        <f ca="1">IF($N29&gt;MAX('הנחות עבודה'!$B$69:$B$89),0,VLOOKUP($N29,'הנחות עבודה'!$B$94:$M$114,MATCH(T$24,'הנחות עבודה'!$B$93:$M$93,0),FALSE))</f>
        <v>0</v>
      </c>
    </row>
    <row r="30" spans="2:20">
      <c r="B30" s="31"/>
      <c r="F30" s="10">
        <f t="shared" si="201"/>
        <v>2025</v>
      </c>
      <c r="G30" s="22">
        <f ca="1">IF($F30&gt;MAX('הנחות עבודה'!$B$69:$B$89),0,VLOOKUP($F30,'הנחות עבודה'!$B$69:$M$89,MATCH(G$24,'הנחות עבודה'!$B$68:$M$68,0),FALSE))</f>
        <v>2682.2118310360547</v>
      </c>
      <c r="H30" s="132">
        <f ca="1">IF($F30&gt;MAX('הנחות עבודה'!$B$69:$B$89),0,VLOOKUP($F30,'הנחות עבודה'!$B$69:$M$89,MATCH(H$24,'הנחות עבודה'!$B$68:$M$68,0),FALSE))</f>
        <v>3013.2190439840783</v>
      </c>
      <c r="I30" s="132">
        <f ca="1">IF($F30&gt;MAX('הנחות עבודה'!$B$69:$B$89),0,VLOOKUP($F30,'הנחות עבודה'!$B$69:$M$89,MATCH(I$24,'הנחות עבודה'!$B$68:$M$68,0),FALSE))</f>
        <v>4096.2274705469335</v>
      </c>
      <c r="J30" s="132">
        <f ca="1">IF($F30&gt;MAX('הנחות עבודה'!$B$69:$B$89),0,VLOOKUP($F30,'הנחות עבודה'!$B$69:$M$89,MATCH(J$24,'הנחות עבודה'!$B$68:$M$68,0),FALSE))</f>
        <v>4096.2274705469335</v>
      </c>
      <c r="K30" s="132">
        <f ca="1">IF($F30&gt;MAX('הנחות עבודה'!$B$69:$B$89),0,VLOOKUP($F30,'הנחות עבודה'!$B$69:$M$89,MATCH(K$24,'הנחות עבודה'!$B$68:$M$68,0),FALSE))</f>
        <v>4096.2274705469335</v>
      </c>
      <c r="L30" s="561">
        <f ca="1">IF($F30&gt;MAX('הנחות עבודה'!$B$69:$B$89),0,VLOOKUP($F30,'הנחות עבודה'!$B$69:$M$89,MATCH(L$24,'הנחות עבודה'!$B$68:$M$68,0),FALSE))</f>
        <v>0</v>
      </c>
      <c r="N30" s="10">
        <f t="shared" si="200"/>
        <v>2025</v>
      </c>
      <c r="O30" s="22">
        <f ca="1">IF($N30&gt;MAX('הנחות עבודה'!$B$69:$B$89),0,VLOOKUP($N30,'הנחות עבודה'!$B$94:$M$114,MATCH(O$24,'הנחות עבודה'!$B$93:$M$93,0),FALSE))</f>
        <v>55.512685332272802</v>
      </c>
      <c r="P30" s="132">
        <f ca="1">IF($N30&gt;MAX('הנחות עבודה'!$B$69:$B$89),0,VLOOKUP($N30,'הנחות עבודה'!$B$94:$M$114,MATCH(P$24,'הנחות עבודה'!$B$93:$M$93,0),FALSE))</f>
        <v>63.170664832377113</v>
      </c>
      <c r="Q30" s="132">
        <f ca="1">IF($N30&gt;MAX('הנחות עבודה'!$B$69:$B$89),0,VLOOKUP($N30,'הנחות עבודה'!$B$94:$M$114,MATCH(Q$24,'הנחות עבודה'!$B$93:$M$93,0),FALSE))</f>
        <v>86.409454824702422</v>
      </c>
      <c r="R30" s="132">
        <f ca="1">IF($N30&gt;MAX('הנחות עבודה'!$B$69:$B$89),0,VLOOKUP($N30,'הנחות עבודה'!$B$94:$M$114,MATCH(R$24,'הנחות עבודה'!$B$93:$M$93,0),FALSE))</f>
        <v>86.409454824702422</v>
      </c>
      <c r="S30" s="132">
        <f ca="1">IF($N30&gt;MAX('הנחות עבודה'!$B$69:$B$89),0,VLOOKUP($N30,'הנחות עבודה'!$B$94:$M$114,MATCH(S$24,'הנחות עבודה'!$B$93:$M$93,0),FALSE))</f>
        <v>86.409454824702422</v>
      </c>
      <c r="T30" s="561">
        <f ca="1">IF($N30&gt;MAX('הנחות עבודה'!$B$69:$B$89),0,VLOOKUP($N30,'הנחות עבודה'!$B$94:$M$114,MATCH(T$24,'הנחות עבודה'!$B$93:$M$93,0),FALSE))</f>
        <v>0</v>
      </c>
    </row>
    <row r="31" spans="2:20">
      <c r="B31" s="31"/>
      <c r="F31" s="10">
        <f t="shared" si="201"/>
        <v>2026</v>
      </c>
      <c r="G31" s="22">
        <f ca="1">IF($F31&gt;MAX('הנחות עבודה'!$B$69:$B$89),0,VLOOKUP($F31,'הנחות עבודה'!$B$69:$M$89,MATCH(G$24,'הנחות עבודה'!$B$68:$M$68,0),FALSE))</f>
        <v>2605.5051291867717</v>
      </c>
      <c r="H31" s="132">
        <f ca="1">IF($F31&gt;MAX('הנחות עבודה'!$B$69:$B$89),0,VLOOKUP($F31,'הנחות עבודה'!$B$69:$M$89,MATCH(H$24,'הנחות עבודה'!$B$68:$M$68,0),FALSE))</f>
        <v>2932.7012719713848</v>
      </c>
      <c r="I31" s="132">
        <f ca="1">IF($F31&gt;MAX('הנחות עבודה'!$B$69:$B$89),0,VLOOKUP($F31,'הנחות עבודה'!$B$69:$M$89,MATCH(I$24,'הנחות עבודה'!$B$68:$M$68,0),FALSE))</f>
        <v>4009.6766862534787</v>
      </c>
      <c r="J31" s="132">
        <f ca="1">IF($F31&gt;MAX('הנחות עבודה'!$B$69:$B$89),0,VLOOKUP($F31,'הנחות עבודה'!$B$69:$M$89,MATCH(J$24,'הנחות עבודה'!$B$68:$M$68,0),FALSE))</f>
        <v>4009.6766862534787</v>
      </c>
      <c r="K31" s="132">
        <f ca="1">IF($F31&gt;MAX('הנחות עבודה'!$B$69:$B$89),0,VLOOKUP($F31,'הנחות עבודה'!$B$69:$M$89,MATCH(K$24,'הנחות עבודה'!$B$68:$M$68,0),FALSE))</f>
        <v>4009.6766862534787</v>
      </c>
      <c r="L31" s="561">
        <f ca="1">IF($F31&gt;MAX('הנחות עבודה'!$B$69:$B$89),0,VLOOKUP($F31,'הנחות עבודה'!$B$69:$M$89,MATCH(L$24,'הנחות עבודה'!$B$68:$M$68,0),FALSE))</f>
        <v>0</v>
      </c>
      <c r="N31" s="10">
        <f t="shared" si="200"/>
        <v>2026</v>
      </c>
      <c r="O31" s="22">
        <f ca="1">IF($N31&gt;MAX('הנחות עבודה'!$B$69:$B$89),0,VLOOKUP($N31,'הנחות עבודה'!$B$94:$M$114,MATCH(O$24,'הנחות עבודה'!$B$93:$M$93,0),FALSE))</f>
        <v>55.512685332272802</v>
      </c>
      <c r="P31" s="132">
        <f ca="1">IF($N31&gt;MAX('הנחות עבודה'!$B$69:$B$89),0,VLOOKUP($N31,'הנחות עבודה'!$B$94:$M$114,MATCH(P$24,'הנחות עבודה'!$B$93:$M$93,0),FALSE))</f>
        <v>63.170664832377113</v>
      </c>
      <c r="Q31" s="132">
        <f ca="1">IF($N31&gt;MAX('הנחות עבודה'!$B$69:$B$89),0,VLOOKUP($N31,'הנחות עבודה'!$B$94:$M$114,MATCH(Q$24,'הנחות עבודה'!$B$93:$M$93,0),FALSE))</f>
        <v>86.409454824702422</v>
      </c>
      <c r="R31" s="132">
        <f ca="1">IF($N31&gt;MAX('הנחות עבודה'!$B$69:$B$89),0,VLOOKUP($N31,'הנחות עבודה'!$B$94:$M$114,MATCH(R$24,'הנחות עבודה'!$B$93:$M$93,0),FALSE))</f>
        <v>86.409454824702422</v>
      </c>
      <c r="S31" s="132">
        <f ca="1">IF($N31&gt;MAX('הנחות עבודה'!$B$69:$B$89),0,VLOOKUP($N31,'הנחות עבודה'!$B$94:$M$114,MATCH(S$24,'הנחות עבודה'!$B$93:$M$93,0),FALSE))</f>
        <v>86.409454824702422</v>
      </c>
      <c r="T31" s="561">
        <f ca="1">IF($N31&gt;MAX('הנחות עבודה'!$B$69:$B$89),0,VLOOKUP($N31,'הנחות עבודה'!$B$94:$M$114,MATCH(T$24,'הנחות עבודה'!$B$93:$M$93,0),FALSE))</f>
        <v>0</v>
      </c>
    </row>
    <row r="32" spans="2:20">
      <c r="B32" s="31"/>
      <c r="F32" s="10">
        <f t="shared" si="201"/>
        <v>2027</v>
      </c>
      <c r="G32" s="22">
        <f ca="1">IF($F32&gt;MAX('הנחות עבודה'!$B$69:$B$89),0,VLOOKUP($F32,'הנחות עבודה'!$B$69:$M$89,MATCH(G$24,'הנחות עבודה'!$B$68:$M$68,0),FALSE))</f>
        <v>2531.9078218560417</v>
      </c>
      <c r="H32" s="132">
        <f ca="1">IF($F32&gt;MAX('הנחות עבודה'!$B$69:$B$89),0,VLOOKUP($F32,'הנחות עבודה'!$B$69:$M$89,MATCH(H$24,'הנחות עבודה'!$B$68:$M$68,0),FALSE))</f>
        <v>2855.3234669821932</v>
      </c>
      <c r="I32" s="132">
        <f ca="1">IF($F32&gt;MAX('הנחות עבודה'!$B$69:$B$89),0,VLOOKUP($F32,'הנחות עבודה'!$B$69:$M$89,MATCH(I$24,'הנחות עבודה'!$B$68:$M$68,0),FALSE))</f>
        <v>3926.9868255136212</v>
      </c>
      <c r="J32" s="132">
        <f ca="1">IF($F32&gt;MAX('הנחות עבודה'!$B$69:$B$89),0,VLOOKUP($F32,'הנחות עבודה'!$B$69:$M$89,MATCH(J$24,'הנחות עבודה'!$B$68:$M$68,0),FALSE))</f>
        <v>3926.9868255136212</v>
      </c>
      <c r="K32" s="132">
        <f ca="1">IF($F32&gt;MAX('הנחות עבודה'!$B$69:$B$89),0,VLOOKUP($F32,'הנחות עבודה'!$B$69:$M$89,MATCH(K$24,'הנחות עבודה'!$B$68:$M$68,0),FALSE))</f>
        <v>3926.9868255136212</v>
      </c>
      <c r="L32" s="561">
        <f ca="1">IF($F32&gt;MAX('הנחות עבודה'!$B$69:$B$89),0,VLOOKUP($F32,'הנחות עבודה'!$B$69:$M$89,MATCH(L$24,'הנחות עבודה'!$B$68:$M$68,0),FALSE))</f>
        <v>0</v>
      </c>
      <c r="N32" s="10">
        <f t="shared" si="200"/>
        <v>2027</v>
      </c>
      <c r="O32" s="22">
        <f ca="1">IF($N32&gt;MAX('הנחות עבודה'!$B$69:$B$89),0,VLOOKUP($N32,'הנחות עבודה'!$B$94:$M$114,MATCH(O$24,'הנחות עבודה'!$B$93:$M$93,0),FALSE))</f>
        <v>55.512685332272802</v>
      </c>
      <c r="P32" s="132">
        <f ca="1">IF($N32&gt;MAX('הנחות עבודה'!$B$69:$B$89),0,VLOOKUP($N32,'הנחות עבודה'!$B$94:$M$114,MATCH(P$24,'הנחות עבודה'!$B$93:$M$93,0),FALSE))</f>
        <v>63.170664832377113</v>
      </c>
      <c r="Q32" s="132">
        <f ca="1">IF($N32&gt;MAX('הנחות עבודה'!$B$69:$B$89),0,VLOOKUP($N32,'הנחות עבודה'!$B$94:$M$114,MATCH(Q$24,'הנחות עבודה'!$B$93:$M$93,0),FALSE))</f>
        <v>86.409454824702422</v>
      </c>
      <c r="R32" s="132">
        <f ca="1">IF($N32&gt;MAX('הנחות עבודה'!$B$69:$B$89),0,VLOOKUP($N32,'הנחות עבודה'!$B$94:$M$114,MATCH(R$24,'הנחות עבודה'!$B$93:$M$93,0),FALSE))</f>
        <v>86.409454824702422</v>
      </c>
      <c r="S32" s="132">
        <f ca="1">IF($N32&gt;MAX('הנחות עבודה'!$B$69:$B$89),0,VLOOKUP($N32,'הנחות עבודה'!$B$94:$M$114,MATCH(S$24,'הנחות עבודה'!$B$93:$M$93,0),FALSE))</f>
        <v>86.409454824702422</v>
      </c>
      <c r="T32" s="561">
        <f ca="1">IF($N32&gt;MAX('הנחות עבודה'!$B$69:$B$89),0,VLOOKUP($N32,'הנחות עבודה'!$B$94:$M$114,MATCH(T$24,'הנחות עבודה'!$B$93:$M$93,0),FALSE))</f>
        <v>0</v>
      </c>
    </row>
    <row r="33" spans="2:194">
      <c r="B33" s="31"/>
      <c r="F33" s="10">
        <f t="shared" si="201"/>
        <v>2028</v>
      </c>
      <c r="G33" s="22">
        <f ca="1">IF($F33&gt;MAX('הנחות עבודה'!$B$69:$B$89),0,VLOOKUP($F33,'הנחות עבודה'!$B$69:$M$89,MATCH(G$24,'הנחות עבודה'!$B$68:$M$68,0),FALSE))</f>
        <v>2462.788393997655</v>
      </c>
      <c r="H33" s="132">
        <f ca="1">IF($F33&gt;MAX('הנחות עבודה'!$B$69:$B$89),0,VLOOKUP($F33,'הנחות עבודה'!$B$69:$M$89,MATCH(H$24,'הנחות עבודה'!$B$68:$M$68,0),FALSE))</f>
        <v>2782.6135781009493</v>
      </c>
      <c r="I33" s="132">
        <f ca="1">IF($F33&gt;MAX('הנחות עבודה'!$B$69:$B$89),0,VLOOKUP($F33,'הנחות עבודה'!$B$69:$M$89,MATCH(I$24,'הנחות עבודה'!$B$68:$M$68,0),FALSE))</f>
        <v>3847.9856572978183</v>
      </c>
      <c r="J33" s="132">
        <f ca="1">IF($F33&gt;MAX('הנחות עבודה'!$B$69:$B$89),0,VLOOKUP($F33,'הנחות עבודה'!$B$69:$M$89,MATCH(J$24,'הנחות עבודה'!$B$68:$M$68,0),FALSE))</f>
        <v>3847.9856572978183</v>
      </c>
      <c r="K33" s="132">
        <f ca="1">IF($F33&gt;MAX('הנחות עבודה'!$B$69:$B$89),0,VLOOKUP($F33,'הנחות עבודה'!$B$69:$M$89,MATCH(K$24,'הנחות עבודה'!$B$68:$M$68,0),FALSE))</f>
        <v>3847.9856572978183</v>
      </c>
      <c r="L33" s="561">
        <f ca="1">IF($F33&gt;MAX('הנחות עבודה'!$B$69:$B$89),0,VLOOKUP($F33,'הנחות עבודה'!$B$69:$M$89,MATCH(L$24,'הנחות עבודה'!$B$68:$M$68,0),FALSE))</f>
        <v>0</v>
      </c>
      <c r="N33" s="10">
        <f t="shared" si="200"/>
        <v>2028</v>
      </c>
      <c r="O33" s="22">
        <f ca="1">IF($N33&gt;MAX('הנחות עבודה'!$B$69:$B$89),0,VLOOKUP($N33,'הנחות עבודה'!$B$94:$M$114,MATCH(O$24,'הנחות עבודה'!$B$93:$M$93,0),FALSE))</f>
        <v>55.512685332272802</v>
      </c>
      <c r="P33" s="132">
        <f ca="1">IF($N33&gt;MAX('הנחות עבודה'!$B$69:$B$89),0,VLOOKUP($N33,'הנחות עבודה'!$B$94:$M$114,MATCH(P$24,'הנחות עבודה'!$B$93:$M$93,0),FALSE))</f>
        <v>63.170664832377113</v>
      </c>
      <c r="Q33" s="132">
        <f ca="1">IF($N33&gt;MAX('הנחות עבודה'!$B$69:$B$89),0,VLOOKUP($N33,'הנחות עבודה'!$B$94:$M$114,MATCH(Q$24,'הנחות עבודה'!$B$93:$M$93,0),FALSE))</f>
        <v>86.409454824702422</v>
      </c>
      <c r="R33" s="132">
        <f ca="1">IF($N33&gt;MAX('הנחות עבודה'!$B$69:$B$89),0,VLOOKUP($N33,'הנחות עבודה'!$B$94:$M$114,MATCH(R$24,'הנחות עבודה'!$B$93:$M$93,0),FALSE))</f>
        <v>86.409454824702422</v>
      </c>
      <c r="S33" s="132">
        <f ca="1">IF($N33&gt;MAX('הנחות עבודה'!$B$69:$B$89),0,VLOOKUP($N33,'הנחות עבודה'!$B$94:$M$114,MATCH(S$24,'הנחות עבודה'!$B$93:$M$93,0),FALSE))</f>
        <v>86.409454824702422</v>
      </c>
      <c r="T33" s="561">
        <f ca="1">IF($N33&gt;MAX('הנחות עבודה'!$B$69:$B$89),0,VLOOKUP($N33,'הנחות עבודה'!$B$94:$M$114,MATCH(T$24,'הנחות עבודה'!$B$93:$M$93,0),FALSE))</f>
        <v>0</v>
      </c>
    </row>
    <row r="34" spans="2:194">
      <c r="B34" s="31"/>
      <c r="F34" s="10">
        <f t="shared" si="201"/>
        <v>2029</v>
      </c>
      <c r="G34" s="22">
        <f ca="1">IF($F34&gt;MAX('הנחות עבודה'!$B$69:$B$89),0,VLOOKUP($F34,'הנחות עבודה'!$B$69:$M$89,MATCH(G$24,'הנחות עבודה'!$B$68:$M$68,0),FALSE))</f>
        <v>2394.4819540083849</v>
      </c>
      <c r="H34" s="132">
        <f ca="1">IF($F34&gt;MAX('הנחות עבודה'!$B$69:$B$89),0,VLOOKUP($F34,'הנחות עבודה'!$B$69:$M$89,MATCH(H$24,'הנחות עבודה'!$B$68:$M$68,0),FALSE))</f>
        <v>2710.5725306378258</v>
      </c>
      <c r="I34" s="132">
        <f ca="1">IF($F34&gt;MAX('הנחות עבודה'!$B$69:$B$89),0,VLOOKUP($F34,'הנחות עבודה'!$B$69:$M$89,MATCH(I$24,'הנחות עבודה'!$B$68:$M$68,0),FALSE))</f>
        <v>3772.5086335899614</v>
      </c>
      <c r="J34" s="132">
        <f ca="1">IF($F34&gt;MAX('הנחות עבודה'!$B$69:$B$89),0,VLOOKUP($F34,'הנחות עבודה'!$B$69:$M$89,MATCH(J$24,'הנחות עבודה'!$B$68:$M$68,0),FALSE))</f>
        <v>3772.5086335899614</v>
      </c>
      <c r="K34" s="132">
        <f ca="1">IF($F34&gt;MAX('הנחות עבודה'!$B$69:$B$89),0,VLOOKUP($F34,'הנחות עבודה'!$B$69:$M$89,MATCH(K$24,'הנחות עבודה'!$B$68:$M$68,0),FALSE))</f>
        <v>3772.5086335899614</v>
      </c>
      <c r="L34" s="561">
        <f ca="1">IF($F34&gt;MAX('הנחות עבודה'!$B$69:$B$89),0,VLOOKUP($F34,'הנחות עבודה'!$B$69:$M$89,MATCH(L$24,'הנחות עבודה'!$B$68:$M$68,0),FALSE))</f>
        <v>0</v>
      </c>
      <c r="N34" s="10">
        <f t="shared" si="200"/>
        <v>2029</v>
      </c>
      <c r="O34" s="22">
        <f ca="1">IF($N34&gt;MAX('הנחות עבודה'!$B$69:$B$89),0,VLOOKUP($N34,'הנחות עבודה'!$B$94:$M$114,MATCH(O$24,'הנחות עבודה'!$B$93:$M$93,0),FALSE))</f>
        <v>55.512685332272802</v>
      </c>
      <c r="P34" s="132">
        <f ca="1">IF($N34&gt;MAX('הנחות עבודה'!$B$69:$B$89),0,VLOOKUP($N34,'הנחות עבודה'!$B$94:$M$114,MATCH(P$24,'הנחות עבודה'!$B$93:$M$93,0),FALSE))</f>
        <v>63.170664832377113</v>
      </c>
      <c r="Q34" s="132">
        <f ca="1">IF($N34&gt;MAX('הנחות עבודה'!$B$69:$B$89),0,VLOOKUP($N34,'הנחות עבודה'!$B$94:$M$114,MATCH(Q$24,'הנחות עבודה'!$B$93:$M$93,0),FALSE))</f>
        <v>86.409454824702422</v>
      </c>
      <c r="R34" s="132">
        <f ca="1">IF($N34&gt;MAX('הנחות עבודה'!$B$69:$B$89),0,VLOOKUP($N34,'הנחות עבודה'!$B$94:$M$114,MATCH(R$24,'הנחות עבודה'!$B$93:$M$93,0),FALSE))</f>
        <v>86.409454824702422</v>
      </c>
      <c r="S34" s="132">
        <f ca="1">IF($N34&gt;MAX('הנחות עבודה'!$B$69:$B$89),0,VLOOKUP($N34,'הנחות עבודה'!$B$94:$M$114,MATCH(S$24,'הנחות עבודה'!$B$93:$M$93,0),FALSE))</f>
        <v>86.409454824702422</v>
      </c>
      <c r="T34" s="561">
        <f ca="1">IF($N34&gt;MAX('הנחות עבודה'!$B$69:$B$89),0,VLOOKUP($N34,'הנחות עבודה'!$B$94:$M$114,MATCH(T$24,'הנחות עבודה'!$B$93:$M$93,0),FALSE))</f>
        <v>0</v>
      </c>
    </row>
    <row r="35" spans="2:194">
      <c r="B35" s="31"/>
      <c r="F35" s="10">
        <f t="shared" si="201"/>
        <v>2030</v>
      </c>
      <c r="G35" s="22">
        <f ca="1">IF($F35&gt;MAX('הנחות עבודה'!$B$69:$B$89),0,VLOOKUP($F35,'הנחות עבודה'!$B$69:$M$89,MATCH(G$24,'הנחות עבודה'!$B$68:$M$68,0),FALSE))</f>
        <v>2328.0838021744989</v>
      </c>
      <c r="H35" s="132">
        <f ca="1">IF($F35&gt;MAX('הנחות עבודה'!$B$69:$B$89),0,VLOOKUP($F35,'הנחות עבודה'!$B$69:$M$89,MATCH(H$24,'הנחות עבודה'!$B$68:$M$68,0),FALSE))</f>
        <v>2640.5133984733175</v>
      </c>
      <c r="I35" s="132">
        <f ca="1">IF($F35&gt;MAX('הנחות עבודה'!$B$69:$B$89),0,VLOOKUP($F35,'הנחות עבודה'!$B$69:$M$89,MATCH(I$24,'הנחות עבודה'!$B$68:$M$68,0),FALSE))</f>
        <v>3700.398546657641</v>
      </c>
      <c r="J35" s="132">
        <f ca="1">IF($F35&gt;MAX('הנחות עבודה'!$B$69:$B$89),0,VLOOKUP($F35,'הנחות עבודה'!$B$69:$M$89,MATCH(J$24,'הנחות עבודה'!$B$68:$M$68,0),FALSE))</f>
        <v>3700.398546657641</v>
      </c>
      <c r="K35" s="132">
        <f ca="1">IF($F35&gt;MAX('הנחות עבודה'!$B$69:$B$89),0,VLOOKUP($F35,'הנחות עבודה'!$B$69:$M$89,MATCH(K$24,'הנחות עבודה'!$B$68:$M$68,0),FALSE))</f>
        <v>3700.398546657641</v>
      </c>
      <c r="L35" s="561">
        <f ca="1">IF($F35&gt;MAX('הנחות עבודה'!$B$69:$B$89),0,VLOOKUP($F35,'הנחות עבודה'!$B$69:$M$89,MATCH(L$24,'הנחות עבודה'!$B$68:$M$68,0),FALSE))</f>
        <v>0</v>
      </c>
      <c r="N35" s="10">
        <f t="shared" si="200"/>
        <v>2030</v>
      </c>
      <c r="O35" s="22">
        <f ca="1">IF($N35&gt;MAX('הנחות עבודה'!$B$69:$B$89),0,VLOOKUP($N35,'הנחות עבודה'!$B$94:$M$114,MATCH(O$24,'הנחות עבודה'!$B$93:$M$93,0),FALSE))</f>
        <v>55.512685332272802</v>
      </c>
      <c r="P35" s="132">
        <f ca="1">IF($N35&gt;MAX('הנחות עבודה'!$B$69:$B$89),0,VLOOKUP($N35,'הנחות עבודה'!$B$94:$M$114,MATCH(P$24,'הנחות עבודה'!$B$93:$M$93,0),FALSE))</f>
        <v>63.170664832377113</v>
      </c>
      <c r="Q35" s="132">
        <f ca="1">IF($N35&gt;MAX('הנחות עבודה'!$B$69:$B$89),0,VLOOKUP($N35,'הנחות עבודה'!$B$94:$M$114,MATCH(Q$24,'הנחות עבודה'!$B$93:$M$93,0),FALSE))</f>
        <v>86.409454824702422</v>
      </c>
      <c r="R35" s="132">
        <f ca="1">IF($N35&gt;MAX('הנחות עבודה'!$B$69:$B$89),0,VLOOKUP($N35,'הנחות עבודה'!$B$94:$M$114,MATCH(R$24,'הנחות עבודה'!$B$93:$M$93,0),FALSE))</f>
        <v>86.409454824702422</v>
      </c>
      <c r="S35" s="132">
        <f ca="1">IF($N35&gt;MAX('הנחות עבודה'!$B$69:$B$89),0,VLOOKUP($N35,'הנחות עבודה'!$B$94:$M$114,MATCH(S$24,'הנחות עבודה'!$B$93:$M$93,0),FALSE))</f>
        <v>86.409454824702422</v>
      </c>
      <c r="T35" s="561">
        <f ca="1">IF($N35&gt;MAX('הנחות עבודה'!$B$69:$B$89),0,VLOOKUP($N35,'הנחות עבודה'!$B$94:$M$114,MATCH(T$24,'הנחות עבודה'!$B$93:$M$93,0),FALSE))</f>
        <v>0</v>
      </c>
    </row>
    <row r="36" spans="2:194">
      <c r="B36" s="31"/>
      <c r="F36" s="10">
        <f t="shared" si="201"/>
        <v>2031</v>
      </c>
      <c r="G36" s="22">
        <f ca="1">IF($F36&gt;MAX('הנחות עבודה'!$B$69:$B$89),0,VLOOKUP($F36,'הנחות עבודה'!$B$69:$M$89,MATCH(G$24,'הנחות עבודה'!$B$68:$M$68,0),FALSE))</f>
        <v>2263.4662492751936</v>
      </c>
      <c r="H36" s="132">
        <f ca="1">IF($F36&gt;MAX('הנחות עבודה'!$B$69:$B$89),0,VLOOKUP($F36,'הנחות עבודה'!$B$69:$M$89,MATCH(H$24,'הנחות עבודה'!$B$68:$M$68,0),FALSE))</f>
        <v>2572.2525813388256</v>
      </c>
      <c r="I36" s="132">
        <f ca="1">IF($F36&gt;MAX('הנחות עבודה'!$B$69:$B$89),0,VLOOKUP($F36,'הנחות עבודה'!$B$69:$M$89,MATCH(I$24,'הנחות עבודה'!$B$68:$M$68,0),FALSE))</f>
        <v>3631.5052016111604</v>
      </c>
      <c r="J36" s="132">
        <f ca="1">IF($F36&gt;MAX('הנחות עבודה'!$B$69:$B$89),0,VLOOKUP($F36,'הנחות עבודה'!$B$69:$M$89,MATCH(J$24,'הנחות עבודה'!$B$68:$M$68,0),FALSE))</f>
        <v>3631.5052016111604</v>
      </c>
      <c r="K36" s="132">
        <f ca="1">IF($F36&gt;MAX('הנחות עבודה'!$B$69:$B$89),0,VLOOKUP($F36,'הנחות עבודה'!$B$69:$M$89,MATCH(K$24,'הנחות עבודה'!$B$68:$M$68,0),FALSE))</f>
        <v>3631.5052016111604</v>
      </c>
      <c r="L36" s="561">
        <f ca="1">IF($F36&gt;MAX('הנחות עבודה'!$B$69:$B$89),0,VLOOKUP($F36,'הנחות עבודה'!$B$69:$M$89,MATCH(L$24,'הנחות עבודה'!$B$68:$M$68,0),FALSE))</f>
        <v>0</v>
      </c>
      <c r="N36" s="10">
        <f t="shared" si="200"/>
        <v>2031</v>
      </c>
      <c r="O36" s="22">
        <f ca="1">IF($N36&gt;MAX('הנחות עבודה'!$B$69:$B$89),0,VLOOKUP($N36,'הנחות עבודה'!$B$94:$M$114,MATCH(O$24,'הנחות עבודה'!$B$93:$M$93,0),FALSE))</f>
        <v>55.512685332272802</v>
      </c>
      <c r="P36" s="132">
        <f ca="1">IF($N36&gt;MAX('הנחות עבודה'!$B$69:$B$89),0,VLOOKUP($N36,'הנחות עבודה'!$B$94:$M$114,MATCH(P$24,'הנחות עבודה'!$B$93:$M$93,0),FALSE))</f>
        <v>63.170664832377113</v>
      </c>
      <c r="Q36" s="132">
        <f ca="1">IF($N36&gt;MAX('הנחות עבודה'!$B$69:$B$89),0,VLOOKUP($N36,'הנחות עבודה'!$B$94:$M$114,MATCH(Q$24,'הנחות עבודה'!$B$93:$M$93,0),FALSE))</f>
        <v>86.409454824702422</v>
      </c>
      <c r="R36" s="132">
        <f ca="1">IF($N36&gt;MAX('הנחות עבודה'!$B$69:$B$89),0,VLOOKUP($N36,'הנחות עבודה'!$B$94:$M$114,MATCH(R$24,'הנחות עבודה'!$B$93:$M$93,0),FALSE))</f>
        <v>86.409454824702422</v>
      </c>
      <c r="S36" s="132">
        <f ca="1">IF($N36&gt;MAX('הנחות עבודה'!$B$69:$B$89),0,VLOOKUP($N36,'הנחות עבודה'!$B$94:$M$114,MATCH(S$24,'הנחות עבודה'!$B$93:$M$93,0),FALSE))</f>
        <v>86.409454824702422</v>
      </c>
      <c r="T36" s="561">
        <f ca="1">IF($N36&gt;MAX('הנחות עבודה'!$B$69:$B$89),0,VLOOKUP($N36,'הנחות עבודה'!$B$94:$M$114,MATCH(T$24,'הנחות עבודה'!$B$93:$M$93,0),FALSE))</f>
        <v>0</v>
      </c>
    </row>
    <row r="37" spans="2:194">
      <c r="B37" s="31"/>
      <c r="F37" s="10">
        <f t="shared" si="201"/>
        <v>2032</v>
      </c>
      <c r="G37" s="22">
        <f ca="1">IF($F37&gt;MAX('הנחות עבודה'!$B$69:$B$89),0,VLOOKUP($F37,'הנחות עבודה'!$B$69:$M$89,MATCH(G$24,'הנחות עבודה'!$B$68:$M$68,0),FALSE))</f>
        <v>2200.3447239459233</v>
      </c>
      <c r="H37" s="132">
        <f ca="1">IF($F37&gt;MAX('הנחות עבודה'!$B$69:$B$89),0,VLOOKUP($F37,'הנחות עבודה'!$B$69:$M$89,MATCH(H$24,'הנחות עבודה'!$B$68:$M$68,0),FALSE))</f>
        <v>2505.4933828162525</v>
      </c>
      <c r="I37" s="132">
        <f ca="1">IF($F37&gt;MAX('הנחות עבודה'!$B$69:$B$89),0,VLOOKUP($F37,'הנחות עבודה'!$B$69:$M$89,MATCH(I$24,'הנחות עבודה'!$B$68:$M$68,0),FALSE))</f>
        <v>3565.6851035692857</v>
      </c>
      <c r="J37" s="132">
        <f ca="1">IF($F37&gt;MAX('הנחות עבודה'!$B$69:$B$89),0,VLOOKUP($F37,'הנחות עבודה'!$B$69:$M$89,MATCH(J$24,'הנחות עבודה'!$B$68:$M$68,0),FALSE))</f>
        <v>3565.6851035692857</v>
      </c>
      <c r="K37" s="132">
        <f ca="1">IF($F37&gt;MAX('הנחות עבודה'!$B$69:$B$89),0,VLOOKUP($F37,'הנחות עבודה'!$B$69:$M$89,MATCH(K$24,'הנחות עבודה'!$B$68:$M$68,0),FALSE))</f>
        <v>3565.6851035692857</v>
      </c>
      <c r="L37" s="561">
        <f ca="1">IF($F37&gt;MAX('הנחות עבודה'!$B$69:$B$89),0,VLOOKUP($F37,'הנחות עבודה'!$B$69:$M$89,MATCH(L$24,'הנחות עבודה'!$B$68:$M$68,0),FALSE))</f>
        <v>0</v>
      </c>
      <c r="N37" s="10">
        <f t="shared" si="200"/>
        <v>2032</v>
      </c>
      <c r="O37" s="22">
        <f ca="1">IF($N37&gt;MAX('הנחות עבודה'!$B$69:$B$89),0,VLOOKUP($N37,'הנחות עבודה'!$B$94:$M$114,MATCH(O$24,'הנחות עבודה'!$B$93:$M$93,0),FALSE))</f>
        <v>55.512685332272802</v>
      </c>
      <c r="P37" s="132">
        <f ca="1">IF($N37&gt;MAX('הנחות עבודה'!$B$69:$B$89),0,VLOOKUP($N37,'הנחות עבודה'!$B$94:$M$114,MATCH(P$24,'הנחות עבודה'!$B$93:$M$93,0),FALSE))</f>
        <v>63.170664832377113</v>
      </c>
      <c r="Q37" s="132">
        <f ca="1">IF($N37&gt;MAX('הנחות עבודה'!$B$69:$B$89),0,VLOOKUP($N37,'הנחות עבודה'!$B$94:$M$114,MATCH(Q$24,'הנחות עבודה'!$B$93:$M$93,0),FALSE))</f>
        <v>86.409454824702422</v>
      </c>
      <c r="R37" s="132">
        <f ca="1">IF($N37&gt;MAX('הנחות עבודה'!$B$69:$B$89),0,VLOOKUP($N37,'הנחות עבודה'!$B$94:$M$114,MATCH(R$24,'הנחות עבודה'!$B$93:$M$93,0),FALSE))</f>
        <v>86.409454824702422</v>
      </c>
      <c r="S37" s="132">
        <f ca="1">IF($N37&gt;MAX('הנחות עבודה'!$B$69:$B$89),0,VLOOKUP($N37,'הנחות עבודה'!$B$94:$M$114,MATCH(S$24,'הנחות עבודה'!$B$93:$M$93,0),FALSE))</f>
        <v>86.409454824702422</v>
      </c>
      <c r="T37" s="561">
        <f ca="1">IF($N37&gt;MAX('הנחות עבודה'!$B$69:$B$89),0,VLOOKUP($N37,'הנחות עבודה'!$B$94:$M$114,MATCH(T$24,'הנחות עבודה'!$B$93:$M$93,0),FALSE))</f>
        <v>0</v>
      </c>
    </row>
    <row r="38" spans="2:194">
      <c r="B38" s="31"/>
      <c r="F38" s="10">
        <f t="shared" si="201"/>
        <v>2033</v>
      </c>
      <c r="G38" s="22">
        <f ca="1">IF($F38&gt;MAX('הנחות עבודה'!$B$69:$B$89),0,VLOOKUP($F38,'הנחות עבודה'!$B$69:$M$89,MATCH(G$24,'הנחות עבודה'!$B$68:$M$68,0),FALSE))</f>
        <v>2141.5691390506254</v>
      </c>
      <c r="H38" s="132">
        <f ca="1">IF($F38&gt;MAX('הנחות עבודה'!$B$69:$B$89),0,VLOOKUP($F38,'הנחות עבודה'!$B$69:$M$89,MATCH(H$24,'הנחות עבודה'!$B$68:$M$68,0),FALSE))</f>
        <v>2443.3328135622151</v>
      </c>
      <c r="I38" s="132">
        <f ca="1">IF($F38&gt;MAX('הנחות עבודה'!$B$69:$B$89),0,VLOOKUP($F38,'הנחות עבודה'!$B$69:$M$89,MATCH(I$24,'הנחות עבודה'!$B$68:$M$68,0),FALSE))</f>
        <v>3502.8011587801466</v>
      </c>
      <c r="J38" s="132">
        <f ca="1">IF($F38&gt;MAX('הנחות עבודה'!$B$69:$B$89),0,VLOOKUP($F38,'הנחות עבודה'!$B$69:$M$89,MATCH(J$24,'הנחות עבודה'!$B$68:$M$68,0),FALSE))</f>
        <v>3502.8011587801466</v>
      </c>
      <c r="K38" s="132">
        <f ca="1">IF($F38&gt;MAX('הנחות עבודה'!$B$69:$B$89),0,VLOOKUP($F38,'הנחות עבודה'!$B$69:$M$89,MATCH(K$24,'הנחות עבודה'!$B$68:$M$68,0),FALSE))</f>
        <v>3502.8011587801466</v>
      </c>
      <c r="L38" s="561">
        <f ca="1">IF($F38&gt;MAX('הנחות עבודה'!$B$69:$B$89),0,VLOOKUP($F38,'הנחות עבודה'!$B$69:$M$89,MATCH(L$24,'הנחות עבודה'!$B$68:$M$68,0),FALSE))</f>
        <v>0</v>
      </c>
      <c r="N38" s="10">
        <f t="shared" si="200"/>
        <v>2033</v>
      </c>
      <c r="O38" s="22">
        <f ca="1">IF($N38&gt;MAX('הנחות עבודה'!$B$69:$B$89),0,VLOOKUP($N38,'הנחות עבודה'!$B$94:$M$114,MATCH(O$24,'הנחות עבודה'!$B$93:$M$93,0),FALSE))</f>
        <v>55.512685332272802</v>
      </c>
      <c r="P38" s="132">
        <f ca="1">IF($N38&gt;MAX('הנחות עבודה'!$B$69:$B$89),0,VLOOKUP($N38,'הנחות עבודה'!$B$94:$M$114,MATCH(P$24,'הנחות עבודה'!$B$93:$M$93,0),FALSE))</f>
        <v>63.170664832377113</v>
      </c>
      <c r="Q38" s="132">
        <f ca="1">IF($N38&gt;MAX('הנחות עבודה'!$B$69:$B$89),0,VLOOKUP($N38,'הנחות עבודה'!$B$94:$M$114,MATCH(Q$24,'הנחות עבודה'!$B$93:$M$93,0),FALSE))</f>
        <v>86.409454824702422</v>
      </c>
      <c r="R38" s="132">
        <f ca="1">IF($N38&gt;MAX('הנחות עבודה'!$B$69:$B$89),0,VLOOKUP($N38,'הנחות עבודה'!$B$94:$M$114,MATCH(R$24,'הנחות עבודה'!$B$93:$M$93,0),FALSE))</f>
        <v>86.409454824702422</v>
      </c>
      <c r="S38" s="132">
        <f ca="1">IF($N38&gt;MAX('הנחות עבודה'!$B$69:$B$89),0,VLOOKUP($N38,'הנחות עבודה'!$B$94:$M$114,MATCH(S$24,'הנחות עבודה'!$B$93:$M$93,0),FALSE))</f>
        <v>86.409454824702422</v>
      </c>
      <c r="T38" s="561">
        <f ca="1">IF($N38&gt;MAX('הנחות עבודה'!$B$69:$B$89),0,VLOOKUP($N38,'הנחות עבודה'!$B$94:$M$114,MATCH(T$24,'הנחות עבודה'!$B$93:$M$93,0),FALSE))</f>
        <v>0</v>
      </c>
    </row>
    <row r="39" spans="2:194">
      <c r="B39" s="31"/>
      <c r="F39" s="10">
        <f t="shared" si="201"/>
        <v>2034</v>
      </c>
      <c r="G39" s="22">
        <f ca="1">IF($F39&gt;MAX('הנחות עבודה'!$B$69:$B$89),0,VLOOKUP($F39,'הנחות עבודה'!$B$69:$M$89,MATCH(G$24,'הנחות עבודה'!$B$68:$M$68,0),FALSE))</f>
        <v>2084.7360166611134</v>
      </c>
      <c r="H39" s="132">
        <f ca="1">IF($F39&gt;MAX('הנחות עבודה'!$B$69:$B$89),0,VLOOKUP($F39,'הנחות עבודה'!$B$69:$M$89,MATCH(H$24,'הנחות עבודה'!$B$68:$M$68,0),FALSE))</f>
        <v>2383.0721384434819</v>
      </c>
      <c r="I39" s="132">
        <f ca="1">IF($F39&gt;MAX('הנחות עבודה'!$B$69:$B$89),0,VLOOKUP($F39,'הנחות עבודה'!$B$69:$M$89,MATCH(I$24,'הנחות עבודה'!$B$68:$M$68,0),FALSE))</f>
        <v>3442.7223890747637</v>
      </c>
      <c r="J39" s="132">
        <f ca="1">IF($F39&gt;MAX('הנחות עבודה'!$B$69:$B$89),0,VLOOKUP($F39,'הנחות עבודה'!$B$69:$M$89,MATCH(J$24,'הנחות עבודה'!$B$68:$M$68,0),FALSE))</f>
        <v>3442.7223890747637</v>
      </c>
      <c r="K39" s="132">
        <f ca="1">IF($F39&gt;MAX('הנחות עבודה'!$B$69:$B$89),0,VLOOKUP($F39,'הנחות עבודה'!$B$69:$M$89,MATCH(K$24,'הנחות עבודה'!$B$68:$M$68,0),FALSE))</f>
        <v>3442.7223890747637</v>
      </c>
      <c r="L39" s="561">
        <f ca="1">IF($F39&gt;MAX('הנחות עבודה'!$B$69:$B$89),0,VLOOKUP($F39,'הנחות עבודה'!$B$69:$M$89,MATCH(L$24,'הנחות עבודה'!$B$68:$M$68,0),FALSE))</f>
        <v>0</v>
      </c>
      <c r="N39" s="10">
        <f t="shared" si="200"/>
        <v>2034</v>
      </c>
      <c r="O39" s="22">
        <f ca="1">IF($N39&gt;MAX('הנחות עבודה'!$B$69:$B$89),0,VLOOKUP($N39,'הנחות עבודה'!$B$94:$M$114,MATCH(O$24,'הנחות עבודה'!$B$93:$M$93,0),FALSE))</f>
        <v>55.512685332272802</v>
      </c>
      <c r="P39" s="132">
        <f ca="1">IF($N39&gt;MAX('הנחות עבודה'!$B$69:$B$89),0,VLOOKUP($N39,'הנחות עבודה'!$B$94:$M$114,MATCH(P$24,'הנחות עבודה'!$B$93:$M$93,0),FALSE))</f>
        <v>63.170664832377113</v>
      </c>
      <c r="Q39" s="132">
        <f ca="1">IF($N39&gt;MAX('הנחות עבודה'!$B$69:$B$89),0,VLOOKUP($N39,'הנחות עבודה'!$B$94:$M$114,MATCH(Q$24,'הנחות עבודה'!$B$93:$M$93,0),FALSE))</f>
        <v>86.409454824702422</v>
      </c>
      <c r="R39" s="132">
        <f ca="1">IF($N39&gt;MAX('הנחות עבודה'!$B$69:$B$89),0,VLOOKUP($N39,'הנחות עבודה'!$B$94:$M$114,MATCH(R$24,'הנחות עבודה'!$B$93:$M$93,0),FALSE))</f>
        <v>86.409454824702422</v>
      </c>
      <c r="S39" s="132">
        <f ca="1">IF($N39&gt;MAX('הנחות עבודה'!$B$69:$B$89),0,VLOOKUP($N39,'הנחות עבודה'!$B$94:$M$114,MATCH(S$24,'הנחות עבודה'!$B$93:$M$93,0),FALSE))</f>
        <v>86.409454824702422</v>
      </c>
      <c r="T39" s="561">
        <f ca="1">IF($N39&gt;MAX('הנחות עבודה'!$B$69:$B$89),0,VLOOKUP($N39,'הנחות עבודה'!$B$94:$M$114,MATCH(T$24,'הנחות עבודה'!$B$93:$M$93,0),FALSE))</f>
        <v>0</v>
      </c>
    </row>
    <row r="40" spans="2:194">
      <c r="B40" s="31"/>
      <c r="F40" s="10">
        <f t="shared" si="201"/>
        <v>2035</v>
      </c>
      <c r="G40" s="22">
        <f ca="1">IF($F40&gt;MAX('הנחות עבודה'!$B$69:$B$89),0,VLOOKUP($F40,'הנחות עבודה'!$B$69:$M$89,MATCH(G$24,'הנחות עבודה'!$B$68:$M$68,0),FALSE))</f>
        <v>2030.6434779833057</v>
      </c>
      <c r="H40" s="132">
        <f ca="1">IF($F40&gt;MAX('הנחות עבודה'!$B$69:$B$89),0,VLOOKUP($F40,'הנחות עבודה'!$B$69:$M$89,MATCH(H$24,'הנחות עבודה'!$B$68:$M$68,0),FALSE))</f>
        <v>2325.6742235262832</v>
      </c>
      <c r="I40" s="132">
        <f ca="1">IF($F40&gt;MAX('הנחות עבודה'!$B$69:$B$89),0,VLOOKUP($F40,'הנחות עבודה'!$B$69:$M$89,MATCH(I$24,'הנחות עבודה'!$B$68:$M$68,0),FALSE))</f>
        <v>3385.323659058452</v>
      </c>
      <c r="J40" s="132">
        <f ca="1">IF($F40&gt;MAX('הנחות עבודה'!$B$69:$B$89),0,VLOOKUP($F40,'הנחות עבודה'!$B$69:$M$89,MATCH(J$24,'הנחות עבודה'!$B$68:$M$68,0),FALSE))</f>
        <v>3385.323659058452</v>
      </c>
      <c r="K40" s="132">
        <f ca="1">IF($F40&gt;MAX('הנחות עבודה'!$B$69:$B$89),0,VLOOKUP($F40,'הנחות עבודה'!$B$69:$M$89,MATCH(K$24,'הנחות עבודה'!$B$68:$M$68,0),FALSE))</f>
        <v>3385.323659058452</v>
      </c>
      <c r="L40" s="561">
        <f ca="1">IF($F40&gt;MAX('הנחות עבודה'!$B$69:$B$89),0,VLOOKUP($F40,'הנחות עבודה'!$B$69:$M$89,MATCH(L$24,'הנחות עבודה'!$B$68:$M$68,0),FALSE))</f>
        <v>0</v>
      </c>
      <c r="N40" s="10">
        <f t="shared" si="200"/>
        <v>2035</v>
      </c>
      <c r="O40" s="22">
        <f ca="1">IF($N40&gt;MAX('הנחות עבודה'!$B$69:$B$89),0,VLOOKUP($N40,'הנחות עבודה'!$B$94:$M$114,MATCH(O$24,'הנחות עבודה'!$B$93:$M$93,0),FALSE))</f>
        <v>55.512685332272802</v>
      </c>
      <c r="P40" s="132">
        <f ca="1">IF($N40&gt;MAX('הנחות עבודה'!$B$69:$B$89),0,VLOOKUP($N40,'הנחות עבודה'!$B$94:$M$114,MATCH(P$24,'הנחות עבודה'!$B$93:$M$93,0),FALSE))</f>
        <v>63.170664832377113</v>
      </c>
      <c r="Q40" s="132">
        <f ca="1">IF($N40&gt;MAX('הנחות עבודה'!$B$69:$B$89),0,VLOOKUP($N40,'הנחות עבודה'!$B$94:$M$114,MATCH(Q$24,'הנחות עבודה'!$B$93:$M$93,0),FALSE))</f>
        <v>86.409454824702422</v>
      </c>
      <c r="R40" s="132">
        <f ca="1">IF($N40&gt;MAX('הנחות עבודה'!$B$69:$B$89),0,VLOOKUP($N40,'הנחות עבודה'!$B$94:$M$114,MATCH(R$24,'הנחות עבודה'!$B$93:$M$93,0),FALSE))</f>
        <v>86.409454824702422</v>
      </c>
      <c r="S40" s="132">
        <f ca="1">IF($N40&gt;MAX('הנחות עבודה'!$B$69:$B$89),0,VLOOKUP($N40,'הנחות עבודה'!$B$94:$M$114,MATCH(S$24,'הנחות עבודה'!$B$93:$M$93,0),FALSE))</f>
        <v>86.409454824702422</v>
      </c>
      <c r="T40" s="561">
        <f ca="1">IF($N40&gt;MAX('הנחות עבודה'!$B$69:$B$89),0,VLOOKUP($N40,'הנחות עבודה'!$B$94:$M$114,MATCH(T$24,'הנחות עבודה'!$B$93:$M$93,0),FALSE))</f>
        <v>0</v>
      </c>
    </row>
    <row r="41" spans="2:194">
      <c r="B41" s="31"/>
      <c r="F41" s="10">
        <f t="shared" si="201"/>
        <v>2036</v>
      </c>
      <c r="G41" s="22">
        <f ca="1">IF($F41&gt;MAX('הנחות עבודה'!$B$69:$B$89),0,VLOOKUP($F41,'הנחות עבודה'!$B$69:$M$89,MATCH(G$24,'הנחות עבודה'!$B$68:$M$68,0),FALSE))</f>
        <v>1979.4307279949387</v>
      </c>
      <c r="H41" s="132">
        <f ca="1">IF($F41&gt;MAX('הנחות עבודה'!$B$69:$B$89),0,VLOOKUP($F41,'הנחות עבודה'!$B$69:$M$89,MATCH(H$24,'הנחות עבודה'!$B$68:$M$68,0),FALSE))</f>
        <v>2271.2572764387523</v>
      </c>
      <c r="I41" s="132">
        <f ca="1">IF($F41&gt;MAX('הנחות עבודה'!$B$69:$B$89),0,VLOOKUP($F41,'הנחות עבודה'!$B$69:$M$89,MATCH(I$24,'הנחות עבודה'!$B$68:$M$68,0),FALSE))</f>
        <v>3330.4854154718792</v>
      </c>
      <c r="J41" s="132">
        <f ca="1">IF($F41&gt;MAX('הנחות עבודה'!$B$69:$B$89),0,VLOOKUP($F41,'הנחות עבודה'!$B$69:$M$89,MATCH(J$24,'הנחות עבודה'!$B$68:$M$68,0),FALSE))</f>
        <v>3330.4854154718792</v>
      </c>
      <c r="K41" s="132">
        <f ca="1">IF($F41&gt;MAX('הנחות עבודה'!$B$69:$B$89),0,VLOOKUP($F41,'הנחות עבודה'!$B$69:$M$89,MATCH(K$24,'הנחות עבודה'!$B$68:$M$68,0),FALSE))</f>
        <v>3330.4854154718792</v>
      </c>
      <c r="L41" s="561">
        <f ca="1">IF($F41&gt;MAX('הנחות עבודה'!$B$69:$B$89),0,VLOOKUP($F41,'הנחות עבודה'!$B$69:$M$89,MATCH(L$24,'הנחות עבודה'!$B$68:$M$68,0),FALSE))</f>
        <v>0</v>
      </c>
      <c r="N41" s="10">
        <f t="shared" si="200"/>
        <v>2036</v>
      </c>
      <c r="O41" s="22">
        <f ca="1">IF($N41&gt;MAX('הנחות עבודה'!$B$69:$B$89),0,VLOOKUP($N41,'הנחות עבודה'!$B$94:$M$114,MATCH(O$24,'הנחות עבודה'!$B$93:$M$93,0),FALSE))</f>
        <v>55.512685332272802</v>
      </c>
      <c r="P41" s="132">
        <f ca="1">IF($N41&gt;MAX('הנחות עבודה'!$B$69:$B$89),0,VLOOKUP($N41,'הנחות עבודה'!$B$94:$M$114,MATCH(P$24,'הנחות עבודה'!$B$93:$M$93,0),FALSE))</f>
        <v>63.170664832377113</v>
      </c>
      <c r="Q41" s="132">
        <f ca="1">IF($N41&gt;MAX('הנחות עבודה'!$B$69:$B$89),0,VLOOKUP($N41,'הנחות עבודה'!$B$94:$M$114,MATCH(Q$24,'הנחות עבודה'!$B$93:$M$93,0),FALSE))</f>
        <v>86.409454824702422</v>
      </c>
      <c r="R41" s="132">
        <f ca="1">IF($N41&gt;MAX('הנחות עבודה'!$B$69:$B$89),0,VLOOKUP($N41,'הנחות עבודה'!$B$94:$M$114,MATCH(R$24,'הנחות עבודה'!$B$93:$M$93,0),FALSE))</f>
        <v>86.409454824702422</v>
      </c>
      <c r="S41" s="132">
        <f ca="1">IF($N41&gt;MAX('הנחות עבודה'!$B$69:$B$89),0,VLOOKUP($N41,'הנחות עבודה'!$B$94:$M$114,MATCH(S$24,'הנחות עבודה'!$B$93:$M$93,0),FALSE))</f>
        <v>86.409454824702422</v>
      </c>
      <c r="T41" s="561">
        <f ca="1">IF($N41&gt;MAX('הנחות עבודה'!$B$69:$B$89),0,VLOOKUP($N41,'הנחות עבודה'!$B$94:$M$114,MATCH(T$24,'הנחות עבודה'!$B$93:$M$93,0),FALSE))</f>
        <v>0</v>
      </c>
    </row>
    <row r="42" spans="2:194">
      <c r="B42" s="31"/>
      <c r="F42" s="10">
        <f t="shared" si="201"/>
        <v>2037</v>
      </c>
      <c r="G42" s="22">
        <f ca="1">IF($F42&gt;MAX('הנחות עבודה'!$B$69:$B$89),0,VLOOKUP($F42,'הנחות עבודה'!$B$69:$M$89,MATCH(G$24,'הנחות עבודה'!$B$68:$M$68,0),FALSE))</f>
        <v>1932.111793060194</v>
      </c>
      <c r="H42" s="132">
        <f ca="1">IF($F42&gt;MAX('הנחות עבודה'!$B$69:$B$89),0,VLOOKUP($F42,'הנחות עבודה'!$B$69:$M$89,MATCH(H$24,'הנחות עבודה'!$B$68:$M$68,0),FALSE))</f>
        <v>2220.9241886539949</v>
      </c>
      <c r="I42" s="132">
        <f ca="1">IF($F42&gt;MAX('הנחות עבודה'!$B$69:$B$89),0,VLOOKUP($F42,'הנחות עבודה'!$B$69:$M$89,MATCH(I$24,'הנחות עבודה'!$B$68:$M$68,0),FALSE))</f>
        <v>3278.0934381789025</v>
      </c>
      <c r="J42" s="132">
        <f ca="1">IF($F42&gt;MAX('הנחות עבודה'!$B$69:$B$89),0,VLOOKUP($F42,'הנחות עבודה'!$B$69:$M$89,MATCH(J$24,'הנחות עבודה'!$B$68:$M$68,0),FALSE))</f>
        <v>3278.0934381789025</v>
      </c>
      <c r="K42" s="132">
        <f ca="1">IF($F42&gt;MAX('הנחות עבודה'!$B$69:$B$89),0,VLOOKUP($F42,'הנחות עבודה'!$B$69:$M$89,MATCH(K$24,'הנחות עבודה'!$B$68:$M$68,0),FALSE))</f>
        <v>3278.0934381789025</v>
      </c>
      <c r="L42" s="561">
        <f ca="1">IF($F42&gt;MAX('הנחות עבודה'!$B$69:$B$89),0,VLOOKUP($F42,'הנחות עבודה'!$B$69:$M$89,MATCH(L$24,'הנחות עבודה'!$B$68:$M$68,0),FALSE))</f>
        <v>0</v>
      </c>
      <c r="N42" s="10">
        <f t="shared" si="200"/>
        <v>2037</v>
      </c>
      <c r="O42" s="22">
        <f ca="1">IF($N42&gt;MAX('הנחות עבודה'!$B$69:$B$89),0,VLOOKUP($N42,'הנחות עבודה'!$B$94:$M$114,MATCH(O$24,'הנחות עבודה'!$B$93:$M$93,0),FALSE))</f>
        <v>55.512685332272802</v>
      </c>
      <c r="P42" s="132">
        <f ca="1">IF($N42&gt;MAX('הנחות עבודה'!$B$69:$B$89),0,VLOOKUP($N42,'הנחות עבודה'!$B$94:$M$114,MATCH(P$24,'הנחות עבודה'!$B$93:$M$93,0),FALSE))</f>
        <v>63.170664832377113</v>
      </c>
      <c r="Q42" s="132">
        <f ca="1">IF($N42&gt;MAX('הנחות עבודה'!$B$69:$B$89),0,VLOOKUP($N42,'הנחות עבודה'!$B$94:$M$114,MATCH(Q$24,'הנחות עבודה'!$B$93:$M$93,0),FALSE))</f>
        <v>86.409454824702422</v>
      </c>
      <c r="R42" s="132">
        <f ca="1">IF($N42&gt;MAX('הנחות עבודה'!$B$69:$B$89),0,VLOOKUP($N42,'הנחות עבודה'!$B$94:$M$114,MATCH(R$24,'הנחות עבודה'!$B$93:$M$93,0),FALSE))</f>
        <v>86.409454824702422</v>
      </c>
      <c r="S42" s="132">
        <f ca="1">IF($N42&gt;MAX('הנחות עבודה'!$B$69:$B$89),0,VLOOKUP($N42,'הנחות עבודה'!$B$94:$M$114,MATCH(S$24,'הנחות עבודה'!$B$93:$M$93,0),FALSE))</f>
        <v>86.409454824702422</v>
      </c>
      <c r="T42" s="561">
        <f ca="1">IF($N42&gt;MAX('הנחות עבודה'!$B$69:$B$89),0,VLOOKUP($N42,'הנחות עבודה'!$B$94:$M$114,MATCH(T$24,'הנחות עבודה'!$B$93:$M$93,0),FALSE))</f>
        <v>0</v>
      </c>
    </row>
    <row r="43" spans="2:194">
      <c r="B43" s="31"/>
      <c r="F43" s="10">
        <f t="shared" si="201"/>
        <v>2038</v>
      </c>
      <c r="G43" s="22">
        <f ca="1">IF($F43&gt;MAX('הנחות עבודה'!$B$69:$B$89),0,VLOOKUP($F43,'הנחות עבודה'!$B$69:$M$89,MATCH(G$24,'הנחות עבודה'!$B$68:$M$68,0),FALSE))</f>
        <v>1887.0550937462822</v>
      </c>
      <c r="H43" s="132">
        <f ca="1">IF($F43&gt;MAX('הנחות עבודה'!$B$69:$B$89),0,VLOOKUP($F43,'הנחות עבודה'!$B$69:$M$89,MATCH(H$24,'הנחות עבודה'!$B$68:$M$68,0),FALSE))</f>
        <v>2172.8711632832219</v>
      </c>
      <c r="I43" s="132">
        <f ca="1">IF($F43&gt;MAX('הנחות עבודה'!$B$69:$B$89),0,VLOOKUP($F43,'הנחות עבודה'!$B$69:$M$89,MATCH(I$24,'הנחות עבודה'!$B$68:$M$68,0),FALSE))</f>
        <v>3228.038602262533</v>
      </c>
      <c r="J43" s="132">
        <f ca="1">IF($F43&gt;MAX('הנחות עבודה'!$B$69:$B$89),0,VLOOKUP($F43,'הנחות עבודה'!$B$69:$M$89,MATCH(J$24,'הנחות עבודה'!$B$68:$M$68,0),FALSE))</f>
        <v>3228.038602262533</v>
      </c>
      <c r="K43" s="132">
        <f ca="1">IF($F43&gt;MAX('הנחות עבודה'!$B$69:$B$89),0,VLOOKUP($F43,'הנחות עבודה'!$B$69:$M$89,MATCH(K$24,'הנחות עבודה'!$B$68:$M$68,0),FALSE))</f>
        <v>3228.038602262533</v>
      </c>
      <c r="L43" s="561">
        <f ca="1">IF($F43&gt;MAX('הנחות עבודה'!$B$69:$B$89),0,VLOOKUP($F43,'הנחות עבודה'!$B$69:$M$89,MATCH(L$24,'הנחות עבודה'!$B$68:$M$68,0),FALSE))</f>
        <v>0</v>
      </c>
      <c r="N43" s="10">
        <f t="shared" si="200"/>
        <v>2038</v>
      </c>
      <c r="O43" s="22">
        <f ca="1">IF($N43&gt;MAX('הנחות עבודה'!$B$69:$B$89),0,VLOOKUP($N43,'הנחות עבודה'!$B$94:$M$114,MATCH(O$24,'הנחות עבודה'!$B$93:$M$93,0),FALSE))</f>
        <v>55.512685332272802</v>
      </c>
      <c r="P43" s="132">
        <f ca="1">IF($N43&gt;MAX('הנחות עבודה'!$B$69:$B$89),0,VLOOKUP($N43,'הנחות עבודה'!$B$94:$M$114,MATCH(P$24,'הנחות עבודה'!$B$93:$M$93,0),FALSE))</f>
        <v>63.170664832377113</v>
      </c>
      <c r="Q43" s="132">
        <f ca="1">IF($N43&gt;MAX('הנחות עבודה'!$B$69:$B$89),0,VLOOKUP($N43,'הנחות עבודה'!$B$94:$M$114,MATCH(Q$24,'הנחות עבודה'!$B$93:$M$93,0),FALSE))</f>
        <v>86.409454824702422</v>
      </c>
      <c r="R43" s="132">
        <f ca="1">IF($N43&gt;MAX('הנחות עבודה'!$B$69:$B$89),0,VLOOKUP($N43,'הנחות עבודה'!$B$94:$M$114,MATCH(R$24,'הנחות עבודה'!$B$93:$M$93,0),FALSE))</f>
        <v>86.409454824702422</v>
      </c>
      <c r="S43" s="132">
        <f ca="1">IF($N43&gt;MAX('הנחות עבודה'!$B$69:$B$89),0,VLOOKUP($N43,'הנחות עבודה'!$B$94:$M$114,MATCH(S$24,'הנחות עבודה'!$B$93:$M$93,0),FALSE))</f>
        <v>86.409454824702422</v>
      </c>
      <c r="T43" s="561">
        <f ca="1">IF($N43&gt;MAX('הנחות עבודה'!$B$69:$B$89),0,VLOOKUP($N43,'הנחות עבודה'!$B$94:$M$114,MATCH(T$24,'הנחות עבודה'!$B$93:$M$93,0),FALSE))</f>
        <v>0</v>
      </c>
    </row>
    <row r="44" spans="2:194">
      <c r="B44" s="31"/>
      <c r="F44" s="10">
        <f t="shared" si="201"/>
        <v>2039</v>
      </c>
      <c r="G44" s="22">
        <f ca="1">IF($F44&gt;MAX('הנחות עבודה'!$B$69:$B$89),0,VLOOKUP($F44,'הנחות עבודה'!$B$69:$M$89,MATCH(G$24,'הנחות עבודה'!$B$68:$M$68,0),FALSE))</f>
        <v>1843.3693319529516</v>
      </c>
      <c r="H44" s="132">
        <f ca="1">IF($F44&gt;MAX('הנחות עבודה'!$B$69:$B$89),0,VLOOKUP($F44,'הנחות עבודה'!$B$69:$M$89,MATCH(H$24,'הנחות עבודה'!$B$68:$M$68,0),FALSE))</f>
        <v>2126.1966069087848</v>
      </c>
      <c r="I44" s="132">
        <f ca="1">IF($F44&gt;MAX('הנחות עבודה'!$B$69:$B$89),0,VLOOKUP($F44,'הנחות עבודה'!$B$69:$M$89,MATCH(I$24,'הנחות עבודה'!$B$68:$M$68,0),FALSE))</f>
        <v>3180.216650733505</v>
      </c>
      <c r="J44" s="132">
        <f ca="1">IF($F44&gt;MAX('הנחות עבודה'!$B$69:$B$89),0,VLOOKUP($F44,'הנחות עבודה'!$B$69:$M$89,MATCH(J$24,'הנחות עבודה'!$B$68:$M$68,0),FALSE))</f>
        <v>3180.216650733505</v>
      </c>
      <c r="K44" s="132">
        <f ca="1">IF($F44&gt;MAX('הנחות עבודה'!$B$69:$B$89),0,VLOOKUP($F44,'הנחות עבודה'!$B$69:$M$89,MATCH(K$24,'הנחות עבודה'!$B$68:$M$68,0),FALSE))</f>
        <v>3180.216650733505</v>
      </c>
      <c r="L44" s="561">
        <f ca="1">IF($F44&gt;MAX('הנחות עבודה'!$B$69:$B$89),0,VLOOKUP($F44,'הנחות עבודה'!$B$69:$M$89,MATCH(L$24,'הנחות עבודה'!$B$68:$M$68,0),FALSE))</f>
        <v>0</v>
      </c>
      <c r="N44" s="10">
        <f t="shared" si="200"/>
        <v>2039</v>
      </c>
      <c r="O44" s="22">
        <f ca="1">IF($N44&gt;MAX('הנחות עבודה'!$B$69:$B$89),0,VLOOKUP($N44,'הנחות עבודה'!$B$94:$M$114,MATCH(O$24,'הנחות עבודה'!$B$93:$M$93,0),FALSE))</f>
        <v>55.512685332272802</v>
      </c>
      <c r="P44" s="132">
        <f ca="1">IF($N44&gt;MAX('הנחות עבודה'!$B$69:$B$89),0,VLOOKUP($N44,'הנחות עבודה'!$B$94:$M$114,MATCH(P$24,'הנחות עבודה'!$B$93:$M$93,0),FALSE))</f>
        <v>63.170664832377113</v>
      </c>
      <c r="Q44" s="132">
        <f ca="1">IF($N44&gt;MAX('הנחות עבודה'!$B$69:$B$89),0,VLOOKUP($N44,'הנחות עבודה'!$B$94:$M$114,MATCH(Q$24,'הנחות עבודה'!$B$93:$M$93,0),FALSE))</f>
        <v>86.409454824702422</v>
      </c>
      <c r="R44" s="132">
        <f ca="1">IF($N44&gt;MAX('הנחות עבודה'!$B$69:$B$89),0,VLOOKUP($N44,'הנחות עבודה'!$B$94:$M$114,MATCH(R$24,'הנחות עבודה'!$B$93:$M$93,0),FALSE))</f>
        <v>86.409454824702422</v>
      </c>
      <c r="S44" s="132">
        <f ca="1">IF($N44&gt;MAX('הנחות עבודה'!$B$69:$B$89),0,VLOOKUP($N44,'הנחות עבודה'!$B$94:$M$114,MATCH(S$24,'הנחות עבודה'!$B$93:$M$93,0),FALSE))</f>
        <v>86.409454824702422</v>
      </c>
      <c r="T44" s="561">
        <f ca="1">IF($N44&gt;MAX('הנחות עבודה'!$B$69:$B$89),0,VLOOKUP($N44,'הנחות עבודה'!$B$94:$M$114,MATCH(T$24,'הנחות עבודה'!$B$93:$M$93,0),FALSE))</f>
        <v>0</v>
      </c>
    </row>
    <row r="45" spans="2:194" ht="16.5" thickBot="1">
      <c r="B45" s="31"/>
      <c r="F45" s="11">
        <f t="shared" si="201"/>
        <v>2040</v>
      </c>
      <c r="G45" s="23">
        <f ca="1">IF($F45&gt;MAX('הנחות עבודה'!$B$69:$B$89),0,VLOOKUP($F45,'הנחות עבודה'!$B$69:$M$89,MATCH(G$24,'הנחות עבודה'!$B$68:$M$68,0),FALSE))</f>
        <v>1800.5534227682242</v>
      </c>
      <c r="H45" s="134">
        <f ca="1">IF($F45&gt;MAX('הנחות עבודה'!$B$69:$B$89),0,VLOOKUP($F45,'הנחות עבודה'!$B$69:$M$89,MATCH(H$24,'הנחות עבודה'!$B$68:$M$68,0),FALSE))</f>
        <v>2080.3856433923902</v>
      </c>
      <c r="I45" s="134">
        <f ca="1">IF($F45&gt;MAX('הנחות עבודה'!$B$69:$B$89),0,VLOOKUP($F45,'הנחות עבודה'!$B$69:$M$89,MATCH(I$24,'הנחות עבודה'!$B$68:$M$68,0),FALSE))</f>
        <v>3134.5279773780344</v>
      </c>
      <c r="J45" s="134">
        <f ca="1">IF($F45&gt;MAX('הנחות עבודה'!$B$69:$B$89),0,VLOOKUP($F45,'הנחות עבודה'!$B$69:$M$89,MATCH(J$24,'הנחות עבודה'!$B$68:$M$68,0),FALSE))</f>
        <v>3134.5279773780344</v>
      </c>
      <c r="K45" s="134">
        <f ca="1">IF($F45&gt;MAX('הנחות עבודה'!$B$69:$B$89),0,VLOOKUP($F45,'הנחות עבודה'!$B$69:$M$89,MATCH(K$24,'הנחות עבודה'!$B$68:$M$68,0),FALSE))</f>
        <v>3134.5279773780344</v>
      </c>
      <c r="L45" s="562">
        <f ca="1">IF($F45&gt;MAX('הנחות עבודה'!$B$69:$B$89),0,VLOOKUP($F45,'הנחות עבודה'!$B$69:$M$89,MATCH(L$24,'הנחות עבודה'!$B$68:$M$68,0),FALSE))</f>
        <v>0</v>
      </c>
      <c r="N45" s="11">
        <f t="shared" si="200"/>
        <v>2040</v>
      </c>
      <c r="O45" s="23">
        <f ca="1">IF($N45&gt;MAX('הנחות עבודה'!$B$69:$B$89),0,VLOOKUP($N45,'הנחות עבודה'!$B$94:$M$114,MATCH(O$24,'הנחות עבודה'!$B$93:$M$93,0),FALSE))</f>
        <v>55.512685332272802</v>
      </c>
      <c r="P45" s="134">
        <f ca="1">IF($N45&gt;MAX('הנחות עבודה'!$B$69:$B$89),0,VLOOKUP($N45,'הנחות עבודה'!$B$94:$M$114,MATCH(P$24,'הנחות עבודה'!$B$93:$M$93,0),FALSE))</f>
        <v>63.170664832377113</v>
      </c>
      <c r="Q45" s="134">
        <f ca="1">IF($N45&gt;MAX('הנחות עבודה'!$B$69:$B$89),0,VLOOKUP($N45,'הנחות עבודה'!$B$94:$M$114,MATCH(Q$24,'הנחות עבודה'!$B$93:$M$93,0),FALSE))</f>
        <v>86.409454824702422</v>
      </c>
      <c r="R45" s="134">
        <f ca="1">IF($N45&gt;MAX('הנחות עבודה'!$B$69:$B$89),0,VLOOKUP($N45,'הנחות עבודה'!$B$94:$M$114,MATCH(R$24,'הנחות עבודה'!$B$93:$M$93,0),FALSE))</f>
        <v>86.409454824702422</v>
      </c>
      <c r="S45" s="134">
        <f ca="1">IF($N45&gt;MAX('הנחות עבודה'!$B$69:$B$89),0,VLOOKUP($N45,'הנחות עבודה'!$B$94:$M$114,MATCH(S$24,'הנחות עבודה'!$B$93:$M$93,0),FALSE))</f>
        <v>86.409454824702422</v>
      </c>
      <c r="T45" s="562">
        <f ca="1">IF($N45&gt;MAX('הנחות עבודה'!$B$69:$B$89),0,VLOOKUP($N45,'הנחות עבודה'!$B$94:$M$114,MATCH(T$24,'הנחות עבודה'!$B$93:$M$93,0),FALSE))</f>
        <v>0</v>
      </c>
    </row>
    <row r="46" spans="2:194" ht="16.5" thickBot="1">
      <c r="AQ46" s="5"/>
    </row>
    <row r="47" spans="2:194" ht="16.5" thickBot="1">
      <c r="F47" s="1303" t="s">
        <v>1</v>
      </c>
      <c r="G47" s="1304"/>
      <c r="H47" s="1304"/>
      <c r="I47" s="1304"/>
      <c r="J47" s="1304"/>
      <c r="K47" s="1304"/>
      <c r="L47" s="1304"/>
      <c r="M47" s="1304"/>
      <c r="N47" s="1304"/>
      <c r="O47" s="1304"/>
      <c r="P47" s="1304"/>
      <c r="Q47" s="1304"/>
      <c r="R47" s="1304"/>
      <c r="S47" s="1304"/>
      <c r="T47" s="1304"/>
      <c r="U47" s="1304"/>
      <c r="V47" s="1304"/>
      <c r="W47" s="1304"/>
      <c r="X47" s="1304"/>
      <c r="Y47" s="1304"/>
      <c r="Z47" s="1304"/>
      <c r="AA47" s="1304"/>
      <c r="AB47" s="1304"/>
      <c r="AC47" s="1304"/>
      <c r="AD47" s="1304"/>
      <c r="AE47" s="1304"/>
      <c r="AF47" s="1304"/>
      <c r="AG47" s="1304"/>
      <c r="AH47" s="1304"/>
      <c r="AI47" s="1304"/>
      <c r="AJ47" s="1304"/>
      <c r="AK47" s="1304"/>
      <c r="AL47" s="1304"/>
      <c r="AM47" s="1304"/>
      <c r="AN47" s="1304"/>
      <c r="AO47" s="1304"/>
      <c r="AP47" s="1304"/>
      <c r="AQ47" s="1"/>
      <c r="AR47" s="1303" t="s">
        <v>5</v>
      </c>
      <c r="AS47" s="1304"/>
      <c r="AT47" s="1304"/>
      <c r="AU47" s="1304"/>
      <c r="AV47" s="1304"/>
      <c r="AW47" s="1304"/>
      <c r="AX47" s="1304"/>
      <c r="AY47" s="1304"/>
      <c r="AZ47" s="1304"/>
      <c r="BA47" s="1304"/>
      <c r="BB47" s="1304"/>
      <c r="BC47" s="1304"/>
      <c r="BD47" s="1304"/>
      <c r="BE47" s="1304"/>
      <c r="BF47" s="1304"/>
      <c r="BG47" s="1304"/>
      <c r="BH47" s="1304"/>
      <c r="BI47" s="1304"/>
      <c r="BJ47" s="1304"/>
      <c r="BK47" s="1304"/>
      <c r="BL47" s="1304"/>
      <c r="BM47" s="1304"/>
      <c r="BN47" s="1304"/>
      <c r="BO47" s="1304"/>
      <c r="BP47" s="1304"/>
      <c r="BQ47" s="1304"/>
      <c r="BR47" s="1304"/>
      <c r="BS47" s="1304"/>
      <c r="BT47" s="1304"/>
      <c r="BU47" s="1304"/>
      <c r="BV47" s="1304"/>
      <c r="BW47" s="1304"/>
      <c r="BX47" s="1304"/>
      <c r="BY47" s="1304"/>
      <c r="BZ47" s="1304"/>
      <c r="CA47" s="1304"/>
      <c r="CB47" s="1305"/>
      <c r="CD47" s="1243" t="s">
        <v>14</v>
      </c>
      <c r="CE47" s="1244"/>
      <c r="CF47" s="1244"/>
      <c r="CG47" s="1244"/>
      <c r="CH47" s="1244"/>
      <c r="CI47" s="1244"/>
      <c r="CJ47" s="1244"/>
      <c r="CK47" s="1244"/>
      <c r="CL47" s="1244"/>
      <c r="CM47" s="1244"/>
      <c r="CN47" s="1244"/>
      <c r="CO47" s="1244"/>
      <c r="CP47" s="1244"/>
      <c r="CQ47" s="1244"/>
      <c r="CR47" s="1244"/>
      <c r="CS47" s="1244"/>
      <c r="CT47" s="1244"/>
      <c r="CU47" s="1244"/>
      <c r="CV47" s="1244"/>
      <c r="CW47" s="1244"/>
      <c r="CX47" s="1244"/>
      <c r="CY47" s="1244"/>
      <c r="CZ47" s="1244"/>
      <c r="DA47" s="1244"/>
      <c r="DB47" s="1244"/>
      <c r="DC47" s="1244"/>
      <c r="DD47" s="1244"/>
      <c r="DE47" s="1244"/>
      <c r="DF47" s="1244"/>
      <c r="DG47" s="1244"/>
      <c r="DH47" s="1244"/>
      <c r="DI47" s="1244"/>
      <c r="DJ47" s="1244"/>
      <c r="DK47" s="1244"/>
      <c r="DL47" s="1244"/>
      <c r="DM47" s="1244"/>
      <c r="DN47" s="1245"/>
      <c r="DP47" s="1243" t="s">
        <v>13</v>
      </c>
      <c r="DQ47" s="1244"/>
      <c r="DR47" s="1244"/>
      <c r="DS47" s="1244"/>
      <c r="DT47" s="1244"/>
      <c r="DU47" s="1244"/>
      <c r="DV47" s="1244"/>
      <c r="DW47" s="1244"/>
      <c r="DX47" s="1244"/>
      <c r="DY47" s="1244"/>
      <c r="DZ47" s="1244"/>
      <c r="EA47" s="1244"/>
      <c r="EB47" s="1244"/>
      <c r="EC47" s="1244"/>
      <c r="ED47" s="1244"/>
      <c r="EE47" s="1244"/>
      <c r="EF47" s="1244"/>
      <c r="EG47" s="1244"/>
      <c r="EH47" s="1244"/>
      <c r="EI47" s="1244"/>
      <c r="EJ47" s="1244"/>
      <c r="EK47" s="1244"/>
      <c r="EL47" s="1244"/>
      <c r="EM47" s="1244"/>
      <c r="EN47" s="1244"/>
      <c r="EO47" s="1244"/>
      <c r="EP47" s="1244"/>
      <c r="EQ47" s="1244"/>
      <c r="ER47" s="1244"/>
      <c r="ES47" s="1244"/>
      <c r="ET47" s="1244"/>
      <c r="EU47" s="1244"/>
      <c r="EV47" s="1244"/>
      <c r="EW47" s="1244"/>
      <c r="EX47" s="1244"/>
      <c r="EY47" s="1244"/>
      <c r="EZ47" s="1245"/>
      <c r="FB47" s="1317" t="s">
        <v>70</v>
      </c>
      <c r="FC47" s="1318"/>
      <c r="FD47" s="1318"/>
      <c r="FE47" s="1318"/>
      <c r="FF47" s="1318"/>
      <c r="FG47" s="1318"/>
      <c r="FH47" s="1318"/>
      <c r="FI47" s="1318"/>
      <c r="FJ47" s="1318"/>
      <c r="FK47" s="1318"/>
      <c r="FL47" s="1318"/>
      <c r="FM47" s="1318"/>
      <c r="FN47" s="1318"/>
      <c r="FO47" s="1318"/>
      <c r="FP47" s="1318"/>
      <c r="FQ47" s="1318"/>
      <c r="FR47" s="1318"/>
      <c r="FS47" s="1318"/>
      <c r="FT47" s="1318"/>
      <c r="FU47" s="1318"/>
      <c r="FV47" s="1318"/>
      <c r="FW47" s="1318"/>
      <c r="FX47" s="1318"/>
      <c r="FY47" s="1318"/>
      <c r="FZ47" s="1318"/>
      <c r="GA47" s="1318"/>
      <c r="GB47" s="1318"/>
      <c r="GC47" s="1318"/>
      <c r="GD47" s="1318"/>
      <c r="GE47" s="1318"/>
      <c r="GF47" s="1318"/>
      <c r="GG47" s="1328"/>
      <c r="GH47" s="1328"/>
      <c r="GI47" s="1328"/>
      <c r="GJ47" s="1328"/>
      <c r="GK47" s="1328"/>
      <c r="GL47" s="1319"/>
    </row>
    <row r="48" spans="2:194" ht="35.25" customHeight="1" thickBot="1">
      <c r="F48" s="7"/>
      <c r="G48" s="1312" t="s">
        <v>46</v>
      </c>
      <c r="H48" s="1313"/>
      <c r="I48" s="1313"/>
      <c r="J48" s="1313"/>
      <c r="K48" s="1313"/>
      <c r="L48" s="1313"/>
      <c r="M48" s="1325" t="s">
        <v>47</v>
      </c>
      <c r="N48" s="1326"/>
      <c r="O48" s="1326"/>
      <c r="P48" s="1326"/>
      <c r="Q48" s="1326"/>
      <c r="R48" s="1326"/>
      <c r="S48" s="1312" t="s">
        <v>342</v>
      </c>
      <c r="T48" s="1313"/>
      <c r="U48" s="1313"/>
      <c r="V48" s="1313"/>
      <c r="W48" s="1313"/>
      <c r="X48" s="1313"/>
      <c r="Y48" s="1325" t="s">
        <v>343</v>
      </c>
      <c r="Z48" s="1326"/>
      <c r="AA48" s="1326"/>
      <c r="AB48" s="1326"/>
      <c r="AC48" s="1326"/>
      <c r="AD48" s="1326"/>
      <c r="AE48" s="1312" t="s">
        <v>344</v>
      </c>
      <c r="AF48" s="1313"/>
      <c r="AG48" s="1313"/>
      <c r="AH48" s="1313"/>
      <c r="AI48" s="1313"/>
      <c r="AJ48" s="1313"/>
      <c r="AK48" s="1325" t="s">
        <v>345</v>
      </c>
      <c r="AL48" s="1326"/>
      <c r="AM48" s="1326"/>
      <c r="AN48" s="1326"/>
      <c r="AO48" s="1326"/>
      <c r="AP48" s="1326"/>
      <c r="AQ48" s="1"/>
      <c r="AR48" s="7"/>
      <c r="AS48" s="1312" t="s">
        <v>46</v>
      </c>
      <c r="AT48" s="1313"/>
      <c r="AU48" s="1313"/>
      <c r="AV48" s="1313"/>
      <c r="AW48" s="1313"/>
      <c r="AX48" s="1313"/>
      <c r="AY48" s="1325" t="s">
        <v>47</v>
      </c>
      <c r="AZ48" s="1326"/>
      <c r="BA48" s="1326"/>
      <c r="BB48" s="1326"/>
      <c r="BC48" s="1326"/>
      <c r="BD48" s="1326"/>
      <c r="BE48" s="1312" t="s">
        <v>342</v>
      </c>
      <c r="BF48" s="1313"/>
      <c r="BG48" s="1313"/>
      <c r="BH48" s="1313"/>
      <c r="BI48" s="1313"/>
      <c r="BJ48" s="1313"/>
      <c r="BK48" s="1325" t="s">
        <v>343</v>
      </c>
      <c r="BL48" s="1326"/>
      <c r="BM48" s="1326"/>
      <c r="BN48" s="1326"/>
      <c r="BO48" s="1326"/>
      <c r="BP48" s="1326"/>
      <c r="BQ48" s="1312" t="s">
        <v>344</v>
      </c>
      <c r="BR48" s="1313"/>
      <c r="BS48" s="1313"/>
      <c r="BT48" s="1313"/>
      <c r="BU48" s="1313"/>
      <c r="BV48" s="1313"/>
      <c r="BW48" s="1325" t="s">
        <v>345</v>
      </c>
      <c r="BX48" s="1326"/>
      <c r="BY48" s="1326"/>
      <c r="BZ48" s="1326"/>
      <c r="CA48" s="1326"/>
      <c r="CB48" s="1326"/>
      <c r="CD48" s="6"/>
      <c r="CE48" s="1312" t="s">
        <v>46</v>
      </c>
      <c r="CF48" s="1313"/>
      <c r="CG48" s="1313"/>
      <c r="CH48" s="1313"/>
      <c r="CI48" s="1313"/>
      <c r="CJ48" s="1313"/>
      <c r="CK48" s="1325" t="s">
        <v>47</v>
      </c>
      <c r="CL48" s="1326"/>
      <c r="CM48" s="1326"/>
      <c r="CN48" s="1326"/>
      <c r="CO48" s="1326"/>
      <c r="CP48" s="1326"/>
      <c r="CQ48" s="1312" t="s">
        <v>342</v>
      </c>
      <c r="CR48" s="1313"/>
      <c r="CS48" s="1313"/>
      <c r="CT48" s="1313"/>
      <c r="CU48" s="1313"/>
      <c r="CV48" s="1313"/>
      <c r="CW48" s="1325" t="s">
        <v>343</v>
      </c>
      <c r="CX48" s="1326"/>
      <c r="CY48" s="1326"/>
      <c r="CZ48" s="1326"/>
      <c r="DA48" s="1326"/>
      <c r="DB48" s="1326"/>
      <c r="DC48" s="1312" t="s">
        <v>344</v>
      </c>
      <c r="DD48" s="1313"/>
      <c r="DE48" s="1313"/>
      <c r="DF48" s="1313"/>
      <c r="DG48" s="1313"/>
      <c r="DH48" s="1313"/>
      <c r="DI48" s="1325" t="s">
        <v>345</v>
      </c>
      <c r="DJ48" s="1326"/>
      <c r="DK48" s="1326"/>
      <c r="DL48" s="1326"/>
      <c r="DM48" s="1326"/>
      <c r="DN48" s="1327"/>
      <c r="DP48" s="6"/>
      <c r="DQ48" s="1312" t="s">
        <v>46</v>
      </c>
      <c r="DR48" s="1313"/>
      <c r="DS48" s="1313"/>
      <c r="DT48" s="1313"/>
      <c r="DU48" s="1313"/>
      <c r="DV48" s="1313"/>
      <c r="DW48" s="1325" t="s">
        <v>47</v>
      </c>
      <c r="DX48" s="1326"/>
      <c r="DY48" s="1326"/>
      <c r="DZ48" s="1326"/>
      <c r="EA48" s="1326"/>
      <c r="EB48" s="1326"/>
      <c r="EC48" s="1312" t="s">
        <v>342</v>
      </c>
      <c r="ED48" s="1313"/>
      <c r="EE48" s="1313"/>
      <c r="EF48" s="1313"/>
      <c r="EG48" s="1313"/>
      <c r="EH48" s="1313"/>
      <c r="EI48" s="1325" t="s">
        <v>343</v>
      </c>
      <c r="EJ48" s="1326"/>
      <c r="EK48" s="1326"/>
      <c r="EL48" s="1326"/>
      <c r="EM48" s="1326"/>
      <c r="EN48" s="1326"/>
      <c r="EO48" s="1312" t="s">
        <v>344</v>
      </c>
      <c r="EP48" s="1313"/>
      <c r="EQ48" s="1313"/>
      <c r="ER48" s="1313"/>
      <c r="ES48" s="1313"/>
      <c r="ET48" s="1313"/>
      <c r="EU48" s="1325" t="s">
        <v>345</v>
      </c>
      <c r="EV48" s="1326"/>
      <c r="EW48" s="1326"/>
      <c r="EX48" s="1326"/>
      <c r="EY48" s="1326"/>
      <c r="EZ48" s="1327"/>
      <c r="FB48" s="6"/>
      <c r="FC48" s="1312" t="s">
        <v>46</v>
      </c>
      <c r="FD48" s="1313"/>
      <c r="FE48" s="1313"/>
      <c r="FF48" s="1313"/>
      <c r="FG48" s="1313"/>
      <c r="FH48" s="1313"/>
      <c r="FI48" s="1325" t="s">
        <v>47</v>
      </c>
      <c r="FJ48" s="1326"/>
      <c r="FK48" s="1326"/>
      <c r="FL48" s="1326"/>
      <c r="FM48" s="1326"/>
      <c r="FN48" s="1326"/>
      <c r="FO48" s="1312" t="s">
        <v>342</v>
      </c>
      <c r="FP48" s="1313"/>
      <c r="FQ48" s="1313"/>
      <c r="FR48" s="1313"/>
      <c r="FS48" s="1313"/>
      <c r="FT48" s="1313"/>
      <c r="FU48" s="1325" t="s">
        <v>343</v>
      </c>
      <c r="FV48" s="1326"/>
      <c r="FW48" s="1326"/>
      <c r="FX48" s="1326"/>
      <c r="FY48" s="1326"/>
      <c r="FZ48" s="1326"/>
      <c r="GA48" s="1312" t="s">
        <v>344</v>
      </c>
      <c r="GB48" s="1313"/>
      <c r="GC48" s="1313"/>
      <c r="GD48" s="1313"/>
      <c r="GE48" s="1313"/>
      <c r="GF48" s="1313"/>
      <c r="GG48" s="1325" t="s">
        <v>345</v>
      </c>
      <c r="GH48" s="1326"/>
      <c r="GI48" s="1326"/>
      <c r="GJ48" s="1326"/>
      <c r="GK48" s="1326"/>
      <c r="GL48" s="1326"/>
    </row>
    <row r="49" spans="6:194" ht="40.5" customHeight="1" thickBot="1">
      <c r="F49" s="7" t="s">
        <v>0</v>
      </c>
      <c r="G49" s="287" t="str">
        <f t="shared" ref="G49:K49" ca="1" si="202">G24</f>
        <v>מוטה קרקע PV</v>
      </c>
      <c r="H49" s="77" t="str">
        <f t="shared" ca="1" si="202"/>
        <v>מוטה דואלי PV</v>
      </c>
      <c r="I49" s="77" t="str">
        <f t="shared" ca="1" si="202"/>
        <v>רוח</v>
      </c>
      <c r="J49" s="77" t="str">
        <f t="shared" ca="1" si="202"/>
        <v>ביומסה/ביוגז</v>
      </c>
      <c r="K49" s="77" t="str">
        <f t="shared" ca="1" si="202"/>
        <v>תרמו סולארי</v>
      </c>
      <c r="L49" s="77" t="str">
        <f ca="1">L24</f>
        <v>סוללות לית'יום-יון</v>
      </c>
      <c r="M49" s="72" t="str">
        <f t="shared" ref="M49:AP49" ca="1" si="203">G49</f>
        <v>מוטה קרקע PV</v>
      </c>
      <c r="N49" s="72" t="str">
        <f t="shared" ca="1" si="203"/>
        <v>מוטה דואלי PV</v>
      </c>
      <c r="O49" s="72" t="str">
        <f t="shared" ca="1" si="203"/>
        <v>רוח</v>
      </c>
      <c r="P49" s="72" t="str">
        <f t="shared" ca="1" si="203"/>
        <v>ביומסה/ביוגז</v>
      </c>
      <c r="Q49" s="72" t="str">
        <f t="shared" ca="1" si="203"/>
        <v>תרמו סולארי</v>
      </c>
      <c r="R49" s="72" t="str">
        <f t="shared" ca="1" si="203"/>
        <v>סוללות לית'יום-יון</v>
      </c>
      <c r="S49" s="287" t="str">
        <f t="shared" ref="S49" ca="1" si="204">M49</f>
        <v>מוטה קרקע PV</v>
      </c>
      <c r="T49" s="77" t="str">
        <f t="shared" ref="T49" ca="1" si="205">N49</f>
        <v>מוטה דואלי PV</v>
      </c>
      <c r="U49" s="77" t="str">
        <f t="shared" ref="U49" ca="1" si="206">O49</f>
        <v>רוח</v>
      </c>
      <c r="V49" s="77" t="str">
        <f t="shared" ref="V49" ca="1" si="207">P49</f>
        <v>ביומסה/ביוגז</v>
      </c>
      <c r="W49" s="77" t="str">
        <f t="shared" ref="W49" ca="1" si="208">Q49</f>
        <v>תרמו סולארי</v>
      </c>
      <c r="X49" s="77" t="str">
        <f t="shared" ref="X49" ca="1" si="209">R49</f>
        <v>סוללות לית'יום-יון</v>
      </c>
      <c r="Y49" s="72" t="str">
        <f t="shared" ref="Y49" ca="1" si="210">S49</f>
        <v>מוטה קרקע PV</v>
      </c>
      <c r="Z49" s="72" t="str">
        <f t="shared" ref="Z49" ca="1" si="211">T49</f>
        <v>מוטה דואלי PV</v>
      </c>
      <c r="AA49" s="72" t="str">
        <f t="shared" ref="AA49" ca="1" si="212">U49</f>
        <v>רוח</v>
      </c>
      <c r="AB49" s="72" t="str">
        <f t="shared" ref="AB49" ca="1" si="213">V49</f>
        <v>ביומסה/ביוגז</v>
      </c>
      <c r="AC49" s="72" t="str">
        <f t="shared" ref="AC49" ca="1" si="214">W49</f>
        <v>תרמו סולארי</v>
      </c>
      <c r="AD49" s="72" t="str">
        <f t="shared" ref="AD49" ca="1" si="215">X49</f>
        <v>סוללות לית'יום-יון</v>
      </c>
      <c r="AE49" s="77" t="str">
        <f t="shared" ref="AE49:AJ49" ca="1" si="216">M49</f>
        <v>מוטה קרקע PV</v>
      </c>
      <c r="AF49" s="77" t="str">
        <f t="shared" ca="1" si="216"/>
        <v>מוטה דואלי PV</v>
      </c>
      <c r="AG49" s="77" t="str">
        <f t="shared" ca="1" si="216"/>
        <v>רוח</v>
      </c>
      <c r="AH49" s="77" t="str">
        <f t="shared" ca="1" si="216"/>
        <v>ביומסה/ביוגז</v>
      </c>
      <c r="AI49" s="77" t="str">
        <f t="shared" ca="1" si="216"/>
        <v>תרמו סולארי</v>
      </c>
      <c r="AJ49" s="77" t="str">
        <f t="shared" ca="1" si="216"/>
        <v>סוללות לית'יום-יון</v>
      </c>
      <c r="AK49" s="72" t="str">
        <f t="shared" ca="1" si="203"/>
        <v>מוטה קרקע PV</v>
      </c>
      <c r="AL49" s="72" t="str">
        <f t="shared" ca="1" si="203"/>
        <v>מוטה דואלי PV</v>
      </c>
      <c r="AM49" s="72" t="str">
        <f t="shared" ca="1" si="203"/>
        <v>רוח</v>
      </c>
      <c r="AN49" s="72" t="str">
        <f t="shared" ca="1" si="203"/>
        <v>ביומסה/ביוגז</v>
      </c>
      <c r="AO49" s="72" t="str">
        <f t="shared" ca="1" si="203"/>
        <v>תרמו סולארי</v>
      </c>
      <c r="AP49" s="72" t="str">
        <f t="shared" ca="1" si="203"/>
        <v>סוללות לית'יום-יון</v>
      </c>
      <c r="AQ49" s="5"/>
      <c r="AR49" s="7" t="s">
        <v>0</v>
      </c>
      <c r="AS49" s="77" t="str">
        <f t="shared" ref="AS49:BD49" ca="1" si="217">G49</f>
        <v>מוטה קרקע PV</v>
      </c>
      <c r="AT49" s="77" t="str">
        <f t="shared" ca="1" si="217"/>
        <v>מוטה דואלי PV</v>
      </c>
      <c r="AU49" s="77" t="str">
        <f t="shared" ca="1" si="217"/>
        <v>רוח</v>
      </c>
      <c r="AV49" s="77" t="str">
        <f t="shared" ca="1" si="217"/>
        <v>ביומסה/ביוגז</v>
      </c>
      <c r="AW49" s="77" t="str">
        <f t="shared" ca="1" si="217"/>
        <v>תרמו סולארי</v>
      </c>
      <c r="AX49" s="77" t="str">
        <f t="shared" ca="1" si="217"/>
        <v>סוללות לית'יום-יון</v>
      </c>
      <c r="AY49" s="72" t="str">
        <f t="shared" ca="1" si="217"/>
        <v>מוטה קרקע PV</v>
      </c>
      <c r="AZ49" s="72" t="str">
        <f t="shared" ca="1" si="217"/>
        <v>מוטה דואלי PV</v>
      </c>
      <c r="BA49" s="72" t="str">
        <f t="shared" ca="1" si="217"/>
        <v>רוח</v>
      </c>
      <c r="BB49" s="72" t="str">
        <f t="shared" ca="1" si="217"/>
        <v>ביומסה/ביוגז</v>
      </c>
      <c r="BC49" s="72" t="str">
        <f t="shared" ca="1" si="217"/>
        <v>תרמו סולארי</v>
      </c>
      <c r="BD49" s="72" t="str">
        <f t="shared" ca="1" si="217"/>
        <v>סוללות לית'יום-יון</v>
      </c>
      <c r="BE49" s="77" t="str">
        <f t="shared" ref="BE49:BP49" ca="1" si="218">S49</f>
        <v>מוטה קרקע PV</v>
      </c>
      <c r="BF49" s="77" t="str">
        <f t="shared" ca="1" si="218"/>
        <v>מוטה דואלי PV</v>
      </c>
      <c r="BG49" s="77" t="str">
        <f t="shared" ca="1" si="218"/>
        <v>רוח</v>
      </c>
      <c r="BH49" s="77" t="str">
        <f t="shared" ca="1" si="218"/>
        <v>ביומסה/ביוגז</v>
      </c>
      <c r="BI49" s="77" t="str">
        <f t="shared" ca="1" si="218"/>
        <v>תרמו סולארי</v>
      </c>
      <c r="BJ49" s="77" t="str">
        <f t="shared" ca="1" si="218"/>
        <v>סוללות לית'יום-יון</v>
      </c>
      <c r="BK49" s="72" t="str">
        <f t="shared" ca="1" si="218"/>
        <v>מוטה קרקע PV</v>
      </c>
      <c r="BL49" s="72" t="str">
        <f t="shared" ca="1" si="218"/>
        <v>מוטה דואלי PV</v>
      </c>
      <c r="BM49" s="72" t="str">
        <f t="shared" ca="1" si="218"/>
        <v>רוח</v>
      </c>
      <c r="BN49" s="72" t="str">
        <f t="shared" ca="1" si="218"/>
        <v>ביומסה/ביוגז</v>
      </c>
      <c r="BO49" s="72" t="str">
        <f t="shared" ca="1" si="218"/>
        <v>תרמו סולארי</v>
      </c>
      <c r="BP49" s="72" t="str">
        <f t="shared" ca="1" si="218"/>
        <v>סוללות לית'יום-יון</v>
      </c>
      <c r="BQ49" s="77" t="str">
        <f t="shared" ref="BQ49:CB49" ca="1" si="219">AE49</f>
        <v>מוטה קרקע PV</v>
      </c>
      <c r="BR49" s="77" t="str">
        <f t="shared" ca="1" si="219"/>
        <v>מוטה דואלי PV</v>
      </c>
      <c r="BS49" s="77" t="str">
        <f t="shared" ca="1" si="219"/>
        <v>רוח</v>
      </c>
      <c r="BT49" s="77" t="str">
        <f t="shared" ca="1" si="219"/>
        <v>ביומסה/ביוגז</v>
      </c>
      <c r="BU49" s="77" t="str">
        <f t="shared" ca="1" si="219"/>
        <v>תרמו סולארי</v>
      </c>
      <c r="BV49" s="77" t="str">
        <f t="shared" ca="1" si="219"/>
        <v>סוללות לית'יום-יון</v>
      </c>
      <c r="BW49" s="48" t="str">
        <f t="shared" ca="1" si="219"/>
        <v>מוטה קרקע PV</v>
      </c>
      <c r="BX49" s="72" t="str">
        <f t="shared" ca="1" si="219"/>
        <v>מוטה דואלי PV</v>
      </c>
      <c r="BY49" s="72" t="str">
        <f t="shared" ca="1" si="219"/>
        <v>רוח</v>
      </c>
      <c r="BZ49" s="72" t="str">
        <f t="shared" ca="1" si="219"/>
        <v>ביומסה/ביוגז</v>
      </c>
      <c r="CA49" s="72" t="str">
        <f t="shared" ca="1" si="219"/>
        <v>תרמו סולארי</v>
      </c>
      <c r="CB49" s="72" t="str">
        <f t="shared" ca="1" si="219"/>
        <v>סוללות לית'יום-יון</v>
      </c>
      <c r="CD49" s="81" t="s">
        <v>0</v>
      </c>
      <c r="CE49" s="38" t="str">
        <f t="shared" ref="CE49:CP49" ca="1" si="220">G49</f>
        <v>מוטה קרקע PV</v>
      </c>
      <c r="CF49" s="38" t="str">
        <f t="shared" ca="1" si="220"/>
        <v>מוטה דואלי PV</v>
      </c>
      <c r="CG49" s="38" t="str">
        <f t="shared" ca="1" si="220"/>
        <v>רוח</v>
      </c>
      <c r="CH49" s="38" t="str">
        <f t="shared" ca="1" si="220"/>
        <v>ביומסה/ביוגז</v>
      </c>
      <c r="CI49" s="38" t="str">
        <f t="shared" ca="1" si="220"/>
        <v>תרמו סולארי</v>
      </c>
      <c r="CJ49" s="38" t="str">
        <f t="shared" ca="1" si="220"/>
        <v>סוללות לית'יום-יון</v>
      </c>
      <c r="CK49" s="72" t="str">
        <f t="shared" ca="1" si="220"/>
        <v>מוטה קרקע PV</v>
      </c>
      <c r="CL49" s="72" t="str">
        <f t="shared" ca="1" si="220"/>
        <v>מוטה דואלי PV</v>
      </c>
      <c r="CM49" s="72" t="str">
        <f t="shared" ca="1" si="220"/>
        <v>רוח</v>
      </c>
      <c r="CN49" s="72" t="str">
        <f t="shared" ca="1" si="220"/>
        <v>ביומסה/ביוגז</v>
      </c>
      <c r="CO49" s="72" t="str">
        <f t="shared" ca="1" si="220"/>
        <v>תרמו סולארי</v>
      </c>
      <c r="CP49" s="72" t="str">
        <f t="shared" ca="1" si="220"/>
        <v>סוללות לית'יום-יון</v>
      </c>
      <c r="CQ49" s="38" t="str">
        <f t="shared" ref="CQ49:DB49" ca="1" si="221">S49</f>
        <v>מוטה קרקע PV</v>
      </c>
      <c r="CR49" s="38" t="str">
        <f t="shared" ca="1" si="221"/>
        <v>מוטה דואלי PV</v>
      </c>
      <c r="CS49" s="38" t="str">
        <f t="shared" ca="1" si="221"/>
        <v>רוח</v>
      </c>
      <c r="CT49" s="38" t="str">
        <f t="shared" ca="1" si="221"/>
        <v>ביומסה/ביוגז</v>
      </c>
      <c r="CU49" s="38" t="str">
        <f t="shared" ca="1" si="221"/>
        <v>תרמו סולארי</v>
      </c>
      <c r="CV49" s="38" t="str">
        <f t="shared" ca="1" si="221"/>
        <v>סוללות לית'יום-יון</v>
      </c>
      <c r="CW49" s="72" t="str">
        <f t="shared" ca="1" si="221"/>
        <v>מוטה קרקע PV</v>
      </c>
      <c r="CX49" s="72" t="str">
        <f t="shared" ca="1" si="221"/>
        <v>מוטה דואלי PV</v>
      </c>
      <c r="CY49" s="72" t="str">
        <f t="shared" ca="1" si="221"/>
        <v>רוח</v>
      </c>
      <c r="CZ49" s="72" t="str">
        <f t="shared" ca="1" si="221"/>
        <v>ביומסה/ביוגז</v>
      </c>
      <c r="DA49" s="72" t="str">
        <f t="shared" ca="1" si="221"/>
        <v>תרמו סולארי</v>
      </c>
      <c r="DB49" s="72" t="str">
        <f t="shared" ca="1" si="221"/>
        <v>סוללות לית'יום-יון</v>
      </c>
      <c r="DC49" s="38" t="str">
        <f t="shared" ref="DC49:DN49" ca="1" si="222">AE49</f>
        <v>מוטה קרקע PV</v>
      </c>
      <c r="DD49" s="38" t="str">
        <f t="shared" ca="1" si="222"/>
        <v>מוטה דואלי PV</v>
      </c>
      <c r="DE49" s="38" t="str">
        <f t="shared" ca="1" si="222"/>
        <v>רוח</v>
      </c>
      <c r="DF49" s="38" t="str">
        <f t="shared" ca="1" si="222"/>
        <v>ביומסה/ביוגז</v>
      </c>
      <c r="DG49" s="38" t="str">
        <f t="shared" ca="1" si="222"/>
        <v>תרמו סולארי</v>
      </c>
      <c r="DH49" s="38" t="str">
        <f t="shared" ca="1" si="222"/>
        <v>סוללות לית'יום-יון</v>
      </c>
      <c r="DI49" s="72" t="str">
        <f t="shared" ca="1" si="222"/>
        <v>מוטה קרקע PV</v>
      </c>
      <c r="DJ49" s="72" t="str">
        <f t="shared" ca="1" si="222"/>
        <v>מוטה דואלי PV</v>
      </c>
      <c r="DK49" s="72" t="str">
        <f t="shared" ca="1" si="222"/>
        <v>רוח</v>
      </c>
      <c r="DL49" s="72" t="str">
        <f t="shared" ca="1" si="222"/>
        <v>ביומסה/ביוגז</v>
      </c>
      <c r="DM49" s="72" t="str">
        <f t="shared" ca="1" si="222"/>
        <v>תרמו סולארי</v>
      </c>
      <c r="DN49" s="72" t="str">
        <f t="shared" ca="1" si="222"/>
        <v>סוללות לית'יום-יון</v>
      </c>
      <c r="DP49" s="81" t="s">
        <v>0</v>
      </c>
      <c r="DQ49" s="38" t="str">
        <f t="shared" ref="DQ49:EB49" ca="1" si="223">G49</f>
        <v>מוטה קרקע PV</v>
      </c>
      <c r="DR49" s="38" t="str">
        <f t="shared" ca="1" si="223"/>
        <v>מוטה דואלי PV</v>
      </c>
      <c r="DS49" s="38" t="str">
        <f t="shared" ca="1" si="223"/>
        <v>רוח</v>
      </c>
      <c r="DT49" s="38" t="str">
        <f t="shared" ca="1" si="223"/>
        <v>ביומסה/ביוגז</v>
      </c>
      <c r="DU49" s="38" t="str">
        <f t="shared" ca="1" si="223"/>
        <v>תרמו סולארי</v>
      </c>
      <c r="DV49" s="38" t="str">
        <f t="shared" ca="1" si="223"/>
        <v>סוללות לית'יום-יון</v>
      </c>
      <c r="DW49" s="72" t="str">
        <f t="shared" ca="1" si="223"/>
        <v>מוטה קרקע PV</v>
      </c>
      <c r="DX49" s="72" t="str">
        <f t="shared" ca="1" si="223"/>
        <v>מוטה דואלי PV</v>
      </c>
      <c r="DY49" s="72" t="str">
        <f t="shared" ca="1" si="223"/>
        <v>רוח</v>
      </c>
      <c r="DZ49" s="72" t="str">
        <f t="shared" ca="1" si="223"/>
        <v>ביומסה/ביוגז</v>
      </c>
      <c r="EA49" s="72" t="str">
        <f t="shared" ca="1" si="223"/>
        <v>תרמו סולארי</v>
      </c>
      <c r="EB49" s="72" t="str">
        <f t="shared" ca="1" si="223"/>
        <v>סוללות לית'יום-יון</v>
      </c>
      <c r="EC49" s="38" t="str">
        <f t="shared" ref="EC49:EN49" ca="1" si="224">S49</f>
        <v>מוטה קרקע PV</v>
      </c>
      <c r="ED49" s="38" t="str">
        <f t="shared" ca="1" si="224"/>
        <v>מוטה דואלי PV</v>
      </c>
      <c r="EE49" s="38" t="str">
        <f t="shared" ca="1" si="224"/>
        <v>רוח</v>
      </c>
      <c r="EF49" s="38" t="str">
        <f t="shared" ca="1" si="224"/>
        <v>ביומסה/ביוגז</v>
      </c>
      <c r="EG49" s="38" t="str">
        <f t="shared" ca="1" si="224"/>
        <v>תרמו סולארי</v>
      </c>
      <c r="EH49" s="38" t="str">
        <f t="shared" ca="1" si="224"/>
        <v>סוללות לית'יום-יון</v>
      </c>
      <c r="EI49" s="72" t="str">
        <f t="shared" ca="1" si="224"/>
        <v>מוטה קרקע PV</v>
      </c>
      <c r="EJ49" s="72" t="str">
        <f t="shared" ca="1" si="224"/>
        <v>מוטה דואלי PV</v>
      </c>
      <c r="EK49" s="72" t="str">
        <f t="shared" ca="1" si="224"/>
        <v>רוח</v>
      </c>
      <c r="EL49" s="72" t="str">
        <f t="shared" ca="1" si="224"/>
        <v>ביומסה/ביוגז</v>
      </c>
      <c r="EM49" s="72" t="str">
        <f t="shared" ca="1" si="224"/>
        <v>תרמו סולארי</v>
      </c>
      <c r="EN49" s="72" t="str">
        <f t="shared" ca="1" si="224"/>
        <v>סוללות לית'יום-יון</v>
      </c>
      <c r="EO49" s="38" t="str">
        <f t="shared" ref="EO49:EZ49" ca="1" si="225">AE49</f>
        <v>מוטה קרקע PV</v>
      </c>
      <c r="EP49" s="38" t="str">
        <f t="shared" ca="1" si="225"/>
        <v>מוטה דואלי PV</v>
      </c>
      <c r="EQ49" s="38" t="str">
        <f t="shared" ca="1" si="225"/>
        <v>רוח</v>
      </c>
      <c r="ER49" s="38" t="str">
        <f t="shared" ca="1" si="225"/>
        <v>ביומסה/ביוגז</v>
      </c>
      <c r="ES49" s="38" t="str">
        <f t="shared" ca="1" si="225"/>
        <v>תרמו סולארי</v>
      </c>
      <c r="ET49" s="38" t="str">
        <f t="shared" ca="1" si="225"/>
        <v>סוללות לית'יום-יון</v>
      </c>
      <c r="EU49" s="72" t="str">
        <f t="shared" ca="1" si="225"/>
        <v>מוטה קרקע PV</v>
      </c>
      <c r="EV49" s="72" t="str">
        <f t="shared" ca="1" si="225"/>
        <v>מוטה דואלי PV</v>
      </c>
      <c r="EW49" s="72" t="str">
        <f t="shared" ca="1" si="225"/>
        <v>רוח</v>
      </c>
      <c r="EX49" s="72" t="str">
        <f t="shared" ca="1" si="225"/>
        <v>ביומסה/ביוגז</v>
      </c>
      <c r="EY49" s="72" t="str">
        <f t="shared" ca="1" si="225"/>
        <v>תרמו סולארי</v>
      </c>
      <c r="EZ49" s="72" t="str">
        <f t="shared" ca="1" si="225"/>
        <v>סוללות לית'יום-יון</v>
      </c>
      <c r="FB49" s="81" t="s">
        <v>0</v>
      </c>
      <c r="FC49" s="38" t="str">
        <f t="shared" ref="FC49:FN49" ca="1" si="226">DQ49</f>
        <v>מוטה קרקע PV</v>
      </c>
      <c r="FD49" s="38" t="str">
        <f t="shared" ca="1" si="226"/>
        <v>מוטה דואלי PV</v>
      </c>
      <c r="FE49" s="38" t="str">
        <f t="shared" ca="1" si="226"/>
        <v>רוח</v>
      </c>
      <c r="FF49" s="38" t="str">
        <f t="shared" ca="1" si="226"/>
        <v>ביומסה/ביוגז</v>
      </c>
      <c r="FG49" s="38" t="str">
        <f t="shared" ca="1" si="226"/>
        <v>תרמו סולארי</v>
      </c>
      <c r="FH49" s="38" t="str">
        <f t="shared" ca="1" si="226"/>
        <v>סוללות לית'יום-יון</v>
      </c>
      <c r="FI49" s="72" t="str">
        <f t="shared" ca="1" si="226"/>
        <v>מוטה קרקע PV</v>
      </c>
      <c r="FJ49" s="72" t="str">
        <f t="shared" ca="1" si="226"/>
        <v>מוטה דואלי PV</v>
      </c>
      <c r="FK49" s="72" t="str">
        <f t="shared" ca="1" si="226"/>
        <v>רוח</v>
      </c>
      <c r="FL49" s="72" t="str">
        <f t="shared" ca="1" si="226"/>
        <v>ביומסה/ביוגז</v>
      </c>
      <c r="FM49" s="72" t="str">
        <f t="shared" ca="1" si="226"/>
        <v>תרמו סולארי</v>
      </c>
      <c r="FN49" s="72" t="str">
        <f t="shared" ca="1" si="226"/>
        <v>סוללות לית'יום-יון</v>
      </c>
      <c r="FO49" s="38" t="str">
        <f t="shared" ref="FO49" ca="1" si="227">EC49</f>
        <v>מוטה קרקע PV</v>
      </c>
      <c r="FP49" s="38" t="str">
        <f t="shared" ref="FP49" ca="1" si="228">ED49</f>
        <v>מוטה דואלי PV</v>
      </c>
      <c r="FQ49" s="38" t="str">
        <f t="shared" ref="FQ49" ca="1" si="229">EE49</f>
        <v>רוח</v>
      </c>
      <c r="FR49" s="38" t="str">
        <f t="shared" ref="FR49" ca="1" si="230">EF49</f>
        <v>ביומסה/ביוגז</v>
      </c>
      <c r="FS49" s="38" t="str">
        <f t="shared" ref="FS49" ca="1" si="231">EG49</f>
        <v>תרמו סולארי</v>
      </c>
      <c r="FT49" s="38" t="str">
        <f t="shared" ref="FT49" ca="1" si="232">EH49</f>
        <v>סוללות לית'יום-יון</v>
      </c>
      <c r="FU49" s="72" t="str">
        <f t="shared" ref="FU49" ca="1" si="233">EI49</f>
        <v>מוטה קרקע PV</v>
      </c>
      <c r="FV49" s="72" t="str">
        <f t="shared" ref="FV49" ca="1" si="234">EJ49</f>
        <v>מוטה דואלי PV</v>
      </c>
      <c r="FW49" s="72" t="str">
        <f t="shared" ref="FW49" ca="1" si="235">EK49</f>
        <v>רוח</v>
      </c>
      <c r="FX49" s="72" t="str">
        <f t="shared" ref="FX49" ca="1" si="236">EL49</f>
        <v>ביומסה/ביוגז</v>
      </c>
      <c r="FY49" s="72" t="str">
        <f t="shared" ref="FY49" ca="1" si="237">EM49</f>
        <v>תרמו סולארי</v>
      </c>
      <c r="FZ49" s="72" t="str">
        <f t="shared" ref="FZ49" ca="1" si="238">EN49</f>
        <v>סוללות לית'יום-יון</v>
      </c>
      <c r="GA49" s="38" t="str">
        <f t="shared" ref="GA49:GL49" ca="1" si="239">EO49</f>
        <v>מוטה קרקע PV</v>
      </c>
      <c r="GB49" s="38" t="str">
        <f t="shared" ca="1" si="239"/>
        <v>מוטה דואלי PV</v>
      </c>
      <c r="GC49" s="38" t="str">
        <f t="shared" ca="1" si="239"/>
        <v>רוח</v>
      </c>
      <c r="GD49" s="38" t="str">
        <f t="shared" ca="1" si="239"/>
        <v>ביומסה/ביוגז</v>
      </c>
      <c r="GE49" s="38" t="str">
        <f t="shared" ca="1" si="239"/>
        <v>תרמו סולארי</v>
      </c>
      <c r="GF49" s="38" t="str">
        <f t="shared" ca="1" si="239"/>
        <v>סוללות לית'יום-יון</v>
      </c>
      <c r="GG49" s="72" t="str">
        <f t="shared" ca="1" si="239"/>
        <v>מוטה קרקע PV</v>
      </c>
      <c r="GH49" s="72" t="str">
        <f t="shared" ca="1" si="239"/>
        <v>מוטה דואלי PV</v>
      </c>
      <c r="GI49" s="72" t="str">
        <f t="shared" ca="1" si="239"/>
        <v>רוח</v>
      </c>
      <c r="GJ49" s="72" t="str">
        <f t="shared" ca="1" si="239"/>
        <v>ביומסה/ביוגז</v>
      </c>
      <c r="GK49" s="72" t="str">
        <f t="shared" ca="1" si="239"/>
        <v>תרמו סולארי</v>
      </c>
      <c r="GL49" s="72" t="str">
        <f t="shared" ca="1" si="239"/>
        <v>סוללות לית'יום-יון</v>
      </c>
    </row>
    <row r="50" spans="6:194">
      <c r="F50" s="8">
        <f>F25</f>
        <v>2020</v>
      </c>
      <c r="G50" s="405">
        <f ca="1">IF(OR($F50&gt;MAX('הנחות עבודה'!$B$69:$B$89),$F50&gt;$D$5),0,VLOOKUP($F50,'הספק נוסף נדרש'!$B$8:$AX$28,MATCH(G$49,'הספק נוסף נדרש'!$B$6:$AX$6,0)+(ROUNDUP((G$2-$F$2)/COUNTA($F$10:$F$16),0)-1)*COUNTA('הספק נוסף נדרש'!$C$6:$J$6),FALSE))</f>
        <v>1938.6682808157962</v>
      </c>
      <c r="H50" s="139">
        <f ca="1">IF(OR($F50&gt;MAX('הנחות עבודה'!$B$69:$B$89),$F50&gt;$D$5),0,VLOOKUP($F50,'הספק נוסף נדרש'!$B$8:$AX$28,MATCH(H$49,'הספק נוסף נדרש'!$B$6:$AX$6,0)+(ROUNDUP((H$2-$F$2)/COUNTA($F$10:$F$16),0)-1)*COUNTA('הספק נוסף נדרש'!$C$6:$J$6),FALSE))</f>
        <v>0</v>
      </c>
      <c r="I50" s="139">
        <f ca="1">IF(OR($F50&gt;MAX('הנחות עבודה'!$B$69:$B$89),$F50&gt;$D$5),0,VLOOKUP($F50,'הספק נוסף נדרש'!$B$8:$AX$28,MATCH(I$49,'הספק נוסף נדרש'!$B$6:$AX$6,0)+(ROUNDUP((I$2-$F$2)/COUNTA($F$10:$F$16),0)-1)*COUNTA('הספק נוסף נדרש'!$C$6:$J$6),FALSE))</f>
        <v>8</v>
      </c>
      <c r="J50" s="139">
        <f ca="1">IF(OR($F50&gt;MAX('הנחות עבודה'!$B$69:$B$89),$F50&gt;$D$5),0,VLOOKUP($F50,'הספק נוסף נדרש'!$B$8:$AX$28,MATCH(J$49,'הספק נוסף נדרש'!$B$6:$AX$6,0)+(ROUNDUP((J$2-$F$2)/COUNTA($F$10:$F$16),0)-1)*COUNTA('הספק נוסף נדרש'!$C$6:$J$6),FALSE))</f>
        <v>0</v>
      </c>
      <c r="K50" s="139">
        <f ca="1">IF(OR($F50&gt;MAX('הנחות עבודה'!$B$69:$B$89),$F50&gt;$D$5),0,VLOOKUP($F50,'הספק נוסף נדרש'!$B$8:$AX$28,MATCH(K$49,'הספק נוסף נדרש'!$B$6:$AX$6,0)+(ROUNDUP((K$2-$F$2)/COUNTA($F$10:$F$16),0)-1)*COUNTA('הספק נוסף נדרש'!$C$6:$J$6),FALSE))</f>
        <v>0</v>
      </c>
      <c r="L50" s="78">
        <f ca="1">IF(OR($F50&gt;MAX('הנחות עבודה'!$B$69:$B$89),$F50&gt;$D$5),0,VLOOKUP($F50,'הספק נוסף נדרש'!$B$8:$AX$28,MATCH(L$49,'הספק נוסף נדרש'!$B$6:$AX$6,0)+(ROUNDUP((L$2-$F$2)/COUNTA($F$10:$F$16),0)-1)*COUNTA('הספק נוסף נדרש'!$C$6:$J$6),FALSE))</f>
        <v>0</v>
      </c>
      <c r="M50" s="73">
        <f ca="1">IF(OR($F50&gt;MAX('הנחות עבודה'!$B$69:$B$89),$F50&gt;$D$5),0,VLOOKUP($F50,'הספק נוסף נדרש'!$B$8:$AX$28,MATCH(M$49,'הספק נוסף נדרש'!$B$6:$AX$6,0)+(ROUNDUP((M$2-$F$2)/COUNTA($F$10:$F$16),0)-1)*COUNTA('הספק נוסף נדרש'!$C$6:$J$6),FALSE))</f>
        <v>0</v>
      </c>
      <c r="N50" s="135">
        <f ca="1">IF(OR($F50&gt;MAX('הנחות עבודה'!$B$69:$B$89),$F50&gt;$D$5),0,VLOOKUP($F50,'הספק נוסף נדרש'!$B$8:$AX$28,MATCH(N$49,'הספק נוסף נדרש'!$B$6:$AX$6,0)+(ROUNDUP((N$2-$F$2)/COUNTA($F$10:$F$16),0)-1)*COUNTA('הספק נוסף נדרש'!$C$6:$J$6),FALSE))</f>
        <v>1938.6682808157962</v>
      </c>
      <c r="O50" s="135">
        <f ca="1">IF(OR($F50&gt;MAX('הנחות עבודה'!$B$69:$B$89),$F50&gt;$D$5),0,VLOOKUP($F50,'הספק נוסף נדרש'!$B$8:$AX$28,MATCH(O$49,'הספק נוסף נדרש'!$B$6:$AX$6,0)+(ROUNDUP((O$2-$F$2)/COUNTA($F$10:$F$16),0)-1)*COUNTA('הספק נוסף נדרש'!$C$6:$J$6),FALSE))</f>
        <v>8</v>
      </c>
      <c r="P50" s="135">
        <f ca="1">IF(OR($F50&gt;MAX('הנחות עבודה'!$B$69:$B$89),$F50&gt;$D$5),0,VLOOKUP($F50,'הספק נוסף נדרש'!$B$8:$AX$28,MATCH(P$49,'הספק נוסף נדרש'!$B$6:$AX$6,0)+(ROUNDUP((P$2-$F$2)/COUNTA($F$10:$F$16),0)-1)*COUNTA('הספק נוסף נדרש'!$C$6:$J$6),FALSE))</f>
        <v>0</v>
      </c>
      <c r="Q50" s="135">
        <f ca="1">IF(OR($F50&gt;MAX('הנחות עבודה'!$B$69:$B$89),$F50&gt;$D$5),0,VLOOKUP($F50,'הספק נוסף נדרש'!$B$8:$AX$28,MATCH(Q$49,'הספק נוסף נדרש'!$B$6:$AX$6,0)+(ROUNDUP((Q$2-$F$2)/COUNTA($F$10:$F$16),0)-1)*COUNTA('הספק נוסף נדרש'!$C$6:$J$6),FALSE))</f>
        <v>0</v>
      </c>
      <c r="R50" s="135">
        <f ca="1">IF(OR($F50&gt;MAX('הנחות עבודה'!$B$69:$B$89),$F50&gt;$D$5),0,VLOOKUP($F50,'הספק נוסף נדרש'!$B$8:$AX$28,MATCH(R$49,'הספק נוסף נדרש'!$B$6:$AX$6,0)+(ROUNDUP((R$2-$F$2)/COUNTA($F$10:$F$16),0)-1)*COUNTA('הספק נוסף נדרש'!$C$6:$J$6),FALSE))</f>
        <v>0</v>
      </c>
      <c r="S50" s="405">
        <f ca="1">IF(OR($F50&gt;MAX('הנחות עבודה'!$B$69:$B$89),$F50&gt;$D$5),0,VLOOKUP($F50,'הספק נוסף נדרש'!$B$8:$AX$28,MATCH(S$49,'הספק נוסף נדרש'!$B$6:$AX$6,0)+(ROUNDUP((S$2-$F$2)/COUNTA($F$10:$F$16),0)-1)*COUNTA('הספק נוסף נדרש'!$C$6:$J$6),FALSE))</f>
        <v>1938.6682808157962</v>
      </c>
      <c r="T50" s="139">
        <f ca="1">IF(OR($F50&gt;MAX('הנחות עבודה'!$B$69:$B$89),$F50&gt;$D$5),0,VLOOKUP($F50,'הספק נוסף נדרש'!$B$8:$AX$28,MATCH(T$49,'הספק נוסף נדרש'!$B$6:$AX$6,0)+(ROUNDUP((T$2-$F$2)/COUNTA($F$10:$F$16),0)-1)*COUNTA('הספק נוסף נדרש'!$C$6:$J$6),FALSE))</f>
        <v>0</v>
      </c>
      <c r="U50" s="139">
        <f ca="1">IF(OR($F50&gt;MAX('הנחות עבודה'!$B$69:$B$89),$F50&gt;$D$5),0,VLOOKUP($F50,'הספק נוסף נדרש'!$B$8:$AX$28,MATCH(U$49,'הספק נוסף נדרש'!$B$6:$AX$6,0)+(ROUNDUP((U$2-$F$2)/COUNTA($F$10:$F$16),0)-1)*COUNTA('הספק נוסף נדרש'!$C$6:$J$6),FALSE))</f>
        <v>8</v>
      </c>
      <c r="V50" s="139">
        <f ca="1">IF(OR($F50&gt;MAX('הנחות עבודה'!$B$69:$B$89),$F50&gt;$D$5),0,VLOOKUP($F50,'הספק נוסף נדרש'!$B$8:$AX$28,MATCH(V$49,'הספק נוסף נדרש'!$B$6:$AX$6,0)+(ROUNDUP((V$2-$F$2)/COUNTA($F$10:$F$16),0)-1)*COUNTA('הספק נוסף נדרש'!$C$6:$J$6),FALSE))</f>
        <v>0</v>
      </c>
      <c r="W50" s="139">
        <f ca="1">IF(OR($F50&gt;MAX('הנחות עבודה'!$B$69:$B$89),$F50&gt;$D$5),0,VLOOKUP($F50,'הספק נוסף נדרש'!$B$8:$AX$28,MATCH(W$49,'הספק נוסף נדרש'!$B$6:$AX$6,0)+(ROUNDUP((W$2-$F$2)/COUNTA($F$10:$F$16),0)-1)*COUNTA('הספק נוסף נדרש'!$C$6:$J$6),FALSE))</f>
        <v>0</v>
      </c>
      <c r="X50" s="78">
        <f ca="1">IF(OR($F50&gt;MAX('הנחות עבודה'!$B$69:$B$89),$F50&gt;$D$5),0,VLOOKUP($F50,'הספק נוסף נדרש'!$B$8:$AX$28,MATCH(X$49,'הספק נוסף נדרש'!$B$6:$AX$6,0)+(ROUNDUP((X$2-$F$2)/COUNTA($F$10:$F$16),0)-1)*COUNTA('הספק נוסף נדרש'!$C$6:$J$6),FALSE))</f>
        <v>0</v>
      </c>
      <c r="Y50" s="73">
        <f ca="1">IF(OR($F50&gt;MAX('הנחות עבודה'!$B$69:$B$89),$F50&gt;$D$5),0,VLOOKUP($F50,'הספק נוסף נדרש'!$B$8:$AX$28,MATCH(Y$49,'הספק נוסף נדרש'!$B$6:$AX$6,0)+(ROUNDUP((Y$2-$F$2)/COUNTA($F$10:$F$16),0)-1)*COUNTA('הספק נוסף נדרש'!$C$6:$J$6),FALSE))</f>
        <v>0</v>
      </c>
      <c r="Z50" s="135">
        <f ca="1">IF(OR($F50&gt;MAX('הנחות עבודה'!$B$69:$B$89),$F50&gt;$D$5),0,VLOOKUP($F50,'הספק נוסף נדרש'!$B$8:$AX$28,MATCH(Z$49,'הספק נוסף נדרש'!$B$6:$AX$6,0)+(ROUNDUP((Z$2-$F$2)/COUNTA($F$10:$F$16),0)-1)*COUNTA('הספק נוסף נדרש'!$C$6:$J$6),FALSE))</f>
        <v>1938.6682808157962</v>
      </c>
      <c r="AA50" s="135">
        <f ca="1">IF(OR($F50&gt;MAX('הנחות עבודה'!$B$69:$B$89),$F50&gt;$D$5),0,VLOOKUP($F50,'הספק נוסף נדרש'!$B$8:$AX$28,MATCH(AA$49,'הספק נוסף נדרש'!$B$6:$AX$6,0)+(ROUNDUP((AA$2-$F$2)/COUNTA($F$10:$F$16),0)-1)*COUNTA('הספק נוסף נדרש'!$C$6:$J$6),FALSE))</f>
        <v>8</v>
      </c>
      <c r="AB50" s="135">
        <f ca="1">IF(OR($F50&gt;MAX('הנחות עבודה'!$B$69:$B$89),$F50&gt;$D$5),0,VLOOKUP($F50,'הספק נוסף נדרש'!$B$8:$AX$28,MATCH(AB$49,'הספק נוסף נדרש'!$B$6:$AX$6,0)+(ROUNDUP((AB$2-$F$2)/COUNTA($F$10:$F$16),0)-1)*COUNTA('הספק נוסף נדרש'!$C$6:$J$6),FALSE))</f>
        <v>0</v>
      </c>
      <c r="AC50" s="135">
        <f ca="1">IF(OR($F50&gt;MAX('הנחות עבודה'!$B$69:$B$89),$F50&gt;$D$5),0,VLOOKUP($F50,'הספק נוסף נדרש'!$B$8:$AX$28,MATCH(AC$49,'הספק נוסף נדרש'!$B$6:$AX$6,0)+(ROUNDUP((AC$2-$F$2)/COUNTA($F$10:$F$16),0)-1)*COUNTA('הספק נוסף נדרש'!$C$6:$J$6),FALSE))</f>
        <v>0</v>
      </c>
      <c r="AD50" s="135">
        <f ca="1">IF(OR($F50&gt;MAX('הנחות עבודה'!$B$69:$B$89),$F50&gt;$D$5),0,VLOOKUP($F50,'הספק נוסף נדרש'!$B$8:$AX$28,MATCH(AD$49,'הספק נוסף נדרש'!$B$6:$AX$6,0)+(ROUNDUP((AD$2-$F$2)/COUNTA($F$10:$F$16),0)-1)*COUNTA('הספק נוסף נדרש'!$C$6:$J$6),FALSE))</f>
        <v>0</v>
      </c>
      <c r="AE50" s="78">
        <f ca="1">IF(OR($F50&gt;MAX('הנחות עבודה'!$B$69:$B$89),$F50&gt;$D$5),0,VLOOKUP($F50,'הספק נוסף נדרש'!$B$8:$AX$28,MATCH(AE$49,'הספק נוסף נדרש'!$B$6:$AX$6,0)+(ROUNDUP((AE$2-$F$2)/COUNTA($F$10:$F$16),0)-1)*COUNTA('הספק נוסף נדרש'!$C$6:$J$6),FALSE))</f>
        <v>1938.6682808157962</v>
      </c>
      <c r="AF50" s="139">
        <f ca="1">IF(OR($F50&gt;MAX('הנחות עבודה'!$B$69:$B$89),$F50&gt;$D$5),0,VLOOKUP($F50,'הספק נוסף נדרש'!$B$8:$AX$28,MATCH(AF$49,'הספק נוסף נדרש'!$B$6:$AX$6,0)+(ROUNDUP((AF$2-$F$2)/COUNTA($F$10:$F$16),0)-1)*COUNTA('הספק נוסף נדרש'!$C$6:$J$6),FALSE))</f>
        <v>0</v>
      </c>
      <c r="AG50" s="139">
        <f ca="1">IF(OR($F50&gt;MAX('הנחות עבודה'!$B$69:$B$89),$F50&gt;$D$5),0,VLOOKUP($F50,'הספק נוסף נדרש'!$B$8:$AX$28,MATCH(AG$49,'הספק נוסף נדרש'!$B$6:$AX$6,0)+(ROUNDUP((AG$2-$F$2)/COUNTA($F$10:$F$16),0)-1)*COUNTA('הספק נוסף נדרש'!$C$6:$J$6),FALSE))</f>
        <v>8</v>
      </c>
      <c r="AH50" s="139">
        <f ca="1">IF(OR($F50&gt;MAX('הנחות עבודה'!$B$69:$B$89),$F50&gt;$D$5),0,VLOOKUP($F50,'הספק נוסף נדרש'!$B$8:$AX$28,MATCH(AH$49,'הספק נוסף נדרש'!$B$6:$AX$6,0)+(ROUNDUP((AH$2-$F$2)/COUNTA($F$10:$F$16),0)-1)*COUNTA('הספק נוסף נדרש'!$C$6:$J$6),FALSE))</f>
        <v>0</v>
      </c>
      <c r="AI50" s="139">
        <f ca="1">IF(OR($F50&gt;MAX('הנחות עבודה'!$B$69:$B$89),$F50&gt;$D$5),0,VLOOKUP($F50,'הספק נוסף נדרש'!$B$8:$AX$28,MATCH(AI$49,'הספק נוסף נדרש'!$B$6:$AX$6,0)+(ROUNDUP((AI$2-$F$2)/COUNTA($F$10:$F$16),0)-1)*COUNTA('הספק נוסף נדרש'!$C$6:$J$6),FALSE))</f>
        <v>0</v>
      </c>
      <c r="AJ50" s="78">
        <f ca="1">IF(OR($F50&gt;MAX('הנחות עבודה'!$B$69:$B$89),$F50&gt;$D$5),0,VLOOKUP($F50,'הספק נוסף נדרש'!$B$8:$AX$28,MATCH(AJ$49,'הספק נוסף נדרש'!$B$6:$AX$6,0)+(ROUNDUP((AJ$2-$F$2)/COUNTA($F$10:$F$16),0)-1)*COUNTA('הספק נוסף נדרש'!$C$6:$J$6),FALSE))</f>
        <v>0</v>
      </c>
      <c r="AK50" s="73">
        <f ca="1">IF(OR($F50&gt;MAX('הנחות עבודה'!$B$69:$B$89),$F50&gt;$D$5),0,VLOOKUP($F50,'הספק נוסף נדרש'!$B$8:$AX$28,MATCH(AK$49,'הספק נוסף נדרש'!$B$6:$AX$6,0)+(ROUNDUP((AK$2-$F$2)/COUNTA($F$10:$F$16),0)-1)*COUNTA('הספק נוסף נדרש'!$C$6:$J$6),FALSE))</f>
        <v>0</v>
      </c>
      <c r="AL50" s="135">
        <f ca="1">IF(OR($F50&gt;MAX('הנחות עבודה'!$B$69:$B$89),$F50&gt;$D$5),0,VLOOKUP($F50,'הספק נוסף נדרש'!$B$8:$AX$28,MATCH(AL$49,'הספק נוסף נדרש'!$B$6:$AX$6,0)+(ROUNDUP((AL$2-$F$2)/COUNTA($F$10:$F$16),0)-1)*COUNTA('הספק נוסף נדרש'!$C$6:$J$6),FALSE))</f>
        <v>1938.6682808157962</v>
      </c>
      <c r="AM50" s="135">
        <f ca="1">IF(OR($F50&gt;MAX('הנחות עבודה'!$B$69:$B$89),$F50&gt;$D$5),0,VLOOKUP($F50,'הספק נוסף נדרש'!$B$8:$AX$28,MATCH(AM$49,'הספק נוסף נדרש'!$B$6:$AX$6,0)+(ROUNDUP((AM$2-$F$2)/COUNTA($F$10:$F$16),0)-1)*COUNTA('הספק נוסף נדרש'!$C$6:$J$6),FALSE))</f>
        <v>8</v>
      </c>
      <c r="AN50" s="135">
        <f ca="1">IF(OR($F50&gt;MAX('הנחות עבודה'!$B$69:$B$89),$F50&gt;$D$5),0,VLOOKUP($F50,'הספק נוסף נדרש'!$B$8:$AX$28,MATCH(AN$49,'הספק נוסף נדרש'!$B$6:$AX$6,0)+(ROUNDUP((AN$2-$F$2)/COUNTA($F$10:$F$16),0)-1)*COUNTA('הספק נוסף נדרש'!$C$6:$J$6),FALSE))</f>
        <v>0</v>
      </c>
      <c r="AO50" s="135">
        <f ca="1">IF(OR($F50&gt;MAX('הנחות עבודה'!$B$69:$B$89),$F50&gt;$D$5),0,VLOOKUP($F50,'הספק נוסף נדרש'!$B$8:$AX$28,MATCH(AO$49,'הספק נוסף נדרש'!$B$6:$AX$6,0)+(ROUNDUP((AO$2-$F$2)/COUNTA($F$10:$F$16),0)-1)*COUNTA('הספק נוסף נדרש'!$C$6:$J$6),FALSE))</f>
        <v>0</v>
      </c>
      <c r="AP50" s="135">
        <f ca="1">IF(OR($F50&gt;MAX('הנחות עבודה'!$B$69:$B$89),$F50&gt;$D$5),0,VLOOKUP($F50,'הספק נוסף נדרש'!$B$8:$AX$28,MATCH(AP$49,'הספק נוסף נדרש'!$B$6:$AX$6,0)+(ROUNDUP((AP$2-$F$2)/COUNTA($F$10:$F$16),0)-1)*COUNTA('הספק נוסף נדרש'!$C$6:$J$6),FALSE))</f>
        <v>0</v>
      </c>
      <c r="AQ50" s="9"/>
      <c r="AR50" s="8">
        <f>$F$50</f>
        <v>2020</v>
      </c>
      <c r="AS50" s="78">
        <f ca="1">HLOOKUP(AS$49,$G$24:$L$45,COUNTA($F$25:$F25)+1,FALSE)*G50*$D$7/$D$8</f>
        <v>6329.3985559827652</v>
      </c>
      <c r="AT50" s="139">
        <f ca="1">HLOOKUP(AT$49,$G$24:$L$45,COUNTA($F$25:$F25)+1,FALSE)*H50*$D$7/$D$8</f>
        <v>0</v>
      </c>
      <c r="AU50" s="139">
        <f ca="1">HLOOKUP(AU$49,$G$24:$L$45,COUNTA($F$25:$F25)+1,FALSE)*I50*$D$7/$D$8</f>
        <v>40.663272858683484</v>
      </c>
      <c r="AV50" s="139">
        <f ca="1">HLOOKUP(AV$49,$G$24:$L$45,COUNTA($F$25:$F25)+1,FALSE)*J50*$D$7/$D$8</f>
        <v>0</v>
      </c>
      <c r="AW50" s="139">
        <f ca="1">HLOOKUP(AW$49,$G$24:$L$45,COUNTA($F$25:$F25)+1,FALSE)*K50*$D$7/$D$8</f>
        <v>0</v>
      </c>
      <c r="AX50" s="78">
        <f ca="1">HLOOKUP(AX$49,$G$24:$L$45,COUNTA($F$25:$F25)+1,FALSE)*L50*$D$7/$D$8</f>
        <v>0</v>
      </c>
      <c r="AY50" s="73">
        <f ca="1">HLOOKUP(AY$49,$G$24:$L$45,COUNTA($F$25:$F25)+1,FALSE)*M50*$D$7/$D$8</f>
        <v>0</v>
      </c>
      <c r="AZ50" s="135">
        <f ca="1">HLOOKUP(AZ$49,$G$24:$L$45,COUNTA($F$25:$F25)+1,FALSE)*N50*$D$7/$D$8</f>
        <v>6999.1078437136748</v>
      </c>
      <c r="BA50" s="135">
        <f ca="1">HLOOKUP(BA$49,$G$24:$L$45,COUNTA($F$25:$F25)+1,FALSE)*O50*$D$7/$D$8</f>
        <v>40.663272858683484</v>
      </c>
      <c r="BB50" s="135">
        <f ca="1">HLOOKUP(BB$49,$G$24:$L$45,COUNTA($F$25:$F25)+1,FALSE)*P50*$D$7/$D$8</f>
        <v>0</v>
      </c>
      <c r="BC50" s="135">
        <f ca="1">HLOOKUP(BC$49,$G$24:$L$45,COUNTA($F$25:$F25)+1,FALSE)*Q50*$D$7/$D$8</f>
        <v>0</v>
      </c>
      <c r="BD50" s="135">
        <f ca="1">HLOOKUP(BD$49,$G$24:$L$45,COUNTA($F$25:$F25)+1,FALSE)*R50*$D$7/$D$8</f>
        <v>0</v>
      </c>
      <c r="BE50" s="78">
        <f ca="1">HLOOKUP(BE$49,$G$24:$L$45,COUNTA($F$25:$F25)+1,FALSE)*S50*$D$7/$D$8</f>
        <v>6329.3985559827652</v>
      </c>
      <c r="BF50" s="139">
        <f ca="1">HLOOKUP(BF$49,$G$24:$L$45,COUNTA($F$25:$F25)+1,FALSE)*T50*$D$7/$D$8</f>
        <v>0</v>
      </c>
      <c r="BG50" s="139">
        <f ca="1">HLOOKUP(BG$49,$G$24:$L$45,COUNTA($F$25:$F25)+1,FALSE)*U50*$D$7/$D$8</f>
        <v>40.663272858683484</v>
      </c>
      <c r="BH50" s="139">
        <f ca="1">HLOOKUP(BH$49,$G$24:$L$45,COUNTA($F$25:$F25)+1,FALSE)*V50*$D$7/$D$8</f>
        <v>0</v>
      </c>
      <c r="BI50" s="139">
        <f ca="1">HLOOKUP(BI$49,$G$24:$L$45,COUNTA($F$25:$F25)+1,FALSE)*W50*$D$7/$D$8</f>
        <v>0</v>
      </c>
      <c r="BJ50" s="78">
        <f ca="1">HLOOKUP(BJ$49,$G$24:$L$45,COUNTA($F$25:$F25)+1,FALSE)*X50*$D$7/$D$8</f>
        <v>0</v>
      </c>
      <c r="BK50" s="73">
        <f ca="1">HLOOKUP(BK$49,$G$24:$L$45,COUNTA($F$25:$F25)+1,FALSE)*Y50*$D$7/$D$8</f>
        <v>0</v>
      </c>
      <c r="BL50" s="135">
        <f ca="1">HLOOKUP(BL$49,$G$24:$L$45,COUNTA($F$25:$F25)+1,FALSE)*Z50*$D$7/$D$8</f>
        <v>6999.1078437136748</v>
      </c>
      <c r="BM50" s="135">
        <f ca="1">HLOOKUP(BM$49,$G$24:$L$45,COUNTA($F$25:$F25)+1,FALSE)*AA50*$D$7/$D$8</f>
        <v>40.663272858683484</v>
      </c>
      <c r="BN50" s="135">
        <f ca="1">HLOOKUP(BN$49,$G$24:$L$45,COUNTA($F$25:$F25)+1,FALSE)*AB50*$D$7/$D$8</f>
        <v>0</v>
      </c>
      <c r="BO50" s="135">
        <f ca="1">HLOOKUP(BO$49,$G$24:$L$45,COUNTA($F$25:$F25)+1,FALSE)*AC50*$D$7/$D$8</f>
        <v>0</v>
      </c>
      <c r="BP50" s="135">
        <f ca="1">HLOOKUP(BP$49,$G$24:$L$45,COUNTA($F$25:$F25)+1,FALSE)*AD50*$D$7/$D$8</f>
        <v>0</v>
      </c>
      <c r="BQ50" s="78">
        <f ca="1">HLOOKUP(BQ$49,$G$24:$L$45,COUNTA($F$25:$F25)+1,FALSE)*AE50*$D$7/$D$8</f>
        <v>6329.3985559827652</v>
      </c>
      <c r="BR50" s="139">
        <f ca="1">HLOOKUP(BR$49,$G$24:$L$45,COUNTA($F$25:$F25)+1,FALSE)*AF50*$D$7/$D$8</f>
        <v>0</v>
      </c>
      <c r="BS50" s="139">
        <f ca="1">HLOOKUP(BS$49,$G$24:$L$45,COUNTA($F$25:$F25)+1,FALSE)*AG50*$D$7/$D$8</f>
        <v>40.663272858683484</v>
      </c>
      <c r="BT50" s="139">
        <f ca="1">HLOOKUP(BT$49,$G$24:$L$45,COUNTA($F$25:$F25)+1,FALSE)*AH50*$D$7/$D$8</f>
        <v>0</v>
      </c>
      <c r="BU50" s="139">
        <f ca="1">HLOOKUP(BU$49,$G$24:$L$45,COUNTA($F$25:$F25)+1,FALSE)*AI50*$D$7/$D$8</f>
        <v>0</v>
      </c>
      <c r="BV50" s="78">
        <f ca="1">HLOOKUP(BV$49,$G$24:$L$45,COUNTA($F$25:$F25)+1,FALSE)*AJ50*$D$7/$D$8</f>
        <v>0</v>
      </c>
      <c r="BW50" s="73">
        <f ca="1">HLOOKUP(BW$49,$G$24:$L$45,COUNTA($F$25:$F25)+1,FALSE)*AK50*$D$7/$D$8</f>
        <v>0</v>
      </c>
      <c r="BX50" s="135">
        <f ca="1">HLOOKUP(BX$49,$G$24:$L$45,COUNTA($F$25:$F25)+1,FALSE)*AL50*$D$7/$D$8</f>
        <v>6999.1078437136748</v>
      </c>
      <c r="BY50" s="135">
        <f ca="1">HLOOKUP(BY$49,$G$24:$L$45,COUNTA($F$25:$F25)+1,FALSE)*AM50*$D$7/$D$8</f>
        <v>40.663272858683484</v>
      </c>
      <c r="BZ50" s="135">
        <f ca="1">HLOOKUP(BZ$49,$G$24:$L$45,COUNTA($F$25:$F25)+1,FALSE)*AN50*$D$7/$D$8</f>
        <v>0</v>
      </c>
      <c r="CA50" s="135">
        <f ca="1">HLOOKUP(CA$49,$G$24:$L$45,COUNTA($F$25:$F25)+1,FALSE)*AO50*$D$7/$D$8</f>
        <v>0</v>
      </c>
      <c r="CB50" s="738">
        <f ca="1">HLOOKUP(CB$49,$G$24:$L$45,COUNTA($F$25:$F25)+1,FALSE)*AP50*$D$7/$D$8</f>
        <v>0</v>
      </c>
      <c r="CD50" s="8">
        <f>$F$50</f>
        <v>2020</v>
      </c>
      <c r="CE50" s="83">
        <f t="shared" ref="CE50:CE81" ca="1" si="240">IF($CD50&gt;$D$5,0,-PMT(VLOOKUP(CE$49,$C$9:$D$14,2,FALSE),VLOOKUP(CE$49,$C$15:$D$20,2,FALSE),SUMIFS(AS$50:AS$70,$AR$50:$AR$70,"&gt;"&amp;($CD50-VLOOKUP(CE$49,$C$15:$D$20,2,FALSE)),$AR$50:$AR$70,"&lt;="&amp;($CD50))))</f>
        <v>391.97570423788665</v>
      </c>
      <c r="CF50" s="148">
        <f t="shared" ref="CF50:CF81" ca="1" si="241">IF($CD50&gt;$D$5,0,-PMT(VLOOKUP(CF$49,$C$9:$D$14,2,FALSE),VLOOKUP(CF$49,$C$15:$D$20,2,FALSE),SUMIFS(AT$50:AT$70,$AR$50:$AR$70,"&gt;"&amp;($CD50-VLOOKUP(CF$49,$C$15:$D$20,2,FALSE)),$AR$50:$AR$70,"&lt;="&amp;($CD50))))</f>
        <v>0</v>
      </c>
      <c r="CG50" s="148">
        <f t="shared" ref="CG50:CG81" ca="1" si="242">IF($CD50&gt;$D$5,0,-PMT(VLOOKUP(CG$49,$C$9:$D$14,2,FALSE),VLOOKUP(CG$49,$C$15:$D$20,2,FALSE),SUMIFS(AU$50:AU$70,$AR$50:$AR$70,"&gt;"&amp;($CD50-VLOOKUP(CG$49,$C$15:$D$20,2,FALSE)),$AR$50:$AR$70,"&lt;="&amp;($CD50))))</f>
        <v>2.9183619080117249</v>
      </c>
      <c r="CH50" s="148">
        <f t="shared" ref="CH50:CH81" ca="1" si="243">IF($CD50&gt;$D$5,0,-PMT(VLOOKUP(CH$49,$C$9:$D$14,2,FALSE),VLOOKUP(CH$49,$C$15:$D$20,2,FALSE),SUMIFS(AV$50:AV$70,$AR$50:$AR$70,"&gt;"&amp;($CD50-VLOOKUP(CH$49,$C$15:$D$20,2,FALSE)),$AR$50:$AR$70,"&lt;="&amp;($CD50))))</f>
        <v>0</v>
      </c>
      <c r="CI50" s="148">
        <f t="shared" ref="CI50:CI81" ca="1" si="244">IF($CD50&gt;$D$5,0,-PMT(VLOOKUP(CI$49,$C$9:$D$14,2,FALSE),VLOOKUP(CI$49,$C$15:$D$20,2,FALSE),SUMIFS(AW$50:AW$70,$AR$50:$AR$70,"&gt;"&amp;($CD50-VLOOKUP(CI$49,$C$15:$D$20,2,FALSE)),$AR$50:$AR$70,"&lt;="&amp;($CD50))))</f>
        <v>0</v>
      </c>
      <c r="CJ50" s="83">
        <f t="shared" ref="CJ50:CJ81" ca="1" si="245">IF($CD50&gt;$D$5,0,-PMT(VLOOKUP(CJ$49,$C$9:$D$14,2,FALSE),VLOOKUP(CJ$49,$C$15:$D$20,2,FALSE),SUMIFS(AX$50:AX$70,$AR$50:$AR$70,"&gt;"&amp;($CD50-VLOOKUP(CJ$49,$C$15:$D$20,2,FALSE)),$AR$50:$AR$70,"&lt;="&amp;($CD50))))</f>
        <v>0</v>
      </c>
      <c r="CK50" s="150">
        <f t="shared" ref="CK50:CK81" ca="1" si="246">IF($CD50&gt;$D$5,0,-PMT(VLOOKUP(CK$49,$C$9:$D$14,2,FALSE),VLOOKUP(CK$49,$C$15:$D$20,2,FALSE),SUMIFS(AY$50:AY$70,$AR$50:$AR$70,"&gt;"&amp;($CD50-VLOOKUP(CK$49,$C$15:$D$20,2,FALSE)),$AR$50:$AR$70,"&lt;="&amp;($CD50))))</f>
        <v>0</v>
      </c>
      <c r="CL50" s="101">
        <f t="shared" ref="CL50:CL81" ca="1" si="247">IF($CD50&gt;$D$5,0,-PMT(VLOOKUP(CL$49,$C$9:$D$14,2,FALSE),VLOOKUP(CL$49,$C$15:$D$20,2,FALSE),SUMIFS(AZ$50:AZ$70,$AR$50:$AR$70,"&gt;"&amp;($CD50-VLOOKUP(CL$49,$C$15:$D$20,2,FALSE)),$AR$50:$AR$70,"&lt;="&amp;($CD50))))</f>
        <v>480.20270612148636</v>
      </c>
      <c r="CM50" s="101">
        <f t="shared" ref="CM50:CM81" ca="1" si="248">IF($CD50&gt;$D$5,0,-PMT(VLOOKUP(CM$49,$C$9:$D$14,2,FALSE),VLOOKUP(CM$49,$C$15:$D$20,2,FALSE),SUMIFS(BA$50:BA$70,$AR$50:$AR$70,"&gt;"&amp;($CD50-VLOOKUP(CM$49,$C$15:$D$20,2,FALSE)),$AR$50:$AR$70,"&lt;="&amp;($CD50))))</f>
        <v>2.9183619080117249</v>
      </c>
      <c r="CN50" s="101">
        <f t="shared" ref="CN50:CN81" ca="1" si="249">IF($CD50&gt;$D$5,0,-PMT(VLOOKUP(CN$49,$C$9:$D$14,2,FALSE),VLOOKUP(CN$49,$C$15:$D$20,2,FALSE),SUMIFS(BB$50:BB$70,$AR$50:$AR$70,"&gt;"&amp;($CD50-VLOOKUP(CN$49,$C$15:$D$20,2,FALSE)),$AR$50:$AR$70,"&lt;="&amp;($CD50))))</f>
        <v>0</v>
      </c>
      <c r="CO50" s="101">
        <f t="shared" ref="CO50:CO81" ca="1" si="250">IF($CD50&gt;$D$5,0,-PMT(VLOOKUP(CO$49,$C$9:$D$14,2,FALSE),VLOOKUP(CO$49,$C$15:$D$20,2,FALSE),SUMIFS(BC$50:BC$70,$AR$50:$AR$70,"&gt;"&amp;($CD50-VLOOKUP(CO$49,$C$15:$D$20,2,FALSE)),$AR$50:$AR$70,"&lt;="&amp;($CD50))))</f>
        <v>0</v>
      </c>
      <c r="CP50" s="150">
        <f t="shared" ref="CP50:CP81" ca="1" si="251">IF($CD50&gt;$D$5,0,-PMT(VLOOKUP(CP$49,$C$9:$D$14,2,FALSE),VLOOKUP(CP$49,$C$15:$D$20,2,FALSE),SUMIFS(BD$50:BD$70,$AR$50:$AR$70,"&gt;"&amp;($CD50-VLOOKUP(CP$49,$C$15:$D$20,2,FALSE)),$AR$50:$AR$70,"&lt;="&amp;($CD50))))</f>
        <v>0</v>
      </c>
      <c r="CQ50" s="83">
        <f t="shared" ref="CQ50:CQ81" ca="1" si="252">IF($CD50&gt;$D$5,0,-PMT(VLOOKUP(CQ$49,$C$9:$D$14,2,FALSE),VLOOKUP(CQ$49,$C$15:$D$20,2,FALSE),SUMIFS(BE$50:BE$70,$AR$50:$AR$70,"&gt;"&amp;($CD50-VLOOKUP(CQ$49,$C$15:$D$20,2,FALSE)),$AR$50:$AR$70,"&lt;="&amp;($CD50))))</f>
        <v>391.97570423788665</v>
      </c>
      <c r="CR50" s="148">
        <f t="shared" ref="CR50:CR81" ca="1" si="253">IF($CD50&gt;$D$5,0,-PMT(VLOOKUP(CR$49,$C$9:$D$14,2,FALSE),VLOOKUP(CR$49,$C$15:$D$20,2,FALSE),SUMIFS(BF$50:BF$70,$AR$50:$AR$70,"&gt;"&amp;($CD50-VLOOKUP(CR$49,$C$15:$D$20,2,FALSE)),$AR$50:$AR$70,"&lt;="&amp;($CD50))))</f>
        <v>0</v>
      </c>
      <c r="CS50" s="148">
        <f t="shared" ref="CS50:CS81" ca="1" si="254">IF($CD50&gt;$D$5,0,-PMT(VLOOKUP(CS$49,$C$9:$D$14,2,FALSE),VLOOKUP(CS$49,$C$15:$D$20,2,FALSE),SUMIFS(BG$50:BG$70,$AR$50:$AR$70,"&gt;"&amp;($CD50-VLOOKUP(CS$49,$C$15:$D$20,2,FALSE)),$AR$50:$AR$70,"&lt;="&amp;($CD50))))</f>
        <v>2.9183619080117249</v>
      </c>
      <c r="CT50" s="148">
        <f t="shared" ref="CT50:CT81" ca="1" si="255">IF($CD50&gt;$D$5,0,-PMT(VLOOKUP(CT$49,$C$9:$D$14,2,FALSE),VLOOKUP(CT$49,$C$15:$D$20,2,FALSE),SUMIFS(BH$50:BH$70,$AR$50:$AR$70,"&gt;"&amp;($CD50-VLOOKUP(CT$49,$C$15:$D$20,2,FALSE)),$AR$50:$AR$70,"&lt;="&amp;($CD50))))</f>
        <v>0</v>
      </c>
      <c r="CU50" s="148">
        <f t="shared" ref="CU50:CU81" ca="1" si="256">IF($CD50&gt;$D$5,0,-PMT(VLOOKUP(CU$49,$C$9:$D$14,2,FALSE),VLOOKUP(CU$49,$C$15:$D$20,2,FALSE),SUMIFS(BI$50:BI$70,$AR$50:$AR$70,"&gt;"&amp;($CD50-VLOOKUP(CU$49,$C$15:$D$20,2,FALSE)),$AR$50:$AR$70,"&lt;="&amp;($CD50))))</f>
        <v>0</v>
      </c>
      <c r="CV50" s="83">
        <f t="shared" ref="CV50:CV81" ca="1" si="257">IF($CD50&gt;$D$5,0,-PMT(VLOOKUP(CV$49,$C$9:$D$14,2,FALSE),VLOOKUP(CV$49,$C$15:$D$20,2,FALSE),SUMIFS(BJ$50:BJ$70,$AR$50:$AR$70,"&gt;"&amp;($CD50-VLOOKUP(CV$49,$C$15:$D$20,2,FALSE)),$AR$50:$AR$70,"&lt;="&amp;($CD50))))</f>
        <v>0</v>
      </c>
      <c r="CW50" s="150">
        <f t="shared" ref="CW50:CW81" ca="1" si="258">IF($CD50&gt;$D$5,0,-PMT(VLOOKUP(CW$49,$C$9:$D$14,2,FALSE),VLOOKUP(CW$49,$C$15:$D$20,2,FALSE),SUMIFS(BK$50:BK$70,$AR$50:$AR$70,"&gt;"&amp;($CD50-VLOOKUP(CW$49,$C$15:$D$20,2,FALSE)),$AR$50:$AR$70,"&lt;="&amp;($CD50))))</f>
        <v>0</v>
      </c>
      <c r="CX50" s="101">
        <f t="shared" ref="CX50:CX81" ca="1" si="259">IF($CD50&gt;$D$5,0,-PMT(VLOOKUP(CX$49,$C$9:$D$14,2,FALSE),VLOOKUP(CX$49,$C$15:$D$20,2,FALSE),SUMIFS(BL$50:BL$70,$AR$50:$AR$70,"&gt;"&amp;($CD50-VLOOKUP(CX$49,$C$15:$D$20,2,FALSE)),$AR$50:$AR$70,"&lt;="&amp;($CD50))))</f>
        <v>480.20270612148636</v>
      </c>
      <c r="CY50" s="101">
        <f t="shared" ref="CY50:CY81" ca="1" si="260">IF($CD50&gt;$D$5,0,-PMT(VLOOKUP(CY$49,$C$9:$D$14,2,FALSE),VLOOKUP(CY$49,$C$15:$D$20,2,FALSE),SUMIFS(BM$50:BM$70,$AR$50:$AR$70,"&gt;"&amp;($CD50-VLOOKUP(CY$49,$C$15:$D$20,2,FALSE)),$AR$50:$AR$70,"&lt;="&amp;($CD50))))</f>
        <v>2.9183619080117249</v>
      </c>
      <c r="CZ50" s="101">
        <f t="shared" ref="CZ50:CZ81" ca="1" si="261">IF($CD50&gt;$D$5,0,-PMT(VLOOKUP(CZ$49,$C$9:$D$14,2,FALSE),VLOOKUP(CZ$49,$C$15:$D$20,2,FALSE),SUMIFS(BN$50:BN$70,$AR$50:$AR$70,"&gt;"&amp;($CD50-VLOOKUP(CZ$49,$C$15:$D$20,2,FALSE)),$AR$50:$AR$70,"&lt;="&amp;($CD50))))</f>
        <v>0</v>
      </c>
      <c r="DA50" s="101">
        <f t="shared" ref="DA50:DA81" ca="1" si="262">IF($CD50&gt;$D$5,0,-PMT(VLOOKUP(DA$49,$C$9:$D$14,2,FALSE),VLOOKUP(DA$49,$C$15:$D$20,2,FALSE),SUMIFS(BO$50:BO$70,$AR$50:$AR$70,"&gt;"&amp;($CD50-VLOOKUP(DA$49,$C$15:$D$20,2,FALSE)),$AR$50:$AR$70,"&lt;="&amp;($CD50))))</f>
        <v>0</v>
      </c>
      <c r="DB50" s="150">
        <f t="shared" ref="DB50:DB81" ca="1" si="263">IF($CD50&gt;$D$5,0,-PMT(VLOOKUP(DB$49,$C$9:$D$14,2,FALSE),VLOOKUP(DB$49,$C$15:$D$20,2,FALSE),SUMIFS(BP$50:BP$70,$AR$50:$AR$70,"&gt;"&amp;($CD50-VLOOKUP(DB$49,$C$15:$D$20,2,FALSE)),$AR$50:$AR$70,"&lt;="&amp;($CD50))))</f>
        <v>0</v>
      </c>
      <c r="DC50" s="83">
        <f t="shared" ref="DC50:DC81" ca="1" si="264">IF($CD50&gt;$D$5,0,-PMT(VLOOKUP(DC$49,$C$9:$D$14,2,FALSE),VLOOKUP(DC$49,$C$15:$D$20,2,FALSE),SUMIFS(BQ$50:BQ$70,$AR$50:$AR$70,"&gt;"&amp;($CD50-VLOOKUP(DC$49,$C$15:$D$20,2,FALSE)),$AR$50:$AR$70,"&lt;="&amp;($CD50))))</f>
        <v>391.97570423788665</v>
      </c>
      <c r="DD50" s="148">
        <f t="shared" ref="DD50:DD81" ca="1" si="265">IF($CD50&gt;$D$5,0,-PMT(VLOOKUP(DD$49,$C$9:$D$14,2,FALSE),VLOOKUP(DD$49,$C$15:$D$20,2,FALSE),SUMIFS(BR$50:BR$70,$AR$50:$AR$70,"&gt;"&amp;($CD50-VLOOKUP(DD$49,$C$15:$D$20,2,FALSE)),$AR$50:$AR$70,"&lt;="&amp;($CD50))))</f>
        <v>0</v>
      </c>
      <c r="DE50" s="148">
        <f t="shared" ref="DE50:DE81" ca="1" si="266">IF($CD50&gt;$D$5,0,-PMT(VLOOKUP(DE$49,$C$9:$D$14,2,FALSE),VLOOKUP(DE$49,$C$15:$D$20,2,FALSE),SUMIFS(BS$50:BS$70,$AR$50:$AR$70,"&gt;"&amp;($CD50-VLOOKUP(DE$49,$C$15:$D$20,2,FALSE)),$AR$50:$AR$70,"&lt;="&amp;($CD50))))</f>
        <v>2.9183619080117249</v>
      </c>
      <c r="DF50" s="148">
        <f t="shared" ref="DF50:DF81" ca="1" si="267">IF($CD50&gt;$D$5,0,-PMT(VLOOKUP(DF$49,$C$9:$D$14,2,FALSE),VLOOKUP(DF$49,$C$15:$D$20,2,FALSE),SUMIFS(BT$50:BT$70,$AR$50:$AR$70,"&gt;"&amp;($CD50-VLOOKUP(DF$49,$C$15:$D$20,2,FALSE)),$AR$50:$AR$70,"&lt;="&amp;($CD50))))</f>
        <v>0</v>
      </c>
      <c r="DG50" s="148">
        <f t="shared" ref="DG50:DG81" ca="1" si="268">IF($CD50&gt;$D$5,0,-PMT(VLOOKUP(DG$49,$C$9:$D$14,2,FALSE),VLOOKUP(DG$49,$C$15:$D$20,2,FALSE),SUMIFS(BU$50:BU$70,$AR$50:$AR$70,"&gt;"&amp;($CD50-VLOOKUP(DG$49,$C$15:$D$20,2,FALSE)),$AR$50:$AR$70,"&lt;="&amp;($CD50))))</f>
        <v>0</v>
      </c>
      <c r="DH50" s="83">
        <f t="shared" ref="DH50:DH81" ca="1" si="269">IF($CD50&gt;$D$5,0,-PMT(VLOOKUP(DH$49,$C$9:$D$14,2,FALSE),VLOOKUP(DH$49,$C$15:$D$20,2,FALSE),SUMIFS(BV$50:BV$70,$AR$50:$AR$70,"&gt;"&amp;($CD50-VLOOKUP(DH$49,$C$15:$D$20,2,FALSE)),$AR$50:$AR$70,"&lt;="&amp;($CD50))))</f>
        <v>0</v>
      </c>
      <c r="DI50" s="150">
        <f t="shared" ref="DI50:DI81" ca="1" si="270">IF($CD50&gt;$D$5,0,-PMT(VLOOKUP(DI$49,$C$9:$D$14,2,FALSE),VLOOKUP(DI$49,$C$15:$D$20,2,FALSE),SUMIFS(BW$50:BW$70,$AR$50:$AR$70,"&gt;"&amp;($CD50-VLOOKUP(DI$49,$C$15:$D$20,2,FALSE)),$AR$50:$AR$70,"&lt;="&amp;($CD50))))</f>
        <v>0</v>
      </c>
      <c r="DJ50" s="101">
        <f t="shared" ref="DJ50:DJ81" ca="1" si="271">IF($CD50&gt;$D$5,0,-PMT(VLOOKUP(DJ$49,$C$9:$D$14,2,FALSE),VLOOKUP(DJ$49,$C$15:$D$20,2,FALSE),SUMIFS(BX$50:BX$70,$AR$50:$AR$70,"&gt;"&amp;($CD50-VLOOKUP(DJ$49,$C$15:$D$20,2,FALSE)),$AR$50:$AR$70,"&lt;="&amp;($CD50))))</f>
        <v>480.20270612148636</v>
      </c>
      <c r="DK50" s="101">
        <f t="shared" ref="DK50:DK81" ca="1" si="272">IF($CD50&gt;$D$5,0,-PMT(VLOOKUP(DK$49,$C$9:$D$14,2,FALSE),VLOOKUP(DK$49,$C$15:$D$20,2,FALSE),SUMIFS(BY$50:BY$70,$AR$50:$AR$70,"&gt;"&amp;($CD50-VLOOKUP(DK$49,$C$15:$D$20,2,FALSE)),$AR$50:$AR$70,"&lt;="&amp;($CD50))))</f>
        <v>2.9183619080117249</v>
      </c>
      <c r="DL50" s="101">
        <f t="shared" ref="DL50:DL81" ca="1" si="273">IF($CD50&gt;$D$5,0,-PMT(VLOOKUP(DL$49,$C$9:$D$14,2,FALSE),VLOOKUP(DL$49,$C$15:$D$20,2,FALSE),SUMIFS(BZ$50:BZ$70,$AR$50:$AR$70,"&gt;"&amp;($CD50-VLOOKUP(DL$49,$C$15:$D$20,2,FALSE)),$AR$50:$AR$70,"&lt;="&amp;($CD50))))</f>
        <v>0</v>
      </c>
      <c r="DM50" s="101">
        <f t="shared" ref="DM50:DM81" ca="1" si="274">IF($CD50&gt;$D$5,0,-PMT(VLOOKUP(DM$49,$C$9:$D$14,2,FALSE),VLOOKUP(DM$49,$C$15:$D$20,2,FALSE),SUMIFS(CA$50:CA$70,$AR$50:$AR$70,"&gt;"&amp;($CD50-VLOOKUP(DM$49,$C$15:$D$20,2,FALSE)),$AR$50:$AR$70,"&lt;="&amp;($CD50))))</f>
        <v>0</v>
      </c>
      <c r="DN50" s="563">
        <f t="shared" ref="DN50:DN81" ca="1" si="275">IF($CD50&gt;$D$5,0,-PMT(VLOOKUP(DN$49,$C$9:$D$14,2,FALSE),VLOOKUP(DN$49,$C$15:$D$20,2,FALSE),SUMIFS(CB$50:CB$70,$AR$50:$AR$70,"&gt;"&amp;($CD50-VLOOKUP(DN$49,$C$15:$D$20,2,FALSE)),$AR$50:$AR$70,"&lt;="&amp;($CD50))))</f>
        <v>0</v>
      </c>
      <c r="DP50" s="8">
        <f>$F$50</f>
        <v>2020</v>
      </c>
      <c r="DQ50" s="83">
        <f t="shared" ref="DQ50:DQ81" ca="1" si="276">IF($DP50&gt;$D$5,0,SUMIFS(FC$50:FC$70,$FB$50:$FB$70,"&gt;"&amp;($DP50-VLOOKUP(DQ$49,$C$15:$D$20,2,FALSE)),$FB$50:$FB$70,"&lt;="&amp;($DP50)))</f>
        <v>107.62068223658557</v>
      </c>
      <c r="DR50" s="148">
        <f t="shared" ref="DR50:DR81" ca="1" si="277">IF($DP50&gt;$D$5,0,SUMIFS(FD$50:FD$70,$FB$50:$FB$70,"&gt;"&amp;($DP50-VLOOKUP(DR$49,$C$15:$D$20,2,FALSE)),$FB$50:$FB$70,"&lt;="&amp;($DP50)))</f>
        <v>0</v>
      </c>
      <c r="DS50" s="148">
        <f t="shared" ref="DS50:DS81" ca="1" si="278">IF($DP50&gt;$D$5,0,SUMIFS(FE$50:FE$70,$FB$50:$FB$70,"&gt;"&amp;($DP50-VLOOKUP(DS$49,$C$15:$D$20,2,FALSE)),$FB$50:$FB$70,"&lt;="&amp;($DP50)))</f>
        <v>0.69127563859761942</v>
      </c>
      <c r="DT50" s="148">
        <f t="shared" ref="DT50:DT81" ca="1" si="279">IF($DP50&gt;$D$5,0,SUMIFS(FF$50:FF$70,$FB$50:$FB$70,"&gt;"&amp;($DP50-VLOOKUP(DT$49,$C$15:$D$20,2,FALSE)),$FB$50:$FB$70,"&lt;="&amp;($DP50)))</f>
        <v>0</v>
      </c>
      <c r="DU50" s="148">
        <f t="shared" ref="DU50:DU81" ca="1" si="280">IF($DP50&gt;$D$5,0,SUMIFS(FG$50:FG$70,$FB$50:$FB$70,"&gt;"&amp;($DP50-VLOOKUP(DU$49,$C$15:$D$20,2,FALSE)),$FB$50:$FB$70,"&lt;="&amp;($DP50)))</f>
        <v>0</v>
      </c>
      <c r="DV50" s="83">
        <f t="shared" ref="DV50:DV81" ca="1" si="281">IF($DP50&gt;$D$5,0,SUMIFS(FH$50:FH$70,$FB$50:$FB$70,"&gt;"&amp;($DP50-VLOOKUP(DV$49,$C$15:$D$20,2,FALSE)),$FB$50:$FB$70,"&lt;="&amp;($DP50)))</f>
        <v>0</v>
      </c>
      <c r="DW50" s="150">
        <f t="shared" ref="DW50:DW81" ca="1" si="282">IF($DP50&gt;$D$5,0,SUMIFS(FI$50:FI$70,$FB$50:$FB$70,"&gt;"&amp;($DP50-VLOOKUP(DW$49,$C$15:$D$20,2,FALSE)),$FB$50:$FB$70,"&lt;="&amp;($DP50)))</f>
        <v>0</v>
      </c>
      <c r="DX50" s="101">
        <f t="shared" ref="DX50:DX81" ca="1" si="283">IF($DP50&gt;$D$5,0,SUMIFS(FJ$50:FJ$70,$FB$50:$FB$70,"&gt;"&amp;($DP50-VLOOKUP(DX$49,$C$15:$D$20,2,FALSE)),$FB$50:$FB$70,"&lt;="&amp;($DP50)))</f>
        <v>122.46696418857542</v>
      </c>
      <c r="DY50" s="101">
        <f t="shared" ref="DY50:DY81" ca="1" si="284">IF($DP50&gt;$D$5,0,SUMIFS(FK$50:FK$70,$FB$50:$FB$70,"&gt;"&amp;($DP50-VLOOKUP(DY$49,$C$15:$D$20,2,FALSE)),$FB$50:$FB$70,"&lt;="&amp;($DP50)))</f>
        <v>0.69127563859761942</v>
      </c>
      <c r="DZ50" s="101">
        <f t="shared" ref="DZ50:DZ81" ca="1" si="285">IF($DP50&gt;$D$5,0,SUMIFS(FL$50:FL$70,$FB$50:$FB$70,"&gt;"&amp;($DP50-VLOOKUP(DZ$49,$C$15:$D$20,2,FALSE)),$FB$50:$FB$70,"&lt;="&amp;($DP50)))</f>
        <v>0</v>
      </c>
      <c r="EA50" s="101">
        <f t="shared" ref="EA50:EA81" ca="1" si="286">IF($DP50&gt;$D$5,0,SUMIFS(FM$50:FM$70,$FB$50:$FB$70,"&gt;"&amp;($DP50-VLOOKUP(EA$49,$C$15:$D$20,2,FALSE)),$FB$50:$FB$70,"&lt;="&amp;($DP50)))</f>
        <v>0</v>
      </c>
      <c r="EB50" s="150">
        <f t="shared" ref="EB50:EB81" ca="1" si="287">IF($DP50&gt;$D$5,0,SUMIFS(FN$50:FN$70,$FB$50:$FB$70,"&gt;"&amp;($DP50-VLOOKUP(EB$49,$C$15:$D$20,2,FALSE)),$FB$50:$FB$70,"&lt;="&amp;($DP50)))</f>
        <v>0</v>
      </c>
      <c r="EC50" s="83">
        <f t="shared" ref="EC50:EC81" ca="1" si="288">IF($DP50&gt;$D$5,0,SUMIFS(FO$50:FO$70,$FB$50:$FB$70,"&gt;"&amp;($DP50-VLOOKUP(EC$49,$C$15:$D$20,2,FALSE)),$FB$50:$FB$70,"&lt;="&amp;($DP50)))</f>
        <v>107.62068223658557</v>
      </c>
      <c r="ED50" s="148">
        <f t="shared" ref="ED50:ED81" ca="1" si="289">IF($DP50&gt;$D$5,0,SUMIFS(FP$50:FP$70,$FB$50:$FB$70,"&gt;"&amp;($DP50-VLOOKUP(ED$49,$C$15:$D$20,2,FALSE)),$FB$50:$FB$70,"&lt;="&amp;($DP50)))</f>
        <v>0</v>
      </c>
      <c r="EE50" s="148">
        <f t="shared" ref="EE50:EE81" ca="1" si="290">IF($DP50&gt;$D$5,0,SUMIFS(FQ$50:FQ$70,$FB$50:$FB$70,"&gt;"&amp;($DP50-VLOOKUP(EE$49,$C$15:$D$20,2,FALSE)),$FB$50:$FB$70,"&lt;="&amp;($DP50)))</f>
        <v>0.69127563859761942</v>
      </c>
      <c r="EF50" s="148">
        <f t="shared" ref="EF50:EF81" ca="1" si="291">IF($DP50&gt;$D$5,0,SUMIFS(FR$50:FR$70,$FB$50:$FB$70,"&gt;"&amp;($DP50-VLOOKUP(EF$49,$C$15:$D$20,2,FALSE)),$FB$50:$FB$70,"&lt;="&amp;($DP50)))</f>
        <v>0</v>
      </c>
      <c r="EG50" s="148">
        <f t="shared" ref="EG50:EG81" ca="1" si="292">IF($DP50&gt;$D$5,0,SUMIFS(FS$50:FS$70,$FB$50:$FB$70,"&gt;"&amp;($DP50-VLOOKUP(EG$49,$C$15:$D$20,2,FALSE)),$FB$50:$FB$70,"&lt;="&amp;($DP50)))</f>
        <v>0</v>
      </c>
      <c r="EH50" s="83">
        <f t="shared" ref="EH50:EH81" ca="1" si="293">IF($DP50&gt;$D$5,0,SUMIFS(FT$50:FT$70,$FB$50:$FB$70,"&gt;"&amp;($DP50-VLOOKUP(EH$49,$C$15:$D$20,2,FALSE)),$FB$50:$FB$70,"&lt;="&amp;($DP50)))</f>
        <v>0</v>
      </c>
      <c r="EI50" s="150">
        <f t="shared" ref="EI50:EI81" ca="1" si="294">IF($DP50&gt;$D$5,0,SUMIFS(FU$50:FU$70,$FB$50:$FB$70,"&gt;"&amp;($DP50-VLOOKUP(EI$49,$C$15:$D$20,2,FALSE)),$FB$50:$FB$70,"&lt;="&amp;($DP50)))</f>
        <v>0</v>
      </c>
      <c r="EJ50" s="101">
        <f t="shared" ref="EJ50:EJ81" ca="1" si="295">IF($DP50&gt;$D$5,0,SUMIFS(FV$50:FV$70,$FB$50:$FB$70,"&gt;"&amp;($DP50-VLOOKUP(EJ$49,$C$15:$D$20,2,FALSE)),$FB$50:$FB$70,"&lt;="&amp;($DP50)))</f>
        <v>122.46696418857542</v>
      </c>
      <c r="EK50" s="101">
        <f t="shared" ref="EK50:EK81" ca="1" si="296">IF($DP50&gt;$D$5,0,SUMIFS(FW$50:FW$70,$FB$50:$FB$70,"&gt;"&amp;($DP50-VLOOKUP(EK$49,$C$15:$D$20,2,FALSE)),$FB$50:$FB$70,"&lt;="&amp;($DP50)))</f>
        <v>0.69127563859761942</v>
      </c>
      <c r="EL50" s="101">
        <f t="shared" ref="EL50:EL81" ca="1" si="297">IF($DP50&gt;$D$5,0,SUMIFS(FX$50:FX$70,$FB$50:$FB$70,"&gt;"&amp;($DP50-VLOOKUP(EL$49,$C$15:$D$20,2,FALSE)),$FB$50:$FB$70,"&lt;="&amp;($DP50)))</f>
        <v>0</v>
      </c>
      <c r="EM50" s="101">
        <f t="shared" ref="EM50:EM81" ca="1" si="298">IF($DP50&gt;$D$5,0,SUMIFS(FY$50:FY$70,$FB$50:$FB$70,"&gt;"&amp;($DP50-VLOOKUP(EM$49,$C$15:$D$20,2,FALSE)),$FB$50:$FB$70,"&lt;="&amp;($DP50)))</f>
        <v>0</v>
      </c>
      <c r="EN50" s="150">
        <f t="shared" ref="EN50:EN81" ca="1" si="299">IF($DP50&gt;$D$5,0,SUMIFS(FZ$50:FZ$70,$FB$50:$FB$70,"&gt;"&amp;($DP50-VLOOKUP(EN$49,$C$15:$D$20,2,FALSE)),$FB$50:$FB$70,"&lt;="&amp;($DP50)))</f>
        <v>0</v>
      </c>
      <c r="EO50" s="83">
        <f t="shared" ref="EO50:EO81" ca="1" si="300">IF($DP50&gt;$D$5,0,SUMIFS(GA$50:GA$70,$FB$50:$FB$70,"&gt;"&amp;($DP50-VLOOKUP(EO$49,$C$15:$D$20,2,FALSE)),$FB$50:$FB$70,"&lt;="&amp;($DP50)))</f>
        <v>107.62068223658557</v>
      </c>
      <c r="EP50" s="144">
        <f t="shared" ref="EP50:EP81" ca="1" si="301">IF($DP50&gt;$D$5,0,SUMIFS(GB$50:GB$70,$FB$50:$FB$70,"&gt;"&amp;($DP50-VLOOKUP(EP$49,$C$15:$D$20,2,FALSE)),$FB$50:$FB$70,"&lt;="&amp;($DP50)))</f>
        <v>0</v>
      </c>
      <c r="EQ50" s="144">
        <f t="shared" ref="EQ50:EQ81" ca="1" si="302">IF($DP50&gt;$D$5,0,SUMIFS(GC$50:GC$70,$FB$50:$FB$70,"&gt;"&amp;($DP50-VLOOKUP(EQ$49,$C$15:$D$20,2,FALSE)),$FB$50:$FB$70,"&lt;="&amp;($DP50)))</f>
        <v>0.69127563859761942</v>
      </c>
      <c r="ER50" s="144">
        <f t="shared" ref="ER50:ER81" ca="1" si="303">IF($DP50&gt;$D$5,0,SUMIFS(GD$50:GD$70,$FB$50:$FB$70,"&gt;"&amp;($DP50-VLOOKUP(ER$49,$C$15:$D$20,2,FALSE)),$FB$50:$FB$70,"&lt;="&amp;($DP50)))</f>
        <v>0</v>
      </c>
      <c r="ES50" s="144">
        <f t="shared" ref="ES50:ES81" ca="1" si="304">IF($DP50&gt;$D$5,0,SUMIFS(GE$50:GE$70,$FB$50:$FB$70,"&gt;"&amp;($DP50-VLOOKUP(ES$49,$C$15:$D$20,2,FALSE)),$FB$50:$FB$70,"&lt;="&amp;($DP50)))</f>
        <v>0</v>
      </c>
      <c r="ET50" s="83">
        <f t="shared" ref="ET50:ET81" ca="1" si="305">IF($DP50&gt;$D$5,0,SUMIFS(GF$50:GF$70,$FB$50:$FB$70,"&gt;"&amp;($DP50-VLOOKUP(ET$49,$C$15:$D$20,2,FALSE)),$FB$50:$FB$70,"&lt;="&amp;($DP50)))</f>
        <v>0</v>
      </c>
      <c r="EU50" s="101">
        <f t="shared" ref="EU50:EU81" ca="1" si="306">IF($DP50&gt;$D$5,0,SUMIFS(GG$50:GG$70,$FB$50:$FB$70,"&gt;"&amp;($DP50-VLOOKUP(EU$49,$C$15:$D$20,2,FALSE)),$FB$50:$FB$70,"&lt;="&amp;($DP50)))</f>
        <v>0</v>
      </c>
      <c r="EV50" s="101">
        <f t="shared" ref="EV50:EV81" ca="1" si="307">IF($DP50&gt;$D$5,0,SUMIFS(GH$50:GH$70,$FB$50:$FB$70,"&gt;"&amp;($DP50-VLOOKUP(EV$49,$C$15:$D$20,2,FALSE)),$FB$50:$FB$70,"&lt;="&amp;($DP50)))</f>
        <v>122.46696418857542</v>
      </c>
      <c r="EW50" s="101">
        <f t="shared" ref="EW50:EW81" ca="1" si="308">IF($DP50&gt;$D$5,0,SUMIFS(GI$50:GI$70,$FB$50:$FB$70,"&gt;"&amp;($DP50-VLOOKUP(EW$49,$C$15:$D$20,2,FALSE)),$FB$50:$FB$70,"&lt;="&amp;($DP50)))</f>
        <v>0.69127563859761942</v>
      </c>
      <c r="EX50" s="101">
        <f t="shared" ref="EX50:EX81" ca="1" si="309">IF($DP50&gt;$D$5,0,SUMIFS(GJ$50:GJ$70,$FB$50:$FB$70,"&gt;"&amp;($DP50-VLOOKUP(EX$49,$C$15:$D$20,2,FALSE)),$FB$50:$FB$70,"&lt;="&amp;($DP50)))</f>
        <v>0</v>
      </c>
      <c r="EY50" s="101">
        <f t="shared" ref="EY50:EY81" ca="1" si="310">IF($DP50&gt;$D$5,0,SUMIFS(GK$50:GK$70,$FB$50:$FB$70,"&gt;"&amp;($DP50-VLOOKUP(EY$49,$C$15:$D$20,2,FALSE)),$FB$50:$FB$70,"&lt;="&amp;($DP50)))</f>
        <v>0</v>
      </c>
      <c r="EZ50" s="563">
        <f t="shared" ref="EZ50:EZ81" ca="1" si="311">IF($DP50&gt;$D$5,0,SUMIFS(GL$50:GL$70,$FB$50:$FB$70,"&gt;"&amp;($DP50-VLOOKUP(EZ$49,$C$15:$D$20,2,FALSE)),$FB$50:$FB$70,"&lt;="&amp;($DP50)))</f>
        <v>0</v>
      </c>
      <c r="FB50" s="8">
        <f>$F$50</f>
        <v>2020</v>
      </c>
      <c r="FC50" s="83">
        <f ca="1">HLOOKUP(FC$49,$O$24:$T$45,COUNTA($N$25:$N25)+1,FALSE)*G50*$D$7/$D$8</f>
        <v>107.62068223658557</v>
      </c>
      <c r="FD50" s="148">
        <f ca="1">HLOOKUP(FD$49,$O$24:$T$45,COUNTA($N$25:$N25)+1,FALSE)*H50*$D$7/$D$8</f>
        <v>0</v>
      </c>
      <c r="FE50" s="148">
        <f ca="1">HLOOKUP(FE$49,$O$24:$T$45,COUNTA($N$25:$N25)+1,FALSE)*I50*$D$7/$D$8</f>
        <v>0.69127563859761942</v>
      </c>
      <c r="FF50" s="148">
        <f ca="1">HLOOKUP(FF$49,$O$24:$T$45,COUNTA($N$25:$N25)+1,FALSE)*J50*$D$7/$D$8</f>
        <v>0</v>
      </c>
      <c r="FG50" s="148">
        <f ca="1">HLOOKUP(FG$49,$O$24:$T$45,COUNTA($N$25:$N25)+1,FALSE)*K50*$D$7/$D$8</f>
        <v>0</v>
      </c>
      <c r="FH50" s="83">
        <f ca="1">HLOOKUP(FH$49,$O$24:$T$45,COUNTA($N$25:$N25)+1,FALSE)*L50*$D$7/$D$8</f>
        <v>0</v>
      </c>
      <c r="FI50" s="150">
        <f ca="1">HLOOKUP(FI$49,$O$24:$T$45,COUNTA($N$25:$N25)+1,FALSE)*M50*$D$7/$D$8</f>
        <v>0</v>
      </c>
      <c r="FJ50" s="154">
        <f ca="1">HLOOKUP(FJ$49,$O$24:$T$45,COUNTA($N$25:$N25)+1,FALSE)*N50*$D$7/$D$8</f>
        <v>122.46696418857542</v>
      </c>
      <c r="FK50" s="154">
        <f ca="1">HLOOKUP(FK$49,$O$24:$T$45,COUNTA($N$25:$N25)+1,FALSE)*O50*$D$7/$D$8</f>
        <v>0.69127563859761942</v>
      </c>
      <c r="FL50" s="154">
        <f ca="1">HLOOKUP(FL$49,$O$24:$T$45,COUNTA($N$25:$N25)+1,FALSE)*P50*$D$7/$D$8</f>
        <v>0</v>
      </c>
      <c r="FM50" s="154">
        <f ca="1">HLOOKUP(FM$49,$O$24:$T$45,COUNTA($N$25:$N25)+1,FALSE)*Q50*$D$7/$D$8</f>
        <v>0</v>
      </c>
      <c r="FN50" s="150">
        <f ca="1">HLOOKUP(FN$49,$O$24:$T$45,COUNTA($N$25:$N25)+1,FALSE)*R50*$D$7/$D$8</f>
        <v>0</v>
      </c>
      <c r="FO50" s="83">
        <f ca="1">HLOOKUP(FO$49,$O$24:$T$45,COUNTA($N$25:$N25)+1,FALSE)*S50*$D$7/$D$8</f>
        <v>107.62068223658557</v>
      </c>
      <c r="FP50" s="148">
        <f ca="1">HLOOKUP(FP$49,$O$24:$T$45,COUNTA($N$25:$N25)+1,FALSE)*T50*$D$7/$D$8</f>
        <v>0</v>
      </c>
      <c r="FQ50" s="148">
        <f ca="1">HLOOKUP(FQ$49,$O$24:$T$45,COUNTA($N$25:$N25)+1,FALSE)*U50*$D$7/$D$8</f>
        <v>0.69127563859761942</v>
      </c>
      <c r="FR50" s="148">
        <f ca="1">HLOOKUP(FR$49,$O$24:$T$45,COUNTA($N$25:$N25)+1,FALSE)*V50*$D$7/$D$8</f>
        <v>0</v>
      </c>
      <c r="FS50" s="148">
        <f ca="1">HLOOKUP(FS$49,$O$24:$T$45,COUNTA($N$25:$N25)+1,FALSE)*W50*$D$7/$D$8</f>
        <v>0</v>
      </c>
      <c r="FT50" s="83">
        <f ca="1">HLOOKUP(FT$49,$O$24:$T$45,COUNTA($N$25:$N25)+1,FALSE)*X50*$D$7/$D$8</f>
        <v>0</v>
      </c>
      <c r="FU50" s="150">
        <f ca="1">HLOOKUP(FU$49,$O$24:$T$45,COUNTA($N$25:$N25)+1,FALSE)*Y50*$D$7/$D$8</f>
        <v>0</v>
      </c>
      <c r="FV50" s="154">
        <f ca="1">HLOOKUP(FV$49,$O$24:$T$45,COUNTA($N$25:$N25)+1,FALSE)*Z50*$D$7/$D$8</f>
        <v>122.46696418857542</v>
      </c>
      <c r="FW50" s="154">
        <f ca="1">HLOOKUP(FW$49,$O$24:$T$45,COUNTA($N$25:$N25)+1,FALSE)*AA50*$D$7/$D$8</f>
        <v>0.69127563859761942</v>
      </c>
      <c r="FX50" s="154">
        <f ca="1">HLOOKUP(FX$49,$O$24:$T$45,COUNTA($N$25:$N25)+1,FALSE)*AB50*$D$7/$D$8</f>
        <v>0</v>
      </c>
      <c r="FY50" s="154">
        <f ca="1">HLOOKUP(FY$49,$O$24:$T$45,COUNTA($N$25:$N25)+1,FALSE)*AC50*$D$7/$D$8</f>
        <v>0</v>
      </c>
      <c r="FZ50" s="150">
        <f ca="1">HLOOKUP(FZ$49,$O$24:$T$45,COUNTA($N$25:$N25)+1,FALSE)*AD50*$D$7/$D$8</f>
        <v>0</v>
      </c>
      <c r="GA50" s="83">
        <f ca="1">HLOOKUP(GA$49,$O$24:$T$45,COUNTA($N$25:$N25)+1,FALSE)*AE50*$D$7/$D$8</f>
        <v>107.62068223658557</v>
      </c>
      <c r="GB50" s="148">
        <f ca="1">HLOOKUP(GB$49,$O$24:$T$45,COUNTA($N$25:$N25)+1,FALSE)*AF50*$D$7/$D$8</f>
        <v>0</v>
      </c>
      <c r="GC50" s="148">
        <f ca="1">HLOOKUP(GC$49,$O$24:$T$45,COUNTA($N$25:$N25)+1,FALSE)*AG50*$D$7/$D$8</f>
        <v>0.69127563859761942</v>
      </c>
      <c r="GD50" s="148">
        <f ca="1">HLOOKUP(GD$49,$O$24:$T$45,COUNTA($N$25:$N25)+1,FALSE)*AH50*$D$7/$D$8</f>
        <v>0</v>
      </c>
      <c r="GE50" s="148">
        <f ca="1">HLOOKUP(GE$49,$O$24:$T$45,COUNTA($N$25:$N25)+1,FALSE)*AI50*$D$7/$D$8</f>
        <v>0</v>
      </c>
      <c r="GF50" s="83">
        <f ca="1">HLOOKUP(GF$49,$O$24:$T$45,COUNTA($N$25:$N25)+1,FALSE)*AJ50*$D$7/$D$8</f>
        <v>0</v>
      </c>
      <c r="GG50" s="150">
        <f ca="1">HLOOKUP(GG$49,$O$24:$T$45,COUNTA($N$25:$N25)+1,FALSE)*AK50*$D$7/$D$8</f>
        <v>0</v>
      </c>
      <c r="GH50" s="154">
        <f ca="1">HLOOKUP(GH$49,$O$24:$T$45,COUNTA($N$25:$N25)+1,FALSE)*AL50*$D$7/$D$8</f>
        <v>122.46696418857542</v>
      </c>
      <c r="GI50" s="154">
        <f ca="1">HLOOKUP(GI$49,$O$24:$T$45,COUNTA($N$25:$N25)+1,FALSE)*AM50*$D$7/$D$8</f>
        <v>0.69127563859761942</v>
      </c>
      <c r="GJ50" s="154">
        <f ca="1">HLOOKUP(GJ$49,$O$24:$T$45,COUNTA($N$25:$N25)+1,FALSE)*AN50*$D$7/$D$8</f>
        <v>0</v>
      </c>
      <c r="GK50" s="154">
        <f ca="1">HLOOKUP(GK$49,$O$24:$T$45,COUNTA($N$25:$N25)+1,FALSE)*AO50*$D$7/$D$8</f>
        <v>0</v>
      </c>
      <c r="GL50" s="563">
        <f ca="1">HLOOKUP(GL$49,$O$24:$T$45,COUNTA($N$25:$N25)+1,FALSE)*AP50*$D$7/$D$8</f>
        <v>0</v>
      </c>
    </row>
    <row r="51" spans="6:194">
      <c r="F51" s="10">
        <f t="shared" ref="F51:F52" si="312">+F50+1</f>
        <v>2021</v>
      </c>
      <c r="G51" s="79">
        <f ca="1">IF(OR($F51&gt;MAX('הנחות עבודה'!$B$69:$B$89),$F51&gt;$D$5),0,VLOOKUP($F51,'הספק נוסף נדרש'!$B$8:$AX$28,MATCH(G$49,'הספק נוסף נדרש'!$B$6:$AX$6,0)+(ROUNDUP((G$2-$F$2)/COUNTA($F$10:$F$16),0)-1)*COUNTA('הספק נוסף נדרש'!$C$6:$J$6),FALSE))</f>
        <v>323.91425072518769</v>
      </c>
      <c r="H51" s="138">
        <f ca="1">IF(OR($F51&gt;MAX('הנחות עבודה'!$B$69:$B$89),$F51&gt;$D$5),0,VLOOKUP($F51,'הספק נוסף נדרש'!$B$8:$AX$28,MATCH(H$49,'הספק נוסף נדרש'!$B$6:$AX$6,0)+(ROUNDUP((H$2-$F$2)/COUNTA($F$10:$F$16),0)-1)*COUNTA('הספק נוסף נדרש'!$C$6:$J$6),FALSE))</f>
        <v>0</v>
      </c>
      <c r="I51" s="138">
        <f ca="1">IF(OR($F51&gt;MAX('הנחות עבודה'!$B$69:$B$89),$F51&gt;$D$5),0,VLOOKUP($F51,'הספק נוסף נדרש'!$B$8:$AX$28,MATCH(I$49,'הספק נוסף נדרש'!$B$6:$AX$6,0)+(ROUNDUP((I$2-$F$2)/COUNTA($F$10:$F$16),0)-1)*COUNTA('הספק נוסף נדרש'!$C$6:$J$6),FALSE))</f>
        <v>0</v>
      </c>
      <c r="J51" s="138">
        <f ca="1">IF(OR($F51&gt;MAX('הנחות עבודה'!$B$69:$B$89),$F51&gt;$D$5),0,VLOOKUP($F51,'הספק נוסף נדרש'!$B$8:$AX$28,MATCH(J$49,'הספק נוסף נדרש'!$B$6:$AX$6,0)+(ROUNDUP((J$2-$F$2)/COUNTA($F$10:$F$16),0)-1)*COUNTA('הספק נוסף נדרש'!$C$6:$J$6),FALSE))</f>
        <v>30</v>
      </c>
      <c r="K51" s="138">
        <f ca="1">IF(OR($F51&gt;MAX('הנחות עבודה'!$B$69:$B$89),$F51&gt;$D$5),0,VLOOKUP($F51,'הספק נוסף נדרש'!$B$8:$AX$28,MATCH(K$49,'הספק נוסף נדרש'!$B$6:$AX$6,0)+(ROUNDUP((K$2-$F$2)/COUNTA($F$10:$F$16),0)-1)*COUNTA('הספק נוסף נדרש'!$C$6:$J$6),FALSE))</f>
        <v>0</v>
      </c>
      <c r="L51" s="79">
        <f ca="1">IF(OR($F51&gt;MAX('הנחות עבודה'!$B$69:$B$89),$F51&gt;$D$5),0,VLOOKUP($F51,'הספק נוסף נדרש'!$B$8:$AX$28,MATCH(L$49,'הספק נוסף נדרש'!$B$6:$AX$6,0)+(ROUNDUP((L$2-$F$2)/COUNTA($F$10:$F$16),0)-1)*COUNTA('הספק נוסף נדרש'!$C$6:$J$6),FALSE))</f>
        <v>0</v>
      </c>
      <c r="M51" s="74">
        <f ca="1">IF(OR($F51&gt;MAX('הנחות עבודה'!$B$69:$B$89),$F51&gt;$D$5),0,VLOOKUP($F51,'הספק נוסף נדרש'!$B$8:$AX$28,MATCH(M$49,'הספק נוסף נדרש'!$B$6:$AX$6,0)+(ROUNDUP((M$2-$F$2)/COUNTA($F$10:$F$16),0)-1)*COUNTA('הספק נוסף נדרש'!$C$6:$J$6),FALSE))</f>
        <v>0</v>
      </c>
      <c r="N51" s="136">
        <f ca="1">IF(OR($F51&gt;MAX('הנחות עבודה'!$B$69:$B$89),$F51&gt;$D$5),0,VLOOKUP($F51,'הספק נוסף נדרש'!$B$8:$AX$28,MATCH(N$49,'הספק נוסף נדרש'!$B$6:$AX$6,0)+(ROUNDUP((N$2-$F$2)/COUNTA($F$10:$F$16),0)-1)*COUNTA('הספק נוסף נדרש'!$C$6:$J$6),FALSE))</f>
        <v>323.91425072518769</v>
      </c>
      <c r="O51" s="136">
        <f ca="1">IF(OR($F51&gt;MAX('הנחות עבודה'!$B$69:$B$89),$F51&gt;$D$5),0,VLOOKUP($F51,'הספק נוסף נדרש'!$B$8:$AX$28,MATCH(O$49,'הספק נוסף נדרש'!$B$6:$AX$6,0)+(ROUNDUP((O$2-$F$2)/COUNTA($F$10:$F$16),0)-1)*COUNTA('הספק נוסף נדרש'!$C$6:$J$6),FALSE))</f>
        <v>0</v>
      </c>
      <c r="P51" s="136">
        <f ca="1">IF(OR($F51&gt;MAX('הנחות עבודה'!$B$69:$B$89),$F51&gt;$D$5),0,VLOOKUP($F51,'הספק נוסף נדרש'!$B$8:$AX$28,MATCH(P$49,'הספק נוסף נדרש'!$B$6:$AX$6,0)+(ROUNDUP((P$2-$F$2)/COUNTA($F$10:$F$16),0)-1)*COUNTA('הספק נוסף נדרש'!$C$6:$J$6),FALSE))</f>
        <v>30</v>
      </c>
      <c r="Q51" s="136">
        <f ca="1">IF(OR($F51&gt;MAX('הנחות עבודה'!$B$69:$B$89),$F51&gt;$D$5),0,VLOOKUP($F51,'הספק נוסף נדרש'!$B$8:$AX$28,MATCH(Q$49,'הספק נוסף נדרש'!$B$6:$AX$6,0)+(ROUNDUP((Q$2-$F$2)/COUNTA($F$10:$F$16),0)-1)*COUNTA('הספק נוסף נדרש'!$C$6:$J$6),FALSE))</f>
        <v>0</v>
      </c>
      <c r="R51" s="136">
        <f ca="1">IF(OR($F51&gt;MAX('הנחות עבודה'!$B$69:$B$89),$F51&gt;$D$5),0,VLOOKUP($F51,'הספק נוסף נדרש'!$B$8:$AX$28,MATCH(R$49,'הספק נוסף נדרש'!$B$6:$AX$6,0)+(ROUNDUP((R$2-$F$2)/COUNTA($F$10:$F$16),0)-1)*COUNTA('הספק נוסף נדרש'!$C$6:$J$6),FALSE))</f>
        <v>0</v>
      </c>
      <c r="S51" s="79">
        <f ca="1">IF(OR($F51&gt;MAX('הנחות עבודה'!$B$69:$B$89),$F51&gt;$D$5),0,VLOOKUP($F51,'הספק נוסף נדרש'!$B$8:$AX$28,MATCH(S$49,'הספק נוסף נדרש'!$B$6:$AX$6,0)+(ROUNDUP((S$2-$F$2)/COUNTA($F$10:$F$16),0)-1)*COUNTA('הספק נוסף נדרש'!$C$6:$J$6),FALSE))</f>
        <v>740.8761744072458</v>
      </c>
      <c r="T51" s="138">
        <f ca="1">IF(OR($F51&gt;MAX('הנחות עבודה'!$B$69:$B$89),$F51&gt;$D$5),0,VLOOKUP($F51,'הספק נוסף נדרש'!$B$8:$AX$28,MATCH(T$49,'הספק נוסף נדרש'!$B$6:$AX$6,0)+(ROUNDUP((T$2-$F$2)/COUNTA($F$10:$F$16),0)-1)*COUNTA('הספק נוסף נדרש'!$C$6:$J$6),FALSE))</f>
        <v>0</v>
      </c>
      <c r="U51" s="138">
        <f ca="1">IF(OR($F51&gt;MAX('הנחות עבודה'!$B$69:$B$89),$F51&gt;$D$5),0,VLOOKUP($F51,'הספק נוסף נדרש'!$B$8:$AX$28,MATCH(U$49,'הספק נוסף נדרש'!$B$6:$AX$6,0)+(ROUNDUP((U$2-$F$2)/COUNTA($F$10:$F$16),0)-1)*COUNTA('הספק נוסף נדרש'!$C$6:$J$6),FALSE))</f>
        <v>0</v>
      </c>
      <c r="V51" s="138">
        <f ca="1">IF(OR($F51&gt;MAX('הנחות עבודה'!$B$69:$B$89),$F51&gt;$D$5),0,VLOOKUP($F51,'הספק נוסף נדרש'!$B$8:$AX$28,MATCH(V$49,'הספק נוסף נדרש'!$B$6:$AX$6,0)+(ROUNDUP((V$2-$F$2)/COUNTA($F$10:$F$16),0)-1)*COUNTA('הספק נוסף נדרש'!$C$6:$J$6),FALSE))</f>
        <v>30</v>
      </c>
      <c r="W51" s="138">
        <f ca="1">IF(OR($F51&gt;MAX('הנחות עבודה'!$B$69:$B$89),$F51&gt;$D$5),0,VLOOKUP($F51,'הספק נוסף נדרש'!$B$8:$AX$28,MATCH(W$49,'הספק נוסף נדרש'!$B$6:$AX$6,0)+(ROUNDUP((W$2-$F$2)/COUNTA($F$10:$F$16),0)-1)*COUNTA('הספק נוסף נדרש'!$C$6:$J$6),FALSE))</f>
        <v>0</v>
      </c>
      <c r="X51" s="79">
        <f ca="1">IF(OR($F51&gt;MAX('הנחות עבודה'!$B$69:$B$89),$F51&gt;$D$5),0,VLOOKUP($F51,'הספק נוסף נדרש'!$B$8:$AX$28,MATCH(X$49,'הספק נוסף נדרש'!$B$6:$AX$6,0)+(ROUNDUP((X$2-$F$2)/COUNTA($F$10:$F$16),0)-1)*COUNTA('הספק נוסף נדרש'!$C$6:$J$6),FALSE))</f>
        <v>0</v>
      </c>
      <c r="Y51" s="74">
        <f ca="1">IF(OR($F51&gt;MAX('הנחות עבודה'!$B$69:$B$89),$F51&gt;$D$5),0,VLOOKUP($F51,'הספק נוסף נדרש'!$B$8:$AX$28,MATCH(Y$49,'הספק נוסף נדרש'!$B$6:$AX$6,0)+(ROUNDUP((Y$2-$F$2)/COUNTA($F$10:$F$16),0)-1)*COUNTA('הספק נוסף נדרש'!$C$6:$J$6),FALSE))</f>
        <v>0</v>
      </c>
      <c r="Z51" s="136">
        <f ca="1">IF(OR($F51&gt;MAX('הנחות עבודה'!$B$69:$B$89),$F51&gt;$D$5),0,VLOOKUP($F51,'הספק נוסף נדרש'!$B$8:$AX$28,MATCH(Z$49,'הספק נוסף נדרש'!$B$6:$AX$6,0)+(ROUNDUP((Z$2-$F$2)/COUNTA($F$10:$F$16),0)-1)*COUNTA('הספק נוסף נדרש'!$C$6:$J$6),FALSE))</f>
        <v>740.8761744072458</v>
      </c>
      <c r="AA51" s="136">
        <f ca="1">IF(OR($F51&gt;MAX('הנחות עבודה'!$B$69:$B$89),$F51&gt;$D$5),0,VLOOKUP($F51,'הספק נוסף נדרש'!$B$8:$AX$28,MATCH(AA$49,'הספק נוסף נדרש'!$B$6:$AX$6,0)+(ROUNDUP((AA$2-$F$2)/COUNTA($F$10:$F$16),0)-1)*COUNTA('הספק נוסף נדרש'!$C$6:$J$6),FALSE))</f>
        <v>0</v>
      </c>
      <c r="AB51" s="136">
        <f ca="1">IF(OR($F51&gt;MAX('הנחות עבודה'!$B$69:$B$89),$F51&gt;$D$5),0,VLOOKUP($F51,'הספק נוסף נדרש'!$B$8:$AX$28,MATCH(AB$49,'הספק נוסף נדרש'!$B$6:$AX$6,0)+(ROUNDUP((AB$2-$F$2)/COUNTA($F$10:$F$16),0)-1)*COUNTA('הספק נוסף נדרש'!$C$6:$J$6),FALSE))</f>
        <v>30</v>
      </c>
      <c r="AC51" s="136">
        <f ca="1">IF(OR($F51&gt;MAX('הנחות עבודה'!$B$69:$B$89),$F51&gt;$D$5),0,VLOOKUP($F51,'הספק נוסף נדרש'!$B$8:$AX$28,MATCH(AC$49,'הספק נוסף נדרש'!$B$6:$AX$6,0)+(ROUNDUP((AC$2-$F$2)/COUNTA($F$10:$F$16),0)-1)*COUNTA('הספק נוסף נדרש'!$C$6:$J$6),FALSE))</f>
        <v>0</v>
      </c>
      <c r="AD51" s="136">
        <f ca="1">IF(OR($F51&gt;MAX('הנחות עבודה'!$B$69:$B$89),$F51&gt;$D$5),0,VLOOKUP($F51,'הספק נוסף נדרש'!$B$8:$AX$28,MATCH(AD$49,'הספק נוסף נדרש'!$B$6:$AX$6,0)+(ROUNDUP((AD$2-$F$2)/COUNTA($F$10:$F$16),0)-1)*COUNTA('הספק נוסף נדרש'!$C$6:$J$6),FALSE))</f>
        <v>0</v>
      </c>
      <c r="AE51" s="79">
        <f ca="1">IF(OR($F51&gt;MAX('הנחות עבודה'!$B$69:$B$89),$F51&gt;$D$5),0,VLOOKUP($F51,'הספק נוסף נדרש'!$B$8:$AX$28,MATCH(AE$49,'הספק נוסף נדרש'!$B$6:$AX$6,0)+(ROUNDUP((AE$2-$F$2)/COUNTA($F$10:$F$16),0)-1)*COUNTA('הספק נוסף נדרש'!$C$6:$J$6),FALSE))</f>
        <v>972.52168756394576</v>
      </c>
      <c r="AF51" s="138">
        <f ca="1">IF(OR($F51&gt;MAX('הנחות עבודה'!$B$69:$B$89),$F51&gt;$D$5),0,VLOOKUP($F51,'הספק נוסף נדרש'!$B$8:$AX$28,MATCH(AF$49,'הספק נוסף נדרש'!$B$6:$AX$6,0)+(ROUNDUP((AF$2-$F$2)/COUNTA($F$10:$F$16),0)-1)*COUNTA('הספק נוסף נדרש'!$C$6:$J$6),FALSE))</f>
        <v>0</v>
      </c>
      <c r="AG51" s="138">
        <f ca="1">IF(OR($F51&gt;MAX('הנחות עבודה'!$B$69:$B$89),$F51&gt;$D$5),0,VLOOKUP($F51,'הספק נוסף נדרש'!$B$8:$AX$28,MATCH(AG$49,'הספק נוסף נדרש'!$B$6:$AX$6,0)+(ROUNDUP((AG$2-$F$2)/COUNTA($F$10:$F$16),0)-1)*COUNTA('הספק נוסף נדרש'!$C$6:$J$6),FALSE))</f>
        <v>0</v>
      </c>
      <c r="AH51" s="138">
        <f ca="1">IF(OR($F51&gt;MAX('הנחות עבודה'!$B$69:$B$89),$F51&gt;$D$5),0,VLOOKUP($F51,'הספק נוסף נדרש'!$B$8:$AX$28,MATCH(AH$49,'הספק נוסף נדרש'!$B$6:$AX$6,0)+(ROUNDUP((AH$2-$F$2)/COUNTA($F$10:$F$16),0)-1)*COUNTA('הספק נוסף נדרש'!$C$6:$J$6),FALSE))</f>
        <v>30</v>
      </c>
      <c r="AI51" s="138">
        <f ca="1">IF(OR($F51&gt;MAX('הנחות עבודה'!$B$69:$B$89),$F51&gt;$D$5),0,VLOOKUP($F51,'הספק נוסף נדרש'!$B$8:$AX$28,MATCH(AI$49,'הספק נוסף נדרש'!$B$6:$AX$6,0)+(ROUNDUP((AI$2-$F$2)/COUNTA($F$10:$F$16),0)-1)*COUNTA('הספק נוסף נדרש'!$C$6:$J$6),FALSE))</f>
        <v>0</v>
      </c>
      <c r="AJ51" s="79">
        <f ca="1">IF(OR($F51&gt;MAX('הנחות עבודה'!$B$69:$B$89),$F51&gt;$D$5),0,VLOOKUP($F51,'הספק נוסף נדרש'!$B$8:$AX$28,MATCH(AJ$49,'הספק נוסף נדרש'!$B$6:$AX$6,0)+(ROUNDUP((AJ$2-$F$2)/COUNTA($F$10:$F$16),0)-1)*COUNTA('הספק נוסף נדרש'!$C$6:$J$6),FALSE))</f>
        <v>0</v>
      </c>
      <c r="AK51" s="74">
        <f ca="1">IF(OR($F51&gt;MAX('הנחות עבודה'!$B$69:$B$89),$F51&gt;$D$5),0,VLOOKUP($F51,'הספק נוסף נדרש'!$B$8:$AX$28,MATCH(AK$49,'הספק נוסף נדרש'!$B$6:$AX$6,0)+(ROUNDUP((AK$2-$F$2)/COUNTA($F$10:$F$16),0)-1)*COUNTA('הספק נוסף נדרש'!$C$6:$J$6),FALSE))</f>
        <v>0</v>
      </c>
      <c r="AL51" s="136">
        <f ca="1">IF(OR($F51&gt;MAX('הנחות עבודה'!$B$69:$B$89),$F51&gt;$D$5),0,VLOOKUP($F51,'הספק נוסף נדרש'!$B$8:$AX$28,MATCH(AL$49,'הספק נוסף נדרש'!$B$6:$AX$6,0)+(ROUNDUP((AL$2-$F$2)/COUNTA($F$10:$F$16),0)-1)*COUNTA('הספק נוסף נדרש'!$C$6:$J$6),FALSE))</f>
        <v>972.52168756394576</v>
      </c>
      <c r="AM51" s="136">
        <f ca="1">IF(OR($F51&gt;MAX('הנחות עבודה'!$B$69:$B$89),$F51&gt;$D$5),0,VLOOKUP($F51,'הספק נוסף נדרש'!$B$8:$AX$28,MATCH(AM$49,'הספק נוסף נדרש'!$B$6:$AX$6,0)+(ROUNDUP((AM$2-$F$2)/COUNTA($F$10:$F$16),0)-1)*COUNTA('הספק נוסף נדרש'!$C$6:$J$6),FALSE))</f>
        <v>0</v>
      </c>
      <c r="AN51" s="136">
        <f ca="1">IF(OR($F51&gt;MAX('הנחות עבודה'!$B$69:$B$89),$F51&gt;$D$5),0,VLOOKUP($F51,'הספק נוסף נדרש'!$B$8:$AX$28,MATCH(AN$49,'הספק נוסף נדרש'!$B$6:$AX$6,0)+(ROUNDUP((AN$2-$F$2)/COUNTA($F$10:$F$16),0)-1)*COUNTA('הספק נוסף נדרש'!$C$6:$J$6),FALSE))</f>
        <v>30</v>
      </c>
      <c r="AO51" s="136">
        <f ca="1">IF(OR($F51&gt;MAX('הנחות עבודה'!$B$69:$B$89),$F51&gt;$D$5),0,VLOOKUP($F51,'הספק נוסף נדרש'!$B$8:$AX$28,MATCH(AO$49,'הספק נוסף נדרש'!$B$6:$AX$6,0)+(ROUNDUP((AO$2-$F$2)/COUNTA($F$10:$F$16),0)-1)*COUNTA('הספק נוסף נדרש'!$C$6:$J$6),FALSE))</f>
        <v>0</v>
      </c>
      <c r="AP51" s="136">
        <f ca="1">IF(OR($F51&gt;MAX('הנחות עבודה'!$B$69:$B$89),$F51&gt;$D$5),0,VLOOKUP($F51,'הספק נוסף נדרש'!$B$8:$AX$28,MATCH(AP$49,'הספק נוסף נדרש'!$B$6:$AX$6,0)+(ROUNDUP((AP$2-$F$2)/COUNTA($F$10:$F$16),0)-1)*COUNTA('הספק נוסף נדרש'!$C$6:$J$6),FALSE))</f>
        <v>0</v>
      </c>
      <c r="AQ51" s="9"/>
      <c r="AR51" s="10">
        <f t="shared" ref="AR51:AR70" si="313">+AR50+1</f>
        <v>2021</v>
      </c>
      <c r="AS51" s="79">
        <f ca="1">HLOOKUP(AS$49,$G$24:$L$45,COUNTA($F$25:$F26)+1,FALSE)*G51*$D$7/$D$8</f>
        <v>1018.195156667212</v>
      </c>
      <c r="AT51" s="138">
        <f ca="1">HLOOKUP(AT$49,$G$24:$L$45,COUNTA($F$25:$F26)+1,FALSE)*H51*$D$7/$D$8</f>
        <v>0</v>
      </c>
      <c r="AU51" s="138">
        <f ca="1">HLOOKUP(AU$49,$G$24:$L$45,COUNTA($F$25:$F26)+1,FALSE)*I51*$D$7/$D$8</f>
        <v>0</v>
      </c>
      <c r="AV51" s="138">
        <f ca="1">HLOOKUP(AV$49,$G$24:$L$45,COUNTA($F$25:$F26)+1,FALSE)*J51*$D$7/$D$8</f>
        <v>134.5432180084947</v>
      </c>
      <c r="AW51" s="138">
        <f ca="1">HLOOKUP(AW$49,$G$24:$L$45,COUNTA($F$25:$F26)+1,FALSE)*K51*$D$7/$D$8</f>
        <v>0</v>
      </c>
      <c r="AX51" s="79">
        <f ca="1">HLOOKUP(AX$49,$G$24:$L$45,COUNTA($F$25:$F26)+1,FALSE)*L51*$D$7/$D$8</f>
        <v>0</v>
      </c>
      <c r="AY51" s="74">
        <f ca="1">HLOOKUP(AY$49,$G$24:$L$45,COUNTA($F$25:$F26)+1,FALSE)*M51*$D$7/$D$8</f>
        <v>0</v>
      </c>
      <c r="AZ51" s="136">
        <f ca="1">HLOOKUP(AZ$49,$G$24:$L$45,COUNTA($F$25:$F26)+1,FALSE)*N51*$D$7/$D$8</f>
        <v>1130.4148945051802</v>
      </c>
      <c r="BA51" s="136">
        <f ca="1">HLOOKUP(BA$49,$G$24:$L$45,COUNTA($F$25:$F26)+1,FALSE)*O51*$D$7/$D$8</f>
        <v>0</v>
      </c>
      <c r="BB51" s="136">
        <f ca="1">HLOOKUP(BB$49,$G$24:$L$45,COUNTA($F$25:$F26)+1,FALSE)*P51*$D$7/$D$8</f>
        <v>134.5432180084947</v>
      </c>
      <c r="BC51" s="136">
        <f ca="1">HLOOKUP(BC$49,$G$24:$L$45,COUNTA($F$25:$F26)+1,FALSE)*Q51*$D$7/$D$8</f>
        <v>0</v>
      </c>
      <c r="BD51" s="136">
        <f ca="1">HLOOKUP(BD$49,$G$24:$L$45,COUNTA($F$25:$F26)+1,FALSE)*R51*$D$7/$D$8</f>
        <v>0</v>
      </c>
      <c r="BE51" s="79">
        <f ca="1">HLOOKUP(BE$49,$G$24:$L$45,COUNTA($F$25:$F26)+1,FALSE)*S51*$D$7/$D$8</f>
        <v>2328.8772592830269</v>
      </c>
      <c r="BF51" s="138">
        <f ca="1">HLOOKUP(BF$49,$G$24:$L$45,COUNTA($F$25:$F26)+1,FALSE)*T51*$D$7/$D$8</f>
        <v>0</v>
      </c>
      <c r="BG51" s="138">
        <f ca="1">HLOOKUP(BG$49,$G$24:$L$45,COUNTA($F$25:$F26)+1,FALSE)*U51*$D$7/$D$8</f>
        <v>0</v>
      </c>
      <c r="BH51" s="138">
        <f ca="1">HLOOKUP(BH$49,$G$24:$L$45,COUNTA($F$25:$F26)+1,FALSE)*V51*$D$7/$D$8</f>
        <v>134.5432180084947</v>
      </c>
      <c r="BI51" s="138">
        <f ca="1">HLOOKUP(BI$49,$G$24:$L$45,COUNTA($F$25:$F26)+1,FALSE)*W51*$D$7/$D$8</f>
        <v>0</v>
      </c>
      <c r="BJ51" s="79">
        <f ca="1">HLOOKUP(BJ$49,$G$24:$L$45,COUNTA($F$25:$F26)+1,FALSE)*X51*$D$7/$D$8</f>
        <v>0</v>
      </c>
      <c r="BK51" s="74">
        <f ca="1">HLOOKUP(BK$49,$G$24:$L$45,COUNTA($F$25:$F26)+1,FALSE)*Y51*$D$7/$D$8</f>
        <v>0</v>
      </c>
      <c r="BL51" s="136">
        <f ca="1">HLOOKUP(BL$49,$G$24:$L$45,COUNTA($F$25:$F26)+1,FALSE)*Z51*$D$7/$D$8</f>
        <v>2585.5529994711783</v>
      </c>
      <c r="BM51" s="136">
        <f ca="1">HLOOKUP(BM$49,$G$24:$L$45,COUNTA($F$25:$F26)+1,FALSE)*AA51*$D$7/$D$8</f>
        <v>0</v>
      </c>
      <c r="BN51" s="136">
        <f ca="1">HLOOKUP(BN$49,$G$24:$L$45,COUNTA($F$25:$F26)+1,FALSE)*AB51*$D$7/$D$8</f>
        <v>134.5432180084947</v>
      </c>
      <c r="BO51" s="136">
        <f ca="1">HLOOKUP(BO$49,$G$24:$L$45,COUNTA($F$25:$F26)+1,FALSE)*AC51*$D$7/$D$8</f>
        <v>0</v>
      </c>
      <c r="BP51" s="136">
        <f ca="1">HLOOKUP(BP$49,$G$24:$L$45,COUNTA($F$25:$F26)+1,FALSE)*AD51*$D$7/$D$8</f>
        <v>0</v>
      </c>
      <c r="BQ51" s="79">
        <f ca="1">HLOOKUP(BQ$49,$G$24:$L$45,COUNTA($F$25:$F26)+1,FALSE)*AE51*$D$7/$D$8</f>
        <v>3057.0339829584827</v>
      </c>
      <c r="BR51" s="138">
        <f ca="1">HLOOKUP(BR$49,$G$24:$L$45,COUNTA($F$25:$F26)+1,FALSE)*AF51*$D$7/$D$8</f>
        <v>0</v>
      </c>
      <c r="BS51" s="138">
        <f ca="1">HLOOKUP(BS$49,$G$24:$L$45,COUNTA($F$25:$F26)+1,FALSE)*AG51*$D$7/$D$8</f>
        <v>0</v>
      </c>
      <c r="BT51" s="138">
        <f ca="1">HLOOKUP(BT$49,$G$24:$L$45,COUNTA($F$25:$F26)+1,FALSE)*AH51*$D$7/$D$8</f>
        <v>134.5432180084947</v>
      </c>
      <c r="BU51" s="138">
        <f ca="1">HLOOKUP(BU$49,$G$24:$L$45,COUNTA($F$25:$F26)+1,FALSE)*AI51*$D$7/$D$8</f>
        <v>0</v>
      </c>
      <c r="BV51" s="79">
        <f ca="1">HLOOKUP(BV$49,$G$24:$L$45,COUNTA($F$25:$F26)+1,FALSE)*AJ51*$D$7/$D$8</f>
        <v>0</v>
      </c>
      <c r="BW51" s="74">
        <f ca="1">HLOOKUP(BW$49,$G$24:$L$45,COUNTA($F$25:$F26)+1,FALSE)*AK51*$D$7/$D$8</f>
        <v>0</v>
      </c>
      <c r="BX51" s="136">
        <f ca="1">HLOOKUP(BX$49,$G$24:$L$45,COUNTA($F$25:$F26)+1,FALSE)*AL51*$D$7/$D$8</f>
        <v>3393.9630577856251</v>
      </c>
      <c r="BY51" s="136">
        <f ca="1">HLOOKUP(BY$49,$G$24:$L$45,COUNTA($F$25:$F26)+1,FALSE)*AM51*$D$7/$D$8</f>
        <v>0</v>
      </c>
      <c r="BZ51" s="136">
        <f ca="1">HLOOKUP(BZ$49,$G$24:$L$45,COUNTA($F$25:$F26)+1,FALSE)*AN51*$D$7/$D$8</f>
        <v>134.5432180084947</v>
      </c>
      <c r="CA51" s="136">
        <f ca="1">HLOOKUP(CA$49,$G$24:$L$45,COUNTA($F$25:$F26)+1,FALSE)*AO51*$D$7/$D$8</f>
        <v>0</v>
      </c>
      <c r="CB51" s="739">
        <f ca="1">HLOOKUP(CB$49,$G$24:$L$45,COUNTA($F$25:$F26)+1,FALSE)*AP51*$D$7/$D$8</f>
        <v>0</v>
      </c>
      <c r="CD51" s="10">
        <f t="shared" ref="CD51:CD114" si="314">+CD50+1</f>
        <v>2021</v>
      </c>
      <c r="CE51" s="85">
        <f t="shared" ca="1" si="240"/>
        <v>455.0318951312513</v>
      </c>
      <c r="CF51" s="147">
        <f t="shared" ca="1" si="241"/>
        <v>0</v>
      </c>
      <c r="CG51" s="147">
        <f t="shared" ca="1" si="242"/>
        <v>2.9183619080117249</v>
      </c>
      <c r="CH51" s="147">
        <f t="shared" ca="1" si="243"/>
        <v>8.3593813363839882</v>
      </c>
      <c r="CI51" s="147">
        <f t="shared" ca="1" si="244"/>
        <v>0</v>
      </c>
      <c r="CJ51" s="85">
        <f t="shared" ca="1" si="245"/>
        <v>0</v>
      </c>
      <c r="CK51" s="151">
        <f t="shared" ca="1" si="246"/>
        <v>0</v>
      </c>
      <c r="CL51" s="102">
        <f t="shared" ca="1" si="247"/>
        <v>557.75948957196135</v>
      </c>
      <c r="CM51" s="102">
        <f t="shared" ca="1" si="248"/>
        <v>2.9183619080117249</v>
      </c>
      <c r="CN51" s="102">
        <f t="shared" ca="1" si="249"/>
        <v>8.3593813363839882</v>
      </c>
      <c r="CO51" s="102">
        <f t="shared" ca="1" si="250"/>
        <v>0</v>
      </c>
      <c r="CP51" s="151">
        <f t="shared" ca="1" si="251"/>
        <v>0</v>
      </c>
      <c r="CQ51" s="85">
        <f t="shared" ca="1" si="252"/>
        <v>536.20162013130016</v>
      </c>
      <c r="CR51" s="147">
        <f t="shared" ca="1" si="253"/>
        <v>0</v>
      </c>
      <c r="CS51" s="147">
        <f t="shared" ca="1" si="254"/>
        <v>2.9183619080117249</v>
      </c>
      <c r="CT51" s="147">
        <f t="shared" ca="1" si="255"/>
        <v>8.3593813363839882</v>
      </c>
      <c r="CU51" s="147">
        <f t="shared" ca="1" si="256"/>
        <v>0</v>
      </c>
      <c r="CV51" s="85">
        <f t="shared" ca="1" si="257"/>
        <v>0</v>
      </c>
      <c r="CW51" s="151">
        <f t="shared" ca="1" si="258"/>
        <v>0</v>
      </c>
      <c r="CX51" s="102">
        <f t="shared" ca="1" si="259"/>
        <v>657.59525027005714</v>
      </c>
      <c r="CY51" s="102">
        <f t="shared" ca="1" si="260"/>
        <v>2.9183619080117249</v>
      </c>
      <c r="CZ51" s="102">
        <f t="shared" ca="1" si="261"/>
        <v>8.3593813363839882</v>
      </c>
      <c r="DA51" s="102">
        <f t="shared" ca="1" si="262"/>
        <v>0</v>
      </c>
      <c r="DB51" s="151">
        <f t="shared" ca="1" si="263"/>
        <v>0</v>
      </c>
      <c r="DC51" s="85">
        <f t="shared" ca="1" si="264"/>
        <v>581.29591179799434</v>
      </c>
      <c r="DD51" s="147">
        <f t="shared" ca="1" si="265"/>
        <v>0</v>
      </c>
      <c r="DE51" s="147">
        <f t="shared" ca="1" si="266"/>
        <v>2.9183619080117249</v>
      </c>
      <c r="DF51" s="147">
        <f t="shared" ca="1" si="267"/>
        <v>8.3593813363839882</v>
      </c>
      <c r="DG51" s="147">
        <f t="shared" ca="1" si="268"/>
        <v>0</v>
      </c>
      <c r="DH51" s="85">
        <f t="shared" ca="1" si="269"/>
        <v>0</v>
      </c>
      <c r="DI51" s="151">
        <f t="shared" ca="1" si="270"/>
        <v>0</v>
      </c>
      <c r="DJ51" s="102">
        <f t="shared" ca="1" si="271"/>
        <v>713.05956176899963</v>
      </c>
      <c r="DK51" s="102">
        <f t="shared" ca="1" si="272"/>
        <v>2.9183619080117249</v>
      </c>
      <c r="DL51" s="102">
        <f t="shared" ca="1" si="273"/>
        <v>8.3593813363839882</v>
      </c>
      <c r="DM51" s="102">
        <f t="shared" ca="1" si="274"/>
        <v>0</v>
      </c>
      <c r="DN51" s="564">
        <f t="shared" ca="1" si="275"/>
        <v>0</v>
      </c>
      <c r="DP51" s="10">
        <f t="shared" ref="DP51:DP114" si="315">+DP50+1</f>
        <v>2021</v>
      </c>
      <c r="DQ51" s="85">
        <f t="shared" ca="1" si="276"/>
        <v>125.60203211173183</v>
      </c>
      <c r="DR51" s="147">
        <f t="shared" ca="1" si="277"/>
        <v>0</v>
      </c>
      <c r="DS51" s="147">
        <f t="shared" ca="1" si="278"/>
        <v>0.69127563859761942</v>
      </c>
      <c r="DT51" s="147">
        <f t="shared" ca="1" si="279"/>
        <v>2.5922836447410726</v>
      </c>
      <c r="DU51" s="147">
        <f t="shared" ca="1" si="280"/>
        <v>0</v>
      </c>
      <c r="DV51" s="85">
        <f t="shared" ca="1" si="281"/>
        <v>0</v>
      </c>
      <c r="DW51" s="151">
        <f t="shared" ca="1" si="282"/>
        <v>0</v>
      </c>
      <c r="DX51" s="102">
        <f t="shared" ca="1" si="283"/>
        <v>142.92884275556682</v>
      </c>
      <c r="DY51" s="102">
        <f t="shared" ca="1" si="284"/>
        <v>0.69127563859761942</v>
      </c>
      <c r="DZ51" s="102">
        <f t="shared" ca="1" si="285"/>
        <v>2.5922836447410726</v>
      </c>
      <c r="EA51" s="102">
        <f t="shared" ca="1" si="286"/>
        <v>0</v>
      </c>
      <c r="EB51" s="151">
        <f t="shared" ca="1" si="287"/>
        <v>0</v>
      </c>
      <c r="EC51" s="85">
        <f t="shared" ca="1" si="288"/>
        <v>148.74870817663304</v>
      </c>
      <c r="ED51" s="147">
        <f t="shared" ca="1" si="289"/>
        <v>0</v>
      </c>
      <c r="EE51" s="147">
        <f t="shared" ca="1" si="290"/>
        <v>0.69127563859761942</v>
      </c>
      <c r="EF51" s="147">
        <f t="shared" ca="1" si="291"/>
        <v>2.5922836447410726</v>
      </c>
      <c r="EG51" s="147">
        <f t="shared" ca="1" si="292"/>
        <v>0</v>
      </c>
      <c r="EH51" s="85">
        <f t="shared" ca="1" si="293"/>
        <v>0</v>
      </c>
      <c r="EI51" s="151">
        <f t="shared" ca="1" si="294"/>
        <v>0</v>
      </c>
      <c r="EJ51" s="102">
        <f t="shared" ca="1" si="295"/>
        <v>169.2686046843493</v>
      </c>
      <c r="EK51" s="102">
        <f t="shared" ca="1" si="296"/>
        <v>0.69127563859761942</v>
      </c>
      <c r="EL51" s="102">
        <f t="shared" ca="1" si="297"/>
        <v>2.5922836447410726</v>
      </c>
      <c r="EM51" s="102">
        <f t="shared" ca="1" si="298"/>
        <v>0</v>
      </c>
      <c r="EN51" s="151">
        <f t="shared" ca="1" si="299"/>
        <v>0</v>
      </c>
      <c r="EO51" s="85">
        <f t="shared" ca="1" si="300"/>
        <v>161.60797265713381</v>
      </c>
      <c r="EP51" s="145">
        <f t="shared" ca="1" si="301"/>
        <v>0</v>
      </c>
      <c r="EQ51" s="145">
        <f t="shared" ca="1" si="302"/>
        <v>0.69127563859761942</v>
      </c>
      <c r="ER51" s="145">
        <f t="shared" ca="1" si="303"/>
        <v>2.5922836447410726</v>
      </c>
      <c r="ES51" s="145">
        <f t="shared" ca="1" si="304"/>
        <v>0</v>
      </c>
      <c r="ET51" s="85">
        <f t="shared" ca="1" si="305"/>
        <v>0</v>
      </c>
      <c r="EU51" s="102">
        <f t="shared" ca="1" si="306"/>
        <v>0</v>
      </c>
      <c r="EV51" s="102">
        <f t="shared" ca="1" si="307"/>
        <v>183.9018057558952</v>
      </c>
      <c r="EW51" s="102">
        <f t="shared" ca="1" si="308"/>
        <v>0.69127563859761942</v>
      </c>
      <c r="EX51" s="102">
        <f t="shared" ca="1" si="309"/>
        <v>2.5922836447410726</v>
      </c>
      <c r="EY51" s="102">
        <f t="shared" ca="1" si="310"/>
        <v>0</v>
      </c>
      <c r="EZ51" s="564">
        <f t="shared" ca="1" si="311"/>
        <v>0</v>
      </c>
      <c r="FB51" s="10">
        <f t="shared" ref="FB51:FB70" si="316">+FB50+1</f>
        <v>2021</v>
      </c>
      <c r="FC51" s="85">
        <f ca="1">HLOOKUP(FC$49,$O$24:$T$45,COUNTA($N$25:$N26)+1,FALSE)*G51*$D$7/$D$8</f>
        <v>17.981349875146261</v>
      </c>
      <c r="FD51" s="147">
        <f ca="1">HLOOKUP(FD$49,$O$24:$T$45,COUNTA($N$25:$N26)+1,FALSE)*H51*$D$7/$D$8</f>
        <v>0</v>
      </c>
      <c r="FE51" s="147">
        <f ca="1">HLOOKUP(FE$49,$O$24:$T$45,COUNTA($N$25:$N26)+1,FALSE)*I51*$D$7/$D$8</f>
        <v>0</v>
      </c>
      <c r="FF51" s="147">
        <f ca="1">HLOOKUP(FF$49,$O$24:$T$45,COUNTA($N$25:$N26)+1,FALSE)*J51*$D$7/$D$8</f>
        <v>2.5922836447410726</v>
      </c>
      <c r="FG51" s="147">
        <f ca="1">HLOOKUP(FG$49,$O$24:$T$45,COUNTA($N$25:$N26)+1,FALSE)*K51*$D$7/$D$8</f>
        <v>0</v>
      </c>
      <c r="FH51" s="85">
        <f ca="1">HLOOKUP(FH$49,$O$24:$T$45,COUNTA($N$25:$N26)+1,FALSE)*L51*$D$7/$D$8</f>
        <v>0</v>
      </c>
      <c r="FI51" s="151">
        <f ca="1">HLOOKUP(FI$49,$O$24:$T$45,COUNTA($N$25:$N26)+1,FALSE)*M51*$D$7/$D$8</f>
        <v>0</v>
      </c>
      <c r="FJ51" s="153">
        <f ca="1">HLOOKUP(FJ$49,$O$24:$T$45,COUNTA($N$25:$N26)+1,FALSE)*N51*$D$7/$D$8</f>
        <v>20.461878566991395</v>
      </c>
      <c r="FK51" s="153">
        <f ca="1">HLOOKUP(FK$49,$O$24:$T$45,COUNTA($N$25:$N26)+1,FALSE)*O51*$D$7/$D$8</f>
        <v>0</v>
      </c>
      <c r="FL51" s="153">
        <f ca="1">HLOOKUP(FL$49,$O$24:$T$45,COUNTA($N$25:$N26)+1,FALSE)*P51*$D$7/$D$8</f>
        <v>2.5922836447410726</v>
      </c>
      <c r="FM51" s="153">
        <f ca="1">HLOOKUP(FM$49,$O$24:$T$45,COUNTA($N$25:$N26)+1,FALSE)*Q51*$D$7/$D$8</f>
        <v>0</v>
      </c>
      <c r="FN51" s="151">
        <f ca="1">HLOOKUP(FN$49,$O$24:$T$45,COUNTA($N$25:$N26)+1,FALSE)*R51*$D$7/$D$8</f>
        <v>0</v>
      </c>
      <c r="FO51" s="85">
        <f ca="1">HLOOKUP(FO$49,$O$24:$T$45,COUNTA($N$25:$N26)+1,FALSE)*S51*$D$7/$D$8</f>
        <v>41.128025940047493</v>
      </c>
      <c r="FP51" s="147">
        <f ca="1">HLOOKUP(FP$49,$O$24:$T$45,COUNTA($N$25:$N26)+1,FALSE)*T51*$D$7/$D$8</f>
        <v>0</v>
      </c>
      <c r="FQ51" s="147">
        <f ca="1">HLOOKUP(FQ$49,$O$24:$T$45,COUNTA($N$25:$N26)+1,FALSE)*U51*$D$7/$D$8</f>
        <v>0</v>
      </c>
      <c r="FR51" s="147">
        <f ca="1">HLOOKUP(FR$49,$O$24:$T$45,COUNTA($N$25:$N26)+1,FALSE)*V51*$D$7/$D$8</f>
        <v>2.5922836447410726</v>
      </c>
      <c r="FS51" s="147">
        <f ca="1">HLOOKUP(FS$49,$O$24:$T$45,COUNTA($N$25:$N26)+1,FALSE)*W51*$D$7/$D$8</f>
        <v>0</v>
      </c>
      <c r="FT51" s="85">
        <f ca="1">HLOOKUP(FT$49,$O$24:$T$45,COUNTA($N$25:$N26)+1,FALSE)*X51*$D$7/$D$8</f>
        <v>0</v>
      </c>
      <c r="FU51" s="151">
        <f ca="1">HLOOKUP(FU$49,$O$24:$T$45,COUNTA($N$25:$N26)+1,FALSE)*Y51*$D$7/$D$8</f>
        <v>0</v>
      </c>
      <c r="FV51" s="153">
        <f ca="1">HLOOKUP(FV$49,$O$24:$T$45,COUNTA($N$25:$N26)+1,FALSE)*Z51*$D$7/$D$8</f>
        <v>46.801640495773889</v>
      </c>
      <c r="FW51" s="153">
        <f ca="1">HLOOKUP(FW$49,$O$24:$T$45,COUNTA($N$25:$N26)+1,FALSE)*AA51*$D$7/$D$8</f>
        <v>0</v>
      </c>
      <c r="FX51" s="153">
        <f ca="1">HLOOKUP(FX$49,$O$24:$T$45,COUNTA($N$25:$N26)+1,FALSE)*AB51*$D$7/$D$8</f>
        <v>2.5922836447410726</v>
      </c>
      <c r="FY51" s="153">
        <f ca="1">HLOOKUP(FY$49,$O$24:$T$45,COUNTA($N$25:$N26)+1,FALSE)*AC51*$D$7/$D$8</f>
        <v>0</v>
      </c>
      <c r="FZ51" s="151">
        <f ca="1">HLOOKUP(FZ$49,$O$24:$T$45,COUNTA($N$25:$N26)+1,FALSE)*AD51*$D$7/$D$8</f>
        <v>0</v>
      </c>
      <c r="GA51" s="85">
        <f ca="1">HLOOKUP(GA$49,$O$24:$T$45,COUNTA($N$25:$N26)+1,FALSE)*AE51*$D$7/$D$8</f>
        <v>53.987290420548248</v>
      </c>
      <c r="GB51" s="147">
        <f ca="1">HLOOKUP(GB$49,$O$24:$T$45,COUNTA($N$25:$N26)+1,FALSE)*AF51*$D$7/$D$8</f>
        <v>0</v>
      </c>
      <c r="GC51" s="147">
        <f ca="1">HLOOKUP(GC$49,$O$24:$T$45,COUNTA($N$25:$N26)+1,FALSE)*AG51*$D$7/$D$8</f>
        <v>0</v>
      </c>
      <c r="GD51" s="147">
        <f ca="1">HLOOKUP(GD$49,$O$24:$T$45,COUNTA($N$25:$N26)+1,FALSE)*AH51*$D$7/$D$8</f>
        <v>2.5922836447410726</v>
      </c>
      <c r="GE51" s="147">
        <f ca="1">HLOOKUP(GE$49,$O$24:$T$45,COUNTA($N$25:$N26)+1,FALSE)*AI51*$D$7/$D$8</f>
        <v>0</v>
      </c>
      <c r="GF51" s="85">
        <f ca="1">HLOOKUP(GF$49,$O$24:$T$45,COUNTA($N$25:$N26)+1,FALSE)*AJ51*$D$7/$D$8</f>
        <v>0</v>
      </c>
      <c r="GG51" s="151">
        <f ca="1">HLOOKUP(GG$49,$O$24:$T$45,COUNTA($N$25:$N26)+1,FALSE)*AK51*$D$7/$D$8</f>
        <v>0</v>
      </c>
      <c r="GH51" s="153">
        <f ca="1">HLOOKUP(GH$49,$O$24:$T$45,COUNTA($N$25:$N26)+1,FALSE)*AL51*$D$7/$D$8</f>
        <v>61.434841567319786</v>
      </c>
      <c r="GI51" s="153">
        <f ca="1">HLOOKUP(GI$49,$O$24:$T$45,COUNTA($N$25:$N26)+1,FALSE)*AM51*$D$7/$D$8</f>
        <v>0</v>
      </c>
      <c r="GJ51" s="153">
        <f ca="1">HLOOKUP(GJ$49,$O$24:$T$45,COUNTA($N$25:$N26)+1,FALSE)*AN51*$D$7/$D$8</f>
        <v>2.5922836447410726</v>
      </c>
      <c r="GK51" s="153">
        <f ca="1">HLOOKUP(GK$49,$O$24:$T$45,COUNTA($N$25:$N26)+1,FALSE)*AO51*$D$7/$D$8</f>
        <v>0</v>
      </c>
      <c r="GL51" s="564">
        <f ca="1">HLOOKUP(GL$49,$O$24:$T$45,COUNTA($N$25:$N26)+1,FALSE)*AP51*$D$7/$D$8</f>
        <v>0</v>
      </c>
    </row>
    <row r="52" spans="6:194">
      <c r="F52" s="10">
        <f t="shared" si="312"/>
        <v>2022</v>
      </c>
      <c r="G52" s="79">
        <f ca="1">IF(OR($F52&gt;MAX('הנחות עבודה'!$B$69:$B$89),$F52&gt;$D$5),0,VLOOKUP($F52,'הספק נוסף נדרש'!$B$8:$AX$28,MATCH(G$49,'הספק נוסף נדרש'!$B$6:$AX$6,0)+(ROUNDUP((G$2-$F$2)/COUNTA($F$10:$F$16),0)-1)*COUNTA('הספק נוסף נדרש'!$C$6:$J$6),FALSE))</f>
        <v>114.79847958817481</v>
      </c>
      <c r="H52" s="138">
        <f ca="1">IF(OR($F52&gt;MAX('הנחות עבודה'!$B$69:$B$89),$F52&gt;$D$5),0,VLOOKUP($F52,'הספק נוסף נדרש'!$B$8:$AX$28,MATCH(H$49,'הספק נוסף נדרש'!$B$6:$AX$6,0)+(ROUNDUP((H$2-$F$2)/COUNTA($F$10:$F$16),0)-1)*COUNTA('הספק נוסף נדרש'!$C$6:$J$6),FALSE))</f>
        <v>0</v>
      </c>
      <c r="I52" s="138">
        <f ca="1">IF(OR($F52&gt;MAX('הנחות עבודה'!$B$69:$B$89),$F52&gt;$D$5),0,VLOOKUP($F52,'הספק נוסף נדרש'!$B$8:$AX$28,MATCH(I$49,'הספק נוסף נדרש'!$B$6:$AX$6,0)+(ROUNDUP((I$2-$F$2)/COUNTA($F$10:$F$16),0)-1)*COUNTA('הספק נוסף נדרש'!$C$6:$J$6),FALSE))</f>
        <v>170</v>
      </c>
      <c r="J52" s="138">
        <f ca="1">IF(OR($F52&gt;MAX('הנחות עבודה'!$B$69:$B$89),$F52&gt;$D$5),0,VLOOKUP($F52,'הספק נוסף נדרש'!$B$8:$AX$28,MATCH(J$49,'הספק נוסף נדרש'!$B$6:$AX$6,0)+(ROUNDUP((J$2-$F$2)/COUNTA($F$10:$F$16),0)-1)*COUNTA('הספק נוסף נדרש'!$C$6:$J$6),FALSE))</f>
        <v>5</v>
      </c>
      <c r="K52" s="138">
        <f ca="1">IF(OR($F52&gt;MAX('הנחות עבודה'!$B$69:$B$89),$F52&gt;$D$5),0,VLOOKUP($F52,'הספק נוסף נדרש'!$B$8:$AX$28,MATCH(K$49,'הספק נוסף נדרש'!$B$6:$AX$6,0)+(ROUNDUP((K$2-$F$2)/COUNTA($F$10:$F$16),0)-1)*COUNTA('הספק נוסף נדרש'!$C$6:$J$6),FALSE))</f>
        <v>0</v>
      </c>
      <c r="L52" s="79">
        <f ca="1">IF(OR($F52&gt;MAX('הנחות עבודה'!$B$69:$B$89),$F52&gt;$D$5),0,VLOOKUP($F52,'הספק נוסף נדרש'!$B$8:$AX$28,MATCH(L$49,'הספק נוסף נדרש'!$B$6:$AX$6,0)+(ROUNDUP((L$2-$F$2)/COUNTA($F$10:$F$16),0)-1)*COUNTA('הספק נוסף נדרש'!$C$6:$J$6),FALSE))</f>
        <v>344</v>
      </c>
      <c r="M52" s="74">
        <f ca="1">IF(OR($F52&gt;MAX('הנחות עבודה'!$B$69:$B$89),$F52&gt;$D$5),0,VLOOKUP($F52,'הספק נוסף נדרש'!$B$8:$AX$28,MATCH(M$49,'הספק נוסף נדרש'!$B$6:$AX$6,0)+(ROUNDUP((M$2-$F$2)/COUNTA($F$10:$F$16),0)-1)*COUNTA('הספק נוסף נדרש'!$C$6:$J$6),FALSE))</f>
        <v>0</v>
      </c>
      <c r="N52" s="136">
        <f ca="1">IF(OR($F52&gt;MAX('הנחות עבודה'!$B$69:$B$89),$F52&gt;$D$5),0,VLOOKUP($F52,'הספק נוסף נדרש'!$B$8:$AX$28,MATCH(N$49,'הספק נוסף נדרש'!$B$6:$AX$6,0)+(ROUNDUP((N$2-$F$2)/COUNTA($F$10:$F$16),0)-1)*COUNTA('הספק נוסף נדרש'!$C$6:$J$6),FALSE))</f>
        <v>114.79847958817481</v>
      </c>
      <c r="O52" s="136">
        <f ca="1">IF(OR($F52&gt;MAX('הנחות עבודה'!$B$69:$B$89),$F52&gt;$D$5),0,VLOOKUP($F52,'הספק נוסף נדרש'!$B$8:$AX$28,MATCH(O$49,'הספק נוסף נדרש'!$B$6:$AX$6,0)+(ROUNDUP((O$2-$F$2)/COUNTA($F$10:$F$16),0)-1)*COUNTA('הספק נוסף נדרש'!$C$6:$J$6),FALSE))</f>
        <v>170</v>
      </c>
      <c r="P52" s="136">
        <f ca="1">IF(OR($F52&gt;MAX('הנחות עבודה'!$B$69:$B$89),$F52&gt;$D$5),0,VLOOKUP($F52,'הספק נוסף נדרש'!$B$8:$AX$28,MATCH(P$49,'הספק נוסף נדרש'!$B$6:$AX$6,0)+(ROUNDUP((P$2-$F$2)/COUNTA($F$10:$F$16),0)-1)*COUNTA('הספק נוסף נדרש'!$C$6:$J$6),FALSE))</f>
        <v>5</v>
      </c>
      <c r="Q52" s="136">
        <f ca="1">IF(OR($F52&gt;MAX('הנחות עבודה'!$B$69:$B$89),$F52&gt;$D$5),0,VLOOKUP($F52,'הספק נוסף נדרש'!$B$8:$AX$28,MATCH(Q$49,'הספק נוסף נדרש'!$B$6:$AX$6,0)+(ROUNDUP((Q$2-$F$2)/COUNTA($F$10:$F$16),0)-1)*COUNTA('הספק נוסף נדרש'!$C$6:$J$6),FALSE))</f>
        <v>0</v>
      </c>
      <c r="R52" s="136">
        <f ca="1">IF(OR($F52&gt;MAX('הנחות עבודה'!$B$69:$B$89),$F52&gt;$D$5),0,VLOOKUP($F52,'הספק נוסף נדרש'!$B$8:$AX$28,MATCH(R$49,'הספק נוסף נדרש'!$B$6:$AX$6,0)+(ROUNDUP((R$2-$F$2)/COUNTA($F$10:$F$16),0)-1)*COUNTA('הספק נוסף נדרש'!$C$6:$J$6),FALSE))</f>
        <v>344</v>
      </c>
      <c r="S52" s="79">
        <f ca="1">IF(OR($F52&gt;MAX('הנחות עבודה'!$B$69:$B$89),$F52&gt;$D$5),0,VLOOKUP($F52,'הספק נוסף נדרש'!$B$8:$AX$28,MATCH(S$49,'הספק נוסף נדרש'!$B$6:$AX$6,0)+(ROUNDUP((S$2-$F$2)/COUNTA($F$10:$F$16),0)-1)*COUNTA('הספק נוסף נדרש'!$C$6:$J$6),FALSE))</f>
        <v>557.09875473685315</v>
      </c>
      <c r="T52" s="138">
        <f ca="1">IF(OR($F52&gt;MAX('הנחות עבודה'!$B$69:$B$89),$F52&gt;$D$5),0,VLOOKUP($F52,'הספק נוסף נדרש'!$B$8:$AX$28,MATCH(T$49,'הספק נוסף נדרש'!$B$6:$AX$6,0)+(ROUNDUP((T$2-$F$2)/COUNTA($F$10:$F$16),0)-1)*COUNTA('הספק נוסף נדרש'!$C$6:$J$6),FALSE))</f>
        <v>0</v>
      </c>
      <c r="U52" s="138">
        <f ca="1">IF(OR($F52&gt;MAX('הנחות עבודה'!$B$69:$B$89),$F52&gt;$D$5),0,VLOOKUP($F52,'הספק נוסף נדרש'!$B$8:$AX$28,MATCH(U$49,'הספק נוסף נדרש'!$B$6:$AX$6,0)+(ROUNDUP((U$2-$F$2)/COUNTA($F$10:$F$16),0)-1)*COUNTA('הספק נוסף נדרש'!$C$6:$J$6),FALSE))</f>
        <v>170</v>
      </c>
      <c r="V52" s="138">
        <f ca="1">IF(OR($F52&gt;MAX('הנחות עבודה'!$B$69:$B$89),$F52&gt;$D$5),0,VLOOKUP($F52,'הספק נוסף נדרש'!$B$8:$AX$28,MATCH(V$49,'הספק נוסף נדרש'!$B$6:$AX$6,0)+(ROUNDUP((V$2-$F$2)/COUNTA($F$10:$F$16),0)-1)*COUNTA('הספק נוסף נדרש'!$C$6:$J$6),FALSE))</f>
        <v>5</v>
      </c>
      <c r="W52" s="138">
        <f ca="1">IF(OR($F52&gt;MAX('הנחות עבודה'!$B$69:$B$89),$F52&gt;$D$5),0,VLOOKUP($F52,'הספק נוסף נדרש'!$B$8:$AX$28,MATCH(W$49,'הספק נוסף נדרש'!$B$6:$AX$6,0)+(ROUNDUP((W$2-$F$2)/COUNTA($F$10:$F$16),0)-1)*COUNTA('הספק נוסף נדרש'!$C$6:$J$6),FALSE))</f>
        <v>0</v>
      </c>
      <c r="X52" s="79">
        <f ca="1">IF(OR($F52&gt;MAX('הנחות עבודה'!$B$69:$B$89),$F52&gt;$D$5),0,VLOOKUP($F52,'הספק נוסף נדרש'!$B$8:$AX$28,MATCH(X$49,'הספק נוסף נדרש'!$B$6:$AX$6,0)+(ROUNDUP((X$2-$F$2)/COUNTA($F$10:$F$16),0)-1)*COUNTA('הספק נוסף נדרש'!$C$6:$J$6),FALSE))</f>
        <v>344</v>
      </c>
      <c r="Y52" s="74">
        <f ca="1">IF(OR($F52&gt;MAX('הנחות עבודה'!$B$69:$B$89),$F52&gt;$D$5),0,VLOOKUP($F52,'הספק נוסף נדרש'!$B$8:$AX$28,MATCH(Y$49,'הספק נוסף נדרש'!$B$6:$AX$6,0)+(ROUNDUP((Y$2-$F$2)/COUNTA($F$10:$F$16),0)-1)*COUNTA('הספק נוסף נדרש'!$C$6:$J$6),FALSE))</f>
        <v>0</v>
      </c>
      <c r="Z52" s="136">
        <f ca="1">IF(OR($F52&gt;MAX('הנחות עבודה'!$B$69:$B$89),$F52&gt;$D$5),0,VLOOKUP($F52,'הספק נוסף נדרש'!$B$8:$AX$28,MATCH(Z$49,'הספק נוסף נדרש'!$B$6:$AX$6,0)+(ROUNDUP((Z$2-$F$2)/COUNTA($F$10:$F$16),0)-1)*COUNTA('הספק נוסף נדרש'!$C$6:$J$6),FALSE))</f>
        <v>557.09875473685315</v>
      </c>
      <c r="AA52" s="136">
        <f ca="1">IF(OR($F52&gt;MAX('הנחות עבודה'!$B$69:$B$89),$F52&gt;$D$5),0,VLOOKUP($F52,'הספק נוסף נדרש'!$B$8:$AX$28,MATCH(AA$49,'הספק נוסף נדרש'!$B$6:$AX$6,0)+(ROUNDUP((AA$2-$F$2)/COUNTA($F$10:$F$16),0)-1)*COUNTA('הספק נוסף נדרש'!$C$6:$J$6),FALSE))</f>
        <v>170</v>
      </c>
      <c r="AB52" s="136">
        <f ca="1">IF(OR($F52&gt;MAX('הנחות עבודה'!$B$69:$B$89),$F52&gt;$D$5),0,VLOOKUP($F52,'הספק נוסף נדרש'!$B$8:$AX$28,MATCH(AB$49,'הספק נוסף נדרש'!$B$6:$AX$6,0)+(ROUNDUP((AB$2-$F$2)/COUNTA($F$10:$F$16),0)-1)*COUNTA('הספק נוסף נדרש'!$C$6:$J$6),FALSE))</f>
        <v>5</v>
      </c>
      <c r="AC52" s="136">
        <f ca="1">IF(OR($F52&gt;MAX('הנחות עבודה'!$B$69:$B$89),$F52&gt;$D$5),0,VLOOKUP($F52,'הספק נוסף נדרש'!$B$8:$AX$28,MATCH(AC$49,'הספק נוסף נדרש'!$B$6:$AX$6,0)+(ROUNDUP((AC$2-$F$2)/COUNTA($F$10:$F$16),0)-1)*COUNTA('הספק נוסף נדרש'!$C$6:$J$6),FALSE))</f>
        <v>0</v>
      </c>
      <c r="AD52" s="136">
        <f ca="1">IF(OR($F52&gt;MAX('הנחות עבודה'!$B$69:$B$89),$F52&gt;$D$5),0,VLOOKUP($F52,'הספק נוסף נדרש'!$B$8:$AX$28,MATCH(AD$49,'הספק נוסף נדרש'!$B$6:$AX$6,0)+(ROUNDUP((AD$2-$F$2)/COUNTA($F$10:$F$16),0)-1)*COUNTA('הספק נוסף נדרש'!$C$6:$J$6),FALSE))</f>
        <v>344</v>
      </c>
      <c r="AE52" s="79">
        <f ca="1">IF(OR($F52&gt;MAX('הנחות עבודה'!$B$69:$B$89),$F52&gt;$D$5),0,VLOOKUP($F52,'הספק נוסף נדרש'!$B$8:$AX$28,MATCH(AE$49,'הספק נוסף נדרש'!$B$6:$AX$6,0)+(ROUNDUP((AE$2-$F$2)/COUNTA($F$10:$F$16),0)-1)*COUNTA('הספק נוסף נדרש'!$C$6:$J$6),FALSE))</f>
        <v>802.82112981945102</v>
      </c>
      <c r="AF52" s="138">
        <f ca="1">IF(OR($F52&gt;MAX('הנחות עבודה'!$B$69:$B$89),$F52&gt;$D$5),0,VLOOKUP($F52,'הספק נוסף נדרש'!$B$8:$AX$28,MATCH(AF$49,'הספק נוסף נדרש'!$B$6:$AX$6,0)+(ROUNDUP((AF$2-$F$2)/COUNTA($F$10:$F$16),0)-1)*COUNTA('הספק נוסף נדרש'!$C$6:$J$6),FALSE))</f>
        <v>0</v>
      </c>
      <c r="AG52" s="138">
        <f ca="1">IF(OR($F52&gt;MAX('הנחות עבודה'!$B$69:$B$89),$F52&gt;$D$5),0,VLOOKUP($F52,'הספק נוסף נדרש'!$B$8:$AX$28,MATCH(AG$49,'הספק נוסף נדרש'!$B$6:$AX$6,0)+(ROUNDUP((AG$2-$F$2)/COUNTA($F$10:$F$16),0)-1)*COUNTA('הספק נוסף נדרש'!$C$6:$J$6),FALSE))</f>
        <v>170</v>
      </c>
      <c r="AH52" s="138">
        <f ca="1">IF(OR($F52&gt;MAX('הנחות עבודה'!$B$69:$B$89),$F52&gt;$D$5),0,VLOOKUP($F52,'הספק נוסף נדרש'!$B$8:$AX$28,MATCH(AH$49,'הספק נוסף נדרש'!$B$6:$AX$6,0)+(ROUNDUP((AH$2-$F$2)/COUNTA($F$10:$F$16),0)-1)*COUNTA('הספק נוסף נדרש'!$C$6:$J$6),FALSE))</f>
        <v>5</v>
      </c>
      <c r="AI52" s="138">
        <f ca="1">IF(OR($F52&gt;MAX('הנחות עבודה'!$B$69:$B$89),$F52&gt;$D$5),0,VLOOKUP($F52,'הספק נוסף נדרש'!$B$8:$AX$28,MATCH(AI$49,'הספק נוסף נדרש'!$B$6:$AX$6,0)+(ROUNDUP((AI$2-$F$2)/COUNTA($F$10:$F$16),0)-1)*COUNTA('הספק נוסף נדרש'!$C$6:$J$6),FALSE))</f>
        <v>0</v>
      </c>
      <c r="AJ52" s="79">
        <f ca="1">IF(OR($F52&gt;MAX('הנחות עבודה'!$B$69:$B$89),$F52&gt;$D$5),0,VLOOKUP($F52,'הספק נוסף נדרש'!$B$8:$AX$28,MATCH(AJ$49,'הספק נוסף נדרש'!$B$6:$AX$6,0)+(ROUNDUP((AJ$2-$F$2)/COUNTA($F$10:$F$16),0)-1)*COUNTA('הספק נוסף נדרש'!$C$6:$J$6),FALSE))</f>
        <v>344</v>
      </c>
      <c r="AK52" s="74">
        <f ca="1">IF(OR($F52&gt;MAX('הנחות עבודה'!$B$69:$B$89),$F52&gt;$D$5),0,VLOOKUP($F52,'הספק נוסף נדרש'!$B$8:$AX$28,MATCH(AK$49,'הספק נוסף נדרש'!$B$6:$AX$6,0)+(ROUNDUP((AK$2-$F$2)/COUNTA($F$10:$F$16),0)-1)*COUNTA('הספק נוסף נדרש'!$C$6:$J$6),FALSE))</f>
        <v>0</v>
      </c>
      <c r="AL52" s="136">
        <f ca="1">IF(OR($F52&gt;MAX('הנחות עבודה'!$B$69:$B$89),$F52&gt;$D$5),0,VLOOKUP($F52,'הספק נוסף נדרש'!$B$8:$AX$28,MATCH(AL$49,'הספק נוסף נדרש'!$B$6:$AX$6,0)+(ROUNDUP((AL$2-$F$2)/COUNTA($F$10:$F$16),0)-1)*COUNTA('הספק נוסף נדרש'!$C$6:$J$6),FALSE))</f>
        <v>802.82112981945102</v>
      </c>
      <c r="AM52" s="136">
        <f ca="1">IF(OR($F52&gt;MAX('הנחות עבודה'!$B$69:$B$89),$F52&gt;$D$5),0,VLOOKUP($F52,'הספק נוסף נדרש'!$B$8:$AX$28,MATCH(AM$49,'הספק נוסף נדרש'!$B$6:$AX$6,0)+(ROUNDUP((AM$2-$F$2)/COUNTA($F$10:$F$16),0)-1)*COUNTA('הספק נוסף נדרש'!$C$6:$J$6),FALSE))</f>
        <v>170</v>
      </c>
      <c r="AN52" s="136">
        <f ca="1">IF(OR($F52&gt;MAX('הנחות עבודה'!$B$69:$B$89),$F52&gt;$D$5),0,VLOOKUP($F52,'הספק נוסף נדרש'!$B$8:$AX$28,MATCH(AN$49,'הספק נוסף נדרש'!$B$6:$AX$6,0)+(ROUNDUP((AN$2-$F$2)/COUNTA($F$10:$F$16),0)-1)*COUNTA('הספק נוסף נדרש'!$C$6:$J$6),FALSE))</f>
        <v>5</v>
      </c>
      <c r="AO52" s="136">
        <f ca="1">IF(OR($F52&gt;MAX('הנחות עבודה'!$B$69:$B$89),$F52&gt;$D$5),0,VLOOKUP($F52,'הספק נוסף נדרש'!$B$8:$AX$28,MATCH(AO$49,'הספק נוסף נדרש'!$B$6:$AX$6,0)+(ROUNDUP((AO$2-$F$2)/COUNTA($F$10:$F$16),0)-1)*COUNTA('הספק נוסף נדרש'!$C$6:$J$6),FALSE))</f>
        <v>0</v>
      </c>
      <c r="AP52" s="136">
        <f ca="1">IF(OR($F52&gt;MAX('הנחות עבודה'!$B$69:$B$89),$F52&gt;$D$5),0,VLOOKUP($F52,'הספק נוסף נדרש'!$B$8:$AX$28,MATCH(AP$49,'הספק נוסף נדרש'!$B$6:$AX$6,0)+(ROUNDUP((AP$2-$F$2)/COUNTA($F$10:$F$16),0)-1)*COUNTA('הספק נוסף נדרש'!$C$6:$J$6),FALSE))</f>
        <v>344</v>
      </c>
      <c r="AQ52" s="9"/>
      <c r="AR52" s="10">
        <f t="shared" si="313"/>
        <v>2022</v>
      </c>
      <c r="AS52" s="79">
        <f ca="1">HLOOKUP(AS$49,$G$24:$L$45,COUNTA($F$25:$F27)+1,FALSE)*G52*$D$7/$D$8</f>
        <v>346.52892014426851</v>
      </c>
      <c r="AT52" s="138">
        <f ca="1">HLOOKUP(AT$49,$G$24:$L$45,COUNTA($F$25:$F27)+1,FALSE)*H52*$D$7/$D$8</f>
        <v>0</v>
      </c>
      <c r="AU52" s="138">
        <f ca="1">HLOOKUP(AU$49,$G$24:$L$45,COUNTA($F$25:$F27)+1,FALSE)*I52*$D$7/$D$8</f>
        <v>744.75139718147375</v>
      </c>
      <c r="AV52" s="138">
        <f ca="1">HLOOKUP(AV$49,$G$24:$L$45,COUNTA($F$25:$F27)+1,FALSE)*J52*$D$7/$D$8</f>
        <v>21.904452858278638</v>
      </c>
      <c r="AW52" s="138">
        <f ca="1">HLOOKUP(AW$49,$G$24:$L$45,COUNTA($F$25:$F27)+1,FALSE)*K52*$D$7/$D$8</f>
        <v>0</v>
      </c>
      <c r="AX52" s="79">
        <f ca="1">HLOOKUP(AX$49,$G$24:$L$45,COUNTA($F$25:$F27)+1,FALSE)*L52*$D$7/$D$8</f>
        <v>0</v>
      </c>
      <c r="AY52" s="74">
        <f ca="1">HLOOKUP(AY$49,$G$24:$L$45,COUNTA($F$25:$F27)+1,FALSE)*M52*$D$7/$D$8</f>
        <v>0</v>
      </c>
      <c r="AZ52" s="136">
        <f ca="1">HLOOKUP(AZ$49,$G$24:$L$45,COUNTA($F$25:$F27)+1,FALSE)*N52*$D$7/$D$8</f>
        <v>385.97249740849685</v>
      </c>
      <c r="BA52" s="136">
        <f ca="1">HLOOKUP(BA$49,$G$24:$L$45,COUNTA($F$25:$F27)+1,FALSE)*O52*$D$7/$D$8</f>
        <v>744.75139718147375</v>
      </c>
      <c r="BB52" s="136">
        <f ca="1">HLOOKUP(BB$49,$G$24:$L$45,COUNTA($F$25:$F27)+1,FALSE)*P52*$D$7/$D$8</f>
        <v>21.904452858278638</v>
      </c>
      <c r="BC52" s="136">
        <f ca="1">HLOOKUP(BC$49,$G$24:$L$45,COUNTA($F$25:$F27)+1,FALSE)*Q52*$D$7/$D$8</f>
        <v>0</v>
      </c>
      <c r="BD52" s="136">
        <f ca="1">HLOOKUP(BD$49,$G$24:$L$45,COUNTA($F$25:$F27)+1,FALSE)*R52*$D$7/$D$8</f>
        <v>0</v>
      </c>
      <c r="BE52" s="79">
        <f ca="1">HLOOKUP(BE$49,$G$24:$L$45,COUNTA($F$25:$F27)+1,FALSE)*S52*$D$7/$D$8</f>
        <v>1681.6497098674488</v>
      </c>
      <c r="BF52" s="138">
        <f ca="1">HLOOKUP(BF$49,$G$24:$L$45,COUNTA($F$25:$F27)+1,FALSE)*T52*$D$7/$D$8</f>
        <v>0</v>
      </c>
      <c r="BG52" s="138">
        <f ca="1">HLOOKUP(BG$49,$G$24:$L$45,COUNTA($F$25:$F27)+1,FALSE)*U52*$D$7/$D$8</f>
        <v>744.75139718147375</v>
      </c>
      <c r="BH52" s="138">
        <f ca="1">HLOOKUP(BH$49,$G$24:$L$45,COUNTA($F$25:$F27)+1,FALSE)*V52*$D$7/$D$8</f>
        <v>21.904452858278638</v>
      </c>
      <c r="BI52" s="138">
        <f ca="1">HLOOKUP(BI$49,$G$24:$L$45,COUNTA($F$25:$F27)+1,FALSE)*W52*$D$7/$D$8</f>
        <v>0</v>
      </c>
      <c r="BJ52" s="79">
        <f ca="1">HLOOKUP(BJ$49,$G$24:$L$45,COUNTA($F$25:$F27)+1,FALSE)*X52*$D$7/$D$8</f>
        <v>0</v>
      </c>
      <c r="BK52" s="74">
        <f ca="1">HLOOKUP(BK$49,$G$24:$L$45,COUNTA($F$25:$F27)+1,FALSE)*Y52*$D$7/$D$8</f>
        <v>0</v>
      </c>
      <c r="BL52" s="136">
        <f ca="1">HLOOKUP(BL$49,$G$24:$L$45,COUNTA($F$25:$F27)+1,FALSE)*Z52*$D$7/$D$8</f>
        <v>1873.0631140788751</v>
      </c>
      <c r="BM52" s="136">
        <f ca="1">HLOOKUP(BM$49,$G$24:$L$45,COUNTA($F$25:$F27)+1,FALSE)*AA52*$D$7/$D$8</f>
        <v>744.75139718147375</v>
      </c>
      <c r="BN52" s="136">
        <f ca="1">HLOOKUP(BN$49,$G$24:$L$45,COUNTA($F$25:$F27)+1,FALSE)*AB52*$D$7/$D$8</f>
        <v>21.904452858278638</v>
      </c>
      <c r="BO52" s="136">
        <f ca="1">HLOOKUP(BO$49,$G$24:$L$45,COUNTA($F$25:$F27)+1,FALSE)*AC52*$D$7/$D$8</f>
        <v>0</v>
      </c>
      <c r="BP52" s="136">
        <f ca="1">HLOOKUP(BP$49,$G$24:$L$45,COUNTA($F$25:$F27)+1,FALSE)*AD52*$D$7/$D$8</f>
        <v>0</v>
      </c>
      <c r="BQ52" s="79">
        <f ca="1">HLOOKUP(BQ$49,$G$24:$L$45,COUNTA($F$25:$F27)+1,FALSE)*AE52*$D$7/$D$8</f>
        <v>2423.3834819358785</v>
      </c>
      <c r="BR52" s="138">
        <f ca="1">HLOOKUP(BR$49,$G$24:$L$45,COUNTA($F$25:$F27)+1,FALSE)*AF52*$D$7/$D$8</f>
        <v>0</v>
      </c>
      <c r="BS52" s="138">
        <f ca="1">HLOOKUP(BS$49,$G$24:$L$45,COUNTA($F$25:$F27)+1,FALSE)*AG52*$D$7/$D$8</f>
        <v>744.75139718147375</v>
      </c>
      <c r="BT52" s="138">
        <f ca="1">HLOOKUP(BT$49,$G$24:$L$45,COUNTA($F$25:$F27)+1,FALSE)*AH52*$D$7/$D$8</f>
        <v>21.904452858278638</v>
      </c>
      <c r="BU52" s="138">
        <f ca="1">HLOOKUP(BU$49,$G$24:$L$45,COUNTA($F$25:$F27)+1,FALSE)*AI52*$D$7/$D$8</f>
        <v>0</v>
      </c>
      <c r="BV52" s="79">
        <f ca="1">HLOOKUP(BV$49,$G$24:$L$45,COUNTA($F$25:$F27)+1,FALSE)*AJ52*$D$7/$D$8</f>
        <v>0</v>
      </c>
      <c r="BW52" s="74">
        <f ca="1">HLOOKUP(BW$49,$G$24:$L$45,COUNTA($F$25:$F27)+1,FALSE)*AK52*$D$7/$D$8</f>
        <v>0</v>
      </c>
      <c r="BX52" s="136">
        <f ca="1">HLOOKUP(BX$49,$G$24:$L$45,COUNTA($F$25:$F27)+1,FALSE)*AL52*$D$7/$D$8</f>
        <v>2699.2245677846367</v>
      </c>
      <c r="BY52" s="136">
        <f ca="1">HLOOKUP(BY$49,$G$24:$L$45,COUNTA($F$25:$F27)+1,FALSE)*AM52*$D$7/$D$8</f>
        <v>744.75139718147375</v>
      </c>
      <c r="BZ52" s="136">
        <f ca="1">HLOOKUP(BZ$49,$G$24:$L$45,COUNTA($F$25:$F27)+1,FALSE)*AN52*$D$7/$D$8</f>
        <v>21.904452858278638</v>
      </c>
      <c r="CA52" s="136">
        <f ca="1">HLOOKUP(CA$49,$G$24:$L$45,COUNTA($F$25:$F27)+1,FALSE)*AO52*$D$7/$D$8</f>
        <v>0</v>
      </c>
      <c r="CB52" s="739">
        <f ca="1">HLOOKUP(CB$49,$G$24:$L$45,COUNTA($F$25:$F27)+1,FALSE)*AP52*$D$7/$D$8</f>
        <v>0</v>
      </c>
      <c r="CD52" s="10">
        <f t="shared" si="314"/>
        <v>2022</v>
      </c>
      <c r="CE52" s="85">
        <f t="shared" ca="1" si="240"/>
        <v>476.49221498801745</v>
      </c>
      <c r="CF52" s="147">
        <f t="shared" ca="1" si="241"/>
        <v>0</v>
      </c>
      <c r="CG52" s="147">
        <f t="shared" ca="1" si="242"/>
        <v>56.368415375825279</v>
      </c>
      <c r="CH52" s="147">
        <f t="shared" ca="1" si="243"/>
        <v>9.7203393773581244</v>
      </c>
      <c r="CI52" s="147">
        <f t="shared" ca="1" si="244"/>
        <v>0</v>
      </c>
      <c r="CJ52" s="85">
        <f t="shared" ca="1" si="245"/>
        <v>0</v>
      </c>
      <c r="CK52" s="151">
        <f t="shared" ca="1" si="246"/>
        <v>0</v>
      </c>
      <c r="CL52" s="102">
        <f t="shared" ca="1" si="247"/>
        <v>584.24072716433511</v>
      </c>
      <c r="CM52" s="102">
        <f t="shared" ca="1" si="248"/>
        <v>56.368415375825279</v>
      </c>
      <c r="CN52" s="102">
        <f t="shared" ca="1" si="249"/>
        <v>9.7203393773581244</v>
      </c>
      <c r="CO52" s="102">
        <f t="shared" ca="1" si="250"/>
        <v>0</v>
      </c>
      <c r="CP52" s="151">
        <f t="shared" ca="1" si="251"/>
        <v>0</v>
      </c>
      <c r="CQ52" s="85">
        <f t="shared" ca="1" si="252"/>
        <v>640.3451376356079</v>
      </c>
      <c r="CR52" s="147">
        <f t="shared" ca="1" si="253"/>
        <v>0</v>
      </c>
      <c r="CS52" s="147">
        <f t="shared" ca="1" si="254"/>
        <v>56.368415375825279</v>
      </c>
      <c r="CT52" s="147">
        <f t="shared" ca="1" si="255"/>
        <v>9.7203393773581244</v>
      </c>
      <c r="CU52" s="147">
        <f t="shared" ca="1" si="256"/>
        <v>0</v>
      </c>
      <c r="CV52" s="85">
        <f t="shared" ca="1" si="257"/>
        <v>0</v>
      </c>
      <c r="CW52" s="151">
        <f t="shared" ca="1" si="258"/>
        <v>0</v>
      </c>
      <c r="CX52" s="102">
        <f t="shared" ca="1" si="259"/>
        <v>786.10448261812917</v>
      </c>
      <c r="CY52" s="102">
        <f t="shared" ca="1" si="260"/>
        <v>56.368415375825279</v>
      </c>
      <c r="CZ52" s="102">
        <f t="shared" ca="1" si="261"/>
        <v>9.7203393773581244</v>
      </c>
      <c r="DA52" s="102">
        <f t="shared" ca="1" si="262"/>
        <v>0</v>
      </c>
      <c r="DB52" s="151">
        <f t="shared" ca="1" si="263"/>
        <v>0</v>
      </c>
      <c r="DC52" s="85">
        <f t="shared" ca="1" si="264"/>
        <v>731.37453910649151</v>
      </c>
      <c r="DD52" s="147">
        <f t="shared" ca="1" si="265"/>
        <v>0</v>
      </c>
      <c r="DE52" s="147">
        <f t="shared" ca="1" si="266"/>
        <v>56.368415375825279</v>
      </c>
      <c r="DF52" s="147">
        <f t="shared" ca="1" si="267"/>
        <v>9.7203393773581244</v>
      </c>
      <c r="DG52" s="147">
        <f t="shared" ca="1" si="268"/>
        <v>0</v>
      </c>
      <c r="DH52" s="85">
        <f t="shared" ca="1" si="269"/>
        <v>0</v>
      </c>
      <c r="DI52" s="151">
        <f t="shared" ca="1" si="270"/>
        <v>0</v>
      </c>
      <c r="DJ52" s="102">
        <f t="shared" ca="1" si="271"/>
        <v>898.25101342579262</v>
      </c>
      <c r="DK52" s="102">
        <f t="shared" ca="1" si="272"/>
        <v>56.368415375825279</v>
      </c>
      <c r="DL52" s="102">
        <f t="shared" ca="1" si="273"/>
        <v>9.7203393773581244</v>
      </c>
      <c r="DM52" s="102">
        <f t="shared" ca="1" si="274"/>
        <v>0</v>
      </c>
      <c r="DN52" s="564">
        <f t="shared" ca="1" si="275"/>
        <v>0</v>
      </c>
      <c r="DP52" s="10">
        <f t="shared" si="315"/>
        <v>2022</v>
      </c>
      <c r="DQ52" s="85">
        <f t="shared" ca="1" si="276"/>
        <v>131.97480398573353</v>
      </c>
      <c r="DR52" s="147">
        <f t="shared" ca="1" si="277"/>
        <v>0</v>
      </c>
      <c r="DS52" s="147">
        <f t="shared" ca="1" si="278"/>
        <v>15.380882958797031</v>
      </c>
      <c r="DT52" s="147">
        <f t="shared" ca="1" si="279"/>
        <v>3.0243309188645848</v>
      </c>
      <c r="DU52" s="147">
        <f t="shared" ca="1" si="280"/>
        <v>0</v>
      </c>
      <c r="DV52" s="85">
        <f t="shared" ca="1" si="281"/>
        <v>0</v>
      </c>
      <c r="DW52" s="151">
        <f t="shared" ca="1" si="282"/>
        <v>0</v>
      </c>
      <c r="DX52" s="102">
        <f t="shared" ca="1" si="283"/>
        <v>150.18073903289789</v>
      </c>
      <c r="DY52" s="102">
        <f t="shared" ca="1" si="284"/>
        <v>15.380882958797031</v>
      </c>
      <c r="DZ52" s="102">
        <f t="shared" ca="1" si="285"/>
        <v>3.0243309188645848</v>
      </c>
      <c r="EA52" s="102">
        <f t="shared" ca="1" si="286"/>
        <v>0</v>
      </c>
      <c r="EB52" s="151">
        <f t="shared" ca="1" si="287"/>
        <v>0</v>
      </c>
      <c r="EC52" s="85">
        <f t="shared" ca="1" si="288"/>
        <v>179.67475604734099</v>
      </c>
      <c r="ED52" s="147">
        <f t="shared" ca="1" si="289"/>
        <v>0</v>
      </c>
      <c r="EE52" s="147">
        <f t="shared" ca="1" si="290"/>
        <v>15.380882958797031</v>
      </c>
      <c r="EF52" s="147">
        <f t="shared" ca="1" si="291"/>
        <v>3.0243309188645848</v>
      </c>
      <c r="EG52" s="147">
        <f t="shared" ca="1" si="292"/>
        <v>0</v>
      </c>
      <c r="EH52" s="85">
        <f t="shared" ca="1" si="293"/>
        <v>0</v>
      </c>
      <c r="EI52" s="151">
        <f t="shared" ca="1" si="294"/>
        <v>0</v>
      </c>
      <c r="EJ52" s="102">
        <f t="shared" ca="1" si="295"/>
        <v>204.4609033983657</v>
      </c>
      <c r="EK52" s="102">
        <f t="shared" ca="1" si="296"/>
        <v>15.380882958797031</v>
      </c>
      <c r="EL52" s="102">
        <f t="shared" ca="1" si="297"/>
        <v>3.0243309188645848</v>
      </c>
      <c r="EM52" s="102">
        <f t="shared" ca="1" si="298"/>
        <v>0</v>
      </c>
      <c r="EN52" s="151">
        <f t="shared" ca="1" si="299"/>
        <v>0</v>
      </c>
      <c r="EO52" s="85">
        <f t="shared" ca="1" si="300"/>
        <v>206.17472941490072</v>
      </c>
      <c r="EP52" s="145">
        <f t="shared" ca="1" si="301"/>
        <v>0</v>
      </c>
      <c r="EQ52" s="145">
        <f t="shared" ca="1" si="302"/>
        <v>15.380882958797031</v>
      </c>
      <c r="ER52" s="145">
        <f t="shared" ca="1" si="303"/>
        <v>3.0243309188645848</v>
      </c>
      <c r="ES52" s="145">
        <f t="shared" ca="1" si="304"/>
        <v>0</v>
      </c>
      <c r="ET52" s="85">
        <f t="shared" ca="1" si="305"/>
        <v>0</v>
      </c>
      <c r="EU52" s="102">
        <f t="shared" ca="1" si="306"/>
        <v>0</v>
      </c>
      <c r="EV52" s="102">
        <f t="shared" ca="1" si="307"/>
        <v>234.61655026807006</v>
      </c>
      <c r="EW52" s="102">
        <f t="shared" ca="1" si="308"/>
        <v>15.380882958797031</v>
      </c>
      <c r="EX52" s="102">
        <f t="shared" ca="1" si="309"/>
        <v>3.0243309188645848</v>
      </c>
      <c r="EY52" s="102">
        <f t="shared" ca="1" si="310"/>
        <v>0</v>
      </c>
      <c r="EZ52" s="564">
        <f t="shared" ca="1" si="311"/>
        <v>0</v>
      </c>
      <c r="FB52" s="10">
        <f t="shared" si="316"/>
        <v>2022</v>
      </c>
      <c r="FC52" s="85">
        <f ca="1">HLOOKUP(FC$49,$O$24:$T$45,COUNTA($N$25:$N27)+1,FALSE)*G52*$D$7/$D$8</f>
        <v>6.3727718740016908</v>
      </c>
      <c r="FD52" s="147">
        <f ca="1">HLOOKUP(FD$49,$O$24:$T$45,COUNTA($N$25:$N27)+1,FALSE)*H52*$D$7/$D$8</f>
        <v>0</v>
      </c>
      <c r="FE52" s="147">
        <f ca="1">HLOOKUP(FE$49,$O$24:$T$45,COUNTA($N$25:$N27)+1,FALSE)*I52*$D$7/$D$8</f>
        <v>14.689607320199411</v>
      </c>
      <c r="FF52" s="147">
        <f ca="1">HLOOKUP(FF$49,$O$24:$T$45,COUNTA($N$25:$N27)+1,FALSE)*J52*$D$7/$D$8</f>
        <v>0.43204727412351213</v>
      </c>
      <c r="FG52" s="147">
        <f ca="1">HLOOKUP(FG$49,$O$24:$T$45,COUNTA($N$25:$N27)+1,FALSE)*K52*$D$7/$D$8</f>
        <v>0</v>
      </c>
      <c r="FH52" s="85">
        <f ca="1">HLOOKUP(FH$49,$O$24:$T$45,COUNTA($N$25:$N27)+1,FALSE)*L52*$D$7/$D$8</f>
        <v>0</v>
      </c>
      <c r="FI52" s="151">
        <f ca="1">HLOOKUP(FI$49,$O$24:$T$45,COUNTA($N$25:$N27)+1,FALSE)*M52*$D$7/$D$8</f>
        <v>0</v>
      </c>
      <c r="FJ52" s="153">
        <f ca="1">HLOOKUP(FJ$49,$O$24:$T$45,COUNTA($N$25:$N27)+1,FALSE)*N52*$D$7/$D$8</f>
        <v>7.2518962773310767</v>
      </c>
      <c r="FK52" s="153">
        <f ca="1">HLOOKUP(FK$49,$O$24:$T$45,COUNTA($N$25:$N27)+1,FALSE)*O52*$D$7/$D$8</f>
        <v>14.689607320199411</v>
      </c>
      <c r="FL52" s="153">
        <f ca="1">HLOOKUP(FL$49,$O$24:$T$45,COUNTA($N$25:$N27)+1,FALSE)*P52*$D$7/$D$8</f>
        <v>0.43204727412351213</v>
      </c>
      <c r="FM52" s="153">
        <f ca="1">HLOOKUP(FM$49,$O$24:$T$45,COUNTA($N$25:$N27)+1,FALSE)*Q52*$D$7/$D$8</f>
        <v>0</v>
      </c>
      <c r="FN52" s="151">
        <f ca="1">HLOOKUP(FN$49,$O$24:$T$45,COUNTA($N$25:$N27)+1,FALSE)*R52*$D$7/$D$8</f>
        <v>0</v>
      </c>
      <c r="FO52" s="85">
        <f ca="1">HLOOKUP(FO$49,$O$24:$T$45,COUNTA($N$25:$N27)+1,FALSE)*S52*$D$7/$D$8</f>
        <v>30.926047870707951</v>
      </c>
      <c r="FP52" s="147">
        <f ca="1">HLOOKUP(FP$49,$O$24:$T$45,COUNTA($N$25:$N27)+1,FALSE)*T52*$D$7/$D$8</f>
        <v>0</v>
      </c>
      <c r="FQ52" s="147">
        <f ca="1">HLOOKUP(FQ$49,$O$24:$T$45,COUNTA($N$25:$N27)+1,FALSE)*U52*$D$7/$D$8</f>
        <v>14.689607320199411</v>
      </c>
      <c r="FR52" s="147">
        <f ca="1">HLOOKUP(FR$49,$O$24:$T$45,COUNTA($N$25:$N27)+1,FALSE)*V52*$D$7/$D$8</f>
        <v>0.43204727412351213</v>
      </c>
      <c r="FS52" s="147">
        <f ca="1">HLOOKUP(FS$49,$O$24:$T$45,COUNTA($N$25:$N27)+1,FALSE)*W52*$D$7/$D$8</f>
        <v>0</v>
      </c>
      <c r="FT52" s="85">
        <f ca="1">HLOOKUP(FT$49,$O$24:$T$45,COUNTA($N$25:$N27)+1,FALSE)*X52*$D$7/$D$8</f>
        <v>0</v>
      </c>
      <c r="FU52" s="151">
        <f ca="1">HLOOKUP(FU$49,$O$24:$T$45,COUNTA($N$25:$N27)+1,FALSE)*Y52*$D$7/$D$8</f>
        <v>0</v>
      </c>
      <c r="FV52" s="153">
        <f ca="1">HLOOKUP(FV$49,$O$24:$T$45,COUNTA($N$25:$N27)+1,FALSE)*Z52*$D$7/$D$8</f>
        <v>35.19229871401641</v>
      </c>
      <c r="FW52" s="153">
        <f ca="1">HLOOKUP(FW$49,$O$24:$T$45,COUNTA($N$25:$N27)+1,FALSE)*AA52*$D$7/$D$8</f>
        <v>14.689607320199411</v>
      </c>
      <c r="FX52" s="153">
        <f ca="1">HLOOKUP(FX$49,$O$24:$T$45,COUNTA($N$25:$N27)+1,FALSE)*AB52*$D$7/$D$8</f>
        <v>0.43204727412351213</v>
      </c>
      <c r="FY52" s="153">
        <f ca="1">HLOOKUP(FY$49,$O$24:$T$45,COUNTA($N$25:$N27)+1,FALSE)*AC52*$D$7/$D$8</f>
        <v>0</v>
      </c>
      <c r="FZ52" s="151">
        <f ca="1">HLOOKUP(FZ$49,$O$24:$T$45,COUNTA($N$25:$N27)+1,FALSE)*AD52*$D$7/$D$8</f>
        <v>0</v>
      </c>
      <c r="GA52" s="85">
        <f ca="1">HLOOKUP(GA$49,$O$24:$T$45,COUNTA($N$25:$N27)+1,FALSE)*AE52*$D$7/$D$8</f>
        <v>44.566756757766917</v>
      </c>
      <c r="GB52" s="147">
        <f ca="1">HLOOKUP(GB$49,$O$24:$T$45,COUNTA($N$25:$N27)+1,FALSE)*AF52*$D$7/$D$8</f>
        <v>0</v>
      </c>
      <c r="GC52" s="147">
        <f ca="1">HLOOKUP(GC$49,$O$24:$T$45,COUNTA($N$25:$N27)+1,FALSE)*AG52*$D$7/$D$8</f>
        <v>14.689607320199411</v>
      </c>
      <c r="GD52" s="147">
        <f ca="1">HLOOKUP(GD$49,$O$24:$T$45,COUNTA($N$25:$N27)+1,FALSE)*AH52*$D$7/$D$8</f>
        <v>0.43204727412351213</v>
      </c>
      <c r="GE52" s="147">
        <f ca="1">HLOOKUP(GE$49,$O$24:$T$45,COUNTA($N$25:$N27)+1,FALSE)*AI52*$D$7/$D$8</f>
        <v>0</v>
      </c>
      <c r="GF52" s="85">
        <f ca="1">HLOOKUP(GF$49,$O$24:$T$45,COUNTA($N$25:$N27)+1,FALSE)*AJ52*$D$7/$D$8</f>
        <v>0</v>
      </c>
      <c r="GG52" s="151">
        <f ca="1">HLOOKUP(GG$49,$O$24:$T$45,COUNTA($N$25:$N27)+1,FALSE)*AK52*$D$7/$D$8</f>
        <v>0</v>
      </c>
      <c r="GH52" s="153">
        <f ca="1">HLOOKUP(GH$49,$O$24:$T$45,COUNTA($N$25:$N27)+1,FALSE)*AL52*$D$7/$D$8</f>
        <v>50.714744512174853</v>
      </c>
      <c r="GI52" s="153">
        <f ca="1">HLOOKUP(GI$49,$O$24:$T$45,COUNTA($N$25:$N27)+1,FALSE)*AM52*$D$7/$D$8</f>
        <v>14.689607320199411</v>
      </c>
      <c r="GJ52" s="153">
        <f ca="1">HLOOKUP(GJ$49,$O$24:$T$45,COUNTA($N$25:$N27)+1,FALSE)*AN52*$D$7/$D$8</f>
        <v>0.43204727412351213</v>
      </c>
      <c r="GK52" s="153">
        <f ca="1">HLOOKUP(GK$49,$O$24:$T$45,COUNTA($N$25:$N27)+1,FALSE)*AO52*$D$7/$D$8</f>
        <v>0</v>
      </c>
      <c r="GL52" s="564">
        <f ca="1">HLOOKUP(GL$49,$O$24:$T$45,COUNTA($N$25:$N27)+1,FALSE)*AP52*$D$7/$D$8</f>
        <v>0</v>
      </c>
    </row>
    <row r="53" spans="6:194">
      <c r="F53" s="10">
        <f>+F52+1</f>
        <v>2023</v>
      </c>
      <c r="G53" s="79">
        <f ca="1">IF(OR($F53&gt;MAX('הנחות עבודה'!$B$69:$B$89),$F53&gt;$D$5),0,VLOOKUP($F53,'הספק נוסף נדרש'!$B$8:$AX$28,MATCH(G$49,'הספק נוסף נדרש'!$B$6:$AX$6,0)+(ROUNDUP((G$2-$F$2)/COUNTA($F$10:$F$16),0)-1)*COUNTA('הספק נוסף נדרש'!$C$6:$J$6),FALSE))</f>
        <v>122.1593918864919</v>
      </c>
      <c r="H53" s="138">
        <f ca="1">IF(OR($F53&gt;MAX('הנחות עבודה'!$B$69:$B$89),$F53&gt;$D$5),0,VLOOKUP($F53,'הספק נוסף נדרש'!$B$8:$AX$28,MATCH(H$49,'הספק נוסף נדרש'!$B$6:$AX$6,0)+(ROUNDUP((H$2-$F$2)/COUNTA($F$10:$F$16),0)-1)*COUNTA('הספק נוסף נדרש'!$C$6:$J$6),FALSE))</f>
        <v>0</v>
      </c>
      <c r="I53" s="138">
        <f ca="1">IF(OR($F53&gt;MAX('הנחות עבודה'!$B$69:$B$89),$F53&gt;$D$5),0,VLOOKUP($F53,'הספק נוסף נדרש'!$B$8:$AX$28,MATCH(I$49,'הספק נוסף נדרש'!$B$6:$AX$6,0)+(ROUNDUP((I$2-$F$2)/COUNTA($F$10:$F$16),0)-1)*COUNTA('הספק נוסף נדרש'!$C$6:$J$6),FALSE))</f>
        <v>177</v>
      </c>
      <c r="J53" s="138">
        <f ca="1">IF(OR($F53&gt;MAX('הנחות עבודה'!$B$69:$B$89),$F53&gt;$D$5),0,VLOOKUP($F53,'הספק נוסף נדרש'!$B$8:$AX$28,MATCH(J$49,'הספק נוסף נדרש'!$B$6:$AX$6,0)+(ROUNDUP((J$2-$F$2)/COUNTA($F$10:$F$16),0)-1)*COUNTA('הספק נוסף נדרש'!$C$6:$J$6),FALSE))</f>
        <v>5</v>
      </c>
      <c r="K53" s="138">
        <f ca="1">IF(OR($F53&gt;MAX('הנחות עבודה'!$B$69:$B$89),$F53&gt;$D$5),0,VLOOKUP($F53,'הספק נוסף נדרש'!$B$8:$AX$28,MATCH(K$49,'הספק נוסף נדרש'!$B$6:$AX$6,0)+(ROUNDUP((K$2-$F$2)/COUNTA($F$10:$F$16),0)-1)*COUNTA('הספק נוסף נדרש'!$C$6:$J$6),FALSE))</f>
        <v>0</v>
      </c>
      <c r="L53" s="79">
        <f ca="1">IF(OR($F53&gt;MAX('הנחות עבודה'!$B$69:$B$89),$F53&gt;$D$5),0,VLOOKUP($F53,'הספק נוסף נדרש'!$B$8:$AX$28,MATCH(L$49,'הספק נוסף נדרש'!$B$6:$AX$6,0)+(ROUNDUP((L$2-$F$2)/COUNTA($F$10:$F$16),0)-1)*COUNTA('הספק נוסף נדרש'!$C$6:$J$6),FALSE))</f>
        <v>0</v>
      </c>
      <c r="M53" s="74">
        <f ca="1">IF(OR($F53&gt;MAX('הנחות עבודה'!$B$69:$B$89),$F53&gt;$D$5),0,VLOOKUP($F53,'הספק נוסף נדרש'!$B$8:$AX$28,MATCH(M$49,'הספק נוסף נדרש'!$B$6:$AX$6,0)+(ROUNDUP((M$2-$F$2)/COUNTA($F$10:$F$16),0)-1)*COUNTA('הספק נוסף נדרש'!$C$6:$J$6),FALSE))</f>
        <v>0</v>
      </c>
      <c r="N53" s="136">
        <f ca="1">IF(OR($F53&gt;MAX('הנחות עבודה'!$B$69:$B$89),$F53&gt;$D$5),0,VLOOKUP($F53,'הספק נוסף נדרש'!$B$8:$AX$28,MATCH(N$49,'הספק נוסף נדרש'!$B$6:$AX$6,0)+(ROUNDUP((N$2-$F$2)/COUNTA($F$10:$F$16),0)-1)*COUNTA('הספק נוסף נדרש'!$C$6:$J$6),FALSE))</f>
        <v>122.1593918864919</v>
      </c>
      <c r="O53" s="136">
        <f ca="1">IF(OR($F53&gt;MAX('הנחות עבודה'!$B$69:$B$89),$F53&gt;$D$5),0,VLOOKUP($F53,'הספק נוסף נדרש'!$B$8:$AX$28,MATCH(O$49,'הספק נוסף נדרש'!$B$6:$AX$6,0)+(ROUNDUP((O$2-$F$2)/COUNTA($F$10:$F$16),0)-1)*COUNTA('הספק נוסף נדרש'!$C$6:$J$6),FALSE))</f>
        <v>177</v>
      </c>
      <c r="P53" s="136">
        <f ca="1">IF(OR($F53&gt;MAX('הנחות עבודה'!$B$69:$B$89),$F53&gt;$D$5),0,VLOOKUP($F53,'הספק נוסף נדרש'!$B$8:$AX$28,MATCH(P$49,'הספק נוסף נדרש'!$B$6:$AX$6,0)+(ROUNDUP((P$2-$F$2)/COUNTA($F$10:$F$16),0)-1)*COUNTA('הספק נוסף נדרש'!$C$6:$J$6),FALSE))</f>
        <v>5</v>
      </c>
      <c r="Q53" s="136">
        <f ca="1">IF(OR($F53&gt;MAX('הנחות עבודה'!$B$69:$B$89),$F53&gt;$D$5),0,VLOOKUP($F53,'הספק נוסף נדרש'!$B$8:$AX$28,MATCH(Q$49,'הספק נוסף נדרש'!$B$6:$AX$6,0)+(ROUNDUP((Q$2-$F$2)/COUNTA($F$10:$F$16),0)-1)*COUNTA('הספק נוסף נדרש'!$C$6:$J$6),FALSE))</f>
        <v>0</v>
      </c>
      <c r="R53" s="136">
        <f ca="1">IF(OR($F53&gt;MAX('הנחות עבודה'!$B$69:$B$89),$F53&gt;$D$5),0,VLOOKUP($F53,'הספק נוסף נדרש'!$B$8:$AX$28,MATCH(R$49,'הספק נוסף נדרש'!$B$6:$AX$6,0)+(ROUNDUP((R$2-$F$2)/COUNTA($F$10:$F$16),0)-1)*COUNTA('הספק נוסף נדרש'!$C$6:$J$6),FALSE))</f>
        <v>0</v>
      </c>
      <c r="S53" s="79">
        <f ca="1">IF(OR($F53&gt;MAX('הנחות עבודה'!$B$69:$B$89),$F53&gt;$D$5),0,VLOOKUP($F53,'הספק נוסף נדרש'!$B$8:$AX$28,MATCH(S$49,'הספק נוסף נדרש'!$B$6:$AX$6,0)+(ROUNDUP((S$2-$F$2)/COUNTA($F$10:$F$16),0)-1)*COUNTA('הספק נוסף נדרש'!$C$6:$J$6),FALSE))</f>
        <v>590.95086326967066</v>
      </c>
      <c r="T53" s="138">
        <f ca="1">IF(OR($F53&gt;MAX('הנחות עבודה'!$B$69:$B$89),$F53&gt;$D$5),0,VLOOKUP($F53,'הספק נוסף נדרש'!$B$8:$AX$28,MATCH(T$49,'הספק נוסף נדרש'!$B$6:$AX$6,0)+(ROUNDUP((T$2-$F$2)/COUNTA($F$10:$F$16),0)-1)*COUNTA('הספק נוסף נדרש'!$C$6:$J$6),FALSE))</f>
        <v>0</v>
      </c>
      <c r="U53" s="138">
        <f ca="1">IF(OR($F53&gt;MAX('הנחות עבודה'!$B$69:$B$89),$F53&gt;$D$5),0,VLOOKUP($F53,'הספק נוסף נדרש'!$B$8:$AX$28,MATCH(U$49,'הספק נוסף נדרש'!$B$6:$AX$6,0)+(ROUNDUP((U$2-$F$2)/COUNTA($F$10:$F$16),0)-1)*COUNTA('הספק נוסף נדרש'!$C$6:$J$6),FALSE))</f>
        <v>177</v>
      </c>
      <c r="V53" s="138">
        <f ca="1">IF(OR($F53&gt;MAX('הנחות עבודה'!$B$69:$B$89),$F53&gt;$D$5),0,VLOOKUP($F53,'הספק נוסף נדרש'!$B$8:$AX$28,MATCH(V$49,'הספק נוסף נדרש'!$B$6:$AX$6,0)+(ROUNDUP((V$2-$F$2)/COUNTA($F$10:$F$16),0)-1)*COUNTA('הספק נוסף נדרש'!$C$6:$J$6),FALSE))</f>
        <v>5</v>
      </c>
      <c r="W53" s="138">
        <f ca="1">IF(OR($F53&gt;MAX('הנחות עבודה'!$B$69:$B$89),$F53&gt;$D$5),0,VLOOKUP($F53,'הספק נוסף נדרש'!$B$8:$AX$28,MATCH(W$49,'הספק נוסף נדרש'!$B$6:$AX$6,0)+(ROUNDUP((W$2-$F$2)/COUNTA($F$10:$F$16),0)-1)*COUNTA('הספק נוסף נדרש'!$C$6:$J$6),FALSE))</f>
        <v>0</v>
      </c>
      <c r="X53" s="79">
        <f ca="1">IF(OR($F53&gt;MAX('הנחות עבודה'!$B$69:$B$89),$F53&gt;$D$5),0,VLOOKUP($F53,'הספק נוסף נדרש'!$B$8:$AX$28,MATCH(X$49,'הספק נוסף נדרש'!$B$6:$AX$6,0)+(ROUNDUP((X$2-$F$2)/COUNTA($F$10:$F$16),0)-1)*COUNTA('הספק נוסף נדרש'!$C$6:$J$6),FALSE))</f>
        <v>0</v>
      </c>
      <c r="Y53" s="74">
        <f ca="1">IF(OR($F53&gt;MAX('הנחות עבודה'!$B$69:$B$89),$F53&gt;$D$5),0,VLOOKUP($F53,'הספק נוסף נדרש'!$B$8:$AX$28,MATCH(Y$49,'הספק נוסף נדרש'!$B$6:$AX$6,0)+(ROUNDUP((Y$2-$F$2)/COUNTA($F$10:$F$16),0)-1)*COUNTA('הספק נוסף נדרש'!$C$6:$J$6),FALSE))</f>
        <v>0</v>
      </c>
      <c r="Z53" s="136">
        <f ca="1">IF(OR($F53&gt;MAX('הנחות עבודה'!$B$69:$B$89),$F53&gt;$D$5),0,VLOOKUP($F53,'הספק נוסף נדרש'!$B$8:$AX$28,MATCH(Z$49,'הספק נוסף נדרש'!$B$6:$AX$6,0)+(ROUNDUP((Z$2-$F$2)/COUNTA($F$10:$F$16),0)-1)*COUNTA('הספק נוסף נדרש'!$C$6:$J$6),FALSE))</f>
        <v>590.95086326967066</v>
      </c>
      <c r="AA53" s="136">
        <f ca="1">IF(OR($F53&gt;MAX('הנחות עבודה'!$B$69:$B$89),$F53&gt;$D$5),0,VLOOKUP($F53,'הספק נוסף נדרש'!$B$8:$AX$28,MATCH(AA$49,'הספק נוסף נדרש'!$B$6:$AX$6,0)+(ROUNDUP((AA$2-$F$2)/COUNTA($F$10:$F$16),0)-1)*COUNTA('הספק נוסף נדרש'!$C$6:$J$6),FALSE))</f>
        <v>177</v>
      </c>
      <c r="AB53" s="136">
        <f ca="1">IF(OR($F53&gt;MAX('הנחות עבודה'!$B$69:$B$89),$F53&gt;$D$5),0,VLOOKUP($F53,'הספק נוסף נדרש'!$B$8:$AX$28,MATCH(AB$49,'הספק נוסף נדרש'!$B$6:$AX$6,0)+(ROUNDUP((AB$2-$F$2)/COUNTA($F$10:$F$16),0)-1)*COUNTA('הספק נוסף נדרש'!$C$6:$J$6),FALSE))</f>
        <v>5</v>
      </c>
      <c r="AC53" s="136">
        <f ca="1">IF(OR($F53&gt;MAX('הנחות עבודה'!$B$69:$B$89),$F53&gt;$D$5),0,VLOOKUP($F53,'הספק נוסף נדרש'!$B$8:$AX$28,MATCH(AC$49,'הספק נוסף נדרש'!$B$6:$AX$6,0)+(ROUNDUP((AC$2-$F$2)/COUNTA($F$10:$F$16),0)-1)*COUNTA('הספק נוסף נדרש'!$C$6:$J$6),FALSE))</f>
        <v>0</v>
      </c>
      <c r="AD53" s="136">
        <f ca="1">IF(OR($F53&gt;MAX('הנחות עבודה'!$B$69:$B$89),$F53&gt;$D$5),0,VLOOKUP($F53,'הספק נוסף נדרש'!$B$8:$AX$28,MATCH(AD$49,'הספק נוסף נדרש'!$B$6:$AX$6,0)+(ROUNDUP((AD$2-$F$2)/COUNTA($F$10:$F$16),0)-1)*COUNTA('הספק נוסף נדרש'!$C$6:$J$6),FALSE))</f>
        <v>0</v>
      </c>
      <c r="AE53" s="79">
        <f ca="1">IF(OR($F53&gt;MAX('הנחות עבודה'!$B$69:$B$89),$F53&gt;$D$5),0,VLOOKUP($F53,'הספק נוסף נדרש'!$B$8:$AX$28,MATCH(AE$49,'הספק נוסף נדרש'!$B$6:$AX$6,0)+(ROUNDUP((AE$2-$F$2)/COUNTA($F$10:$F$16),0)-1)*COUNTA('הספק נוסף נדרש'!$C$6:$J$6),FALSE))</f>
        <v>851.39056959365917</v>
      </c>
      <c r="AF53" s="138">
        <f ca="1">IF(OR($F53&gt;MAX('הנחות עבודה'!$B$69:$B$89),$F53&gt;$D$5),0,VLOOKUP($F53,'הספק נוסף נדרש'!$B$8:$AX$28,MATCH(AF$49,'הספק נוסף נדרש'!$B$6:$AX$6,0)+(ROUNDUP((AF$2-$F$2)/COUNTA($F$10:$F$16),0)-1)*COUNTA('הספק נוסף נדרש'!$C$6:$J$6),FALSE))</f>
        <v>0</v>
      </c>
      <c r="AG53" s="138">
        <f ca="1">IF(OR($F53&gt;MAX('הנחות עבודה'!$B$69:$B$89),$F53&gt;$D$5),0,VLOOKUP($F53,'הספק נוסף נדרש'!$B$8:$AX$28,MATCH(AG$49,'הספק נוסף נדרש'!$B$6:$AX$6,0)+(ROUNDUP((AG$2-$F$2)/COUNTA($F$10:$F$16),0)-1)*COUNTA('הספק נוסף נדרש'!$C$6:$J$6),FALSE))</f>
        <v>177</v>
      </c>
      <c r="AH53" s="138">
        <f ca="1">IF(OR($F53&gt;MAX('הנחות עבודה'!$B$69:$B$89),$F53&gt;$D$5),0,VLOOKUP($F53,'הספק נוסף נדרש'!$B$8:$AX$28,MATCH(AH$49,'הספק נוסף נדרש'!$B$6:$AX$6,0)+(ROUNDUP((AH$2-$F$2)/COUNTA($F$10:$F$16),0)-1)*COUNTA('הספק נוסף נדרש'!$C$6:$J$6),FALSE))</f>
        <v>5</v>
      </c>
      <c r="AI53" s="138">
        <f ca="1">IF(OR($F53&gt;MAX('הנחות עבודה'!$B$69:$B$89),$F53&gt;$D$5),0,VLOOKUP($F53,'הספק נוסף נדרש'!$B$8:$AX$28,MATCH(AI$49,'הספק נוסף נדרש'!$B$6:$AX$6,0)+(ROUNDUP((AI$2-$F$2)/COUNTA($F$10:$F$16),0)-1)*COUNTA('הספק נוסף נדרש'!$C$6:$J$6),FALSE))</f>
        <v>0</v>
      </c>
      <c r="AJ53" s="79">
        <f ca="1">IF(OR($F53&gt;MAX('הנחות עבודה'!$B$69:$B$89),$F53&gt;$D$5),0,VLOOKUP($F53,'הספק נוסף נדרש'!$B$8:$AX$28,MATCH(AJ$49,'הספק נוסף נדרש'!$B$6:$AX$6,0)+(ROUNDUP((AJ$2-$F$2)/COUNTA($F$10:$F$16),0)-1)*COUNTA('הספק נוסף נדרש'!$C$6:$J$6),FALSE))</f>
        <v>0</v>
      </c>
      <c r="AK53" s="74">
        <f ca="1">IF(OR($F53&gt;MAX('הנחות עבודה'!$B$69:$B$89),$F53&gt;$D$5),0,VLOOKUP($F53,'הספק נוסף נדרש'!$B$8:$AX$28,MATCH(AK$49,'הספק נוסף נדרש'!$B$6:$AX$6,0)+(ROUNDUP((AK$2-$F$2)/COUNTA($F$10:$F$16),0)-1)*COUNTA('הספק נוסף נדרש'!$C$6:$J$6),FALSE))</f>
        <v>0</v>
      </c>
      <c r="AL53" s="136">
        <f ca="1">IF(OR($F53&gt;MAX('הנחות עבודה'!$B$69:$B$89),$F53&gt;$D$5),0,VLOOKUP($F53,'הספק נוסף נדרש'!$B$8:$AX$28,MATCH(AL$49,'הספק נוסף נדרש'!$B$6:$AX$6,0)+(ROUNDUP((AL$2-$F$2)/COUNTA($F$10:$F$16),0)-1)*COUNTA('הספק נוסף נדרש'!$C$6:$J$6),FALSE))</f>
        <v>851.39056959365917</v>
      </c>
      <c r="AM53" s="136">
        <f ca="1">IF(OR($F53&gt;MAX('הנחות עבודה'!$B$69:$B$89),$F53&gt;$D$5),0,VLOOKUP($F53,'הספק נוסף נדרש'!$B$8:$AX$28,MATCH(AM$49,'הספק נוסף נדרש'!$B$6:$AX$6,0)+(ROUNDUP((AM$2-$F$2)/COUNTA($F$10:$F$16),0)-1)*COUNTA('הספק נוסף נדרש'!$C$6:$J$6),FALSE))</f>
        <v>177</v>
      </c>
      <c r="AN53" s="136">
        <f ca="1">IF(OR($F53&gt;MAX('הנחות עבודה'!$B$69:$B$89),$F53&gt;$D$5),0,VLOOKUP($F53,'הספק נוסף נדרש'!$B$8:$AX$28,MATCH(AN$49,'הספק נוסף נדרש'!$B$6:$AX$6,0)+(ROUNDUP((AN$2-$F$2)/COUNTA($F$10:$F$16),0)-1)*COUNTA('הספק נוסף נדרש'!$C$6:$J$6),FALSE))</f>
        <v>5</v>
      </c>
      <c r="AO53" s="136">
        <f ca="1">IF(OR($F53&gt;MAX('הנחות עבודה'!$B$69:$B$89),$F53&gt;$D$5),0,VLOOKUP($F53,'הספק נוסף נדרש'!$B$8:$AX$28,MATCH(AO$49,'הספק נוסף נדרש'!$B$6:$AX$6,0)+(ROUNDUP((AO$2-$F$2)/COUNTA($F$10:$F$16),0)-1)*COUNTA('הספק נוסף נדרש'!$C$6:$J$6),FALSE))</f>
        <v>0</v>
      </c>
      <c r="AP53" s="136">
        <f ca="1">IF(OR($F53&gt;MAX('הנחות עבודה'!$B$69:$B$89),$F53&gt;$D$5),0,VLOOKUP($F53,'הספק נוסף נדרש'!$B$8:$AX$28,MATCH(AP$49,'הספק נוסף נדרש'!$B$6:$AX$6,0)+(ROUNDUP((AP$2-$F$2)/COUNTA($F$10:$F$16),0)-1)*COUNTA('הספק נוסף נדרש'!$C$6:$J$6),FALSE))</f>
        <v>0</v>
      </c>
      <c r="AQ53" s="9"/>
      <c r="AR53" s="10">
        <f t="shared" si="313"/>
        <v>2023</v>
      </c>
      <c r="AS53" s="79">
        <f ca="1">HLOOKUP(AS$49,$G$24:$L$45,COUNTA($F$25:$F28)+1,FALSE)*G53*$D$7/$D$8</f>
        <v>354.56259423244171</v>
      </c>
      <c r="AT53" s="138">
        <f ca="1">HLOOKUP(AT$49,$G$24:$L$45,COUNTA($F$25:$F28)+1,FALSE)*H53*$D$7/$D$8</f>
        <v>0</v>
      </c>
      <c r="AU53" s="138">
        <f ca="1">HLOOKUP(AU$49,$G$24:$L$45,COUNTA($F$25:$F28)+1,FALSE)*I53*$D$7/$D$8</f>
        <v>757.85051330792214</v>
      </c>
      <c r="AV53" s="138">
        <f ca="1">HLOOKUP(AV$49,$G$24:$L$45,COUNTA($F$25:$F28)+1,FALSE)*J53*$D$7/$D$8</f>
        <v>21.408206590619269</v>
      </c>
      <c r="AW53" s="138">
        <f ca="1">HLOOKUP(AW$49,$G$24:$L$45,COUNTA($F$25:$F28)+1,FALSE)*K53*$D$7/$D$8</f>
        <v>0</v>
      </c>
      <c r="AX53" s="79">
        <f ca="1">HLOOKUP(AX$49,$G$24:$L$45,COUNTA($F$25:$F28)+1,FALSE)*L53*$D$7/$D$8</f>
        <v>0</v>
      </c>
      <c r="AY53" s="74">
        <f ca="1">HLOOKUP(AY$49,$G$24:$L$45,COUNTA($F$25:$F28)+1,FALSE)*M53*$D$7/$D$8</f>
        <v>0</v>
      </c>
      <c r="AZ53" s="136">
        <f ca="1">HLOOKUP(AZ$49,$G$24:$L$45,COUNTA($F$25:$F28)+1,FALSE)*N53*$D$7/$D$8</f>
        <v>396.52496735247087</v>
      </c>
      <c r="BA53" s="136">
        <f ca="1">HLOOKUP(BA$49,$G$24:$L$45,COUNTA($F$25:$F28)+1,FALSE)*O53*$D$7/$D$8</f>
        <v>757.85051330792214</v>
      </c>
      <c r="BB53" s="136">
        <f ca="1">HLOOKUP(BB$49,$G$24:$L$45,COUNTA($F$25:$F28)+1,FALSE)*P53*$D$7/$D$8</f>
        <v>21.408206590619269</v>
      </c>
      <c r="BC53" s="136">
        <f ca="1">HLOOKUP(BC$49,$G$24:$L$45,COUNTA($F$25:$F28)+1,FALSE)*Q53*$D$7/$D$8</f>
        <v>0</v>
      </c>
      <c r="BD53" s="136">
        <f ca="1">HLOOKUP(BD$49,$G$24:$L$45,COUNTA($F$25:$F28)+1,FALSE)*R53*$D$7/$D$8</f>
        <v>0</v>
      </c>
      <c r="BE53" s="79">
        <f ca="1">HLOOKUP(BE$49,$G$24:$L$45,COUNTA($F$25:$F28)+1,FALSE)*S53*$D$7/$D$8</f>
        <v>1715.210495968134</v>
      </c>
      <c r="BF53" s="138">
        <f ca="1">HLOOKUP(BF$49,$G$24:$L$45,COUNTA($F$25:$F28)+1,FALSE)*T53*$D$7/$D$8</f>
        <v>0</v>
      </c>
      <c r="BG53" s="138">
        <f ca="1">HLOOKUP(BG$49,$G$24:$L$45,COUNTA($F$25:$F28)+1,FALSE)*U53*$D$7/$D$8</f>
        <v>757.85051330792214</v>
      </c>
      <c r="BH53" s="138">
        <f ca="1">HLOOKUP(BH$49,$G$24:$L$45,COUNTA($F$25:$F28)+1,FALSE)*V53*$D$7/$D$8</f>
        <v>21.408206590619269</v>
      </c>
      <c r="BI53" s="138">
        <f ca="1">HLOOKUP(BI$49,$G$24:$L$45,COUNTA($F$25:$F28)+1,FALSE)*W53*$D$7/$D$8</f>
        <v>0</v>
      </c>
      <c r="BJ53" s="79">
        <f ca="1">HLOOKUP(BJ$49,$G$24:$L$45,COUNTA($F$25:$F28)+1,FALSE)*X53*$D$7/$D$8</f>
        <v>0</v>
      </c>
      <c r="BK53" s="74">
        <f ca="1">HLOOKUP(BK$49,$G$24:$L$45,COUNTA($F$25:$F28)+1,FALSE)*Y53*$D$7/$D$8</f>
        <v>0</v>
      </c>
      <c r="BL53" s="136">
        <f ca="1">HLOOKUP(BL$49,$G$24:$L$45,COUNTA($F$25:$F28)+1,FALSE)*Z53*$D$7/$D$8</f>
        <v>1918.2051264846871</v>
      </c>
      <c r="BM53" s="136">
        <f ca="1">HLOOKUP(BM$49,$G$24:$L$45,COUNTA($F$25:$F28)+1,FALSE)*AA53*$D$7/$D$8</f>
        <v>757.85051330792214</v>
      </c>
      <c r="BN53" s="136">
        <f ca="1">HLOOKUP(BN$49,$G$24:$L$45,COUNTA($F$25:$F28)+1,FALSE)*AB53*$D$7/$D$8</f>
        <v>21.408206590619269</v>
      </c>
      <c r="BO53" s="136">
        <f ca="1">HLOOKUP(BO$49,$G$24:$L$45,COUNTA($F$25:$F28)+1,FALSE)*AC53*$D$7/$D$8</f>
        <v>0</v>
      </c>
      <c r="BP53" s="136">
        <f ca="1">HLOOKUP(BP$49,$G$24:$L$45,COUNTA($F$25:$F28)+1,FALSE)*AD53*$D$7/$D$8</f>
        <v>0</v>
      </c>
      <c r="BQ53" s="79">
        <f ca="1">HLOOKUP(BQ$49,$G$24:$L$45,COUNTA($F$25:$F28)+1,FALSE)*AE53*$D$7/$D$8</f>
        <v>2471.1259969324083</v>
      </c>
      <c r="BR53" s="138">
        <f ca="1">HLOOKUP(BR$49,$G$24:$L$45,COUNTA($F$25:$F28)+1,FALSE)*AF53*$D$7/$D$8</f>
        <v>0</v>
      </c>
      <c r="BS53" s="138">
        <f ca="1">HLOOKUP(BS$49,$G$24:$L$45,COUNTA($F$25:$F28)+1,FALSE)*AG53*$D$7/$D$8</f>
        <v>757.85051330792214</v>
      </c>
      <c r="BT53" s="138">
        <f ca="1">HLOOKUP(BT$49,$G$24:$L$45,COUNTA($F$25:$F28)+1,FALSE)*AH53*$D$7/$D$8</f>
        <v>21.408206590619269</v>
      </c>
      <c r="BU53" s="138">
        <f ca="1">HLOOKUP(BU$49,$G$24:$L$45,COUNTA($F$25:$F28)+1,FALSE)*AI53*$D$7/$D$8</f>
        <v>0</v>
      </c>
      <c r="BV53" s="79">
        <f ca="1">HLOOKUP(BV$49,$G$24:$L$45,COUNTA($F$25:$F28)+1,FALSE)*AJ53*$D$7/$D$8</f>
        <v>0</v>
      </c>
      <c r="BW53" s="74">
        <f ca="1">HLOOKUP(BW$49,$G$24:$L$45,COUNTA($F$25:$F28)+1,FALSE)*AK53*$D$7/$D$8</f>
        <v>0</v>
      </c>
      <c r="BX53" s="136">
        <f ca="1">HLOOKUP(BX$49,$G$24:$L$45,COUNTA($F$25:$F28)+1,FALSE)*AL53*$D$7/$D$8</f>
        <v>2763.5829926692522</v>
      </c>
      <c r="BY53" s="136">
        <f ca="1">HLOOKUP(BY$49,$G$24:$L$45,COUNTA($F$25:$F28)+1,FALSE)*AM53*$D$7/$D$8</f>
        <v>757.85051330792214</v>
      </c>
      <c r="BZ53" s="136">
        <f ca="1">HLOOKUP(BZ$49,$G$24:$L$45,COUNTA($F$25:$F28)+1,FALSE)*AN53*$D$7/$D$8</f>
        <v>21.408206590619269</v>
      </c>
      <c r="CA53" s="136">
        <f ca="1">HLOOKUP(CA$49,$G$24:$L$45,COUNTA($F$25:$F28)+1,FALSE)*AO53*$D$7/$D$8</f>
        <v>0</v>
      </c>
      <c r="CB53" s="739">
        <f ca="1">HLOOKUP(CB$49,$G$24:$L$45,COUNTA($F$25:$F28)+1,FALSE)*AP53*$D$7/$D$8</f>
        <v>0</v>
      </c>
      <c r="CD53" s="10">
        <f t="shared" si="314"/>
        <v>2023</v>
      </c>
      <c r="CE53" s="85">
        <f t="shared" ca="1" si="240"/>
        <v>498.45005526958806</v>
      </c>
      <c r="CF53" s="147">
        <f t="shared" ca="1" si="241"/>
        <v>0</v>
      </c>
      <c r="CG53" s="147">
        <f t="shared" ca="1" si="242"/>
        <v>110.75857914083261</v>
      </c>
      <c r="CH53" s="147">
        <f t="shared" ca="1" si="243"/>
        <v>11.050464858731527</v>
      </c>
      <c r="CI53" s="147">
        <f t="shared" ca="1" si="244"/>
        <v>0</v>
      </c>
      <c r="CJ53" s="85">
        <f t="shared" ca="1" si="245"/>
        <v>0</v>
      </c>
      <c r="CK53" s="151">
        <f t="shared" ca="1" si="246"/>
        <v>0</v>
      </c>
      <c r="CL53" s="102">
        <f t="shared" ca="1" si="247"/>
        <v>611.44596054824569</v>
      </c>
      <c r="CM53" s="102">
        <f t="shared" ca="1" si="248"/>
        <v>110.75857914083261</v>
      </c>
      <c r="CN53" s="102">
        <f t="shared" ca="1" si="249"/>
        <v>11.050464858731527</v>
      </c>
      <c r="CO53" s="102">
        <f t="shared" ca="1" si="250"/>
        <v>0</v>
      </c>
      <c r="CP53" s="151">
        <f t="shared" ca="1" si="251"/>
        <v>0</v>
      </c>
      <c r="CQ53" s="85">
        <f t="shared" ca="1" si="252"/>
        <v>746.56705368761948</v>
      </c>
      <c r="CR53" s="147">
        <f t="shared" ca="1" si="253"/>
        <v>0</v>
      </c>
      <c r="CS53" s="147">
        <f t="shared" ca="1" si="254"/>
        <v>110.75857914083261</v>
      </c>
      <c r="CT53" s="147">
        <f t="shared" ca="1" si="255"/>
        <v>11.050464858731527</v>
      </c>
      <c r="CU53" s="147">
        <f t="shared" ca="1" si="256"/>
        <v>0</v>
      </c>
      <c r="CV53" s="85">
        <f t="shared" ca="1" si="257"/>
        <v>0</v>
      </c>
      <c r="CW53" s="151">
        <f t="shared" ca="1" si="258"/>
        <v>0</v>
      </c>
      <c r="CX53" s="102">
        <f t="shared" ca="1" si="259"/>
        <v>917.71086920372443</v>
      </c>
      <c r="CY53" s="102">
        <f t="shared" ca="1" si="260"/>
        <v>110.75857914083261</v>
      </c>
      <c r="CZ53" s="102">
        <f t="shared" ca="1" si="261"/>
        <v>11.050464858731527</v>
      </c>
      <c r="DA53" s="102">
        <f t="shared" ca="1" si="262"/>
        <v>0</v>
      </c>
      <c r="DB53" s="151">
        <f t="shared" ca="1" si="263"/>
        <v>0</v>
      </c>
      <c r="DC53" s="85">
        <f t="shared" ca="1" si="264"/>
        <v>884.4098305865258</v>
      </c>
      <c r="DD53" s="147">
        <f t="shared" ca="1" si="265"/>
        <v>0</v>
      </c>
      <c r="DE53" s="147">
        <f t="shared" ca="1" si="266"/>
        <v>110.75857914083261</v>
      </c>
      <c r="DF53" s="147">
        <f t="shared" ca="1" si="267"/>
        <v>11.050464858731527</v>
      </c>
      <c r="DG53" s="147">
        <f t="shared" ca="1" si="268"/>
        <v>0</v>
      </c>
      <c r="DH53" s="85">
        <f t="shared" ca="1" si="269"/>
        <v>0</v>
      </c>
      <c r="DI53" s="151">
        <f t="shared" ca="1" si="270"/>
        <v>0</v>
      </c>
      <c r="DJ53" s="102">
        <f t="shared" ca="1" si="271"/>
        <v>1087.8580406789906</v>
      </c>
      <c r="DK53" s="102">
        <f t="shared" ca="1" si="272"/>
        <v>110.75857914083261</v>
      </c>
      <c r="DL53" s="102">
        <f t="shared" ca="1" si="273"/>
        <v>11.050464858731527</v>
      </c>
      <c r="DM53" s="102">
        <f t="shared" ca="1" si="274"/>
        <v>0</v>
      </c>
      <c r="DN53" s="564">
        <f t="shared" ca="1" si="275"/>
        <v>0</v>
      </c>
      <c r="DP53" s="10">
        <f t="shared" si="315"/>
        <v>2023</v>
      </c>
      <c r="DQ53" s="85">
        <f t="shared" ca="1" si="276"/>
        <v>138.75619986791014</v>
      </c>
      <c r="DR53" s="147">
        <f t="shared" ca="1" si="277"/>
        <v>0</v>
      </c>
      <c r="DS53" s="147">
        <f t="shared" ca="1" si="278"/>
        <v>30.675356462769358</v>
      </c>
      <c r="DT53" s="147">
        <f t="shared" ca="1" si="279"/>
        <v>3.456378192988097</v>
      </c>
      <c r="DU53" s="147">
        <f t="shared" ca="1" si="280"/>
        <v>0</v>
      </c>
      <c r="DV53" s="85">
        <f t="shared" ca="1" si="281"/>
        <v>0</v>
      </c>
      <c r="DW53" s="151">
        <f t="shared" ca="1" si="282"/>
        <v>0</v>
      </c>
      <c r="DX53" s="102">
        <f t="shared" ca="1" si="283"/>
        <v>157.89762903388649</v>
      </c>
      <c r="DY53" s="102">
        <f t="shared" ca="1" si="284"/>
        <v>30.675356462769358</v>
      </c>
      <c r="DZ53" s="102">
        <f t="shared" ca="1" si="285"/>
        <v>3.456378192988097</v>
      </c>
      <c r="EA53" s="102">
        <f t="shared" ca="1" si="286"/>
        <v>0</v>
      </c>
      <c r="EB53" s="151">
        <f t="shared" ca="1" si="287"/>
        <v>0</v>
      </c>
      <c r="EC53" s="85">
        <f t="shared" ca="1" si="288"/>
        <v>212.48002536686519</v>
      </c>
      <c r="ED53" s="147">
        <f t="shared" ca="1" si="289"/>
        <v>0</v>
      </c>
      <c r="EE53" s="147">
        <f t="shared" ca="1" si="290"/>
        <v>30.675356462769358</v>
      </c>
      <c r="EF53" s="147">
        <f t="shared" ca="1" si="291"/>
        <v>3.456378192988097</v>
      </c>
      <c r="EG53" s="147">
        <f t="shared" ca="1" si="292"/>
        <v>0</v>
      </c>
      <c r="EH53" s="85">
        <f t="shared" ca="1" si="293"/>
        <v>0</v>
      </c>
      <c r="EI53" s="151">
        <f t="shared" ca="1" si="294"/>
        <v>0</v>
      </c>
      <c r="EJ53" s="102">
        <f t="shared" ca="1" si="295"/>
        <v>241.79166231437799</v>
      </c>
      <c r="EK53" s="102">
        <f t="shared" ca="1" si="296"/>
        <v>30.675356462769358</v>
      </c>
      <c r="EL53" s="102">
        <f t="shared" ca="1" si="297"/>
        <v>3.456378192988097</v>
      </c>
      <c r="EM53" s="102">
        <f t="shared" ca="1" si="298"/>
        <v>0</v>
      </c>
      <c r="EN53" s="151">
        <f t="shared" ca="1" si="299"/>
        <v>0</v>
      </c>
      <c r="EO53" s="85">
        <f t="shared" ca="1" si="300"/>
        <v>253.43770619961805</v>
      </c>
      <c r="EP53" s="145">
        <f t="shared" ca="1" si="301"/>
        <v>0</v>
      </c>
      <c r="EQ53" s="145">
        <f t="shared" ca="1" si="302"/>
        <v>30.675356462769358</v>
      </c>
      <c r="ER53" s="145">
        <f t="shared" ca="1" si="303"/>
        <v>3.456378192988097</v>
      </c>
      <c r="ES53" s="145">
        <f t="shared" ca="1" si="304"/>
        <v>0</v>
      </c>
      <c r="ET53" s="85">
        <f t="shared" ca="1" si="305"/>
        <v>0</v>
      </c>
      <c r="EU53" s="102">
        <f t="shared" ca="1" si="306"/>
        <v>0</v>
      </c>
      <c r="EV53" s="102">
        <f t="shared" ca="1" si="307"/>
        <v>288.39945858131773</v>
      </c>
      <c r="EW53" s="102">
        <f t="shared" ca="1" si="308"/>
        <v>30.675356462769358</v>
      </c>
      <c r="EX53" s="102">
        <f t="shared" ca="1" si="309"/>
        <v>3.456378192988097</v>
      </c>
      <c r="EY53" s="102">
        <f t="shared" ca="1" si="310"/>
        <v>0</v>
      </c>
      <c r="EZ53" s="564">
        <f t="shared" ca="1" si="311"/>
        <v>0</v>
      </c>
      <c r="FB53" s="10">
        <f t="shared" si="316"/>
        <v>2023</v>
      </c>
      <c r="FC53" s="85">
        <f ca="1">HLOOKUP(FC$49,$O$24:$T$45,COUNTA($N$25:$N28)+1,FALSE)*G53*$D$7/$D$8</f>
        <v>6.7813958821766249</v>
      </c>
      <c r="FD53" s="147">
        <f ca="1">HLOOKUP(FD$49,$O$24:$T$45,COUNTA($N$25:$N28)+1,FALSE)*H53*$D$7/$D$8</f>
        <v>0</v>
      </c>
      <c r="FE53" s="147">
        <f ca="1">HLOOKUP(FE$49,$O$24:$T$45,COUNTA($N$25:$N28)+1,FALSE)*I53*$D$7/$D$8</f>
        <v>15.294473503972329</v>
      </c>
      <c r="FF53" s="147">
        <f ca="1">HLOOKUP(FF$49,$O$24:$T$45,COUNTA($N$25:$N28)+1,FALSE)*J53*$D$7/$D$8</f>
        <v>0.43204727412351213</v>
      </c>
      <c r="FG53" s="147">
        <f ca="1">HLOOKUP(FG$49,$O$24:$T$45,COUNTA($N$25:$N28)+1,FALSE)*K53*$D$7/$D$8</f>
        <v>0</v>
      </c>
      <c r="FH53" s="85">
        <f ca="1">HLOOKUP(FH$49,$O$24:$T$45,COUNTA($N$25:$N28)+1,FALSE)*L53*$D$7/$D$8</f>
        <v>0</v>
      </c>
      <c r="FI53" s="151">
        <f ca="1">HLOOKUP(FI$49,$O$24:$T$45,COUNTA($N$25:$N28)+1,FALSE)*M53*$D$7/$D$8</f>
        <v>0</v>
      </c>
      <c r="FJ53" s="153">
        <f ca="1">HLOOKUP(FJ$49,$O$24:$T$45,COUNTA($N$25:$N28)+1,FALSE)*N53*$D$7/$D$8</f>
        <v>7.716890000988589</v>
      </c>
      <c r="FK53" s="153">
        <f ca="1">HLOOKUP(FK$49,$O$24:$T$45,COUNTA($N$25:$N28)+1,FALSE)*O53*$D$7/$D$8</f>
        <v>15.294473503972329</v>
      </c>
      <c r="FL53" s="153">
        <f ca="1">HLOOKUP(FL$49,$O$24:$T$45,COUNTA($N$25:$N28)+1,FALSE)*P53*$D$7/$D$8</f>
        <v>0.43204727412351213</v>
      </c>
      <c r="FM53" s="153">
        <f ca="1">HLOOKUP(FM$49,$O$24:$T$45,COUNTA($N$25:$N28)+1,FALSE)*Q53*$D$7/$D$8</f>
        <v>0</v>
      </c>
      <c r="FN53" s="151">
        <f ca="1">HLOOKUP(FN$49,$O$24:$T$45,COUNTA($N$25:$N28)+1,FALSE)*R53*$D$7/$D$8</f>
        <v>0</v>
      </c>
      <c r="FO53" s="85">
        <f ca="1">HLOOKUP(FO$49,$O$24:$T$45,COUNTA($N$25:$N28)+1,FALSE)*S53*$D$7/$D$8</f>
        <v>32.805269319524193</v>
      </c>
      <c r="FP53" s="147">
        <f ca="1">HLOOKUP(FP$49,$O$24:$T$45,COUNTA($N$25:$N28)+1,FALSE)*T53*$D$7/$D$8</f>
        <v>0</v>
      </c>
      <c r="FQ53" s="147">
        <f ca="1">HLOOKUP(FQ$49,$O$24:$T$45,COUNTA($N$25:$N28)+1,FALSE)*U53*$D$7/$D$8</f>
        <v>15.294473503972329</v>
      </c>
      <c r="FR53" s="147">
        <f ca="1">HLOOKUP(FR$49,$O$24:$T$45,COUNTA($N$25:$N28)+1,FALSE)*V53*$D$7/$D$8</f>
        <v>0.43204727412351213</v>
      </c>
      <c r="FS53" s="147">
        <f ca="1">HLOOKUP(FS$49,$O$24:$T$45,COUNTA($N$25:$N28)+1,FALSE)*W53*$D$7/$D$8</f>
        <v>0</v>
      </c>
      <c r="FT53" s="85">
        <f ca="1">HLOOKUP(FT$49,$O$24:$T$45,COUNTA($N$25:$N28)+1,FALSE)*X53*$D$7/$D$8</f>
        <v>0</v>
      </c>
      <c r="FU53" s="151">
        <f ca="1">HLOOKUP(FU$49,$O$24:$T$45,COUNTA($N$25:$N28)+1,FALSE)*Y53*$D$7/$D$8</f>
        <v>0</v>
      </c>
      <c r="FV53" s="153">
        <f ca="1">HLOOKUP(FV$49,$O$24:$T$45,COUNTA($N$25:$N28)+1,FALSE)*Z53*$D$7/$D$8</f>
        <v>37.330758916012279</v>
      </c>
      <c r="FW53" s="153">
        <f ca="1">HLOOKUP(FW$49,$O$24:$T$45,COUNTA($N$25:$N28)+1,FALSE)*AA53*$D$7/$D$8</f>
        <v>15.294473503972329</v>
      </c>
      <c r="FX53" s="153">
        <f ca="1">HLOOKUP(FX$49,$O$24:$T$45,COUNTA($N$25:$N28)+1,FALSE)*AB53*$D$7/$D$8</f>
        <v>0.43204727412351213</v>
      </c>
      <c r="FY53" s="153">
        <f ca="1">HLOOKUP(FY$49,$O$24:$T$45,COUNTA($N$25:$N28)+1,FALSE)*AC53*$D$7/$D$8</f>
        <v>0</v>
      </c>
      <c r="FZ53" s="151">
        <f ca="1">HLOOKUP(FZ$49,$O$24:$T$45,COUNTA($N$25:$N28)+1,FALSE)*AD53*$D$7/$D$8</f>
        <v>0</v>
      </c>
      <c r="GA53" s="85">
        <f ca="1">HLOOKUP(GA$49,$O$24:$T$45,COUNTA($N$25:$N28)+1,FALSE)*AE53*$D$7/$D$8</f>
        <v>47.26297678471731</v>
      </c>
      <c r="GB53" s="147">
        <f ca="1">HLOOKUP(GB$49,$O$24:$T$45,COUNTA($N$25:$N28)+1,FALSE)*AF53*$D$7/$D$8</f>
        <v>0</v>
      </c>
      <c r="GC53" s="147">
        <f ca="1">HLOOKUP(GC$49,$O$24:$T$45,COUNTA($N$25:$N28)+1,FALSE)*AG53*$D$7/$D$8</f>
        <v>15.294473503972329</v>
      </c>
      <c r="GD53" s="147">
        <f ca="1">HLOOKUP(GD$49,$O$24:$T$45,COUNTA($N$25:$N28)+1,FALSE)*AH53*$D$7/$D$8</f>
        <v>0.43204727412351213</v>
      </c>
      <c r="GE53" s="147">
        <f ca="1">HLOOKUP(GE$49,$O$24:$T$45,COUNTA($N$25:$N28)+1,FALSE)*AI53*$D$7/$D$8</f>
        <v>0</v>
      </c>
      <c r="GF53" s="85">
        <f ca="1">HLOOKUP(GF$49,$O$24:$T$45,COUNTA($N$25:$N28)+1,FALSE)*AJ53*$D$7/$D$8</f>
        <v>0</v>
      </c>
      <c r="GG53" s="151">
        <f ca="1">HLOOKUP(GG$49,$O$24:$T$45,COUNTA($N$25:$N28)+1,FALSE)*AK53*$D$7/$D$8</f>
        <v>0</v>
      </c>
      <c r="GH53" s="153">
        <f ca="1">HLOOKUP(GH$49,$O$24:$T$45,COUNTA($N$25:$N28)+1,FALSE)*AL53*$D$7/$D$8</f>
        <v>53.782908313247681</v>
      </c>
      <c r="GI53" s="153">
        <f ca="1">HLOOKUP(GI$49,$O$24:$T$45,COUNTA($N$25:$N28)+1,FALSE)*AM53*$D$7/$D$8</f>
        <v>15.294473503972329</v>
      </c>
      <c r="GJ53" s="153">
        <f ca="1">HLOOKUP(GJ$49,$O$24:$T$45,COUNTA($N$25:$N28)+1,FALSE)*AN53*$D$7/$D$8</f>
        <v>0.43204727412351213</v>
      </c>
      <c r="GK53" s="153">
        <f ca="1">HLOOKUP(GK$49,$O$24:$T$45,COUNTA($N$25:$N28)+1,FALSE)*AO53*$D$7/$D$8</f>
        <v>0</v>
      </c>
      <c r="GL53" s="564">
        <f ca="1">HLOOKUP(GL$49,$O$24:$T$45,COUNTA($N$25:$N28)+1,FALSE)*AP53*$D$7/$D$8</f>
        <v>0</v>
      </c>
    </row>
    <row r="54" spans="6:194">
      <c r="F54" s="10">
        <f t="shared" ref="F54:F70" si="317">+F53+1</f>
        <v>2024</v>
      </c>
      <c r="G54" s="79">
        <f ca="1">IF(OR($F54&gt;MAX('הנחות עבודה'!$B$69:$B$89),$F54&gt;$D$5),0,VLOOKUP($F54,'הספק נוסף נדרש'!$B$8:$AX$28,MATCH(G$49,'הספק נוסף נדרש'!$B$6:$AX$6,0)+(ROUNDUP((G$2-$F$2)/COUNTA($F$10:$F$16),0)-1)*COUNTA('הספק נוסף נדרש'!$C$6:$J$6),FALSE))</f>
        <v>125.07243332363396</v>
      </c>
      <c r="H54" s="138">
        <f ca="1">IF(OR($F54&gt;MAX('הנחות עבודה'!$B$69:$B$89),$F54&gt;$D$5),0,VLOOKUP($F54,'הספק נוסף נדרש'!$B$8:$AX$28,MATCH(H$49,'הספק נוסף נדרש'!$B$6:$AX$6,0)+(ROUNDUP((H$2-$F$2)/COUNTA($F$10:$F$16),0)-1)*COUNTA('הספק נוסף נדרש'!$C$6:$J$6),FALSE))</f>
        <v>0</v>
      </c>
      <c r="I54" s="138">
        <f ca="1">IF(OR($F54&gt;MAX('הנחות עבודה'!$B$69:$B$89),$F54&gt;$D$5),0,VLOOKUP($F54,'הספק נוסף נדרש'!$B$8:$AX$28,MATCH(I$49,'הספק נוסף נדרש'!$B$6:$AX$6,0)+(ROUNDUP((I$2-$F$2)/COUNTA($F$10:$F$16),0)-1)*COUNTA('הספק נוסף נדרש'!$C$6:$J$6),FALSE))</f>
        <v>178</v>
      </c>
      <c r="J54" s="138">
        <f ca="1">IF(OR($F54&gt;MAX('הנחות עבודה'!$B$69:$B$89),$F54&gt;$D$5),0,VLOOKUP($F54,'הספק נוסף נדרש'!$B$8:$AX$28,MATCH(J$49,'הספק נוסף נדרש'!$B$6:$AX$6,0)+(ROUNDUP((J$2-$F$2)/COUNTA($F$10:$F$16),0)-1)*COUNTA('הספק נוסף נדרש'!$C$6:$J$6),FALSE))</f>
        <v>5</v>
      </c>
      <c r="K54" s="138">
        <f ca="1">IF(OR($F54&gt;MAX('הנחות עבודה'!$B$69:$B$89),$F54&gt;$D$5),0,VLOOKUP($F54,'הספק נוסף נדרש'!$B$8:$AX$28,MATCH(K$49,'הספק נוסף נדרש'!$B$6:$AX$6,0)+(ROUNDUP((K$2-$F$2)/COUNTA($F$10:$F$16),0)-1)*COUNTA('הספק נוסף נדרש'!$C$6:$J$6),FALSE))</f>
        <v>0</v>
      </c>
      <c r="L54" s="79">
        <f ca="1">IF(OR($F54&gt;MAX('הנחות עבודה'!$B$69:$B$89),$F54&gt;$D$5),0,VLOOKUP($F54,'הספק נוסף נדרש'!$B$8:$AX$28,MATCH(L$49,'הספק נוסף נדרש'!$B$6:$AX$6,0)+(ROUNDUP((L$2-$F$2)/COUNTA($F$10:$F$16),0)-1)*COUNTA('הספק נוסף נדרש'!$C$6:$J$6),FALSE))</f>
        <v>0</v>
      </c>
      <c r="M54" s="74">
        <f ca="1">IF(OR($F54&gt;MAX('הנחות עבודה'!$B$69:$B$89),$F54&gt;$D$5),0,VLOOKUP($F54,'הספק נוסף נדרש'!$B$8:$AX$28,MATCH(M$49,'הספק נוסף נדרש'!$B$6:$AX$6,0)+(ROUNDUP((M$2-$F$2)/COUNTA($F$10:$F$16),0)-1)*COUNTA('הספק נוסף נדרש'!$C$6:$J$6),FALSE))</f>
        <v>0</v>
      </c>
      <c r="N54" s="136">
        <f ca="1">IF(OR($F54&gt;MAX('הנחות עבודה'!$B$69:$B$89),$F54&gt;$D$5),0,VLOOKUP($F54,'הספק נוסף נדרש'!$B$8:$AX$28,MATCH(N$49,'הספק נוסף נדרש'!$B$6:$AX$6,0)+(ROUNDUP((N$2-$F$2)/COUNTA($F$10:$F$16),0)-1)*COUNTA('הספק נוסף נדרש'!$C$6:$J$6),FALSE))</f>
        <v>125.07243332363396</v>
      </c>
      <c r="O54" s="136">
        <f ca="1">IF(OR($F54&gt;MAX('הנחות עבודה'!$B$69:$B$89),$F54&gt;$D$5),0,VLOOKUP($F54,'הספק נוסף נדרש'!$B$8:$AX$28,MATCH(O$49,'הספק נוסף נדרש'!$B$6:$AX$6,0)+(ROUNDUP((O$2-$F$2)/COUNTA($F$10:$F$16),0)-1)*COUNTA('הספק נוסף נדרש'!$C$6:$J$6),FALSE))</f>
        <v>178</v>
      </c>
      <c r="P54" s="136">
        <f ca="1">IF(OR($F54&gt;MAX('הנחות עבודה'!$B$69:$B$89),$F54&gt;$D$5),0,VLOOKUP($F54,'הספק נוסף נדרש'!$B$8:$AX$28,MATCH(P$49,'הספק נוסף נדרש'!$B$6:$AX$6,0)+(ROUNDUP((P$2-$F$2)/COUNTA($F$10:$F$16),0)-1)*COUNTA('הספק נוסף נדרש'!$C$6:$J$6),FALSE))</f>
        <v>5</v>
      </c>
      <c r="Q54" s="136">
        <f ca="1">IF(OR($F54&gt;MAX('הנחות עבודה'!$B$69:$B$89),$F54&gt;$D$5),0,VLOOKUP($F54,'הספק נוסף נדרש'!$B$8:$AX$28,MATCH(Q$49,'הספק נוסף נדרש'!$B$6:$AX$6,0)+(ROUNDUP((Q$2-$F$2)/COUNTA($F$10:$F$16),0)-1)*COUNTA('הספק נוסף נדרש'!$C$6:$J$6),FALSE))</f>
        <v>0</v>
      </c>
      <c r="R54" s="136">
        <f ca="1">IF(OR($F54&gt;MAX('הנחות עבודה'!$B$69:$B$89),$F54&gt;$D$5),0,VLOOKUP($F54,'הספק נוסף נדרש'!$B$8:$AX$28,MATCH(R$49,'הספק נוסף נדרש'!$B$6:$AX$6,0)+(ROUNDUP((R$2-$F$2)/COUNTA($F$10:$F$16),0)-1)*COUNTA('הספק נוסף נדרש'!$C$6:$J$6),FALSE))</f>
        <v>0</v>
      </c>
      <c r="S54" s="79">
        <f ca="1">IF(OR($F54&gt;MAX('הנחות עבודה'!$B$69:$B$89),$F54&gt;$D$5),0,VLOOKUP($F54,'הספק נוסף נדרש'!$B$8:$AX$28,MATCH(S$49,'הספק נוסף נדרש'!$B$6:$AX$6,0)+(ROUNDUP((S$2-$F$2)/COUNTA($F$10:$F$16),0)-1)*COUNTA('הספק נוסף נדרש'!$C$6:$J$6),FALSE))</f>
        <v>616.81891586728034</v>
      </c>
      <c r="T54" s="138">
        <f ca="1">IF(OR($F54&gt;MAX('הנחות עבודה'!$B$69:$B$89),$F54&gt;$D$5),0,VLOOKUP($F54,'הספק נוסף נדרש'!$B$8:$AX$28,MATCH(T$49,'הספק נוסף נדרש'!$B$6:$AX$6,0)+(ROUNDUP((T$2-$F$2)/COUNTA($F$10:$F$16),0)-1)*COUNTA('הספק נוסף נדרש'!$C$6:$J$6),FALSE))</f>
        <v>0</v>
      </c>
      <c r="U54" s="138">
        <f ca="1">IF(OR($F54&gt;MAX('הנחות עבודה'!$B$69:$B$89),$F54&gt;$D$5),0,VLOOKUP($F54,'הספק נוסף נדרש'!$B$8:$AX$28,MATCH(U$49,'הספק נוסף נדרש'!$B$6:$AX$6,0)+(ROUNDUP((U$2-$F$2)/COUNTA($F$10:$F$16),0)-1)*COUNTA('הספק נוסף נדרש'!$C$6:$J$6),FALSE))</f>
        <v>178</v>
      </c>
      <c r="V54" s="138">
        <f ca="1">IF(OR($F54&gt;MAX('הנחות עבודה'!$B$69:$B$89),$F54&gt;$D$5),0,VLOOKUP($F54,'הספק נוסף נדרש'!$B$8:$AX$28,MATCH(V$49,'הספק נוסף נדרש'!$B$6:$AX$6,0)+(ROUNDUP((V$2-$F$2)/COUNTA($F$10:$F$16),0)-1)*COUNTA('הספק נוסף נדרש'!$C$6:$J$6),FALSE))</f>
        <v>5</v>
      </c>
      <c r="W54" s="138">
        <f ca="1">IF(OR($F54&gt;MAX('הנחות עבודה'!$B$69:$B$89),$F54&gt;$D$5),0,VLOOKUP($F54,'הספק נוסף נדרש'!$B$8:$AX$28,MATCH(W$49,'הספק נוסף נדרש'!$B$6:$AX$6,0)+(ROUNDUP((W$2-$F$2)/COUNTA($F$10:$F$16),0)-1)*COUNTA('הספק נוסף נדרש'!$C$6:$J$6),FALSE))</f>
        <v>0</v>
      </c>
      <c r="X54" s="79">
        <f ca="1">IF(OR($F54&gt;MAX('הנחות עבודה'!$B$69:$B$89),$F54&gt;$D$5),0,VLOOKUP($F54,'הספק נוסף נדרש'!$B$8:$AX$28,MATCH(X$49,'הספק נוסף נדרש'!$B$6:$AX$6,0)+(ROUNDUP((X$2-$F$2)/COUNTA($F$10:$F$16),0)-1)*COUNTA('הספק נוסף נדרש'!$C$6:$J$6),FALSE))</f>
        <v>0</v>
      </c>
      <c r="Y54" s="74">
        <f ca="1">IF(OR($F54&gt;MAX('הנחות עבודה'!$B$69:$B$89),$F54&gt;$D$5),0,VLOOKUP($F54,'הספק נוסף נדרש'!$B$8:$AX$28,MATCH(Y$49,'הספק נוסף נדרש'!$B$6:$AX$6,0)+(ROUNDUP((Y$2-$F$2)/COUNTA($F$10:$F$16),0)-1)*COUNTA('הספק נוסף נדרש'!$C$6:$J$6),FALSE))</f>
        <v>0</v>
      </c>
      <c r="Z54" s="136">
        <f ca="1">IF(OR($F54&gt;MAX('הנחות עבודה'!$B$69:$B$89),$F54&gt;$D$5),0,VLOOKUP($F54,'הספק נוסף נדרש'!$B$8:$AX$28,MATCH(Z$49,'הספק נוסף נדרש'!$B$6:$AX$6,0)+(ROUNDUP((Z$2-$F$2)/COUNTA($F$10:$F$16),0)-1)*COUNTA('הספק נוסף נדרש'!$C$6:$J$6),FALSE))</f>
        <v>616.81891586728034</v>
      </c>
      <c r="AA54" s="136">
        <f ca="1">IF(OR($F54&gt;MAX('הנחות עבודה'!$B$69:$B$89),$F54&gt;$D$5),0,VLOOKUP($F54,'הספק נוסף נדרש'!$B$8:$AX$28,MATCH(AA$49,'הספק נוסף נדרש'!$B$6:$AX$6,0)+(ROUNDUP((AA$2-$F$2)/COUNTA($F$10:$F$16),0)-1)*COUNTA('הספק נוסף נדרש'!$C$6:$J$6),FALSE))</f>
        <v>178</v>
      </c>
      <c r="AB54" s="136">
        <f ca="1">IF(OR($F54&gt;MAX('הנחות עבודה'!$B$69:$B$89),$F54&gt;$D$5),0,VLOOKUP($F54,'הספק נוסף נדרש'!$B$8:$AX$28,MATCH(AB$49,'הספק נוסף נדרש'!$B$6:$AX$6,0)+(ROUNDUP((AB$2-$F$2)/COUNTA($F$10:$F$16),0)-1)*COUNTA('הספק נוסף נדרש'!$C$6:$J$6),FALSE))</f>
        <v>5</v>
      </c>
      <c r="AC54" s="136">
        <f ca="1">IF(OR($F54&gt;MAX('הנחות עבודה'!$B$69:$B$89),$F54&gt;$D$5),0,VLOOKUP($F54,'הספק נוסף נדרש'!$B$8:$AX$28,MATCH(AC$49,'הספק נוסף נדרש'!$B$6:$AX$6,0)+(ROUNDUP((AC$2-$F$2)/COUNTA($F$10:$F$16),0)-1)*COUNTA('הספק נוסף נדרש'!$C$6:$J$6),FALSE))</f>
        <v>0</v>
      </c>
      <c r="AD54" s="136">
        <f ca="1">IF(OR($F54&gt;MAX('הנחות עבודה'!$B$69:$B$89),$F54&gt;$D$5),0,VLOOKUP($F54,'הספק נוסף נדרש'!$B$8:$AX$28,MATCH(AD$49,'הספק נוסף נדרש'!$B$6:$AX$6,0)+(ROUNDUP((AD$2-$F$2)/COUNTA($F$10:$F$16),0)-1)*COUNTA('הספק נוסף נדרש'!$C$6:$J$6),FALSE))</f>
        <v>0</v>
      </c>
      <c r="AE54" s="79">
        <f ca="1">IF(OR($F54&gt;MAX('הנחות עבודה'!$B$69:$B$89),$F54&gt;$D$5),0,VLOOKUP($F54,'הספק נוסף נדרש'!$B$8:$AX$28,MATCH(AE$49,'הספק נוסף נדרש'!$B$6:$AX$6,0)+(ROUNDUP((AE$2-$F$2)/COUNTA($F$10:$F$16),0)-1)*COUNTA('הספק נוסף נדרש'!$C$6:$J$6),FALSE))</f>
        <v>890.01140616930752</v>
      </c>
      <c r="AF54" s="138">
        <f ca="1">IF(OR($F54&gt;MAX('הנחות עבודה'!$B$69:$B$89),$F54&gt;$D$5),0,VLOOKUP($F54,'הספק נוסף נדרש'!$B$8:$AX$28,MATCH(AF$49,'הספק נוסף נדרש'!$B$6:$AX$6,0)+(ROUNDUP((AF$2-$F$2)/COUNTA($F$10:$F$16),0)-1)*COUNTA('הספק נוסף נדרש'!$C$6:$J$6),FALSE))</f>
        <v>0</v>
      </c>
      <c r="AG54" s="138">
        <f ca="1">IF(OR($F54&gt;MAX('הנחות עבודה'!$B$69:$B$89),$F54&gt;$D$5),0,VLOOKUP($F54,'הספק נוסף נדרש'!$B$8:$AX$28,MATCH(AG$49,'הספק נוסף נדרש'!$B$6:$AX$6,0)+(ROUNDUP((AG$2-$F$2)/COUNTA($F$10:$F$16),0)-1)*COUNTA('הספק נוסף נדרש'!$C$6:$J$6),FALSE))</f>
        <v>178</v>
      </c>
      <c r="AH54" s="138">
        <f ca="1">IF(OR($F54&gt;MAX('הנחות עבודה'!$B$69:$B$89),$F54&gt;$D$5),0,VLOOKUP($F54,'הספק נוסף נדרש'!$B$8:$AX$28,MATCH(AH$49,'הספק נוסף נדרש'!$B$6:$AX$6,0)+(ROUNDUP((AH$2-$F$2)/COUNTA($F$10:$F$16),0)-1)*COUNTA('הספק נוסף נדרש'!$C$6:$J$6),FALSE))</f>
        <v>5</v>
      </c>
      <c r="AI54" s="138">
        <f ca="1">IF(OR($F54&gt;MAX('הנחות עבודה'!$B$69:$B$89),$F54&gt;$D$5),0,VLOOKUP($F54,'הספק נוסף נדרש'!$B$8:$AX$28,MATCH(AI$49,'הספק נוסף נדרש'!$B$6:$AX$6,0)+(ROUNDUP((AI$2-$F$2)/COUNTA($F$10:$F$16),0)-1)*COUNTA('הספק נוסף נדרש'!$C$6:$J$6),FALSE))</f>
        <v>0</v>
      </c>
      <c r="AJ54" s="79">
        <f ca="1">IF(OR($F54&gt;MAX('הנחות עבודה'!$B$69:$B$89),$F54&gt;$D$5),0,VLOOKUP($F54,'הספק נוסף נדרש'!$B$8:$AX$28,MATCH(AJ$49,'הספק נוסף נדרש'!$B$6:$AX$6,0)+(ROUNDUP((AJ$2-$F$2)/COUNTA($F$10:$F$16),0)-1)*COUNTA('הספק נוסף נדרש'!$C$6:$J$6),FALSE))</f>
        <v>0</v>
      </c>
      <c r="AK54" s="74">
        <f ca="1">IF(OR($F54&gt;MAX('הנחות עבודה'!$B$69:$B$89),$F54&gt;$D$5),0,VLOOKUP($F54,'הספק נוסף נדרש'!$B$8:$AX$28,MATCH(AK$49,'הספק נוסף נדרש'!$B$6:$AX$6,0)+(ROUNDUP((AK$2-$F$2)/COUNTA($F$10:$F$16),0)-1)*COUNTA('הספק נוסף נדרש'!$C$6:$J$6),FALSE))</f>
        <v>0</v>
      </c>
      <c r="AL54" s="136">
        <f ca="1">IF(OR($F54&gt;MAX('הנחות עבודה'!$B$69:$B$89),$F54&gt;$D$5),0,VLOOKUP($F54,'הספק נוסף נדרש'!$B$8:$AX$28,MATCH(AL$49,'הספק נוסף נדרש'!$B$6:$AX$6,0)+(ROUNDUP((AL$2-$F$2)/COUNTA($F$10:$F$16),0)-1)*COUNTA('הספק נוסף נדרש'!$C$6:$J$6),FALSE))</f>
        <v>890.01140616930752</v>
      </c>
      <c r="AM54" s="136">
        <f ca="1">IF(OR($F54&gt;MAX('הנחות עבודה'!$B$69:$B$89),$F54&gt;$D$5),0,VLOOKUP($F54,'הספק נוסף נדרש'!$B$8:$AX$28,MATCH(AM$49,'הספק נוסף נדרש'!$B$6:$AX$6,0)+(ROUNDUP((AM$2-$F$2)/COUNTA($F$10:$F$16),0)-1)*COUNTA('הספק נוסף נדרש'!$C$6:$J$6),FALSE))</f>
        <v>178</v>
      </c>
      <c r="AN54" s="136">
        <f ca="1">IF(OR($F54&gt;MAX('הנחות עבודה'!$B$69:$B$89),$F54&gt;$D$5),0,VLOOKUP($F54,'הספק נוסף נדרש'!$B$8:$AX$28,MATCH(AN$49,'הספק נוסף נדרש'!$B$6:$AX$6,0)+(ROUNDUP((AN$2-$F$2)/COUNTA($F$10:$F$16),0)-1)*COUNTA('הספק נוסף נדרש'!$C$6:$J$6),FALSE))</f>
        <v>5</v>
      </c>
      <c r="AO54" s="136">
        <f ca="1">IF(OR($F54&gt;MAX('הנחות עבודה'!$B$69:$B$89),$F54&gt;$D$5),0,VLOOKUP($F54,'הספק נוסף נדרש'!$B$8:$AX$28,MATCH(AO$49,'הספק נוסף נדרש'!$B$6:$AX$6,0)+(ROUNDUP((AO$2-$F$2)/COUNTA($F$10:$F$16),0)-1)*COUNTA('הספק נוסף נדרש'!$C$6:$J$6),FALSE))</f>
        <v>0</v>
      </c>
      <c r="AP54" s="136">
        <f ca="1">IF(OR($F54&gt;MAX('הנחות עבודה'!$B$69:$B$89),$F54&gt;$D$5),0,VLOOKUP($F54,'הספק נוסף נדרש'!$B$8:$AX$28,MATCH(AP$49,'הספק נוסף נדרש'!$B$6:$AX$6,0)+(ROUNDUP((AP$2-$F$2)/COUNTA($F$10:$F$16),0)-1)*COUNTA('הספק נוסף נדרש'!$C$6:$J$6),FALSE))</f>
        <v>0</v>
      </c>
      <c r="AQ54" s="9"/>
      <c r="AR54" s="10">
        <f t="shared" si="313"/>
        <v>2024</v>
      </c>
      <c r="AS54" s="79">
        <f ca="1">HLOOKUP(AS$49,$G$24:$L$45,COUNTA($F$25:$F29)+1,FALSE)*G54*$D$7/$D$8</f>
        <v>349.00440395077089</v>
      </c>
      <c r="AT54" s="138">
        <f ca="1">HLOOKUP(AT$49,$G$24:$L$45,COUNTA($F$25:$F29)+1,FALSE)*H54*$D$7/$D$8</f>
        <v>0</v>
      </c>
      <c r="AU54" s="138">
        <f ca="1">HLOOKUP(AU$49,$G$24:$L$45,COUNTA($F$25:$F29)+1,FALSE)*I54*$D$7/$D$8</f>
        <v>745.2538623081374</v>
      </c>
      <c r="AV54" s="138">
        <f ca="1">HLOOKUP(AV$49,$G$24:$L$45,COUNTA($F$25:$F29)+1,FALSE)*J54*$D$7/$D$8</f>
        <v>20.934097255846559</v>
      </c>
      <c r="AW54" s="138">
        <f ca="1">HLOOKUP(AW$49,$G$24:$L$45,COUNTA($F$25:$F29)+1,FALSE)*K54*$D$7/$D$8</f>
        <v>0</v>
      </c>
      <c r="AX54" s="79">
        <f ca="1">HLOOKUP(AX$49,$G$24:$L$45,COUNTA($F$25:$F29)+1,FALSE)*L54*$D$7/$D$8</f>
        <v>0</v>
      </c>
      <c r="AY54" s="74">
        <f ca="1">HLOOKUP(AY$49,$G$24:$L$45,COUNTA($F$25:$F29)+1,FALSE)*M54*$D$7/$D$8</f>
        <v>0</v>
      </c>
      <c r="AZ54" s="136">
        <f ca="1">HLOOKUP(AZ$49,$G$24:$L$45,COUNTA($F$25:$F29)+1,FALSE)*N54*$D$7/$D$8</f>
        <v>391.61049639644511</v>
      </c>
      <c r="BA54" s="136">
        <f ca="1">HLOOKUP(BA$49,$G$24:$L$45,COUNTA($F$25:$F29)+1,FALSE)*O54*$D$7/$D$8</f>
        <v>745.2538623081374</v>
      </c>
      <c r="BB54" s="136">
        <f ca="1">HLOOKUP(BB$49,$G$24:$L$45,COUNTA($F$25:$F29)+1,FALSE)*P54*$D$7/$D$8</f>
        <v>20.934097255846559</v>
      </c>
      <c r="BC54" s="136">
        <f ca="1">HLOOKUP(BC$49,$G$24:$L$45,COUNTA($F$25:$F29)+1,FALSE)*Q54*$D$7/$D$8</f>
        <v>0</v>
      </c>
      <c r="BD54" s="136">
        <f ca="1">HLOOKUP(BD$49,$G$24:$L$45,COUNTA($F$25:$F29)+1,FALSE)*R54*$D$7/$D$8</f>
        <v>0</v>
      </c>
      <c r="BE54" s="79">
        <f ca="1">HLOOKUP(BE$49,$G$24:$L$45,COUNTA($F$25:$F29)+1,FALSE)*S54*$D$7/$D$8</f>
        <v>1721.1827767097784</v>
      </c>
      <c r="BF54" s="138">
        <f ca="1">HLOOKUP(BF$49,$G$24:$L$45,COUNTA($F$25:$F29)+1,FALSE)*T54*$D$7/$D$8</f>
        <v>0</v>
      </c>
      <c r="BG54" s="138">
        <f ca="1">HLOOKUP(BG$49,$G$24:$L$45,COUNTA($F$25:$F29)+1,FALSE)*U54*$D$7/$D$8</f>
        <v>745.2538623081374</v>
      </c>
      <c r="BH54" s="138">
        <f ca="1">HLOOKUP(BH$49,$G$24:$L$45,COUNTA($F$25:$F29)+1,FALSE)*V54*$D$7/$D$8</f>
        <v>20.934097255846559</v>
      </c>
      <c r="BI54" s="138">
        <f ca="1">HLOOKUP(BI$49,$G$24:$L$45,COUNTA($F$25:$F29)+1,FALSE)*W54*$D$7/$D$8</f>
        <v>0</v>
      </c>
      <c r="BJ54" s="79">
        <f ca="1">HLOOKUP(BJ$49,$G$24:$L$45,COUNTA($F$25:$F29)+1,FALSE)*X54*$D$7/$D$8</f>
        <v>0</v>
      </c>
      <c r="BK54" s="74">
        <f ca="1">HLOOKUP(BK$49,$G$24:$L$45,COUNTA($F$25:$F29)+1,FALSE)*Y54*$D$7/$D$8</f>
        <v>0</v>
      </c>
      <c r="BL54" s="136">
        <f ca="1">HLOOKUP(BL$49,$G$24:$L$45,COUNTA($F$25:$F29)+1,FALSE)*Z54*$D$7/$D$8</f>
        <v>1931.3029690920584</v>
      </c>
      <c r="BM54" s="136">
        <f ca="1">HLOOKUP(BM$49,$G$24:$L$45,COUNTA($F$25:$F29)+1,FALSE)*AA54*$D$7/$D$8</f>
        <v>745.2538623081374</v>
      </c>
      <c r="BN54" s="136">
        <f ca="1">HLOOKUP(BN$49,$G$24:$L$45,COUNTA($F$25:$F29)+1,FALSE)*AB54*$D$7/$D$8</f>
        <v>20.934097255846559</v>
      </c>
      <c r="BO54" s="136">
        <f ca="1">HLOOKUP(BO$49,$G$24:$L$45,COUNTA($F$25:$F29)+1,FALSE)*AC54*$D$7/$D$8</f>
        <v>0</v>
      </c>
      <c r="BP54" s="136">
        <f ca="1">HLOOKUP(BP$49,$G$24:$L$45,COUNTA($F$25:$F29)+1,FALSE)*AD54*$D$7/$D$8</f>
        <v>0</v>
      </c>
      <c r="BQ54" s="79">
        <f ca="1">HLOOKUP(BQ$49,$G$24:$L$45,COUNTA($F$25:$F29)+1,FALSE)*AE54*$D$7/$D$8</f>
        <v>2483.5040949092308</v>
      </c>
      <c r="BR54" s="138">
        <f ca="1">HLOOKUP(BR$49,$G$24:$L$45,COUNTA($F$25:$F29)+1,FALSE)*AF54*$D$7/$D$8</f>
        <v>0</v>
      </c>
      <c r="BS54" s="138">
        <f ca="1">HLOOKUP(BS$49,$G$24:$L$45,COUNTA($F$25:$F29)+1,FALSE)*AG54*$D$7/$D$8</f>
        <v>745.2538623081374</v>
      </c>
      <c r="BT54" s="138">
        <f ca="1">HLOOKUP(BT$49,$G$24:$L$45,COUNTA($F$25:$F29)+1,FALSE)*AH54*$D$7/$D$8</f>
        <v>20.934097255846559</v>
      </c>
      <c r="BU54" s="138">
        <f ca="1">HLOOKUP(BU$49,$G$24:$L$45,COUNTA($F$25:$F29)+1,FALSE)*AI54*$D$7/$D$8</f>
        <v>0</v>
      </c>
      <c r="BV54" s="79">
        <f ca="1">HLOOKUP(BV$49,$G$24:$L$45,COUNTA($F$25:$F29)+1,FALSE)*AJ54*$D$7/$D$8</f>
        <v>0</v>
      </c>
      <c r="BW54" s="74">
        <f ca="1">HLOOKUP(BW$49,$G$24:$L$45,COUNTA($F$25:$F29)+1,FALSE)*AK54*$D$7/$D$8</f>
        <v>0</v>
      </c>
      <c r="BX54" s="136">
        <f ca="1">HLOOKUP(BX$49,$G$24:$L$45,COUNTA($F$25:$F29)+1,FALSE)*AL54*$D$7/$D$8</f>
        <v>2786.6876761451813</v>
      </c>
      <c r="BY54" s="136">
        <f ca="1">HLOOKUP(BY$49,$G$24:$L$45,COUNTA($F$25:$F29)+1,FALSE)*AM54*$D$7/$D$8</f>
        <v>745.2538623081374</v>
      </c>
      <c r="BZ54" s="136">
        <f ca="1">HLOOKUP(BZ$49,$G$24:$L$45,COUNTA($F$25:$F29)+1,FALSE)*AN54*$D$7/$D$8</f>
        <v>20.934097255846559</v>
      </c>
      <c r="CA54" s="136">
        <f ca="1">HLOOKUP(CA$49,$G$24:$L$45,COUNTA($F$25:$F29)+1,FALSE)*AO54*$D$7/$D$8</f>
        <v>0</v>
      </c>
      <c r="CB54" s="739">
        <f ca="1">HLOOKUP(CB$49,$G$24:$L$45,COUNTA($F$25:$F29)+1,FALSE)*AP54*$D$7/$D$8</f>
        <v>0</v>
      </c>
      <c r="CD54" s="10">
        <f t="shared" si="314"/>
        <v>2024</v>
      </c>
      <c r="CE54" s="85">
        <f t="shared" ca="1" si="240"/>
        <v>520.06368029426255</v>
      </c>
      <c r="CF54" s="147">
        <f t="shared" ca="1" si="241"/>
        <v>0</v>
      </c>
      <c r="CG54" s="147">
        <f t="shared" ca="1" si="242"/>
        <v>164.24469402187415</v>
      </c>
      <c r="CH54" s="147">
        <f t="shared" ca="1" si="243"/>
        <v>12.351133182894266</v>
      </c>
      <c r="CI54" s="147">
        <f t="shared" ca="1" si="244"/>
        <v>0</v>
      </c>
      <c r="CJ54" s="85">
        <f t="shared" ca="1" si="245"/>
        <v>0</v>
      </c>
      <c r="CK54" s="151">
        <f t="shared" ca="1" si="246"/>
        <v>0</v>
      </c>
      <c r="CL54" s="102">
        <f t="shared" ca="1" si="247"/>
        <v>638.31401635110808</v>
      </c>
      <c r="CM54" s="102">
        <f t="shared" ca="1" si="248"/>
        <v>164.24469402187415</v>
      </c>
      <c r="CN54" s="102">
        <f t="shared" ca="1" si="249"/>
        <v>12.351133182894266</v>
      </c>
      <c r="CO54" s="102">
        <f t="shared" ca="1" si="250"/>
        <v>0</v>
      </c>
      <c r="CP54" s="151">
        <f t="shared" ca="1" si="251"/>
        <v>0</v>
      </c>
      <c r="CQ54" s="85">
        <f t="shared" ca="1" si="252"/>
        <v>853.15882936040009</v>
      </c>
      <c r="CR54" s="147">
        <f t="shared" ca="1" si="253"/>
        <v>0</v>
      </c>
      <c r="CS54" s="147">
        <f t="shared" ca="1" si="254"/>
        <v>164.24469402187415</v>
      </c>
      <c r="CT54" s="147">
        <f t="shared" ca="1" si="255"/>
        <v>12.351133182894266</v>
      </c>
      <c r="CU54" s="147">
        <f t="shared" ca="1" si="256"/>
        <v>0</v>
      </c>
      <c r="CV54" s="85">
        <f t="shared" ca="1" si="257"/>
        <v>0</v>
      </c>
      <c r="CW54" s="151">
        <f t="shared" ca="1" si="258"/>
        <v>0</v>
      </c>
      <c r="CX54" s="102">
        <f t="shared" ca="1" si="259"/>
        <v>1050.2158873870687</v>
      </c>
      <c r="CY54" s="102">
        <f t="shared" ca="1" si="260"/>
        <v>164.24469402187415</v>
      </c>
      <c r="CZ54" s="102">
        <f t="shared" ca="1" si="261"/>
        <v>12.351133182894266</v>
      </c>
      <c r="DA54" s="102">
        <f t="shared" ca="1" si="262"/>
        <v>0</v>
      </c>
      <c r="DB54" s="151">
        <f t="shared" ca="1" si="263"/>
        <v>0</v>
      </c>
      <c r="DC54" s="85">
        <f t="shared" ca="1" si="264"/>
        <v>1038.2116899526991</v>
      </c>
      <c r="DD54" s="147">
        <f t="shared" ca="1" si="265"/>
        <v>0</v>
      </c>
      <c r="DE54" s="147">
        <f t="shared" ca="1" si="266"/>
        <v>164.24469402187415</v>
      </c>
      <c r="DF54" s="147">
        <f t="shared" ca="1" si="267"/>
        <v>12.351133182894266</v>
      </c>
      <c r="DG54" s="147">
        <f t="shared" ca="1" si="268"/>
        <v>0</v>
      </c>
      <c r="DH54" s="85">
        <f t="shared" ca="1" si="269"/>
        <v>0</v>
      </c>
      <c r="DI54" s="151">
        <f t="shared" ca="1" si="270"/>
        <v>0</v>
      </c>
      <c r="DJ54" s="102">
        <f t="shared" ca="1" si="271"/>
        <v>1279.050260184825</v>
      </c>
      <c r="DK54" s="102">
        <f t="shared" ca="1" si="272"/>
        <v>164.24469402187415</v>
      </c>
      <c r="DL54" s="102">
        <f t="shared" ca="1" si="273"/>
        <v>12.351133182894266</v>
      </c>
      <c r="DM54" s="102">
        <f t="shared" ca="1" si="274"/>
        <v>0</v>
      </c>
      <c r="DN54" s="564">
        <f t="shared" ca="1" si="275"/>
        <v>0</v>
      </c>
      <c r="DP54" s="10">
        <f t="shared" si="315"/>
        <v>2024</v>
      </c>
      <c r="DQ54" s="85">
        <f t="shared" ca="1" si="276"/>
        <v>145.69930650274671</v>
      </c>
      <c r="DR54" s="147">
        <f t="shared" ca="1" si="277"/>
        <v>0</v>
      </c>
      <c r="DS54" s="147">
        <f t="shared" ca="1" si="278"/>
        <v>46.056239421566389</v>
      </c>
      <c r="DT54" s="147">
        <f t="shared" ca="1" si="279"/>
        <v>3.8884254671116092</v>
      </c>
      <c r="DU54" s="147">
        <f t="shared" ca="1" si="280"/>
        <v>0</v>
      </c>
      <c r="DV54" s="85">
        <f t="shared" ca="1" si="281"/>
        <v>0</v>
      </c>
      <c r="DW54" s="151">
        <f t="shared" ca="1" si="282"/>
        <v>0</v>
      </c>
      <c r="DX54" s="102">
        <f t="shared" ca="1" si="283"/>
        <v>165.79853779914362</v>
      </c>
      <c r="DY54" s="102">
        <f t="shared" ca="1" si="284"/>
        <v>46.056239421566389</v>
      </c>
      <c r="DZ54" s="102">
        <f t="shared" ca="1" si="285"/>
        <v>3.8884254671116092</v>
      </c>
      <c r="EA54" s="102">
        <f t="shared" ca="1" si="286"/>
        <v>0</v>
      </c>
      <c r="EB54" s="151">
        <f t="shared" ca="1" si="287"/>
        <v>0</v>
      </c>
      <c r="EC54" s="85">
        <f t="shared" ca="1" si="288"/>
        <v>246.72129975039917</v>
      </c>
      <c r="ED54" s="147">
        <f t="shared" ca="1" si="289"/>
        <v>0</v>
      </c>
      <c r="EE54" s="147">
        <f t="shared" ca="1" si="290"/>
        <v>46.056239421566389</v>
      </c>
      <c r="EF54" s="147">
        <f t="shared" ca="1" si="291"/>
        <v>3.8884254671116092</v>
      </c>
      <c r="EG54" s="147">
        <f t="shared" ca="1" si="292"/>
        <v>0</v>
      </c>
      <c r="EH54" s="85">
        <f t="shared" ca="1" si="293"/>
        <v>0</v>
      </c>
      <c r="EI54" s="151">
        <f t="shared" ca="1" si="294"/>
        <v>0</v>
      </c>
      <c r="EJ54" s="102">
        <f t="shared" ca="1" si="295"/>
        <v>280.75652331090015</v>
      </c>
      <c r="EK54" s="102">
        <f t="shared" ca="1" si="296"/>
        <v>46.056239421566389</v>
      </c>
      <c r="EL54" s="102">
        <f t="shared" ca="1" si="297"/>
        <v>3.8884254671116092</v>
      </c>
      <c r="EM54" s="102">
        <f t="shared" ca="1" si="298"/>
        <v>0</v>
      </c>
      <c r="EN54" s="151">
        <f t="shared" ca="1" si="299"/>
        <v>0</v>
      </c>
      <c r="EO54" s="85">
        <f t="shared" ca="1" si="300"/>
        <v>302.84462933242844</v>
      </c>
      <c r="EP54" s="145">
        <f t="shared" ca="1" si="301"/>
        <v>0</v>
      </c>
      <c r="EQ54" s="145">
        <f t="shared" ca="1" si="302"/>
        <v>46.056239421566389</v>
      </c>
      <c r="ER54" s="145">
        <f t="shared" ca="1" si="303"/>
        <v>3.8884254671116092</v>
      </c>
      <c r="ES54" s="145">
        <f t="shared" ca="1" si="304"/>
        <v>0</v>
      </c>
      <c r="ET54" s="85">
        <f t="shared" ca="1" si="305"/>
        <v>0</v>
      </c>
      <c r="EU54" s="102">
        <f t="shared" ca="1" si="306"/>
        <v>0</v>
      </c>
      <c r="EV54" s="102">
        <f t="shared" ca="1" si="307"/>
        <v>344.62207081743173</v>
      </c>
      <c r="EW54" s="102">
        <f t="shared" ca="1" si="308"/>
        <v>46.056239421566389</v>
      </c>
      <c r="EX54" s="102">
        <f t="shared" ca="1" si="309"/>
        <v>3.8884254671116092</v>
      </c>
      <c r="EY54" s="102">
        <f t="shared" ca="1" si="310"/>
        <v>0</v>
      </c>
      <c r="EZ54" s="564">
        <f t="shared" ca="1" si="311"/>
        <v>0</v>
      </c>
      <c r="FB54" s="10">
        <f t="shared" si="316"/>
        <v>2024</v>
      </c>
      <c r="FC54" s="85">
        <f ca="1">HLOOKUP(FC$49,$O$24:$T$45,COUNTA($N$25:$N29)+1,FALSE)*G54*$D$7/$D$8</f>
        <v>6.9431066348365631</v>
      </c>
      <c r="FD54" s="147">
        <f ca="1">HLOOKUP(FD$49,$O$24:$T$45,COUNTA($N$25:$N29)+1,FALSE)*H54*$D$7/$D$8</f>
        <v>0</v>
      </c>
      <c r="FE54" s="147">
        <f ca="1">HLOOKUP(FE$49,$O$24:$T$45,COUNTA($N$25:$N29)+1,FALSE)*I54*$D$7/$D$8</f>
        <v>15.380882958797031</v>
      </c>
      <c r="FF54" s="147">
        <f ca="1">HLOOKUP(FF$49,$O$24:$T$45,COUNTA($N$25:$N29)+1,FALSE)*J54*$D$7/$D$8</f>
        <v>0.43204727412351213</v>
      </c>
      <c r="FG54" s="147">
        <f ca="1">HLOOKUP(FG$49,$O$24:$T$45,COUNTA($N$25:$N29)+1,FALSE)*K54*$D$7/$D$8</f>
        <v>0</v>
      </c>
      <c r="FH54" s="85">
        <f ca="1">HLOOKUP(FH$49,$O$24:$T$45,COUNTA($N$25:$N29)+1,FALSE)*L54*$D$7/$D$8</f>
        <v>0</v>
      </c>
      <c r="FI54" s="151">
        <f ca="1">HLOOKUP(FI$49,$O$24:$T$45,COUNTA($N$25:$N29)+1,FALSE)*M54*$D$7/$D$8</f>
        <v>0</v>
      </c>
      <c r="FJ54" s="153">
        <f ca="1">HLOOKUP(FJ$49,$O$24:$T$45,COUNTA($N$25:$N29)+1,FALSE)*N54*$D$7/$D$8</f>
        <v>7.9009087652571157</v>
      </c>
      <c r="FK54" s="153">
        <f ca="1">HLOOKUP(FK$49,$O$24:$T$45,COUNTA($N$25:$N29)+1,FALSE)*O54*$D$7/$D$8</f>
        <v>15.380882958797031</v>
      </c>
      <c r="FL54" s="153">
        <f ca="1">HLOOKUP(FL$49,$O$24:$T$45,COUNTA($N$25:$N29)+1,FALSE)*P54*$D$7/$D$8</f>
        <v>0.43204727412351213</v>
      </c>
      <c r="FM54" s="153">
        <f ca="1">HLOOKUP(FM$49,$O$24:$T$45,COUNTA($N$25:$N29)+1,FALSE)*Q54*$D$7/$D$8</f>
        <v>0</v>
      </c>
      <c r="FN54" s="151">
        <f ca="1">HLOOKUP(FN$49,$O$24:$T$45,COUNTA($N$25:$N29)+1,FALSE)*R54*$D$7/$D$8</f>
        <v>0</v>
      </c>
      <c r="FO54" s="85">
        <f ca="1">HLOOKUP(FO$49,$O$24:$T$45,COUNTA($N$25:$N29)+1,FALSE)*S54*$D$7/$D$8</f>
        <v>34.241274383533984</v>
      </c>
      <c r="FP54" s="147">
        <f ca="1">HLOOKUP(FP$49,$O$24:$T$45,COUNTA($N$25:$N29)+1,FALSE)*T54*$D$7/$D$8</f>
        <v>0</v>
      </c>
      <c r="FQ54" s="147">
        <f ca="1">HLOOKUP(FQ$49,$O$24:$T$45,COUNTA($N$25:$N29)+1,FALSE)*U54*$D$7/$D$8</f>
        <v>15.380882958797031</v>
      </c>
      <c r="FR54" s="147">
        <f ca="1">HLOOKUP(FR$49,$O$24:$T$45,COUNTA($N$25:$N29)+1,FALSE)*V54*$D$7/$D$8</f>
        <v>0.43204727412351213</v>
      </c>
      <c r="FS54" s="147">
        <f ca="1">HLOOKUP(FS$49,$O$24:$T$45,COUNTA($N$25:$N29)+1,FALSE)*W54*$D$7/$D$8</f>
        <v>0</v>
      </c>
      <c r="FT54" s="85">
        <f ca="1">HLOOKUP(FT$49,$O$24:$T$45,COUNTA($N$25:$N29)+1,FALSE)*X54*$D$7/$D$8</f>
        <v>0</v>
      </c>
      <c r="FU54" s="151">
        <f ca="1">HLOOKUP(FU$49,$O$24:$T$45,COUNTA($N$25:$N29)+1,FALSE)*Y54*$D$7/$D$8</f>
        <v>0</v>
      </c>
      <c r="FV54" s="153">
        <f ca="1">HLOOKUP(FV$49,$O$24:$T$45,COUNTA($N$25:$N29)+1,FALSE)*Z54*$D$7/$D$8</f>
        <v>38.964860996522184</v>
      </c>
      <c r="FW54" s="153">
        <f ca="1">HLOOKUP(FW$49,$O$24:$T$45,COUNTA($N$25:$N29)+1,FALSE)*AA54*$D$7/$D$8</f>
        <v>15.380882958797031</v>
      </c>
      <c r="FX54" s="153">
        <f ca="1">HLOOKUP(FX$49,$O$24:$T$45,COUNTA($N$25:$N29)+1,FALSE)*AB54*$D$7/$D$8</f>
        <v>0.43204727412351213</v>
      </c>
      <c r="FY54" s="153">
        <f ca="1">HLOOKUP(FY$49,$O$24:$T$45,COUNTA($N$25:$N29)+1,FALSE)*AC54*$D$7/$D$8</f>
        <v>0</v>
      </c>
      <c r="FZ54" s="151">
        <f ca="1">HLOOKUP(FZ$49,$O$24:$T$45,COUNTA($N$25:$N29)+1,FALSE)*AD54*$D$7/$D$8</f>
        <v>0</v>
      </c>
      <c r="GA54" s="85">
        <f ca="1">HLOOKUP(GA$49,$O$24:$T$45,COUNTA($N$25:$N29)+1,FALSE)*AE54*$D$7/$D$8</f>
        <v>49.406923132810405</v>
      </c>
      <c r="GB54" s="147">
        <f ca="1">HLOOKUP(GB$49,$O$24:$T$45,COUNTA($N$25:$N29)+1,FALSE)*AF54*$D$7/$D$8</f>
        <v>0</v>
      </c>
      <c r="GC54" s="147">
        <f ca="1">HLOOKUP(GC$49,$O$24:$T$45,COUNTA($N$25:$N29)+1,FALSE)*AG54*$D$7/$D$8</f>
        <v>15.380882958797031</v>
      </c>
      <c r="GD54" s="147">
        <f ca="1">HLOOKUP(GD$49,$O$24:$T$45,COUNTA($N$25:$N29)+1,FALSE)*AH54*$D$7/$D$8</f>
        <v>0.43204727412351213</v>
      </c>
      <c r="GE54" s="147">
        <f ca="1">HLOOKUP(GE$49,$O$24:$T$45,COUNTA($N$25:$N29)+1,FALSE)*AI54*$D$7/$D$8</f>
        <v>0</v>
      </c>
      <c r="GF54" s="85">
        <f ca="1">HLOOKUP(GF$49,$O$24:$T$45,COUNTA($N$25:$N29)+1,FALSE)*AJ54*$D$7/$D$8</f>
        <v>0</v>
      </c>
      <c r="GG54" s="151">
        <f ca="1">HLOOKUP(GG$49,$O$24:$T$45,COUNTA($N$25:$N29)+1,FALSE)*AK54*$D$7/$D$8</f>
        <v>0</v>
      </c>
      <c r="GH54" s="153">
        <f ca="1">HLOOKUP(GH$49,$O$24:$T$45,COUNTA($N$25:$N29)+1,FALSE)*AL54*$D$7/$D$8</f>
        <v>56.222612236113982</v>
      </c>
      <c r="GI54" s="153">
        <f ca="1">HLOOKUP(GI$49,$O$24:$T$45,COUNTA($N$25:$N29)+1,FALSE)*AM54*$D$7/$D$8</f>
        <v>15.380882958797031</v>
      </c>
      <c r="GJ54" s="153">
        <f ca="1">HLOOKUP(GJ$49,$O$24:$T$45,COUNTA($N$25:$N29)+1,FALSE)*AN54*$D$7/$D$8</f>
        <v>0.43204727412351213</v>
      </c>
      <c r="GK54" s="153">
        <f ca="1">HLOOKUP(GK$49,$O$24:$T$45,COUNTA($N$25:$N29)+1,FALSE)*AO54*$D$7/$D$8</f>
        <v>0</v>
      </c>
      <c r="GL54" s="564">
        <f ca="1">HLOOKUP(GL$49,$O$24:$T$45,COUNTA($N$25:$N29)+1,FALSE)*AP54*$D$7/$D$8</f>
        <v>0</v>
      </c>
    </row>
    <row r="55" spans="6:194">
      <c r="F55" s="10">
        <f t="shared" si="317"/>
        <v>2025</v>
      </c>
      <c r="G55" s="79">
        <f ca="1">IF(OR($F55&gt;MAX('הנחות עבודה'!$B$69:$B$89),$F55&gt;$D$5),0,VLOOKUP($F55,'הספק נוסף נדרש'!$B$8:$AX$28,MATCH(G$49,'הספק נוסף נדרש'!$B$6:$AX$6,0)+(ROUNDUP((G$2-$F$2)/COUNTA($F$10:$F$16),0)-1)*COUNTA('הספק נוסף נדרש'!$C$6:$J$6),FALSE))</f>
        <v>181.19893508022506</v>
      </c>
      <c r="H55" s="138">
        <f ca="1">IF(OR($F55&gt;MAX('הנחות עבודה'!$B$69:$B$89),$F55&gt;$D$5),0,VLOOKUP($F55,'הספק נוסף נדרש'!$B$8:$AX$28,MATCH(H$49,'הספק נוסף נדרש'!$B$6:$AX$6,0)+(ROUNDUP((H$2-$F$2)/COUNTA($F$10:$F$16),0)-1)*COUNTA('הספק נוסף נדרש'!$C$6:$J$6),FALSE))</f>
        <v>0</v>
      </c>
      <c r="I55" s="138">
        <f ca="1">IF(OR($F55&gt;MAX('הנחות עבודה'!$B$69:$B$89),$F55&gt;$D$5),0,VLOOKUP($F55,'הספק נוסף נדרש'!$B$8:$AX$28,MATCH(I$49,'הספק נוסף נדרש'!$B$6:$AX$6,0)+(ROUNDUP((I$2-$F$2)/COUNTA($F$10:$F$16),0)-1)*COUNTA('הספק נוסף נדרש'!$C$6:$J$6),FALSE))</f>
        <v>177</v>
      </c>
      <c r="J55" s="138">
        <f ca="1">IF(OR($F55&gt;MAX('הנחות עבודה'!$B$69:$B$89),$F55&gt;$D$5),0,VLOOKUP($F55,'הספק נוסף נדרש'!$B$8:$AX$28,MATCH(J$49,'הספק נוסף נדרש'!$B$6:$AX$6,0)+(ROUNDUP((J$2-$F$2)/COUNTA($F$10:$F$16),0)-1)*COUNTA('הספק נוסף נדרש'!$C$6:$J$6),FALSE))</f>
        <v>5</v>
      </c>
      <c r="K55" s="138">
        <f ca="1">IF(OR($F55&gt;MAX('הנחות עבודה'!$B$69:$B$89),$F55&gt;$D$5),0,VLOOKUP($F55,'הספק נוסף נדרש'!$B$8:$AX$28,MATCH(K$49,'הספק נוסף נדרש'!$B$6:$AX$6,0)+(ROUNDUP((K$2-$F$2)/COUNTA($F$10:$F$16),0)-1)*COUNTA('הספק נוסף נדרש'!$C$6:$J$6),FALSE))</f>
        <v>0</v>
      </c>
      <c r="L55" s="79">
        <f ca="1">IF(OR($F55&gt;MAX('הנחות עבודה'!$B$69:$B$89),$F55&gt;$D$5),0,VLOOKUP($F55,'הספק נוסף נדרש'!$B$8:$AX$28,MATCH(L$49,'הספק נוסף נדרש'!$B$6:$AX$6,0)+(ROUNDUP((L$2-$F$2)/COUNTA($F$10:$F$16),0)-1)*COUNTA('הספק נוסף נדרש'!$C$6:$J$6),FALSE))</f>
        <v>156</v>
      </c>
      <c r="M55" s="74">
        <f ca="1">IF(OR($F55&gt;MAX('הנחות עבודה'!$B$69:$B$89),$F55&gt;$D$5),0,VLOOKUP($F55,'הספק נוסף נדרש'!$B$8:$AX$28,MATCH(M$49,'הספק נוסף נדרש'!$B$6:$AX$6,0)+(ROUNDUP((M$2-$F$2)/COUNTA($F$10:$F$16),0)-1)*COUNTA('הספק נוסף נדרש'!$C$6:$J$6),FALSE))</f>
        <v>0</v>
      </c>
      <c r="N55" s="136">
        <f ca="1">IF(OR($F55&gt;MAX('הנחות עבודה'!$B$69:$B$89),$F55&gt;$D$5),0,VLOOKUP($F55,'הספק נוסף נדרש'!$B$8:$AX$28,MATCH(N$49,'הספק נוסף נדרש'!$B$6:$AX$6,0)+(ROUNDUP((N$2-$F$2)/COUNTA($F$10:$F$16),0)-1)*COUNTA('הספק נוסף נדרש'!$C$6:$J$6),FALSE))</f>
        <v>181.19893508022506</v>
      </c>
      <c r="O55" s="136">
        <f ca="1">IF(OR($F55&gt;MAX('הנחות עבודה'!$B$69:$B$89),$F55&gt;$D$5),0,VLOOKUP($F55,'הספק נוסף נדרש'!$B$8:$AX$28,MATCH(O$49,'הספק נוסף נדרש'!$B$6:$AX$6,0)+(ROUNDUP((O$2-$F$2)/COUNTA($F$10:$F$16),0)-1)*COUNTA('הספק נוסף נדרש'!$C$6:$J$6),FALSE))</f>
        <v>177</v>
      </c>
      <c r="P55" s="136">
        <f ca="1">IF(OR($F55&gt;MAX('הנחות עבודה'!$B$69:$B$89),$F55&gt;$D$5),0,VLOOKUP($F55,'הספק נוסף נדרש'!$B$8:$AX$28,MATCH(P$49,'הספק נוסף נדרש'!$B$6:$AX$6,0)+(ROUNDUP((P$2-$F$2)/COUNTA($F$10:$F$16),0)-1)*COUNTA('הספק נוסף נדרש'!$C$6:$J$6),FALSE))</f>
        <v>5</v>
      </c>
      <c r="Q55" s="136">
        <f ca="1">IF(OR($F55&gt;MAX('הנחות עבודה'!$B$69:$B$89),$F55&gt;$D$5),0,VLOOKUP($F55,'הספק נוסף נדרש'!$B$8:$AX$28,MATCH(Q$49,'הספק נוסף נדרש'!$B$6:$AX$6,0)+(ROUNDUP((Q$2-$F$2)/COUNTA($F$10:$F$16),0)-1)*COUNTA('הספק נוסף נדרש'!$C$6:$J$6),FALSE))</f>
        <v>0</v>
      </c>
      <c r="R55" s="136">
        <f ca="1">IF(OR($F55&gt;MAX('הנחות עבודה'!$B$69:$B$89),$F55&gt;$D$5),0,VLOOKUP($F55,'הספק נוסף נדרש'!$B$8:$AX$28,MATCH(R$49,'הספק נוסף נדרש'!$B$6:$AX$6,0)+(ROUNDUP((R$2-$F$2)/COUNTA($F$10:$F$16),0)-1)*COUNTA('הספק נוסף נדרש'!$C$6:$J$6),FALSE))</f>
        <v>156</v>
      </c>
      <c r="S55" s="79">
        <f ca="1">IF(OR($F55&gt;MAX('הנחות עבודה'!$B$69:$B$89),$F55&gt;$D$5),0,VLOOKUP($F55,'הספק נוסף נדרש'!$B$8:$AX$28,MATCH(S$49,'הספק נוסף נדרש'!$B$6:$AX$6,0)+(ROUNDUP((S$2-$F$2)/COUNTA($F$10:$F$16),0)-1)*COUNTA('הספק נוסף נדרש'!$C$6:$J$6),FALSE))</f>
        <v>711.23940972452419</v>
      </c>
      <c r="T55" s="138">
        <f ca="1">IF(OR($F55&gt;MAX('הנחות עבודה'!$B$69:$B$89),$F55&gt;$D$5),0,VLOOKUP($F55,'הספק נוסף נדרש'!$B$8:$AX$28,MATCH(T$49,'הספק נוסף נדרש'!$B$6:$AX$6,0)+(ROUNDUP((T$2-$F$2)/COUNTA($F$10:$F$16),0)-1)*COUNTA('הספק נוסף נדרש'!$C$6:$J$6),FALSE))</f>
        <v>0</v>
      </c>
      <c r="U55" s="138">
        <f ca="1">IF(OR($F55&gt;MAX('הנחות עבודה'!$B$69:$B$89),$F55&gt;$D$5),0,VLOOKUP($F55,'הספק נוסף נדרש'!$B$8:$AX$28,MATCH(U$49,'הספק נוסף נדרש'!$B$6:$AX$6,0)+(ROUNDUP((U$2-$F$2)/COUNTA($F$10:$F$16),0)-1)*COUNTA('הספק נוסף נדרש'!$C$6:$J$6),FALSE))</f>
        <v>177</v>
      </c>
      <c r="V55" s="138">
        <f ca="1">IF(OR($F55&gt;MAX('הנחות עבודה'!$B$69:$B$89),$F55&gt;$D$5),0,VLOOKUP($F55,'הספק נוסף נדרש'!$B$8:$AX$28,MATCH(V$49,'הספק נוסף נדרש'!$B$6:$AX$6,0)+(ROUNDUP((V$2-$F$2)/COUNTA($F$10:$F$16),0)-1)*COUNTA('הספק נוסף נדרש'!$C$6:$J$6),FALSE))</f>
        <v>5</v>
      </c>
      <c r="W55" s="138">
        <f ca="1">IF(OR($F55&gt;MAX('הנחות עבודה'!$B$69:$B$89),$F55&gt;$D$5),0,VLOOKUP($F55,'הספק נוסף נדרש'!$B$8:$AX$28,MATCH(W$49,'הספק נוסף נדרש'!$B$6:$AX$6,0)+(ROUNDUP((W$2-$F$2)/COUNTA($F$10:$F$16),0)-1)*COUNTA('הספק נוסף נדרש'!$C$6:$J$6),FALSE))</f>
        <v>0</v>
      </c>
      <c r="X55" s="79">
        <f ca="1">IF(OR($F55&gt;MAX('הנחות עבודה'!$B$69:$B$89),$F55&gt;$D$5),0,VLOOKUP($F55,'הספק נוסף נדרש'!$B$8:$AX$28,MATCH(X$49,'הספק נוסף נדרש'!$B$6:$AX$6,0)+(ROUNDUP((X$2-$F$2)/COUNTA($F$10:$F$16),0)-1)*COUNTA('הספק נוסף נדרש'!$C$6:$J$6),FALSE))</f>
        <v>156</v>
      </c>
      <c r="Y55" s="74">
        <f ca="1">IF(OR($F55&gt;MAX('הנחות עבודה'!$B$69:$B$89),$F55&gt;$D$5),0,VLOOKUP($F55,'הספק נוסף נדרש'!$B$8:$AX$28,MATCH(Y$49,'הספק נוסף נדרש'!$B$6:$AX$6,0)+(ROUNDUP((Y$2-$F$2)/COUNTA($F$10:$F$16),0)-1)*COUNTA('הספק נוסף נדרש'!$C$6:$J$6),FALSE))</f>
        <v>0</v>
      </c>
      <c r="Z55" s="136">
        <f ca="1">IF(OR($F55&gt;MAX('הנחות עבודה'!$B$69:$B$89),$F55&gt;$D$5),0,VLOOKUP($F55,'הספק נוסף נדרש'!$B$8:$AX$28,MATCH(Z$49,'הספק נוסף נדרש'!$B$6:$AX$6,0)+(ROUNDUP((Z$2-$F$2)/COUNTA($F$10:$F$16),0)-1)*COUNTA('הספק נוסף נדרש'!$C$6:$J$6),FALSE))</f>
        <v>711.23940972452419</v>
      </c>
      <c r="AA55" s="136">
        <f ca="1">IF(OR($F55&gt;MAX('הנחות עבודה'!$B$69:$B$89),$F55&gt;$D$5),0,VLOOKUP($F55,'הספק נוסף נדרש'!$B$8:$AX$28,MATCH(AA$49,'הספק נוסף נדרש'!$B$6:$AX$6,0)+(ROUNDUP((AA$2-$F$2)/COUNTA($F$10:$F$16),0)-1)*COUNTA('הספק נוסף נדרש'!$C$6:$J$6),FALSE))</f>
        <v>177</v>
      </c>
      <c r="AB55" s="136">
        <f ca="1">IF(OR($F55&gt;MAX('הנחות עבודה'!$B$69:$B$89),$F55&gt;$D$5),0,VLOOKUP($F55,'הספק נוסף נדרש'!$B$8:$AX$28,MATCH(AB$49,'הספק נוסף נדרש'!$B$6:$AX$6,0)+(ROUNDUP((AB$2-$F$2)/COUNTA($F$10:$F$16),0)-1)*COUNTA('הספק נוסף נדרש'!$C$6:$J$6),FALSE))</f>
        <v>5</v>
      </c>
      <c r="AC55" s="136">
        <f ca="1">IF(OR($F55&gt;MAX('הנחות עבודה'!$B$69:$B$89),$F55&gt;$D$5),0,VLOOKUP($F55,'הספק נוסף נדרש'!$B$8:$AX$28,MATCH(AC$49,'הספק נוסף נדרש'!$B$6:$AX$6,0)+(ROUNDUP((AC$2-$F$2)/COUNTA($F$10:$F$16),0)-1)*COUNTA('הספק נוסף נדרש'!$C$6:$J$6),FALSE))</f>
        <v>0</v>
      </c>
      <c r="AD55" s="136">
        <f ca="1">IF(OR($F55&gt;MAX('הנחות עבודה'!$B$69:$B$89),$F55&gt;$D$5),0,VLOOKUP($F55,'הספק נוסף נדרש'!$B$8:$AX$28,MATCH(AD$49,'הספק נוסף נדרש'!$B$6:$AX$6,0)+(ROUNDUP((AD$2-$F$2)/COUNTA($F$10:$F$16),0)-1)*COUNTA('הספק נוסף נדרש'!$C$6:$J$6),FALSE))</f>
        <v>156</v>
      </c>
      <c r="AE55" s="79">
        <f ca="1">IF(OR($F55&gt;MAX('הנחות עבודה'!$B$69:$B$89),$F55&gt;$D$5),0,VLOOKUP($F55,'הספק נוסף נדרש'!$B$8:$AX$28,MATCH(AE$49,'הספק נוסף נדרש'!$B$6:$AX$6,0)+(ROUNDUP((AE$2-$F$2)/COUNTA($F$10:$F$16),0)-1)*COUNTA('הספק נוסף נדרש'!$C$6:$J$6),FALSE))</f>
        <v>1005.7063400824682</v>
      </c>
      <c r="AF55" s="138">
        <f ca="1">IF(OR($F55&gt;MAX('הנחות עבודה'!$B$69:$B$89),$F55&gt;$D$5),0,VLOOKUP($F55,'הספק נוסף נדרש'!$B$8:$AX$28,MATCH(AF$49,'הספק נוסף נדרש'!$B$6:$AX$6,0)+(ROUNDUP((AF$2-$F$2)/COUNTA($F$10:$F$16),0)-1)*COUNTA('הספק נוסף נדרש'!$C$6:$J$6),FALSE))</f>
        <v>0</v>
      </c>
      <c r="AG55" s="138">
        <f ca="1">IF(OR($F55&gt;MAX('הנחות עבודה'!$B$69:$B$89),$F55&gt;$D$5),0,VLOOKUP($F55,'הספק נוסף נדרש'!$B$8:$AX$28,MATCH(AG$49,'הספק נוסף נדרש'!$B$6:$AX$6,0)+(ROUNDUP((AG$2-$F$2)/COUNTA($F$10:$F$16),0)-1)*COUNTA('הספק נוסף נדרש'!$C$6:$J$6),FALSE))</f>
        <v>177</v>
      </c>
      <c r="AH55" s="138">
        <f ca="1">IF(OR($F55&gt;MAX('הנחות עבודה'!$B$69:$B$89),$F55&gt;$D$5),0,VLOOKUP($F55,'הספק נוסף נדרש'!$B$8:$AX$28,MATCH(AH$49,'הספק נוסף נדרש'!$B$6:$AX$6,0)+(ROUNDUP((AH$2-$F$2)/COUNTA($F$10:$F$16),0)-1)*COUNTA('הספק נוסף נדרש'!$C$6:$J$6),FALSE))</f>
        <v>5</v>
      </c>
      <c r="AI55" s="138">
        <f ca="1">IF(OR($F55&gt;MAX('הנחות עבודה'!$B$69:$B$89),$F55&gt;$D$5),0,VLOOKUP($F55,'הספק נוסף נדרש'!$B$8:$AX$28,MATCH(AI$49,'הספק נוסף נדרש'!$B$6:$AX$6,0)+(ROUNDUP((AI$2-$F$2)/COUNTA($F$10:$F$16),0)-1)*COUNTA('הספק נוסף נדרש'!$C$6:$J$6),FALSE))</f>
        <v>0</v>
      </c>
      <c r="AJ55" s="79">
        <f ca="1">IF(OR($F55&gt;MAX('הנחות עבודה'!$B$69:$B$89),$F55&gt;$D$5),0,VLOOKUP($F55,'הספק נוסף נדרש'!$B$8:$AX$28,MATCH(AJ$49,'הספק נוסף נדרש'!$B$6:$AX$6,0)+(ROUNDUP((AJ$2-$F$2)/COUNTA($F$10:$F$16),0)-1)*COUNTA('הספק נוסף נדרש'!$C$6:$J$6),FALSE))</f>
        <v>156</v>
      </c>
      <c r="AK55" s="74">
        <f ca="1">IF(OR($F55&gt;MAX('הנחות עבודה'!$B$69:$B$89),$F55&gt;$D$5),0,VLOOKUP($F55,'הספק נוסף נדרש'!$B$8:$AX$28,MATCH(AK$49,'הספק נוסף נדרש'!$B$6:$AX$6,0)+(ROUNDUP((AK$2-$F$2)/COUNTA($F$10:$F$16),0)-1)*COUNTA('הספק נוסף נדרש'!$C$6:$J$6),FALSE))</f>
        <v>0</v>
      </c>
      <c r="AL55" s="136">
        <f ca="1">IF(OR($F55&gt;MAX('הנחות עבודה'!$B$69:$B$89),$F55&gt;$D$5),0,VLOOKUP($F55,'הספק נוסף נדרש'!$B$8:$AX$28,MATCH(AL$49,'הספק נוסף נדרש'!$B$6:$AX$6,0)+(ROUNDUP((AL$2-$F$2)/COUNTA($F$10:$F$16),0)-1)*COUNTA('הספק נוסף נדרש'!$C$6:$J$6),FALSE))</f>
        <v>1005.7063400824682</v>
      </c>
      <c r="AM55" s="136">
        <f ca="1">IF(OR($F55&gt;MAX('הנחות עבודה'!$B$69:$B$89),$F55&gt;$D$5),0,VLOOKUP($F55,'הספק נוסף נדרש'!$B$8:$AX$28,MATCH(AM$49,'הספק נוסף נדרש'!$B$6:$AX$6,0)+(ROUNDUP((AM$2-$F$2)/COUNTA($F$10:$F$16),0)-1)*COUNTA('הספק נוסף נדרש'!$C$6:$J$6),FALSE))</f>
        <v>177</v>
      </c>
      <c r="AN55" s="136">
        <f ca="1">IF(OR($F55&gt;MAX('הנחות עבודה'!$B$69:$B$89),$F55&gt;$D$5),0,VLOOKUP($F55,'הספק נוסף נדרש'!$B$8:$AX$28,MATCH(AN$49,'הספק נוסף נדרש'!$B$6:$AX$6,0)+(ROUNDUP((AN$2-$F$2)/COUNTA($F$10:$F$16),0)-1)*COUNTA('הספק נוסף נדרש'!$C$6:$J$6),FALSE))</f>
        <v>5</v>
      </c>
      <c r="AO55" s="136">
        <f ca="1">IF(OR($F55&gt;MAX('הנחות עבודה'!$B$69:$B$89),$F55&gt;$D$5),0,VLOOKUP($F55,'הספק נוסף נדרש'!$B$8:$AX$28,MATCH(AO$49,'הספק נוסף נדרש'!$B$6:$AX$6,0)+(ROUNDUP((AO$2-$F$2)/COUNTA($F$10:$F$16),0)-1)*COUNTA('הספק נוסף נדרש'!$C$6:$J$6),FALSE))</f>
        <v>0</v>
      </c>
      <c r="AP55" s="136">
        <f ca="1">IF(OR($F55&gt;MAX('הנחות עבודה'!$B$69:$B$89),$F55&gt;$D$5),0,VLOOKUP($F55,'הספק נוסף נדרש'!$B$8:$AX$28,MATCH(AP$49,'הספק נוסף נדרש'!$B$6:$AX$6,0)+(ROUNDUP((AP$2-$F$2)/COUNTA($F$10:$F$16),0)-1)*COUNTA('הספק נוסף נדרש'!$C$6:$J$6),FALSE))</f>
        <v>156</v>
      </c>
      <c r="AQ55" s="9"/>
      <c r="AR55" s="10">
        <f t="shared" si="313"/>
        <v>2025</v>
      </c>
      <c r="AS55" s="79">
        <f ca="1">HLOOKUP(AS$49,$G$24:$L$45,COUNTA($F$25:$F30)+1,FALSE)*G55*$D$7/$D$8</f>
        <v>486.01392744331366</v>
      </c>
      <c r="AT55" s="138">
        <f ca="1">HLOOKUP(AT$49,$G$24:$L$45,COUNTA($F$25:$F30)+1,FALSE)*H55*$D$7/$D$8</f>
        <v>0</v>
      </c>
      <c r="AU55" s="138">
        <f ca="1">HLOOKUP(AU$49,$G$24:$L$45,COUNTA($F$25:$F30)+1,FALSE)*I55*$D$7/$D$8</f>
        <v>725.03226228680728</v>
      </c>
      <c r="AV55" s="138">
        <f ca="1">HLOOKUP(AV$49,$G$24:$L$45,COUNTA($F$25:$F30)+1,FALSE)*J55*$D$7/$D$8</f>
        <v>20.481137352734667</v>
      </c>
      <c r="AW55" s="138">
        <f ca="1">HLOOKUP(AW$49,$G$24:$L$45,COUNTA($F$25:$F30)+1,FALSE)*K55*$D$7/$D$8</f>
        <v>0</v>
      </c>
      <c r="AX55" s="79">
        <f ca="1">HLOOKUP(AX$49,$G$24:$L$45,COUNTA($F$25:$F30)+1,FALSE)*L55*$D$7/$D$8</f>
        <v>0</v>
      </c>
      <c r="AY55" s="74">
        <f ca="1">HLOOKUP(AY$49,$G$24:$L$45,COUNTA($F$25:$F30)+1,FALSE)*M55*$D$7/$D$8</f>
        <v>0</v>
      </c>
      <c r="AZ55" s="136">
        <f ca="1">HLOOKUP(AZ$49,$G$24:$L$45,COUNTA($F$25:$F30)+1,FALSE)*N55*$D$7/$D$8</f>
        <v>545.99208193336881</v>
      </c>
      <c r="BA55" s="136">
        <f ca="1">HLOOKUP(BA$49,$G$24:$L$45,COUNTA($F$25:$F30)+1,FALSE)*O55*$D$7/$D$8</f>
        <v>725.03226228680728</v>
      </c>
      <c r="BB55" s="136">
        <f ca="1">HLOOKUP(BB$49,$G$24:$L$45,COUNTA($F$25:$F30)+1,FALSE)*P55*$D$7/$D$8</f>
        <v>20.481137352734667</v>
      </c>
      <c r="BC55" s="136">
        <f ca="1">HLOOKUP(BC$49,$G$24:$L$45,COUNTA($F$25:$F30)+1,FALSE)*Q55*$D$7/$D$8</f>
        <v>0</v>
      </c>
      <c r="BD55" s="136">
        <f ca="1">HLOOKUP(BD$49,$G$24:$L$45,COUNTA($F$25:$F30)+1,FALSE)*R55*$D$7/$D$8</f>
        <v>0</v>
      </c>
      <c r="BE55" s="79">
        <f ca="1">HLOOKUP(BE$49,$G$24:$L$45,COUNTA($F$25:$F30)+1,FALSE)*S55*$D$7/$D$8</f>
        <v>1907.6947594622188</v>
      </c>
      <c r="BF55" s="138">
        <f ca="1">HLOOKUP(BF$49,$G$24:$L$45,COUNTA($F$25:$F30)+1,FALSE)*T55*$D$7/$D$8</f>
        <v>0</v>
      </c>
      <c r="BG55" s="138">
        <f ca="1">HLOOKUP(BG$49,$G$24:$L$45,COUNTA($F$25:$F30)+1,FALSE)*U55*$D$7/$D$8</f>
        <v>725.03226228680728</v>
      </c>
      <c r="BH55" s="138">
        <f ca="1">HLOOKUP(BH$49,$G$24:$L$45,COUNTA($F$25:$F30)+1,FALSE)*V55*$D$7/$D$8</f>
        <v>20.481137352734667</v>
      </c>
      <c r="BI55" s="138">
        <f ca="1">HLOOKUP(BI$49,$G$24:$L$45,COUNTA($F$25:$F30)+1,FALSE)*W55*$D$7/$D$8</f>
        <v>0</v>
      </c>
      <c r="BJ55" s="79">
        <f ca="1">HLOOKUP(BJ$49,$G$24:$L$45,COUNTA($F$25:$F30)+1,FALSE)*X55*$D$7/$D$8</f>
        <v>0</v>
      </c>
      <c r="BK55" s="74">
        <f ca="1">HLOOKUP(BK$49,$G$24:$L$45,COUNTA($F$25:$F30)+1,FALSE)*Y55*$D$7/$D$8</f>
        <v>0</v>
      </c>
      <c r="BL55" s="136">
        <f ca="1">HLOOKUP(BL$49,$G$24:$L$45,COUNTA($F$25:$F30)+1,FALSE)*Z55*$D$7/$D$8</f>
        <v>2143.1201342139307</v>
      </c>
      <c r="BM55" s="136">
        <f ca="1">HLOOKUP(BM$49,$G$24:$L$45,COUNTA($F$25:$F30)+1,FALSE)*AA55*$D$7/$D$8</f>
        <v>725.03226228680728</v>
      </c>
      <c r="BN55" s="136">
        <f ca="1">HLOOKUP(BN$49,$G$24:$L$45,COUNTA($F$25:$F30)+1,FALSE)*AB55*$D$7/$D$8</f>
        <v>20.481137352734667</v>
      </c>
      <c r="BO55" s="136">
        <f ca="1">HLOOKUP(BO$49,$G$24:$L$45,COUNTA($F$25:$F30)+1,FALSE)*AC55*$D$7/$D$8</f>
        <v>0</v>
      </c>
      <c r="BP55" s="136">
        <f ca="1">HLOOKUP(BP$49,$G$24:$L$45,COUNTA($F$25:$F30)+1,FALSE)*AD55*$D$7/$D$8</f>
        <v>0</v>
      </c>
      <c r="BQ55" s="79">
        <f ca="1">HLOOKUP(BQ$49,$G$24:$L$45,COUNTA($F$25:$F30)+1,FALSE)*AE55*$D$7/$D$8</f>
        <v>2697.5174439171656</v>
      </c>
      <c r="BR55" s="138">
        <f ca="1">HLOOKUP(BR$49,$G$24:$L$45,COUNTA($F$25:$F30)+1,FALSE)*AF55*$D$7/$D$8</f>
        <v>0</v>
      </c>
      <c r="BS55" s="138">
        <f ca="1">HLOOKUP(BS$49,$G$24:$L$45,COUNTA($F$25:$F30)+1,FALSE)*AG55*$D$7/$D$8</f>
        <v>725.03226228680728</v>
      </c>
      <c r="BT55" s="138">
        <f ca="1">HLOOKUP(BT$49,$G$24:$L$45,COUNTA($F$25:$F30)+1,FALSE)*AH55*$D$7/$D$8</f>
        <v>20.481137352734667</v>
      </c>
      <c r="BU55" s="138">
        <f ca="1">HLOOKUP(BU$49,$G$24:$L$45,COUNTA($F$25:$F30)+1,FALSE)*AI55*$D$7/$D$8</f>
        <v>0</v>
      </c>
      <c r="BV55" s="79">
        <f ca="1">HLOOKUP(BV$49,$G$24:$L$45,COUNTA($F$25:$F30)+1,FALSE)*AJ55*$D$7/$D$8</f>
        <v>0</v>
      </c>
      <c r="BW55" s="74">
        <f ca="1">HLOOKUP(BW$49,$G$24:$L$45,COUNTA($F$25:$F30)+1,FALSE)*AK55*$D$7/$D$8</f>
        <v>0</v>
      </c>
      <c r="BX55" s="136">
        <f ca="1">HLOOKUP(BX$49,$G$24:$L$45,COUNTA($F$25:$F30)+1,FALSE)*AL55*$D$7/$D$8</f>
        <v>3030.4134965920211</v>
      </c>
      <c r="BY55" s="136">
        <f ca="1">HLOOKUP(BY$49,$G$24:$L$45,COUNTA($F$25:$F30)+1,FALSE)*AM55*$D$7/$D$8</f>
        <v>725.03226228680728</v>
      </c>
      <c r="BZ55" s="136">
        <f ca="1">HLOOKUP(BZ$49,$G$24:$L$45,COUNTA($F$25:$F30)+1,FALSE)*AN55*$D$7/$D$8</f>
        <v>20.481137352734667</v>
      </c>
      <c r="CA55" s="136">
        <f ca="1">HLOOKUP(CA$49,$G$24:$L$45,COUNTA($F$25:$F30)+1,FALSE)*AO55*$D$7/$D$8</f>
        <v>0</v>
      </c>
      <c r="CB55" s="739">
        <f ca="1">HLOOKUP(CB$49,$G$24:$L$45,COUNTA($F$25:$F30)+1,FALSE)*AP55*$D$7/$D$8</f>
        <v>0</v>
      </c>
      <c r="CD55" s="10">
        <f t="shared" si="314"/>
        <v>2025</v>
      </c>
      <c r="CE55" s="85">
        <f t="shared" ca="1" si="240"/>
        <v>550.16221964109218</v>
      </c>
      <c r="CF55" s="147">
        <f t="shared" ca="1" si="241"/>
        <v>0</v>
      </c>
      <c r="CG55" s="147">
        <f t="shared" ca="1" si="242"/>
        <v>216.27952515046442</v>
      </c>
      <c r="CH55" s="147">
        <f t="shared" ca="1" si="243"/>
        <v>13.623658397235113</v>
      </c>
      <c r="CI55" s="147">
        <f t="shared" ca="1" si="244"/>
        <v>0</v>
      </c>
      <c r="CJ55" s="85">
        <f t="shared" ca="1" si="245"/>
        <v>0</v>
      </c>
      <c r="CK55" s="151">
        <f t="shared" ca="1" si="246"/>
        <v>0</v>
      </c>
      <c r="CL55" s="102">
        <f t="shared" ca="1" si="247"/>
        <v>675.77405856217285</v>
      </c>
      <c r="CM55" s="102">
        <f t="shared" ca="1" si="248"/>
        <v>216.27952515046442</v>
      </c>
      <c r="CN55" s="102">
        <f t="shared" ca="1" si="249"/>
        <v>13.623658397235113</v>
      </c>
      <c r="CO55" s="102">
        <f t="shared" ca="1" si="250"/>
        <v>0</v>
      </c>
      <c r="CP55" s="151">
        <f t="shared" ca="1" si="251"/>
        <v>0</v>
      </c>
      <c r="CQ55" s="85">
        <f t="shared" ca="1" si="252"/>
        <v>971.30117577723468</v>
      </c>
      <c r="CR55" s="147">
        <f t="shared" ca="1" si="253"/>
        <v>0</v>
      </c>
      <c r="CS55" s="147">
        <f t="shared" ca="1" si="254"/>
        <v>216.27952515046442</v>
      </c>
      <c r="CT55" s="147">
        <f t="shared" ca="1" si="255"/>
        <v>13.623658397235113</v>
      </c>
      <c r="CU55" s="147">
        <f t="shared" ca="1" si="256"/>
        <v>0</v>
      </c>
      <c r="CV55" s="85">
        <f t="shared" ca="1" si="257"/>
        <v>0</v>
      </c>
      <c r="CW55" s="151">
        <f t="shared" ca="1" si="258"/>
        <v>0</v>
      </c>
      <c r="CX55" s="102">
        <f t="shared" ca="1" si="259"/>
        <v>1197.253497175765</v>
      </c>
      <c r="CY55" s="102">
        <f t="shared" ca="1" si="260"/>
        <v>216.27952515046442</v>
      </c>
      <c r="CZ55" s="102">
        <f t="shared" ca="1" si="261"/>
        <v>13.623658397235113</v>
      </c>
      <c r="DA55" s="102">
        <f t="shared" ca="1" si="262"/>
        <v>0</v>
      </c>
      <c r="DB55" s="151">
        <f t="shared" ca="1" si="263"/>
        <v>0</v>
      </c>
      <c r="DC55" s="85">
        <f t="shared" ca="1" si="264"/>
        <v>1205.2672625195364</v>
      </c>
      <c r="DD55" s="147">
        <f t="shared" ca="1" si="265"/>
        <v>0</v>
      </c>
      <c r="DE55" s="147">
        <f t="shared" ca="1" si="266"/>
        <v>216.27952515046442</v>
      </c>
      <c r="DF55" s="147">
        <f t="shared" ca="1" si="267"/>
        <v>13.623658397235113</v>
      </c>
      <c r="DG55" s="147">
        <f t="shared" ca="1" si="268"/>
        <v>0</v>
      </c>
      <c r="DH55" s="85">
        <f t="shared" ca="1" si="269"/>
        <v>0</v>
      </c>
      <c r="DI55" s="151">
        <f t="shared" ca="1" si="270"/>
        <v>0</v>
      </c>
      <c r="DJ55" s="102">
        <f t="shared" ca="1" si="271"/>
        <v>1486.9642964055383</v>
      </c>
      <c r="DK55" s="102">
        <f t="shared" ca="1" si="272"/>
        <v>216.27952515046442</v>
      </c>
      <c r="DL55" s="102">
        <f t="shared" ca="1" si="273"/>
        <v>13.623658397235113</v>
      </c>
      <c r="DM55" s="102">
        <f t="shared" ca="1" si="274"/>
        <v>0</v>
      </c>
      <c r="DN55" s="564">
        <f t="shared" ca="1" si="275"/>
        <v>0</v>
      </c>
      <c r="DP55" s="10">
        <f t="shared" si="315"/>
        <v>2025</v>
      </c>
      <c r="DQ55" s="85">
        <f t="shared" ca="1" si="276"/>
        <v>155.75814596839817</v>
      </c>
      <c r="DR55" s="147">
        <f t="shared" ca="1" si="277"/>
        <v>0</v>
      </c>
      <c r="DS55" s="147">
        <f t="shared" ca="1" si="278"/>
        <v>61.350712925538716</v>
      </c>
      <c r="DT55" s="147">
        <f t="shared" ca="1" si="279"/>
        <v>4.3204727412351209</v>
      </c>
      <c r="DU55" s="147">
        <f t="shared" ca="1" si="280"/>
        <v>0</v>
      </c>
      <c r="DV55" s="85">
        <f t="shared" ca="1" si="281"/>
        <v>0</v>
      </c>
      <c r="DW55" s="151">
        <f t="shared" ca="1" si="282"/>
        <v>0</v>
      </c>
      <c r="DX55" s="102">
        <f t="shared" ca="1" si="283"/>
        <v>177.24499499508016</v>
      </c>
      <c r="DY55" s="102">
        <f t="shared" ca="1" si="284"/>
        <v>61.350712925538716</v>
      </c>
      <c r="DZ55" s="102">
        <f t="shared" ca="1" si="285"/>
        <v>4.3204727412351209</v>
      </c>
      <c r="EA55" s="102">
        <f t="shared" ca="1" si="286"/>
        <v>0</v>
      </c>
      <c r="EB55" s="151">
        <f t="shared" ca="1" si="287"/>
        <v>0</v>
      </c>
      <c r="EC55" s="85">
        <f t="shared" ca="1" si="288"/>
        <v>286.2041092983481</v>
      </c>
      <c r="ED55" s="147">
        <f t="shared" ca="1" si="289"/>
        <v>0</v>
      </c>
      <c r="EE55" s="147">
        <f t="shared" ca="1" si="290"/>
        <v>61.350712925538716</v>
      </c>
      <c r="EF55" s="147">
        <f t="shared" ca="1" si="291"/>
        <v>4.3204727412351209</v>
      </c>
      <c r="EG55" s="147">
        <f t="shared" ca="1" si="292"/>
        <v>0</v>
      </c>
      <c r="EH55" s="85">
        <f t="shared" ca="1" si="293"/>
        <v>0</v>
      </c>
      <c r="EI55" s="151">
        <f t="shared" ca="1" si="294"/>
        <v>0</v>
      </c>
      <c r="EJ55" s="102">
        <f t="shared" ca="1" si="295"/>
        <v>325.68598967818582</v>
      </c>
      <c r="EK55" s="102">
        <f t="shared" ca="1" si="296"/>
        <v>61.350712925538716</v>
      </c>
      <c r="EL55" s="102">
        <f t="shared" ca="1" si="297"/>
        <v>4.3204727412351209</v>
      </c>
      <c r="EM55" s="102">
        <f t="shared" ca="1" si="298"/>
        <v>0</v>
      </c>
      <c r="EN55" s="151">
        <f t="shared" ca="1" si="299"/>
        <v>0</v>
      </c>
      <c r="EO55" s="85">
        <f t="shared" ca="1" si="300"/>
        <v>358.67408892609825</v>
      </c>
      <c r="EP55" s="145">
        <f t="shared" ca="1" si="301"/>
        <v>0</v>
      </c>
      <c r="EQ55" s="145">
        <f t="shared" ca="1" si="302"/>
        <v>61.350712925538716</v>
      </c>
      <c r="ER55" s="145">
        <f t="shared" ca="1" si="303"/>
        <v>4.3204727412351209</v>
      </c>
      <c r="ES55" s="145">
        <f t="shared" ca="1" si="304"/>
        <v>0</v>
      </c>
      <c r="ET55" s="85">
        <f t="shared" ca="1" si="305"/>
        <v>0</v>
      </c>
      <c r="EU55" s="102">
        <f t="shared" ca="1" si="306"/>
        <v>0</v>
      </c>
      <c r="EV55" s="102">
        <f t="shared" ca="1" si="307"/>
        <v>408.15320894657799</v>
      </c>
      <c r="EW55" s="102">
        <f t="shared" ca="1" si="308"/>
        <v>61.350712925538716</v>
      </c>
      <c r="EX55" s="102">
        <f t="shared" ca="1" si="309"/>
        <v>4.3204727412351209</v>
      </c>
      <c r="EY55" s="102">
        <f t="shared" ca="1" si="310"/>
        <v>0</v>
      </c>
      <c r="EZ55" s="564">
        <f t="shared" ca="1" si="311"/>
        <v>0</v>
      </c>
      <c r="FB55" s="10">
        <f t="shared" si="316"/>
        <v>2025</v>
      </c>
      <c r="FC55" s="85">
        <f ca="1">HLOOKUP(FC$49,$O$24:$T$45,COUNTA($N$25:$N30)+1,FALSE)*G55*$D$7/$D$8</f>
        <v>10.058839465651461</v>
      </c>
      <c r="FD55" s="147">
        <f ca="1">HLOOKUP(FD$49,$O$24:$T$45,COUNTA($N$25:$N30)+1,FALSE)*H55*$D$7/$D$8</f>
        <v>0</v>
      </c>
      <c r="FE55" s="147">
        <f ca="1">HLOOKUP(FE$49,$O$24:$T$45,COUNTA($N$25:$N30)+1,FALSE)*I55*$D$7/$D$8</f>
        <v>15.294473503972329</v>
      </c>
      <c r="FF55" s="147">
        <f ca="1">HLOOKUP(FF$49,$O$24:$T$45,COUNTA($N$25:$N30)+1,FALSE)*J55*$D$7/$D$8</f>
        <v>0.43204727412351213</v>
      </c>
      <c r="FG55" s="147">
        <f ca="1">HLOOKUP(FG$49,$O$24:$T$45,COUNTA($N$25:$N30)+1,FALSE)*K55*$D$7/$D$8</f>
        <v>0</v>
      </c>
      <c r="FH55" s="85">
        <f ca="1">HLOOKUP(FH$49,$O$24:$T$45,COUNTA($N$25:$N30)+1,FALSE)*L55*$D$7/$D$8</f>
        <v>0</v>
      </c>
      <c r="FI55" s="151">
        <f ca="1">HLOOKUP(FI$49,$O$24:$T$45,COUNTA($N$25:$N30)+1,FALSE)*M55*$D$7/$D$8</f>
        <v>0</v>
      </c>
      <c r="FJ55" s="153">
        <f ca="1">HLOOKUP(FJ$49,$O$24:$T$45,COUNTA($N$25:$N30)+1,FALSE)*N55*$D$7/$D$8</f>
        <v>11.446457195936556</v>
      </c>
      <c r="FK55" s="153">
        <f ca="1">HLOOKUP(FK$49,$O$24:$T$45,COUNTA($N$25:$N30)+1,FALSE)*O55*$D$7/$D$8</f>
        <v>15.294473503972329</v>
      </c>
      <c r="FL55" s="153">
        <f ca="1">HLOOKUP(FL$49,$O$24:$T$45,COUNTA($N$25:$N30)+1,FALSE)*P55*$D$7/$D$8</f>
        <v>0.43204727412351213</v>
      </c>
      <c r="FM55" s="153">
        <f ca="1">HLOOKUP(FM$49,$O$24:$T$45,COUNTA($N$25:$N30)+1,FALSE)*Q55*$D$7/$D$8</f>
        <v>0</v>
      </c>
      <c r="FN55" s="151">
        <f ca="1">HLOOKUP(FN$49,$O$24:$T$45,COUNTA($N$25:$N30)+1,FALSE)*R55*$D$7/$D$8</f>
        <v>0</v>
      </c>
      <c r="FO55" s="85">
        <f ca="1">HLOOKUP(FO$49,$O$24:$T$45,COUNTA($N$25:$N30)+1,FALSE)*S55*$D$7/$D$8</f>
        <v>39.482809547948953</v>
      </c>
      <c r="FP55" s="147">
        <f ca="1">HLOOKUP(FP$49,$O$24:$T$45,COUNTA($N$25:$N30)+1,FALSE)*T55*$D$7/$D$8</f>
        <v>0</v>
      </c>
      <c r="FQ55" s="147">
        <f ca="1">HLOOKUP(FQ$49,$O$24:$T$45,COUNTA($N$25:$N30)+1,FALSE)*U55*$D$7/$D$8</f>
        <v>15.294473503972329</v>
      </c>
      <c r="FR55" s="147">
        <f ca="1">HLOOKUP(FR$49,$O$24:$T$45,COUNTA($N$25:$N30)+1,FALSE)*V55*$D$7/$D$8</f>
        <v>0.43204727412351213</v>
      </c>
      <c r="FS55" s="147">
        <f ca="1">HLOOKUP(FS$49,$O$24:$T$45,COUNTA($N$25:$N30)+1,FALSE)*W55*$D$7/$D$8</f>
        <v>0</v>
      </c>
      <c r="FT55" s="85">
        <f ca="1">HLOOKUP(FT$49,$O$24:$T$45,COUNTA($N$25:$N30)+1,FALSE)*X55*$D$7/$D$8</f>
        <v>0</v>
      </c>
      <c r="FU55" s="151">
        <f ca="1">HLOOKUP(FU$49,$O$24:$T$45,COUNTA($N$25:$N30)+1,FALSE)*Y55*$D$7/$D$8</f>
        <v>0</v>
      </c>
      <c r="FV55" s="153">
        <f ca="1">HLOOKUP(FV$49,$O$24:$T$45,COUNTA($N$25:$N30)+1,FALSE)*Z55*$D$7/$D$8</f>
        <v>44.929466367285656</v>
      </c>
      <c r="FW55" s="153">
        <f ca="1">HLOOKUP(FW$49,$O$24:$T$45,COUNTA($N$25:$N30)+1,FALSE)*AA55*$D$7/$D$8</f>
        <v>15.294473503972329</v>
      </c>
      <c r="FX55" s="153">
        <f ca="1">HLOOKUP(FX$49,$O$24:$T$45,COUNTA($N$25:$N30)+1,FALSE)*AB55*$D$7/$D$8</f>
        <v>0.43204727412351213</v>
      </c>
      <c r="FY55" s="153">
        <f ca="1">HLOOKUP(FY$49,$O$24:$T$45,COUNTA($N$25:$N30)+1,FALSE)*AC55*$D$7/$D$8</f>
        <v>0</v>
      </c>
      <c r="FZ55" s="151">
        <f ca="1">HLOOKUP(FZ$49,$O$24:$T$45,COUNTA($N$25:$N30)+1,FALSE)*AD55*$D$7/$D$8</f>
        <v>0</v>
      </c>
      <c r="GA55" s="85">
        <f ca="1">HLOOKUP(GA$49,$O$24:$T$45,COUNTA($N$25:$N30)+1,FALSE)*AE55*$D$7/$D$8</f>
        <v>55.829459593669796</v>
      </c>
      <c r="GB55" s="147">
        <f ca="1">HLOOKUP(GB$49,$O$24:$T$45,COUNTA($N$25:$N30)+1,FALSE)*AF55*$D$7/$D$8</f>
        <v>0</v>
      </c>
      <c r="GC55" s="147">
        <f ca="1">HLOOKUP(GC$49,$O$24:$T$45,COUNTA($N$25:$N30)+1,FALSE)*AG55*$D$7/$D$8</f>
        <v>15.294473503972329</v>
      </c>
      <c r="GD55" s="147">
        <f ca="1">HLOOKUP(GD$49,$O$24:$T$45,COUNTA($N$25:$N30)+1,FALSE)*AH55*$D$7/$D$8</f>
        <v>0.43204727412351213</v>
      </c>
      <c r="GE55" s="147">
        <f ca="1">HLOOKUP(GE$49,$O$24:$T$45,COUNTA($N$25:$N30)+1,FALSE)*AI55*$D$7/$D$8</f>
        <v>0</v>
      </c>
      <c r="GF55" s="85">
        <f ca="1">HLOOKUP(GF$49,$O$24:$T$45,COUNTA($N$25:$N30)+1,FALSE)*AJ55*$D$7/$D$8</f>
        <v>0</v>
      </c>
      <c r="GG55" s="151">
        <f ca="1">HLOOKUP(GG$49,$O$24:$T$45,COUNTA($N$25:$N30)+1,FALSE)*AK55*$D$7/$D$8</f>
        <v>0</v>
      </c>
      <c r="GH55" s="153">
        <f ca="1">HLOOKUP(GH$49,$O$24:$T$45,COUNTA($N$25:$N30)+1,FALSE)*AL55*$D$7/$D$8</f>
        <v>63.531138129146271</v>
      </c>
      <c r="GI55" s="153">
        <f ca="1">HLOOKUP(GI$49,$O$24:$T$45,COUNTA($N$25:$N30)+1,FALSE)*AM55*$D$7/$D$8</f>
        <v>15.294473503972329</v>
      </c>
      <c r="GJ55" s="153">
        <f ca="1">HLOOKUP(GJ$49,$O$24:$T$45,COUNTA($N$25:$N30)+1,FALSE)*AN55*$D$7/$D$8</f>
        <v>0.43204727412351213</v>
      </c>
      <c r="GK55" s="153">
        <f ca="1">HLOOKUP(GK$49,$O$24:$T$45,COUNTA($N$25:$N30)+1,FALSE)*AO55*$D$7/$D$8</f>
        <v>0</v>
      </c>
      <c r="GL55" s="564">
        <f ca="1">HLOOKUP(GL$49,$O$24:$T$45,COUNTA($N$25:$N30)+1,FALSE)*AP55*$D$7/$D$8</f>
        <v>0</v>
      </c>
    </row>
    <row r="56" spans="6:194">
      <c r="F56" s="10">
        <f t="shared" si="317"/>
        <v>2026</v>
      </c>
      <c r="G56" s="79">
        <f ca="1">IF(OR($F56&gt;MAX('הנחות עבודה'!$B$69:$B$89),$F56&gt;$D$5),0,VLOOKUP($F56,'הספק נוסף נדרש'!$B$8:$AX$28,MATCH(G$49,'הספק נוסף נדרש'!$B$6:$AX$6,0)+(ROUNDUP((G$2-$F$2)/COUNTA($F$10:$F$16),0)-1)*COUNTA('הספק נוסף נדרש'!$C$6:$J$6),FALSE))</f>
        <v>619.03221265441971</v>
      </c>
      <c r="H56" s="138">
        <f ca="1">IF(OR($F56&gt;MAX('הנחות עבודה'!$B$69:$B$89),$F56&gt;$D$5),0,VLOOKUP($F56,'הספק נוסף נדרש'!$B$8:$AX$28,MATCH(H$49,'הספק נוסף נדרש'!$B$6:$AX$6,0)+(ROUNDUP((H$2-$F$2)/COUNTA($F$10:$F$16),0)-1)*COUNTA('הספק נוסף נדרש'!$C$6:$J$6),FALSE))</f>
        <v>0</v>
      </c>
      <c r="I56" s="138">
        <f ca="1">IF(OR($F56&gt;MAX('הנחות עבודה'!$B$69:$B$89),$F56&gt;$D$5),0,VLOOKUP($F56,'הספק נוסף נדרש'!$B$8:$AX$28,MATCH(I$49,'הספק נוסף נדרש'!$B$6:$AX$6,0)+(ROUNDUP((I$2-$F$2)/COUNTA($F$10:$F$16),0)-1)*COUNTA('הספק נוסף נדרש'!$C$6:$J$6),FALSE))</f>
        <v>0</v>
      </c>
      <c r="J56" s="138">
        <f ca="1">IF(OR($F56&gt;MAX('הנחות עבודה'!$B$69:$B$89),$F56&gt;$D$5),0,VLOOKUP($F56,'הספק נוסף נדרש'!$B$8:$AX$28,MATCH(J$49,'הספק נוסף נדרש'!$B$6:$AX$6,0)+(ROUNDUP((J$2-$F$2)/COUNTA($F$10:$F$16),0)-1)*COUNTA('הספק נוסף נדרש'!$C$6:$J$6),FALSE))</f>
        <v>5</v>
      </c>
      <c r="K56" s="138">
        <f ca="1">IF(OR($F56&gt;MAX('הנחות עבודה'!$B$69:$B$89),$F56&gt;$D$5),0,VLOOKUP($F56,'הספק נוסף נדרש'!$B$8:$AX$28,MATCH(K$49,'הספק נוסף נדרש'!$B$6:$AX$6,0)+(ROUNDUP((K$2-$F$2)/COUNTA($F$10:$F$16),0)-1)*COUNTA('הספק נוסף נדרש'!$C$6:$J$6),FALSE))</f>
        <v>0</v>
      </c>
      <c r="L56" s="79">
        <f ca="1">IF(OR($F56&gt;MAX('הנחות עבודה'!$B$69:$B$89),$F56&gt;$D$5),0,VLOOKUP($F56,'הספק נוסף נדרש'!$B$8:$AX$28,MATCH(L$49,'הספק נוסף נדרש'!$B$6:$AX$6,0)+(ROUNDUP((L$2-$F$2)/COUNTA($F$10:$F$16),0)-1)*COUNTA('הספק נוסף נדרש'!$C$6:$J$6),FALSE))</f>
        <v>0</v>
      </c>
      <c r="M56" s="74">
        <f ca="1">IF(OR($F56&gt;MAX('הנחות עבודה'!$B$69:$B$89),$F56&gt;$D$5),0,VLOOKUP($F56,'הספק נוסף נדרש'!$B$8:$AX$28,MATCH(M$49,'הספק נוסף נדרש'!$B$6:$AX$6,0)+(ROUNDUP((M$2-$F$2)/COUNTA($F$10:$F$16),0)-1)*COUNTA('הספק נוסף נדרש'!$C$6:$J$6),FALSE))</f>
        <v>0</v>
      </c>
      <c r="N56" s="136">
        <f ca="1">IF(OR($F56&gt;MAX('הנחות עבודה'!$B$69:$B$89),$F56&gt;$D$5),0,VLOOKUP($F56,'הספק נוסף נדרש'!$B$8:$AX$28,MATCH(N$49,'הספק נוסף נדרש'!$B$6:$AX$6,0)+(ROUNDUP((N$2-$F$2)/COUNTA($F$10:$F$16),0)-1)*COUNTA('הספק נוסף נדרש'!$C$6:$J$6),FALSE))</f>
        <v>619.03221265441971</v>
      </c>
      <c r="O56" s="136">
        <f ca="1">IF(OR($F56&gt;MAX('הנחות עבודה'!$B$69:$B$89),$F56&gt;$D$5),0,VLOOKUP($F56,'הספק נוסף נדרש'!$B$8:$AX$28,MATCH(O$49,'הספק נוסף נדרש'!$B$6:$AX$6,0)+(ROUNDUP((O$2-$F$2)/COUNTA($F$10:$F$16),0)-1)*COUNTA('הספק נוסף נדרש'!$C$6:$J$6),FALSE))</f>
        <v>0</v>
      </c>
      <c r="P56" s="136">
        <f ca="1">IF(OR($F56&gt;MAX('הנחות עבודה'!$B$69:$B$89),$F56&gt;$D$5),0,VLOOKUP($F56,'הספק נוסף נדרש'!$B$8:$AX$28,MATCH(P$49,'הספק נוסף נדרש'!$B$6:$AX$6,0)+(ROUNDUP((P$2-$F$2)/COUNTA($F$10:$F$16),0)-1)*COUNTA('הספק נוסף נדרש'!$C$6:$J$6),FALSE))</f>
        <v>5</v>
      </c>
      <c r="Q56" s="136">
        <f ca="1">IF(OR($F56&gt;MAX('הנחות עבודה'!$B$69:$B$89),$F56&gt;$D$5),0,VLOOKUP($F56,'הספק נוסף נדרש'!$B$8:$AX$28,MATCH(Q$49,'הספק נוסף נדרש'!$B$6:$AX$6,0)+(ROUNDUP((Q$2-$F$2)/COUNTA($F$10:$F$16),0)-1)*COUNTA('הספק נוסף נדרש'!$C$6:$J$6),FALSE))</f>
        <v>0</v>
      </c>
      <c r="R56" s="136">
        <f ca="1">IF(OR($F56&gt;MAX('הנחות עבודה'!$B$69:$B$89),$F56&gt;$D$5),0,VLOOKUP($F56,'הספק נוסף נדרש'!$B$8:$AX$28,MATCH(R$49,'הספק נוסף נדרש'!$B$6:$AX$6,0)+(ROUNDUP((R$2-$F$2)/COUNTA($F$10:$F$16),0)-1)*COUNTA('הספק נוסף נדרש'!$C$6:$J$6),FALSE))</f>
        <v>0</v>
      </c>
      <c r="S56" s="79">
        <f ca="1">IF(OR($F56&gt;MAX('הנחות עבודה'!$B$69:$B$89),$F56&gt;$D$5),0,VLOOKUP($F56,'הספק נוסף נדרש'!$B$8:$AX$28,MATCH(S$49,'הספק נוסף נדרש'!$B$6:$AX$6,0)+(ROUNDUP((S$2-$F$2)/COUNTA($F$10:$F$16),0)-1)*COUNTA('הספק נוסף נדרש'!$C$6:$J$6),FALSE))</f>
        <v>1068.5447022433837</v>
      </c>
      <c r="T56" s="138">
        <f ca="1">IF(OR($F56&gt;MAX('הנחות עבודה'!$B$69:$B$89),$F56&gt;$D$5),0,VLOOKUP($F56,'הספק נוסף נדרש'!$B$8:$AX$28,MATCH(T$49,'הספק נוסף נדרש'!$B$6:$AX$6,0)+(ROUNDUP((T$2-$F$2)/COUNTA($F$10:$F$16),0)-1)*COUNTA('הספק נוסף נדרש'!$C$6:$J$6),FALSE))</f>
        <v>0</v>
      </c>
      <c r="U56" s="138">
        <f ca="1">IF(OR($F56&gt;MAX('הנחות עבודה'!$B$69:$B$89),$F56&gt;$D$5),0,VLOOKUP($F56,'הספק נוסף נדרש'!$B$8:$AX$28,MATCH(U$49,'הספק נוסף נדרש'!$B$6:$AX$6,0)+(ROUNDUP((U$2-$F$2)/COUNTA($F$10:$F$16),0)-1)*COUNTA('הספק נוסף נדרש'!$C$6:$J$6),FALSE))</f>
        <v>0</v>
      </c>
      <c r="V56" s="138">
        <f ca="1">IF(OR($F56&gt;MAX('הנחות עבודה'!$B$69:$B$89),$F56&gt;$D$5),0,VLOOKUP($F56,'הספק נוסף נדרש'!$B$8:$AX$28,MATCH(V$49,'הספק נוסף נדרש'!$B$6:$AX$6,0)+(ROUNDUP((V$2-$F$2)/COUNTA($F$10:$F$16),0)-1)*COUNTA('הספק נוסף נדרש'!$C$6:$J$6),FALSE))</f>
        <v>5</v>
      </c>
      <c r="W56" s="138">
        <f ca="1">IF(OR($F56&gt;MAX('הנחות עבודה'!$B$69:$B$89),$F56&gt;$D$5),0,VLOOKUP($F56,'הספק נוסף נדרש'!$B$8:$AX$28,MATCH(W$49,'הספק נוסף נדרש'!$B$6:$AX$6,0)+(ROUNDUP((W$2-$F$2)/COUNTA($F$10:$F$16),0)-1)*COUNTA('הספק נוסף נדרש'!$C$6:$J$6),FALSE))</f>
        <v>0</v>
      </c>
      <c r="X56" s="79">
        <f ca="1">IF(OR($F56&gt;MAX('הנחות עבודה'!$B$69:$B$89),$F56&gt;$D$5),0,VLOOKUP($F56,'הספק נוסף נדרש'!$B$8:$AX$28,MATCH(X$49,'הספק נוסף נדרש'!$B$6:$AX$6,0)+(ROUNDUP((X$2-$F$2)/COUNTA($F$10:$F$16),0)-1)*COUNTA('הספק נוסף נדרש'!$C$6:$J$6),FALSE))</f>
        <v>0</v>
      </c>
      <c r="Y56" s="74">
        <f ca="1">IF(OR($F56&gt;MAX('הנחות עבודה'!$B$69:$B$89),$F56&gt;$D$5),0,VLOOKUP($F56,'הספק נוסף נדרש'!$B$8:$AX$28,MATCH(Y$49,'הספק נוסף נדרש'!$B$6:$AX$6,0)+(ROUNDUP((Y$2-$F$2)/COUNTA($F$10:$F$16),0)-1)*COUNTA('הספק נוסף נדרש'!$C$6:$J$6),FALSE))</f>
        <v>0</v>
      </c>
      <c r="Z56" s="136">
        <f ca="1">IF(OR($F56&gt;MAX('הנחות עבודה'!$B$69:$B$89),$F56&gt;$D$5),0,VLOOKUP($F56,'הספק נוסף נדרש'!$B$8:$AX$28,MATCH(Z$49,'הספק נוסף נדרש'!$B$6:$AX$6,0)+(ROUNDUP((Z$2-$F$2)/COUNTA($F$10:$F$16),0)-1)*COUNTA('הספק נוסף נדרש'!$C$6:$J$6),FALSE))</f>
        <v>1068.5447022433837</v>
      </c>
      <c r="AA56" s="136">
        <f ca="1">IF(OR($F56&gt;MAX('הנחות עבודה'!$B$69:$B$89),$F56&gt;$D$5),0,VLOOKUP($F56,'הספק נוסף נדרש'!$B$8:$AX$28,MATCH(AA$49,'הספק נוסף נדרש'!$B$6:$AX$6,0)+(ROUNDUP((AA$2-$F$2)/COUNTA($F$10:$F$16),0)-1)*COUNTA('הספק נוסף נדרש'!$C$6:$J$6),FALSE))</f>
        <v>0</v>
      </c>
      <c r="AB56" s="136">
        <f ca="1">IF(OR($F56&gt;MAX('הנחות עבודה'!$B$69:$B$89),$F56&gt;$D$5),0,VLOOKUP($F56,'הספק נוסף נדרש'!$B$8:$AX$28,MATCH(AB$49,'הספק נוסף נדרש'!$B$6:$AX$6,0)+(ROUNDUP((AB$2-$F$2)/COUNTA($F$10:$F$16),0)-1)*COUNTA('הספק נוסף נדרש'!$C$6:$J$6),FALSE))</f>
        <v>5</v>
      </c>
      <c r="AC56" s="136">
        <f ca="1">IF(OR($F56&gt;MAX('הנחות עבודה'!$B$69:$B$89),$F56&gt;$D$5),0,VLOOKUP($F56,'הספק נוסף נדרש'!$B$8:$AX$28,MATCH(AC$49,'הספק נוסף נדרש'!$B$6:$AX$6,0)+(ROUNDUP((AC$2-$F$2)/COUNTA($F$10:$F$16),0)-1)*COUNTA('הספק נוסף נדרש'!$C$6:$J$6),FALSE))</f>
        <v>0</v>
      </c>
      <c r="AD56" s="136">
        <f ca="1">IF(OR($F56&gt;MAX('הנחות עבודה'!$B$69:$B$89),$F56&gt;$D$5),0,VLOOKUP($F56,'הספק נוסף נדרש'!$B$8:$AX$28,MATCH(AD$49,'הספק נוסף נדרש'!$B$6:$AX$6,0)+(ROUNDUP((AD$2-$F$2)/COUNTA($F$10:$F$16),0)-1)*COUNTA('הספק נוסף נדרש'!$C$6:$J$6),FALSE))</f>
        <v>0</v>
      </c>
      <c r="AE56" s="79">
        <f ca="1">IF(OR($F56&gt;MAX('הנחות עבודה'!$B$69:$B$89),$F56&gt;$D$5),0,VLOOKUP($F56,'הספק נוסף נדרש'!$B$8:$AX$28,MATCH(AE$49,'הספק נוסף נדרש'!$B$6:$AX$6,0)+(ROUNDUP((AE$2-$F$2)/COUNTA($F$10:$F$16),0)-1)*COUNTA('הספק נוסף נדרש'!$C$6:$J$6),FALSE))</f>
        <v>1377.2273289442073</v>
      </c>
      <c r="AF56" s="138">
        <f ca="1">IF(OR($F56&gt;MAX('הנחות עבודה'!$B$69:$B$89),$F56&gt;$D$5),0,VLOOKUP($F56,'הספק נוסף נדרש'!$B$8:$AX$28,MATCH(AF$49,'הספק נוסף נדרש'!$B$6:$AX$6,0)+(ROUNDUP((AF$2-$F$2)/COUNTA($F$10:$F$16),0)-1)*COUNTA('הספק נוסף נדרש'!$C$6:$J$6),FALSE))</f>
        <v>0</v>
      </c>
      <c r="AG56" s="138">
        <f ca="1">IF(OR($F56&gt;MAX('הנחות עבודה'!$B$69:$B$89),$F56&gt;$D$5),0,VLOOKUP($F56,'הספק נוסף נדרש'!$B$8:$AX$28,MATCH(AG$49,'הספק נוסף נדרש'!$B$6:$AX$6,0)+(ROUNDUP((AG$2-$F$2)/COUNTA($F$10:$F$16),0)-1)*COUNTA('הספק נוסף נדרש'!$C$6:$J$6),FALSE))</f>
        <v>0</v>
      </c>
      <c r="AH56" s="138">
        <f ca="1">IF(OR($F56&gt;MAX('הנחות עבודה'!$B$69:$B$89),$F56&gt;$D$5),0,VLOOKUP($F56,'הספק נוסף נדרש'!$B$8:$AX$28,MATCH(AH$49,'הספק נוסף נדרש'!$B$6:$AX$6,0)+(ROUNDUP((AH$2-$F$2)/COUNTA($F$10:$F$16),0)-1)*COUNTA('הספק נוסף נדרש'!$C$6:$J$6),FALSE))</f>
        <v>5</v>
      </c>
      <c r="AI56" s="138">
        <f ca="1">IF(OR($F56&gt;MAX('הנחות עבודה'!$B$69:$B$89),$F56&gt;$D$5),0,VLOOKUP($F56,'הספק נוסף נדרש'!$B$8:$AX$28,MATCH(AI$49,'הספק נוסף נדרש'!$B$6:$AX$6,0)+(ROUNDUP((AI$2-$F$2)/COUNTA($F$10:$F$16),0)-1)*COUNTA('הספק נוסף נדרש'!$C$6:$J$6),FALSE))</f>
        <v>0</v>
      </c>
      <c r="AJ56" s="79">
        <f ca="1">IF(OR($F56&gt;MAX('הנחות עבודה'!$B$69:$B$89),$F56&gt;$D$5),0,VLOOKUP($F56,'הספק נוסף נדרש'!$B$8:$AX$28,MATCH(AJ$49,'הספק נוסף נדרש'!$B$6:$AX$6,0)+(ROUNDUP((AJ$2-$F$2)/COUNTA($F$10:$F$16),0)-1)*COUNTA('הספק נוסף נדרש'!$C$6:$J$6),FALSE))</f>
        <v>0</v>
      </c>
      <c r="AK56" s="74">
        <f ca="1">IF(OR($F56&gt;MAX('הנחות עבודה'!$B$69:$B$89),$F56&gt;$D$5),0,VLOOKUP($F56,'הספק נוסף נדרש'!$B$8:$AX$28,MATCH(AK$49,'הספק נוסף נדרש'!$B$6:$AX$6,0)+(ROUNDUP((AK$2-$F$2)/COUNTA($F$10:$F$16),0)-1)*COUNTA('הספק נוסף נדרש'!$C$6:$J$6),FALSE))</f>
        <v>0</v>
      </c>
      <c r="AL56" s="136">
        <f ca="1">IF(OR($F56&gt;MAX('הנחות עבודה'!$B$69:$B$89),$F56&gt;$D$5),0,VLOOKUP($F56,'הספק נוסף נדרש'!$B$8:$AX$28,MATCH(AL$49,'הספק נוסף נדרש'!$B$6:$AX$6,0)+(ROUNDUP((AL$2-$F$2)/COUNTA($F$10:$F$16),0)-1)*COUNTA('הספק נוסף נדרש'!$C$6:$J$6),FALSE))</f>
        <v>1377.2273289442073</v>
      </c>
      <c r="AM56" s="136">
        <f ca="1">IF(OR($F56&gt;MAX('הנחות עבודה'!$B$69:$B$89),$F56&gt;$D$5),0,VLOOKUP($F56,'הספק נוסף נדרש'!$B$8:$AX$28,MATCH(AM$49,'הספק נוסף נדרש'!$B$6:$AX$6,0)+(ROUNDUP((AM$2-$F$2)/COUNTA($F$10:$F$16),0)-1)*COUNTA('הספק נוסף נדרש'!$C$6:$J$6),FALSE))</f>
        <v>0</v>
      </c>
      <c r="AN56" s="136">
        <f ca="1">IF(OR($F56&gt;MAX('הנחות עבודה'!$B$69:$B$89),$F56&gt;$D$5),0,VLOOKUP($F56,'הספק נוסף נדרש'!$B$8:$AX$28,MATCH(AN$49,'הספק נוסף נדרש'!$B$6:$AX$6,0)+(ROUNDUP((AN$2-$F$2)/COUNTA($F$10:$F$16),0)-1)*COUNTA('הספק נוסף נדרש'!$C$6:$J$6),FALSE))</f>
        <v>5</v>
      </c>
      <c r="AO56" s="136">
        <f ca="1">IF(OR($F56&gt;MAX('הנחות עבודה'!$B$69:$B$89),$F56&gt;$D$5),0,VLOOKUP($F56,'הספק נוסף נדרש'!$B$8:$AX$28,MATCH(AO$49,'הספק נוסף נדרש'!$B$6:$AX$6,0)+(ROUNDUP((AO$2-$F$2)/COUNTA($F$10:$F$16),0)-1)*COUNTA('הספק נוסף נדרש'!$C$6:$J$6),FALSE))</f>
        <v>0</v>
      </c>
      <c r="AP56" s="136">
        <f ca="1">IF(OR($F56&gt;MAX('הנחות עבודה'!$B$69:$B$89),$F56&gt;$D$5),0,VLOOKUP($F56,'הספק נוסף נדרש'!$B$8:$AX$28,MATCH(AP$49,'הספק נוסף נדרש'!$B$6:$AX$6,0)+(ROUNDUP((AP$2-$F$2)/COUNTA($F$10:$F$16),0)-1)*COUNTA('הספק נוסף נדרש'!$C$6:$J$6),FALSE))</f>
        <v>0</v>
      </c>
      <c r="AQ56" s="9"/>
      <c r="AR56" s="10">
        <f t="shared" si="313"/>
        <v>2026</v>
      </c>
      <c r="AS56" s="79">
        <f ca="1">HLOOKUP(AS$49,$G$24:$L$45,COUNTA($F$25:$F31)+1,FALSE)*G56*$D$7/$D$8</f>
        <v>1612.8916052029272</v>
      </c>
      <c r="AT56" s="138">
        <f ca="1">HLOOKUP(AT$49,$G$24:$L$45,COUNTA($F$25:$F31)+1,FALSE)*H56*$D$7/$D$8</f>
        <v>0</v>
      </c>
      <c r="AU56" s="138">
        <f ca="1">HLOOKUP(AU$49,$G$24:$L$45,COUNTA($F$25:$F31)+1,FALSE)*I56*$D$7/$D$8</f>
        <v>0</v>
      </c>
      <c r="AV56" s="138">
        <f ca="1">HLOOKUP(AV$49,$G$24:$L$45,COUNTA($F$25:$F31)+1,FALSE)*J56*$D$7/$D$8</f>
        <v>20.048383431267393</v>
      </c>
      <c r="AW56" s="138">
        <f ca="1">HLOOKUP(AW$49,$G$24:$L$45,COUNTA($F$25:$F31)+1,FALSE)*K56*$D$7/$D$8</f>
        <v>0</v>
      </c>
      <c r="AX56" s="79">
        <f ca="1">HLOOKUP(AX$49,$G$24:$L$45,COUNTA($F$25:$F31)+1,FALSE)*L56*$D$7/$D$8</f>
        <v>0</v>
      </c>
      <c r="AY56" s="74">
        <f ca="1">HLOOKUP(AY$49,$G$24:$L$45,COUNTA($F$25:$F31)+1,FALSE)*M56*$D$7/$D$8</f>
        <v>0</v>
      </c>
      <c r="AZ56" s="136">
        <f ca="1">HLOOKUP(AZ$49,$G$24:$L$45,COUNTA($F$25:$F31)+1,FALSE)*N56*$D$7/$D$8</f>
        <v>1815.4365574428775</v>
      </c>
      <c r="BA56" s="136">
        <f ca="1">HLOOKUP(BA$49,$G$24:$L$45,COUNTA($F$25:$F31)+1,FALSE)*O56*$D$7/$D$8</f>
        <v>0</v>
      </c>
      <c r="BB56" s="136">
        <f ca="1">HLOOKUP(BB$49,$G$24:$L$45,COUNTA($F$25:$F31)+1,FALSE)*P56*$D$7/$D$8</f>
        <v>20.048383431267393</v>
      </c>
      <c r="BC56" s="136">
        <f ca="1">HLOOKUP(BC$49,$G$24:$L$45,COUNTA($F$25:$F31)+1,FALSE)*Q56*$D$7/$D$8</f>
        <v>0</v>
      </c>
      <c r="BD56" s="136">
        <f ca="1">HLOOKUP(BD$49,$G$24:$L$45,COUNTA($F$25:$F31)+1,FALSE)*R56*$D$7/$D$8</f>
        <v>0</v>
      </c>
      <c r="BE56" s="79">
        <f ca="1">HLOOKUP(BE$49,$G$24:$L$45,COUNTA($F$25:$F31)+1,FALSE)*S56*$D$7/$D$8</f>
        <v>2784.0987024604879</v>
      </c>
      <c r="BF56" s="138">
        <f ca="1">HLOOKUP(BF$49,$G$24:$L$45,COUNTA($F$25:$F31)+1,FALSE)*T56*$D$7/$D$8</f>
        <v>0</v>
      </c>
      <c r="BG56" s="138">
        <f ca="1">HLOOKUP(BG$49,$G$24:$L$45,COUNTA($F$25:$F31)+1,FALSE)*U56*$D$7/$D$8</f>
        <v>0</v>
      </c>
      <c r="BH56" s="138">
        <f ca="1">HLOOKUP(BH$49,$G$24:$L$45,COUNTA($F$25:$F31)+1,FALSE)*V56*$D$7/$D$8</f>
        <v>20.048383431267393</v>
      </c>
      <c r="BI56" s="138">
        <f ca="1">HLOOKUP(BI$49,$G$24:$L$45,COUNTA($F$25:$F31)+1,FALSE)*W56*$D$7/$D$8</f>
        <v>0</v>
      </c>
      <c r="BJ56" s="79">
        <f ca="1">HLOOKUP(BJ$49,$G$24:$L$45,COUNTA($F$25:$F31)+1,FALSE)*X56*$D$7/$D$8</f>
        <v>0</v>
      </c>
      <c r="BK56" s="74">
        <f ca="1">HLOOKUP(BK$49,$G$24:$L$45,COUNTA($F$25:$F31)+1,FALSE)*Y56*$D$7/$D$8</f>
        <v>0</v>
      </c>
      <c r="BL56" s="136">
        <f ca="1">HLOOKUP(BL$49,$G$24:$L$45,COUNTA($F$25:$F31)+1,FALSE)*Z56*$D$7/$D$8</f>
        <v>3133.7224074274559</v>
      </c>
      <c r="BM56" s="136">
        <f ca="1">HLOOKUP(BM$49,$G$24:$L$45,COUNTA($F$25:$F31)+1,FALSE)*AA56*$D$7/$D$8</f>
        <v>0</v>
      </c>
      <c r="BN56" s="136">
        <f ca="1">HLOOKUP(BN$49,$G$24:$L$45,COUNTA($F$25:$F31)+1,FALSE)*AB56*$D$7/$D$8</f>
        <v>20.048383431267393</v>
      </c>
      <c r="BO56" s="136">
        <f ca="1">HLOOKUP(BO$49,$G$24:$L$45,COUNTA($F$25:$F31)+1,FALSE)*AC56*$D$7/$D$8</f>
        <v>0</v>
      </c>
      <c r="BP56" s="136">
        <f ca="1">HLOOKUP(BP$49,$G$24:$L$45,COUNTA($F$25:$F31)+1,FALSE)*AD56*$D$7/$D$8</f>
        <v>0</v>
      </c>
      <c r="BQ56" s="79">
        <f ca="1">HLOOKUP(BQ$49,$G$24:$L$45,COUNTA($F$25:$F31)+1,FALSE)*AE56*$D$7/$D$8</f>
        <v>3588.3728696203293</v>
      </c>
      <c r="BR56" s="138">
        <f ca="1">HLOOKUP(BR$49,$G$24:$L$45,COUNTA($F$25:$F31)+1,FALSE)*AF56*$D$7/$D$8</f>
        <v>0</v>
      </c>
      <c r="BS56" s="138">
        <f ca="1">HLOOKUP(BS$49,$G$24:$L$45,COUNTA($F$25:$F31)+1,FALSE)*AG56*$D$7/$D$8</f>
        <v>0</v>
      </c>
      <c r="BT56" s="138">
        <f ca="1">HLOOKUP(BT$49,$G$24:$L$45,COUNTA($F$25:$F31)+1,FALSE)*AH56*$D$7/$D$8</f>
        <v>20.048383431267393</v>
      </c>
      <c r="BU56" s="138">
        <f ca="1">HLOOKUP(BU$49,$G$24:$L$45,COUNTA($F$25:$F31)+1,FALSE)*AI56*$D$7/$D$8</f>
        <v>0</v>
      </c>
      <c r="BV56" s="79">
        <f ca="1">HLOOKUP(BV$49,$G$24:$L$45,COUNTA($F$25:$F31)+1,FALSE)*AJ56*$D$7/$D$8</f>
        <v>0</v>
      </c>
      <c r="BW56" s="74">
        <f ca="1">HLOOKUP(BW$49,$G$24:$L$45,COUNTA($F$25:$F31)+1,FALSE)*AK56*$D$7/$D$8</f>
        <v>0</v>
      </c>
      <c r="BX56" s="136">
        <f ca="1">HLOOKUP(BX$49,$G$24:$L$45,COUNTA($F$25:$F31)+1,FALSE)*AL56*$D$7/$D$8</f>
        <v>4038.9963393884295</v>
      </c>
      <c r="BY56" s="136">
        <f ca="1">HLOOKUP(BY$49,$G$24:$L$45,COUNTA($F$25:$F31)+1,FALSE)*AM56*$D$7/$D$8</f>
        <v>0</v>
      </c>
      <c r="BZ56" s="136">
        <f ca="1">HLOOKUP(BZ$49,$G$24:$L$45,COUNTA($F$25:$F31)+1,FALSE)*AN56*$D$7/$D$8</f>
        <v>20.048383431267393</v>
      </c>
      <c r="CA56" s="136">
        <f ca="1">HLOOKUP(CA$49,$G$24:$L$45,COUNTA($F$25:$F31)+1,FALSE)*AO56*$D$7/$D$8</f>
        <v>0</v>
      </c>
      <c r="CB56" s="739">
        <f ca="1">HLOOKUP(CB$49,$G$24:$L$45,COUNTA($F$25:$F31)+1,FALSE)*AP56*$D$7/$D$8</f>
        <v>0</v>
      </c>
      <c r="CD56" s="10">
        <f t="shared" si="314"/>
        <v>2026</v>
      </c>
      <c r="CE56" s="85">
        <f t="shared" ca="1" si="240"/>
        <v>650.04759061543257</v>
      </c>
      <c r="CF56" s="147">
        <f t="shared" ca="1" si="241"/>
        <v>0</v>
      </c>
      <c r="CG56" s="147">
        <f t="shared" ca="1" si="242"/>
        <v>216.27952515046442</v>
      </c>
      <c r="CH56" s="147">
        <f t="shared" ca="1" si="243"/>
        <v>14.869295931112333</v>
      </c>
      <c r="CI56" s="147">
        <f t="shared" ca="1" si="244"/>
        <v>0</v>
      </c>
      <c r="CJ56" s="85">
        <f t="shared" ca="1" si="245"/>
        <v>0</v>
      </c>
      <c r="CK56" s="151">
        <f t="shared" ca="1" si="246"/>
        <v>0</v>
      </c>
      <c r="CL56" s="102">
        <f t="shared" ca="1" si="247"/>
        <v>800.32958294360412</v>
      </c>
      <c r="CM56" s="102">
        <f t="shared" ca="1" si="248"/>
        <v>216.27952515046442</v>
      </c>
      <c r="CN56" s="102">
        <f t="shared" ca="1" si="249"/>
        <v>14.869295931112333</v>
      </c>
      <c r="CO56" s="102">
        <f t="shared" ca="1" si="250"/>
        <v>0</v>
      </c>
      <c r="CP56" s="151">
        <f t="shared" ca="1" si="251"/>
        <v>0</v>
      </c>
      <c r="CQ56" s="85">
        <f t="shared" ca="1" si="252"/>
        <v>1143.7186716755145</v>
      </c>
      <c r="CR56" s="147">
        <f t="shared" ca="1" si="253"/>
        <v>0</v>
      </c>
      <c r="CS56" s="147">
        <f t="shared" ca="1" si="254"/>
        <v>216.27952515046442</v>
      </c>
      <c r="CT56" s="147">
        <f t="shared" ca="1" si="255"/>
        <v>14.869295931112333</v>
      </c>
      <c r="CU56" s="147">
        <f t="shared" ca="1" si="256"/>
        <v>0</v>
      </c>
      <c r="CV56" s="85">
        <f t="shared" ca="1" si="257"/>
        <v>0</v>
      </c>
      <c r="CW56" s="151">
        <f t="shared" ca="1" si="258"/>
        <v>0</v>
      </c>
      <c r="CX56" s="102">
        <f t="shared" ca="1" si="259"/>
        <v>1412.2554679814834</v>
      </c>
      <c r="CY56" s="102">
        <f t="shared" ca="1" si="260"/>
        <v>216.27952515046442</v>
      </c>
      <c r="CZ56" s="102">
        <f t="shared" ca="1" si="261"/>
        <v>14.869295931112333</v>
      </c>
      <c r="DA56" s="102">
        <f t="shared" ca="1" si="262"/>
        <v>0</v>
      </c>
      <c r="DB56" s="151">
        <f t="shared" ca="1" si="263"/>
        <v>0</v>
      </c>
      <c r="DC56" s="85">
        <f t="shared" ca="1" si="264"/>
        <v>1427.4929558767719</v>
      </c>
      <c r="DD56" s="147">
        <f t="shared" ca="1" si="265"/>
        <v>0</v>
      </c>
      <c r="DE56" s="147">
        <f t="shared" ca="1" si="266"/>
        <v>216.27952515046442</v>
      </c>
      <c r="DF56" s="147">
        <f t="shared" ca="1" si="267"/>
        <v>14.869295931112333</v>
      </c>
      <c r="DG56" s="147">
        <f t="shared" ca="1" si="268"/>
        <v>0</v>
      </c>
      <c r="DH56" s="85">
        <f t="shared" ca="1" si="269"/>
        <v>0</v>
      </c>
      <c r="DI56" s="151">
        <f t="shared" ca="1" si="270"/>
        <v>0</v>
      </c>
      <c r="DJ56" s="102">
        <f t="shared" ca="1" si="271"/>
        <v>1764.0763248951575</v>
      </c>
      <c r="DK56" s="102">
        <f t="shared" ca="1" si="272"/>
        <v>216.27952515046442</v>
      </c>
      <c r="DL56" s="102">
        <f t="shared" ca="1" si="273"/>
        <v>14.869295931112333</v>
      </c>
      <c r="DM56" s="102">
        <f t="shared" ca="1" si="274"/>
        <v>0</v>
      </c>
      <c r="DN56" s="564">
        <f t="shared" ca="1" si="275"/>
        <v>0</v>
      </c>
      <c r="DP56" s="10">
        <f t="shared" si="315"/>
        <v>2026</v>
      </c>
      <c r="DQ56" s="85">
        <f t="shared" ca="1" si="276"/>
        <v>190.12228640002354</v>
      </c>
      <c r="DR56" s="147">
        <f t="shared" ca="1" si="277"/>
        <v>0</v>
      </c>
      <c r="DS56" s="147">
        <f t="shared" ca="1" si="278"/>
        <v>61.350712925538716</v>
      </c>
      <c r="DT56" s="147">
        <f t="shared" ca="1" si="279"/>
        <v>4.7525200153586331</v>
      </c>
      <c r="DU56" s="147">
        <f t="shared" ca="1" si="280"/>
        <v>0</v>
      </c>
      <c r="DV56" s="85">
        <f t="shared" ca="1" si="281"/>
        <v>0</v>
      </c>
      <c r="DW56" s="151">
        <f t="shared" ca="1" si="282"/>
        <v>0</v>
      </c>
      <c r="DX56" s="102">
        <f t="shared" ca="1" si="283"/>
        <v>216.34967142111731</v>
      </c>
      <c r="DY56" s="102">
        <f t="shared" ca="1" si="284"/>
        <v>61.350712925538716</v>
      </c>
      <c r="DZ56" s="102">
        <f t="shared" ca="1" si="285"/>
        <v>4.7525200153586331</v>
      </c>
      <c r="EA56" s="102">
        <f t="shared" ca="1" si="286"/>
        <v>0</v>
      </c>
      <c r="EB56" s="151">
        <f t="shared" ca="1" si="287"/>
        <v>0</v>
      </c>
      <c r="EC56" s="85">
        <f t="shared" ca="1" si="288"/>
        <v>345.52189511745217</v>
      </c>
      <c r="ED56" s="147">
        <f t="shared" ca="1" si="289"/>
        <v>0</v>
      </c>
      <c r="EE56" s="147">
        <f t="shared" ca="1" si="290"/>
        <v>61.350712925538716</v>
      </c>
      <c r="EF56" s="147">
        <f t="shared" ca="1" si="291"/>
        <v>4.7525200153586331</v>
      </c>
      <c r="EG56" s="147">
        <f t="shared" ca="1" si="292"/>
        <v>0</v>
      </c>
      <c r="EH56" s="85">
        <f t="shared" ca="1" si="293"/>
        <v>0</v>
      </c>
      <c r="EI56" s="151">
        <f t="shared" ca="1" si="294"/>
        <v>0</v>
      </c>
      <c r="EJ56" s="102">
        <f t="shared" ca="1" si="295"/>
        <v>393.1866689220148</v>
      </c>
      <c r="EK56" s="102">
        <f t="shared" ca="1" si="296"/>
        <v>61.350712925538716</v>
      </c>
      <c r="EL56" s="102">
        <f t="shared" ca="1" si="297"/>
        <v>4.7525200153586331</v>
      </c>
      <c r="EM56" s="102">
        <f t="shared" ca="1" si="298"/>
        <v>0</v>
      </c>
      <c r="EN56" s="151">
        <f t="shared" ca="1" si="299"/>
        <v>0</v>
      </c>
      <c r="EO56" s="85">
        <f t="shared" ca="1" si="300"/>
        <v>435.12767626878463</v>
      </c>
      <c r="EP56" s="145">
        <f t="shared" ca="1" si="301"/>
        <v>0</v>
      </c>
      <c r="EQ56" s="145">
        <f t="shared" ca="1" si="302"/>
        <v>61.350712925538716</v>
      </c>
      <c r="ER56" s="145">
        <f t="shared" ca="1" si="303"/>
        <v>4.7525200153586331</v>
      </c>
      <c r="ES56" s="145">
        <f t="shared" ca="1" si="304"/>
        <v>0</v>
      </c>
      <c r="ET56" s="85">
        <f t="shared" ca="1" si="305"/>
        <v>0</v>
      </c>
      <c r="EU56" s="102">
        <f t="shared" ca="1" si="306"/>
        <v>0</v>
      </c>
      <c r="EV56" s="102">
        <f t="shared" ca="1" si="307"/>
        <v>495.15357494130251</v>
      </c>
      <c r="EW56" s="102">
        <f t="shared" ca="1" si="308"/>
        <v>61.350712925538716</v>
      </c>
      <c r="EX56" s="102">
        <f t="shared" ca="1" si="309"/>
        <v>4.7525200153586331</v>
      </c>
      <c r="EY56" s="102">
        <f t="shared" ca="1" si="310"/>
        <v>0</v>
      </c>
      <c r="EZ56" s="564">
        <f t="shared" ca="1" si="311"/>
        <v>0</v>
      </c>
      <c r="FB56" s="10">
        <f t="shared" si="316"/>
        <v>2026</v>
      </c>
      <c r="FC56" s="85">
        <f ca="1">HLOOKUP(FC$49,$O$24:$T$45,COUNTA($N$25:$N31)+1,FALSE)*G56*$D$7/$D$8</f>
        <v>34.36414043162538</v>
      </c>
      <c r="FD56" s="147">
        <f ca="1">HLOOKUP(FD$49,$O$24:$T$45,COUNTA($N$25:$N31)+1,FALSE)*H56*$D$7/$D$8</f>
        <v>0</v>
      </c>
      <c r="FE56" s="147">
        <f ca="1">HLOOKUP(FE$49,$O$24:$T$45,COUNTA($N$25:$N31)+1,FALSE)*I56*$D$7/$D$8</f>
        <v>0</v>
      </c>
      <c r="FF56" s="147">
        <f ca="1">HLOOKUP(FF$49,$O$24:$T$45,COUNTA($N$25:$N31)+1,FALSE)*J56*$D$7/$D$8</f>
        <v>0.43204727412351213</v>
      </c>
      <c r="FG56" s="147">
        <f ca="1">HLOOKUP(FG$49,$O$24:$T$45,COUNTA($N$25:$N31)+1,FALSE)*K56*$D$7/$D$8</f>
        <v>0</v>
      </c>
      <c r="FH56" s="85">
        <f ca="1">HLOOKUP(FH$49,$O$24:$T$45,COUNTA($N$25:$N31)+1,FALSE)*L56*$D$7/$D$8</f>
        <v>0</v>
      </c>
      <c r="FI56" s="151">
        <f ca="1">HLOOKUP(FI$49,$O$24:$T$45,COUNTA($N$25:$N31)+1,FALSE)*M56*$D$7/$D$8</f>
        <v>0</v>
      </c>
      <c r="FJ56" s="153">
        <f ca="1">HLOOKUP(FJ$49,$O$24:$T$45,COUNTA($N$25:$N31)+1,FALSE)*N56*$D$7/$D$8</f>
        <v>39.104676426037138</v>
      </c>
      <c r="FK56" s="153">
        <f ca="1">HLOOKUP(FK$49,$O$24:$T$45,COUNTA($N$25:$N31)+1,FALSE)*O56*$D$7/$D$8</f>
        <v>0</v>
      </c>
      <c r="FL56" s="153">
        <f ca="1">HLOOKUP(FL$49,$O$24:$T$45,COUNTA($N$25:$N31)+1,FALSE)*P56*$D$7/$D$8</f>
        <v>0.43204727412351213</v>
      </c>
      <c r="FM56" s="153">
        <f ca="1">HLOOKUP(FM$49,$O$24:$T$45,COUNTA($N$25:$N31)+1,FALSE)*Q56*$D$7/$D$8</f>
        <v>0</v>
      </c>
      <c r="FN56" s="151">
        <f ca="1">HLOOKUP(FN$49,$O$24:$T$45,COUNTA($N$25:$N31)+1,FALSE)*R56*$D$7/$D$8</f>
        <v>0</v>
      </c>
      <c r="FO56" s="85">
        <f ca="1">HLOOKUP(FO$49,$O$24:$T$45,COUNTA($N$25:$N31)+1,FALSE)*S56*$D$7/$D$8</f>
        <v>59.317785819104095</v>
      </c>
      <c r="FP56" s="147">
        <f ca="1">HLOOKUP(FP$49,$O$24:$T$45,COUNTA($N$25:$N31)+1,FALSE)*T56*$D$7/$D$8</f>
        <v>0</v>
      </c>
      <c r="FQ56" s="147">
        <f ca="1">HLOOKUP(FQ$49,$O$24:$T$45,COUNTA($N$25:$N31)+1,FALSE)*U56*$D$7/$D$8</f>
        <v>0</v>
      </c>
      <c r="FR56" s="147">
        <f ca="1">HLOOKUP(FR$49,$O$24:$T$45,COUNTA($N$25:$N31)+1,FALSE)*V56*$D$7/$D$8</f>
        <v>0.43204727412351213</v>
      </c>
      <c r="FS56" s="147">
        <f ca="1">HLOOKUP(FS$49,$O$24:$T$45,COUNTA($N$25:$N31)+1,FALSE)*W56*$D$7/$D$8</f>
        <v>0</v>
      </c>
      <c r="FT56" s="85">
        <f ca="1">HLOOKUP(FT$49,$O$24:$T$45,COUNTA($N$25:$N31)+1,FALSE)*X56*$D$7/$D$8</f>
        <v>0</v>
      </c>
      <c r="FU56" s="151">
        <f ca="1">HLOOKUP(FU$49,$O$24:$T$45,COUNTA($N$25:$N31)+1,FALSE)*Y56*$D$7/$D$8</f>
        <v>0</v>
      </c>
      <c r="FV56" s="153">
        <f ca="1">HLOOKUP(FV$49,$O$24:$T$45,COUNTA($N$25:$N31)+1,FALSE)*Z56*$D$7/$D$8</f>
        <v>67.500679243828984</v>
      </c>
      <c r="FW56" s="153">
        <f ca="1">HLOOKUP(FW$49,$O$24:$T$45,COUNTA($N$25:$N31)+1,FALSE)*AA56*$D$7/$D$8</f>
        <v>0</v>
      </c>
      <c r="FX56" s="153">
        <f ca="1">HLOOKUP(FX$49,$O$24:$T$45,COUNTA($N$25:$N31)+1,FALSE)*AB56*$D$7/$D$8</f>
        <v>0.43204727412351213</v>
      </c>
      <c r="FY56" s="153">
        <f ca="1">HLOOKUP(FY$49,$O$24:$T$45,COUNTA($N$25:$N31)+1,FALSE)*AC56*$D$7/$D$8</f>
        <v>0</v>
      </c>
      <c r="FZ56" s="151">
        <f ca="1">HLOOKUP(FZ$49,$O$24:$T$45,COUNTA($N$25:$N31)+1,FALSE)*AD56*$D$7/$D$8</f>
        <v>0</v>
      </c>
      <c r="GA56" s="85">
        <f ca="1">HLOOKUP(GA$49,$O$24:$T$45,COUNTA($N$25:$N31)+1,FALSE)*AE56*$D$7/$D$8</f>
        <v>76.453587342686362</v>
      </c>
      <c r="GB56" s="147">
        <f ca="1">HLOOKUP(GB$49,$O$24:$T$45,COUNTA($N$25:$N31)+1,FALSE)*AF56*$D$7/$D$8</f>
        <v>0</v>
      </c>
      <c r="GC56" s="147">
        <f ca="1">HLOOKUP(GC$49,$O$24:$T$45,COUNTA($N$25:$N31)+1,FALSE)*AG56*$D$7/$D$8</f>
        <v>0</v>
      </c>
      <c r="GD56" s="147">
        <f ca="1">HLOOKUP(GD$49,$O$24:$T$45,COUNTA($N$25:$N31)+1,FALSE)*AH56*$D$7/$D$8</f>
        <v>0.43204727412351213</v>
      </c>
      <c r="GE56" s="147">
        <f ca="1">HLOOKUP(GE$49,$O$24:$T$45,COUNTA($N$25:$N31)+1,FALSE)*AI56*$D$7/$D$8</f>
        <v>0</v>
      </c>
      <c r="GF56" s="85">
        <f ca="1">HLOOKUP(GF$49,$O$24:$T$45,COUNTA($N$25:$N31)+1,FALSE)*AJ56*$D$7/$D$8</f>
        <v>0</v>
      </c>
      <c r="GG56" s="151">
        <f ca="1">HLOOKUP(GG$49,$O$24:$T$45,COUNTA($N$25:$N31)+1,FALSE)*AK56*$D$7/$D$8</f>
        <v>0</v>
      </c>
      <c r="GH56" s="153">
        <f ca="1">HLOOKUP(GH$49,$O$24:$T$45,COUNTA($N$25:$N31)+1,FALSE)*AL56*$D$7/$D$8</f>
        <v>87.000365994724504</v>
      </c>
      <c r="GI56" s="153">
        <f ca="1">HLOOKUP(GI$49,$O$24:$T$45,COUNTA($N$25:$N31)+1,FALSE)*AM56*$D$7/$D$8</f>
        <v>0</v>
      </c>
      <c r="GJ56" s="153">
        <f ca="1">HLOOKUP(GJ$49,$O$24:$T$45,COUNTA($N$25:$N31)+1,FALSE)*AN56*$D$7/$D$8</f>
        <v>0.43204727412351213</v>
      </c>
      <c r="GK56" s="153">
        <f ca="1">HLOOKUP(GK$49,$O$24:$T$45,COUNTA($N$25:$N31)+1,FALSE)*AO56*$D$7/$D$8</f>
        <v>0</v>
      </c>
      <c r="GL56" s="564">
        <f ca="1">HLOOKUP(GL$49,$O$24:$T$45,COUNTA($N$25:$N31)+1,FALSE)*AP56*$D$7/$D$8</f>
        <v>0</v>
      </c>
    </row>
    <row r="57" spans="6:194">
      <c r="F57" s="10">
        <f t="shared" si="317"/>
        <v>2027</v>
      </c>
      <c r="G57" s="79">
        <f ca="1">IF(OR($F57&gt;MAX('הנחות עבודה'!$B$69:$B$89),$F57&gt;$D$5),0,VLOOKUP($F57,'הספק נוסף נדרש'!$B$8:$AX$28,MATCH(G$49,'הספק נוסף נדרש'!$B$6:$AX$6,0)+(ROUNDUP((G$2-$F$2)/COUNTA($F$10:$F$16),0)-1)*COUNTA('הספק נוסף נדרש'!$C$6:$J$6),FALSE))</f>
        <v>651.56146328788145</v>
      </c>
      <c r="H57" s="138">
        <f ca="1">IF(OR($F57&gt;MAX('הנחות עבודה'!$B$69:$B$89),$F57&gt;$D$5),0,VLOOKUP($F57,'הספק נוסף נדרש'!$B$8:$AX$28,MATCH(H$49,'הספק נוסף נדרש'!$B$6:$AX$6,0)+(ROUNDUP((H$2-$F$2)/COUNTA($F$10:$F$16),0)-1)*COUNTA('הספק נוסף נדרש'!$C$6:$J$6),FALSE))</f>
        <v>0</v>
      </c>
      <c r="I57" s="138">
        <f ca="1">IF(OR($F57&gt;MAX('הנחות עבודה'!$B$69:$B$89),$F57&gt;$D$5),0,VLOOKUP($F57,'הספק נוסף נדרש'!$B$8:$AX$28,MATCH(I$49,'הספק נוסף נדרש'!$B$6:$AX$6,0)+(ROUNDUP((I$2-$F$2)/COUNTA($F$10:$F$16),0)-1)*COUNTA('הספק נוסף נדרש'!$C$6:$J$6),FALSE))</f>
        <v>0</v>
      </c>
      <c r="J57" s="138">
        <f ca="1">IF(OR($F57&gt;MAX('הנחות עבודה'!$B$69:$B$89),$F57&gt;$D$5),0,VLOOKUP($F57,'הספק נוסף נדרש'!$B$8:$AX$28,MATCH(J$49,'הספק נוסף נדרש'!$B$6:$AX$6,0)+(ROUNDUP((J$2-$F$2)/COUNTA($F$10:$F$16),0)-1)*COUNTA('הספק נוסף נדרש'!$C$6:$J$6),FALSE))</f>
        <v>5</v>
      </c>
      <c r="K57" s="138">
        <f ca="1">IF(OR($F57&gt;MAX('הנחות עבודה'!$B$69:$B$89),$F57&gt;$D$5),0,VLOOKUP($F57,'הספק נוסף נדרש'!$B$8:$AX$28,MATCH(K$49,'הספק נוסף נדרש'!$B$6:$AX$6,0)+(ROUNDUP((K$2-$F$2)/COUNTA($F$10:$F$16),0)-1)*COUNTA('הספק נוסף נדרש'!$C$6:$J$6),FALSE))</f>
        <v>0</v>
      </c>
      <c r="L57" s="79">
        <f ca="1">IF(OR($F57&gt;MAX('הנחות עבודה'!$B$69:$B$89),$F57&gt;$D$5),0,VLOOKUP($F57,'הספק נוסף נדרש'!$B$8:$AX$28,MATCH(L$49,'הספק נוסף נדרש'!$B$6:$AX$6,0)+(ROUNDUP((L$2-$F$2)/COUNTA($F$10:$F$16),0)-1)*COUNTA('הספק נוסף נדרש'!$C$6:$J$6),FALSE))</f>
        <v>0</v>
      </c>
      <c r="M57" s="74">
        <f ca="1">IF(OR($F57&gt;MAX('הנחות עבודה'!$B$69:$B$89),$F57&gt;$D$5),0,VLOOKUP($F57,'הספק נוסף נדרש'!$B$8:$AX$28,MATCH(M$49,'הספק נוסף נדרש'!$B$6:$AX$6,0)+(ROUNDUP((M$2-$F$2)/COUNTA($F$10:$F$16),0)-1)*COUNTA('הספק נוסף נדרש'!$C$6:$J$6),FALSE))</f>
        <v>0</v>
      </c>
      <c r="N57" s="136">
        <f ca="1">IF(OR($F57&gt;MAX('הנחות עבודה'!$B$69:$B$89),$F57&gt;$D$5),0,VLOOKUP($F57,'הספק נוסף נדרש'!$B$8:$AX$28,MATCH(N$49,'הספק נוסף נדרש'!$B$6:$AX$6,0)+(ROUNDUP((N$2-$F$2)/COUNTA($F$10:$F$16),0)-1)*COUNTA('הספק נוסף נדרש'!$C$6:$J$6),FALSE))</f>
        <v>651.56146328788145</v>
      </c>
      <c r="O57" s="136">
        <f ca="1">IF(OR($F57&gt;MAX('הנחות עבודה'!$B$69:$B$89),$F57&gt;$D$5),0,VLOOKUP($F57,'הספק נוסף נדרש'!$B$8:$AX$28,MATCH(O$49,'הספק נוסף נדרש'!$B$6:$AX$6,0)+(ROUNDUP((O$2-$F$2)/COUNTA($F$10:$F$16),0)-1)*COUNTA('הספק נוסף נדרש'!$C$6:$J$6),FALSE))</f>
        <v>0</v>
      </c>
      <c r="P57" s="136">
        <f ca="1">IF(OR($F57&gt;MAX('הנחות עבודה'!$B$69:$B$89),$F57&gt;$D$5),0,VLOOKUP($F57,'הספק נוסף נדרש'!$B$8:$AX$28,MATCH(P$49,'הספק נוסף נדרש'!$B$6:$AX$6,0)+(ROUNDUP((P$2-$F$2)/COUNTA($F$10:$F$16),0)-1)*COUNTA('הספק נוסף נדרש'!$C$6:$J$6),FALSE))</f>
        <v>5</v>
      </c>
      <c r="Q57" s="136">
        <f ca="1">IF(OR($F57&gt;MAX('הנחות עבודה'!$B$69:$B$89),$F57&gt;$D$5),0,VLOOKUP($F57,'הספק נוסף נדרש'!$B$8:$AX$28,MATCH(Q$49,'הספק נוסף נדרש'!$B$6:$AX$6,0)+(ROUNDUP((Q$2-$F$2)/COUNTA($F$10:$F$16),0)-1)*COUNTA('הספק נוסף נדרש'!$C$6:$J$6),FALSE))</f>
        <v>0</v>
      </c>
      <c r="R57" s="136">
        <f ca="1">IF(OR($F57&gt;MAX('הנחות עבודה'!$B$69:$B$89),$F57&gt;$D$5),0,VLOOKUP($F57,'הספק נוסף נדרש'!$B$8:$AX$28,MATCH(R$49,'הספק נוסף נדרש'!$B$6:$AX$6,0)+(ROUNDUP((R$2-$F$2)/COUNTA($F$10:$F$16),0)-1)*COUNTA('הספק נוסף נדרש'!$C$6:$J$6),FALSE))</f>
        <v>0</v>
      </c>
      <c r="S57" s="79">
        <f ca="1">IF(OR($F57&gt;MAX('הנחות עבודה'!$B$69:$B$89),$F57&gt;$D$5),0,VLOOKUP($F57,'הספק נוסף נדרש'!$B$8:$AX$28,MATCH(S$49,'הספק נוסף נדרש'!$B$6:$AX$6,0)+(ROUNDUP((S$2-$F$2)/COUNTA($F$10:$F$16),0)-1)*COUNTA('הספק נוסף נדרש'!$C$6:$J$6),FALSE))</f>
        <v>1126.1423771989448</v>
      </c>
      <c r="T57" s="138">
        <f ca="1">IF(OR($F57&gt;MAX('הנחות עבודה'!$B$69:$B$89),$F57&gt;$D$5),0,VLOOKUP($F57,'הספק נוסף נדרש'!$B$8:$AX$28,MATCH(T$49,'הספק נוסף נדרש'!$B$6:$AX$6,0)+(ROUNDUP((T$2-$F$2)/COUNTA($F$10:$F$16),0)-1)*COUNTA('הספק נוסף נדרש'!$C$6:$J$6),FALSE))</f>
        <v>0</v>
      </c>
      <c r="U57" s="138">
        <f ca="1">IF(OR($F57&gt;MAX('הנחות עבודה'!$B$69:$B$89),$F57&gt;$D$5),0,VLOOKUP($F57,'הספק נוסף נדרש'!$B$8:$AX$28,MATCH(U$49,'הספק נוסף נדרש'!$B$6:$AX$6,0)+(ROUNDUP((U$2-$F$2)/COUNTA($F$10:$F$16),0)-1)*COUNTA('הספק נוסף נדרש'!$C$6:$J$6),FALSE))</f>
        <v>0</v>
      </c>
      <c r="V57" s="138">
        <f ca="1">IF(OR($F57&gt;MAX('הנחות עבודה'!$B$69:$B$89),$F57&gt;$D$5),0,VLOOKUP($F57,'הספק נוסף נדרש'!$B$8:$AX$28,MATCH(V$49,'הספק נוסף נדרש'!$B$6:$AX$6,0)+(ROUNDUP((V$2-$F$2)/COUNTA($F$10:$F$16),0)-1)*COUNTA('הספק נוסף נדרש'!$C$6:$J$6),FALSE))</f>
        <v>5</v>
      </c>
      <c r="W57" s="138">
        <f ca="1">IF(OR($F57&gt;MAX('הנחות עבודה'!$B$69:$B$89),$F57&gt;$D$5),0,VLOOKUP($F57,'הספק נוסף נדרש'!$B$8:$AX$28,MATCH(W$49,'הספק נוסף נדרש'!$B$6:$AX$6,0)+(ROUNDUP((W$2-$F$2)/COUNTA($F$10:$F$16),0)-1)*COUNTA('הספק נוסף נדרש'!$C$6:$J$6),FALSE))</f>
        <v>0</v>
      </c>
      <c r="X57" s="79">
        <f ca="1">IF(OR($F57&gt;MAX('הנחות עבודה'!$B$69:$B$89),$F57&gt;$D$5),0,VLOOKUP($F57,'הספק נוסף נדרש'!$B$8:$AX$28,MATCH(X$49,'הספק נוסף נדרש'!$B$6:$AX$6,0)+(ROUNDUP((X$2-$F$2)/COUNTA($F$10:$F$16),0)-1)*COUNTA('הספק נוסף נדרש'!$C$6:$J$6),FALSE))</f>
        <v>0</v>
      </c>
      <c r="Y57" s="74">
        <f ca="1">IF(OR($F57&gt;MAX('הנחות עבודה'!$B$69:$B$89),$F57&gt;$D$5),0,VLOOKUP($F57,'הספק נוסף נדרש'!$B$8:$AX$28,MATCH(Y$49,'הספק נוסף נדרש'!$B$6:$AX$6,0)+(ROUNDUP((Y$2-$F$2)/COUNTA($F$10:$F$16),0)-1)*COUNTA('הספק נוסף נדרש'!$C$6:$J$6),FALSE))</f>
        <v>0</v>
      </c>
      <c r="Z57" s="136">
        <f ca="1">IF(OR($F57&gt;MAX('הנחות עבודה'!$B$69:$B$89),$F57&gt;$D$5),0,VLOOKUP($F57,'הספק נוסף נדרש'!$B$8:$AX$28,MATCH(Z$49,'הספק נוסף נדרש'!$B$6:$AX$6,0)+(ROUNDUP((Z$2-$F$2)/COUNTA($F$10:$F$16),0)-1)*COUNTA('הספק נוסף נדרש'!$C$6:$J$6),FALSE))</f>
        <v>1126.1423771989448</v>
      </c>
      <c r="AA57" s="136">
        <f ca="1">IF(OR($F57&gt;MAX('הנחות עבודה'!$B$69:$B$89),$F57&gt;$D$5),0,VLOOKUP($F57,'הספק נוסף נדרש'!$B$8:$AX$28,MATCH(AA$49,'הספק נוסף נדרש'!$B$6:$AX$6,0)+(ROUNDUP((AA$2-$F$2)/COUNTA($F$10:$F$16),0)-1)*COUNTA('הספק נוסף נדרש'!$C$6:$J$6),FALSE))</f>
        <v>0</v>
      </c>
      <c r="AB57" s="136">
        <f ca="1">IF(OR($F57&gt;MAX('הנחות עבודה'!$B$69:$B$89),$F57&gt;$D$5),0,VLOOKUP($F57,'הספק נוסף נדרש'!$B$8:$AX$28,MATCH(AB$49,'הספק נוסף נדרש'!$B$6:$AX$6,0)+(ROUNDUP((AB$2-$F$2)/COUNTA($F$10:$F$16),0)-1)*COUNTA('הספק נוסף נדרש'!$C$6:$J$6),FALSE))</f>
        <v>5</v>
      </c>
      <c r="AC57" s="136">
        <f ca="1">IF(OR($F57&gt;MAX('הנחות עבודה'!$B$69:$B$89),$F57&gt;$D$5),0,VLOOKUP($F57,'הספק נוסף נדרש'!$B$8:$AX$28,MATCH(AC$49,'הספק נוסף נדרש'!$B$6:$AX$6,0)+(ROUNDUP((AC$2-$F$2)/COUNTA($F$10:$F$16),0)-1)*COUNTA('הספק נוסף נדרש'!$C$6:$J$6),FALSE))</f>
        <v>0</v>
      </c>
      <c r="AD57" s="136">
        <f ca="1">IF(OR($F57&gt;MAX('הנחות עבודה'!$B$69:$B$89),$F57&gt;$D$5),0,VLOOKUP($F57,'הספק נוסף נדרש'!$B$8:$AX$28,MATCH(AD$49,'הספק נוסף נדרש'!$B$6:$AX$6,0)+(ROUNDUP((AD$2-$F$2)/COUNTA($F$10:$F$16),0)-1)*COUNTA('הספק נוסף נדרש'!$C$6:$J$6),FALSE))</f>
        <v>0</v>
      </c>
      <c r="AE57" s="79">
        <f ca="1">IF(OR($F57&gt;MAX('הנחות עבודה'!$B$69:$B$89),$F57&gt;$D$5),0,VLOOKUP($F57,'הספק נוסף נדרש'!$B$8:$AX$28,MATCH(AE$49,'הספק נוסף נדרש'!$B$6:$AX$6,0)+(ROUNDUP((AE$2-$F$2)/COUNTA($F$10:$F$16),0)-1)*COUNTA('הספק נוסף נדרש'!$C$6:$J$6),FALSE))</f>
        <v>1452.3681486045189</v>
      </c>
      <c r="AF57" s="138">
        <f ca="1">IF(OR($F57&gt;MAX('הנחות עבודה'!$B$69:$B$89),$F57&gt;$D$5),0,VLOOKUP($F57,'הספק נוסף נדרש'!$B$8:$AX$28,MATCH(AF$49,'הספק נוסף נדרש'!$B$6:$AX$6,0)+(ROUNDUP((AF$2-$F$2)/COUNTA($F$10:$F$16),0)-1)*COUNTA('הספק נוסף נדרש'!$C$6:$J$6),FALSE))</f>
        <v>0</v>
      </c>
      <c r="AG57" s="138">
        <f ca="1">IF(OR($F57&gt;MAX('הנחות עבודה'!$B$69:$B$89),$F57&gt;$D$5),0,VLOOKUP($F57,'הספק נוסף נדרש'!$B$8:$AX$28,MATCH(AG$49,'הספק נוסף נדרש'!$B$6:$AX$6,0)+(ROUNDUP((AG$2-$F$2)/COUNTA($F$10:$F$16),0)-1)*COUNTA('הספק נוסף נדרש'!$C$6:$J$6),FALSE))</f>
        <v>0</v>
      </c>
      <c r="AH57" s="138">
        <f ca="1">IF(OR($F57&gt;MAX('הנחות עבודה'!$B$69:$B$89),$F57&gt;$D$5),0,VLOOKUP($F57,'הספק נוסף נדרש'!$B$8:$AX$28,MATCH(AH$49,'הספק נוסף נדרש'!$B$6:$AX$6,0)+(ROUNDUP((AH$2-$F$2)/COUNTA($F$10:$F$16),0)-1)*COUNTA('הספק נוסף נדרש'!$C$6:$J$6),FALSE))</f>
        <v>5</v>
      </c>
      <c r="AI57" s="138">
        <f ca="1">IF(OR($F57&gt;MAX('הנחות עבודה'!$B$69:$B$89),$F57&gt;$D$5),0,VLOOKUP($F57,'הספק נוסף נדרש'!$B$8:$AX$28,MATCH(AI$49,'הספק נוסף נדרש'!$B$6:$AX$6,0)+(ROUNDUP((AI$2-$F$2)/COUNTA($F$10:$F$16),0)-1)*COUNTA('הספק נוסף נדרש'!$C$6:$J$6),FALSE))</f>
        <v>0</v>
      </c>
      <c r="AJ57" s="79">
        <f ca="1">IF(OR($F57&gt;MAX('הנחות עבודה'!$B$69:$B$89),$F57&gt;$D$5),0,VLOOKUP($F57,'הספק נוסף נדרש'!$B$8:$AX$28,MATCH(AJ$49,'הספק נוסף נדרש'!$B$6:$AX$6,0)+(ROUNDUP((AJ$2-$F$2)/COUNTA($F$10:$F$16),0)-1)*COUNTA('הספק נוסף נדרש'!$C$6:$J$6),FALSE))</f>
        <v>0</v>
      </c>
      <c r="AK57" s="74">
        <f ca="1">IF(OR($F57&gt;MAX('הנחות עבודה'!$B$69:$B$89),$F57&gt;$D$5),0,VLOOKUP($F57,'הספק נוסף נדרש'!$B$8:$AX$28,MATCH(AK$49,'הספק נוסף נדרש'!$B$6:$AX$6,0)+(ROUNDUP((AK$2-$F$2)/COUNTA($F$10:$F$16),0)-1)*COUNTA('הספק נוסף נדרש'!$C$6:$J$6),FALSE))</f>
        <v>0</v>
      </c>
      <c r="AL57" s="136">
        <f ca="1">IF(OR($F57&gt;MAX('הנחות עבודה'!$B$69:$B$89),$F57&gt;$D$5),0,VLOOKUP($F57,'הספק נוסף נדרש'!$B$8:$AX$28,MATCH(AL$49,'הספק נוסף נדרש'!$B$6:$AX$6,0)+(ROUNDUP((AL$2-$F$2)/COUNTA($F$10:$F$16),0)-1)*COUNTA('הספק נוסף נדרש'!$C$6:$J$6),FALSE))</f>
        <v>1452.3681486045189</v>
      </c>
      <c r="AM57" s="136">
        <f ca="1">IF(OR($F57&gt;MAX('הנחות עבודה'!$B$69:$B$89),$F57&gt;$D$5),0,VLOOKUP($F57,'הספק נוסף נדרש'!$B$8:$AX$28,MATCH(AM$49,'הספק נוסף נדרש'!$B$6:$AX$6,0)+(ROUNDUP((AM$2-$F$2)/COUNTA($F$10:$F$16),0)-1)*COUNTA('הספק נוסף נדרש'!$C$6:$J$6),FALSE))</f>
        <v>0</v>
      </c>
      <c r="AN57" s="136">
        <f ca="1">IF(OR($F57&gt;MAX('הנחות עבודה'!$B$69:$B$89),$F57&gt;$D$5),0,VLOOKUP($F57,'הספק נוסף נדרש'!$B$8:$AX$28,MATCH(AN$49,'הספק נוסף נדרש'!$B$6:$AX$6,0)+(ROUNDUP((AN$2-$F$2)/COUNTA($F$10:$F$16),0)-1)*COUNTA('הספק נוסף נדרש'!$C$6:$J$6),FALSE))</f>
        <v>5</v>
      </c>
      <c r="AO57" s="136">
        <f ca="1">IF(OR($F57&gt;MAX('הנחות עבודה'!$B$69:$B$89),$F57&gt;$D$5),0,VLOOKUP($F57,'הספק נוסף נדרש'!$B$8:$AX$28,MATCH(AO$49,'הספק נוסף נדרש'!$B$6:$AX$6,0)+(ROUNDUP((AO$2-$F$2)/COUNTA($F$10:$F$16),0)-1)*COUNTA('הספק נוסף נדרש'!$C$6:$J$6),FALSE))</f>
        <v>0</v>
      </c>
      <c r="AP57" s="136">
        <f ca="1">IF(OR($F57&gt;MAX('הנחות עבודה'!$B$69:$B$89),$F57&gt;$D$5),0,VLOOKUP($F57,'הספק נוסף נדרש'!$B$8:$AX$28,MATCH(AP$49,'הספק נוסף נדרש'!$B$6:$AX$6,0)+(ROUNDUP((AP$2-$F$2)/COUNTA($F$10:$F$16),0)-1)*COUNTA('הספק נוסף נדרש'!$C$6:$J$6),FALSE))</f>
        <v>0</v>
      </c>
      <c r="AQ57" s="9"/>
      <c r="AR57" s="10">
        <f t="shared" si="313"/>
        <v>2027</v>
      </c>
      <c r="AS57" s="79">
        <f ca="1">HLOOKUP(AS$49,$G$24:$L$45,COUNTA($F$25:$F32)+1,FALSE)*G57*$D$7/$D$8</f>
        <v>1649.6935653185551</v>
      </c>
      <c r="AT57" s="138">
        <f ca="1">HLOOKUP(AT$49,$G$24:$L$45,COUNTA($F$25:$F32)+1,FALSE)*H57*$D$7/$D$8</f>
        <v>0</v>
      </c>
      <c r="AU57" s="138">
        <f ca="1">HLOOKUP(AU$49,$G$24:$L$45,COUNTA($F$25:$F32)+1,FALSE)*I57*$D$7/$D$8</f>
        <v>0</v>
      </c>
      <c r="AV57" s="138">
        <f ca="1">HLOOKUP(AV$49,$G$24:$L$45,COUNTA($F$25:$F32)+1,FALSE)*J57*$D$7/$D$8</f>
        <v>19.634934127568108</v>
      </c>
      <c r="AW57" s="138">
        <f ca="1">HLOOKUP(AW$49,$G$24:$L$45,COUNTA($F$25:$F32)+1,FALSE)*K57*$D$7/$D$8</f>
        <v>0</v>
      </c>
      <c r="AX57" s="79">
        <f ca="1">HLOOKUP(AX$49,$G$24:$L$45,COUNTA($F$25:$F32)+1,FALSE)*L57*$D$7/$D$8</f>
        <v>0</v>
      </c>
      <c r="AY57" s="74">
        <f ca="1">HLOOKUP(AY$49,$G$24:$L$45,COUNTA($F$25:$F32)+1,FALSE)*M57*$D$7/$D$8</f>
        <v>0</v>
      </c>
      <c r="AZ57" s="136">
        <f ca="1">HLOOKUP(AZ$49,$G$24:$L$45,COUNTA($F$25:$F32)+1,FALSE)*N57*$D$7/$D$8</f>
        <v>1860.4187363071446</v>
      </c>
      <c r="BA57" s="136">
        <f ca="1">HLOOKUP(BA$49,$G$24:$L$45,COUNTA($F$25:$F32)+1,FALSE)*O57*$D$7/$D$8</f>
        <v>0</v>
      </c>
      <c r="BB57" s="136">
        <f ca="1">HLOOKUP(BB$49,$G$24:$L$45,COUNTA($F$25:$F32)+1,FALSE)*P57*$D$7/$D$8</f>
        <v>19.634934127568108</v>
      </c>
      <c r="BC57" s="136">
        <f ca="1">HLOOKUP(BC$49,$G$24:$L$45,COUNTA($F$25:$F32)+1,FALSE)*Q57*$D$7/$D$8</f>
        <v>0</v>
      </c>
      <c r="BD57" s="136">
        <f ca="1">HLOOKUP(BD$49,$G$24:$L$45,COUNTA($F$25:$F32)+1,FALSE)*R57*$D$7/$D$8</f>
        <v>0</v>
      </c>
      <c r="BE57" s="79">
        <f ca="1">HLOOKUP(BE$49,$G$24:$L$45,COUNTA($F$25:$F32)+1,FALSE)*S57*$D$7/$D$8</f>
        <v>2851.2886933535651</v>
      </c>
      <c r="BF57" s="138">
        <f ca="1">HLOOKUP(BF$49,$G$24:$L$45,COUNTA($F$25:$F32)+1,FALSE)*T57*$D$7/$D$8</f>
        <v>0</v>
      </c>
      <c r="BG57" s="138">
        <f ca="1">HLOOKUP(BG$49,$G$24:$L$45,COUNTA($F$25:$F32)+1,FALSE)*U57*$D$7/$D$8</f>
        <v>0</v>
      </c>
      <c r="BH57" s="138">
        <f ca="1">HLOOKUP(BH$49,$G$24:$L$45,COUNTA($F$25:$F32)+1,FALSE)*V57*$D$7/$D$8</f>
        <v>19.634934127568108</v>
      </c>
      <c r="BI57" s="138">
        <f ca="1">HLOOKUP(BI$49,$G$24:$L$45,COUNTA($F$25:$F32)+1,FALSE)*W57*$D$7/$D$8</f>
        <v>0</v>
      </c>
      <c r="BJ57" s="79">
        <f ca="1">HLOOKUP(BJ$49,$G$24:$L$45,COUNTA($F$25:$F32)+1,FALSE)*X57*$D$7/$D$8</f>
        <v>0</v>
      </c>
      <c r="BK57" s="74">
        <f ca="1">HLOOKUP(BK$49,$G$24:$L$45,COUNTA($F$25:$F32)+1,FALSE)*Y57*$D$7/$D$8</f>
        <v>0</v>
      </c>
      <c r="BL57" s="136">
        <f ca="1">HLOOKUP(BL$49,$G$24:$L$45,COUNTA($F$25:$F32)+1,FALSE)*Z57*$D$7/$D$8</f>
        <v>3215.50075677926</v>
      </c>
      <c r="BM57" s="136">
        <f ca="1">HLOOKUP(BM$49,$G$24:$L$45,COUNTA($F$25:$F32)+1,FALSE)*AA57*$D$7/$D$8</f>
        <v>0</v>
      </c>
      <c r="BN57" s="136">
        <f ca="1">HLOOKUP(BN$49,$G$24:$L$45,COUNTA($F$25:$F32)+1,FALSE)*AB57*$D$7/$D$8</f>
        <v>19.634934127568108</v>
      </c>
      <c r="BO57" s="136">
        <f ca="1">HLOOKUP(BO$49,$G$24:$L$45,COUNTA($F$25:$F32)+1,FALSE)*AC57*$D$7/$D$8</f>
        <v>0</v>
      </c>
      <c r="BP57" s="136">
        <f ca="1">HLOOKUP(BP$49,$G$24:$L$45,COUNTA($F$25:$F32)+1,FALSE)*AD57*$D$7/$D$8</f>
        <v>0</v>
      </c>
      <c r="BQ57" s="79">
        <f ca="1">HLOOKUP(BQ$49,$G$24:$L$45,COUNTA($F$25:$F32)+1,FALSE)*AE57*$D$7/$D$8</f>
        <v>3677.2622756663595</v>
      </c>
      <c r="BR57" s="138">
        <f ca="1">HLOOKUP(BR$49,$G$24:$L$45,COUNTA($F$25:$F32)+1,FALSE)*AF57*$D$7/$D$8</f>
        <v>0</v>
      </c>
      <c r="BS57" s="138">
        <f ca="1">HLOOKUP(BS$49,$G$24:$L$45,COUNTA($F$25:$F32)+1,FALSE)*AG57*$D$7/$D$8</f>
        <v>0</v>
      </c>
      <c r="BT57" s="138">
        <f ca="1">HLOOKUP(BT$49,$G$24:$L$45,COUNTA($F$25:$F32)+1,FALSE)*AH57*$D$7/$D$8</f>
        <v>19.634934127568108</v>
      </c>
      <c r="BU57" s="138">
        <f ca="1">HLOOKUP(BU$49,$G$24:$L$45,COUNTA($F$25:$F32)+1,FALSE)*AI57*$D$7/$D$8</f>
        <v>0</v>
      </c>
      <c r="BV57" s="79">
        <f ca="1">HLOOKUP(BV$49,$G$24:$L$45,COUNTA($F$25:$F32)+1,FALSE)*AJ57*$D$7/$D$8</f>
        <v>0</v>
      </c>
      <c r="BW57" s="74">
        <f ca="1">HLOOKUP(BW$49,$G$24:$L$45,COUNTA($F$25:$F32)+1,FALSE)*AK57*$D$7/$D$8</f>
        <v>0</v>
      </c>
      <c r="BX57" s="136">
        <f ca="1">HLOOKUP(BX$49,$G$24:$L$45,COUNTA($F$25:$F32)+1,FALSE)*AL57*$D$7/$D$8</f>
        <v>4146.9808574079634</v>
      </c>
      <c r="BY57" s="136">
        <f ca="1">HLOOKUP(BY$49,$G$24:$L$45,COUNTA($F$25:$F32)+1,FALSE)*AM57*$D$7/$D$8</f>
        <v>0</v>
      </c>
      <c r="BZ57" s="136">
        <f ca="1">HLOOKUP(BZ$49,$G$24:$L$45,COUNTA($F$25:$F32)+1,FALSE)*AN57*$D$7/$D$8</f>
        <v>19.634934127568108</v>
      </c>
      <c r="CA57" s="136">
        <f ca="1">HLOOKUP(CA$49,$G$24:$L$45,COUNTA($F$25:$F32)+1,FALSE)*AO57*$D$7/$D$8</f>
        <v>0</v>
      </c>
      <c r="CB57" s="739">
        <f ca="1">HLOOKUP(CB$49,$G$24:$L$45,COUNTA($F$25:$F32)+1,FALSE)*AP57*$D$7/$D$8</f>
        <v>0</v>
      </c>
      <c r="CD57" s="10">
        <f t="shared" si="314"/>
        <v>2027</v>
      </c>
      <c r="CE57" s="85">
        <f t="shared" ca="1" si="240"/>
        <v>752.21208402234947</v>
      </c>
      <c r="CF57" s="147">
        <f t="shared" ca="1" si="241"/>
        <v>0</v>
      </c>
      <c r="CG57" s="147">
        <f t="shared" ca="1" si="242"/>
        <v>216.27952515046442</v>
      </c>
      <c r="CH57" s="147">
        <f t="shared" ca="1" si="243"/>
        <v>16.089245210731608</v>
      </c>
      <c r="CI57" s="147">
        <f t="shared" ca="1" si="244"/>
        <v>0</v>
      </c>
      <c r="CJ57" s="85">
        <f t="shared" ca="1" si="245"/>
        <v>0</v>
      </c>
      <c r="CK57" s="151">
        <f t="shared" ca="1" si="246"/>
        <v>0</v>
      </c>
      <c r="CL57" s="102">
        <f t="shared" ca="1" si="247"/>
        <v>927.97129552218712</v>
      </c>
      <c r="CM57" s="102">
        <f t="shared" ca="1" si="248"/>
        <v>216.27952515046442</v>
      </c>
      <c r="CN57" s="102">
        <f t="shared" ca="1" si="249"/>
        <v>16.089245210731608</v>
      </c>
      <c r="CO57" s="102">
        <f t="shared" ca="1" si="250"/>
        <v>0</v>
      </c>
      <c r="CP57" s="151">
        <f t="shared" ca="1" si="251"/>
        <v>0</v>
      </c>
      <c r="CQ57" s="85">
        <f t="shared" ca="1" si="252"/>
        <v>1320.297201796099</v>
      </c>
      <c r="CR57" s="147">
        <f t="shared" ca="1" si="253"/>
        <v>0</v>
      </c>
      <c r="CS57" s="147">
        <f t="shared" ca="1" si="254"/>
        <v>216.27952515046442</v>
      </c>
      <c r="CT57" s="147">
        <f t="shared" ca="1" si="255"/>
        <v>16.089245210731608</v>
      </c>
      <c r="CU57" s="147">
        <f t="shared" ca="1" si="256"/>
        <v>0</v>
      </c>
      <c r="CV57" s="85">
        <f t="shared" ca="1" si="257"/>
        <v>0</v>
      </c>
      <c r="CW57" s="151">
        <f t="shared" ca="1" si="258"/>
        <v>0</v>
      </c>
      <c r="CX57" s="102">
        <f t="shared" ca="1" si="259"/>
        <v>1632.868180261368</v>
      </c>
      <c r="CY57" s="102">
        <f t="shared" ca="1" si="260"/>
        <v>216.27952515046442</v>
      </c>
      <c r="CZ57" s="102">
        <f t="shared" ca="1" si="261"/>
        <v>16.089245210731608</v>
      </c>
      <c r="DA57" s="102">
        <f t="shared" ca="1" si="262"/>
        <v>0</v>
      </c>
      <c r="DB57" s="151">
        <f t="shared" ca="1" si="263"/>
        <v>0</v>
      </c>
      <c r="DC57" s="85">
        <f t="shared" ca="1" si="264"/>
        <v>1655.2235147004499</v>
      </c>
      <c r="DD57" s="147">
        <f t="shared" ca="1" si="265"/>
        <v>0</v>
      </c>
      <c r="DE57" s="147">
        <f t="shared" ca="1" si="266"/>
        <v>216.27952515046442</v>
      </c>
      <c r="DF57" s="147">
        <f t="shared" ca="1" si="267"/>
        <v>16.089245210731608</v>
      </c>
      <c r="DG57" s="147">
        <f t="shared" ca="1" si="268"/>
        <v>0</v>
      </c>
      <c r="DH57" s="85">
        <f t="shared" ca="1" si="269"/>
        <v>0</v>
      </c>
      <c r="DI57" s="151">
        <f t="shared" ca="1" si="270"/>
        <v>0</v>
      </c>
      <c r="DJ57" s="102">
        <f t="shared" ca="1" si="271"/>
        <v>2048.5970773150389</v>
      </c>
      <c r="DK57" s="102">
        <f t="shared" ca="1" si="272"/>
        <v>216.27952515046442</v>
      </c>
      <c r="DL57" s="102">
        <f t="shared" ca="1" si="273"/>
        <v>16.089245210731608</v>
      </c>
      <c r="DM57" s="102">
        <f t="shared" ca="1" si="274"/>
        <v>0</v>
      </c>
      <c r="DN57" s="564">
        <f t="shared" ca="1" si="275"/>
        <v>0</v>
      </c>
      <c r="DP57" s="10">
        <f t="shared" si="315"/>
        <v>2027</v>
      </c>
      <c r="DQ57" s="85">
        <f t="shared" ca="1" si="276"/>
        <v>226.29221288615892</v>
      </c>
      <c r="DR57" s="147">
        <f t="shared" ca="1" si="277"/>
        <v>0</v>
      </c>
      <c r="DS57" s="147">
        <f t="shared" ca="1" si="278"/>
        <v>61.350712925538716</v>
      </c>
      <c r="DT57" s="147">
        <f t="shared" ca="1" si="279"/>
        <v>5.1845672894821453</v>
      </c>
      <c r="DU57" s="147">
        <f t="shared" ca="1" si="280"/>
        <v>0</v>
      </c>
      <c r="DV57" s="85">
        <f t="shared" ca="1" si="281"/>
        <v>0</v>
      </c>
      <c r="DW57" s="151">
        <f t="shared" ca="1" si="282"/>
        <v>0</v>
      </c>
      <c r="DX57" s="102">
        <f t="shared" ca="1" si="283"/>
        <v>257.50924223616926</v>
      </c>
      <c r="DY57" s="102">
        <f t="shared" ca="1" si="284"/>
        <v>61.350712925538716</v>
      </c>
      <c r="DZ57" s="102">
        <f t="shared" ca="1" si="285"/>
        <v>5.1845672894821453</v>
      </c>
      <c r="EA57" s="102">
        <f t="shared" ca="1" si="286"/>
        <v>0</v>
      </c>
      <c r="EB57" s="151">
        <f t="shared" ca="1" si="287"/>
        <v>0</v>
      </c>
      <c r="EC57" s="85">
        <f t="shared" ca="1" si="288"/>
        <v>408.03708254223488</v>
      </c>
      <c r="ED57" s="147">
        <f t="shared" ca="1" si="289"/>
        <v>0</v>
      </c>
      <c r="EE57" s="147">
        <f t="shared" ca="1" si="290"/>
        <v>61.350712925538716</v>
      </c>
      <c r="EF57" s="147">
        <f t="shared" ca="1" si="291"/>
        <v>5.1845672894821453</v>
      </c>
      <c r="EG57" s="147">
        <f t="shared" ca="1" si="292"/>
        <v>0</v>
      </c>
      <c r="EH57" s="85">
        <f t="shared" ca="1" si="293"/>
        <v>0</v>
      </c>
      <c r="EI57" s="151">
        <f t="shared" ca="1" si="294"/>
        <v>0</v>
      </c>
      <c r="EJ57" s="102">
        <f t="shared" ca="1" si="295"/>
        <v>464.32583158558577</v>
      </c>
      <c r="EK57" s="102">
        <f t="shared" ca="1" si="296"/>
        <v>61.350712925538716</v>
      </c>
      <c r="EL57" s="102">
        <f t="shared" ca="1" si="297"/>
        <v>5.1845672894821453</v>
      </c>
      <c r="EM57" s="102">
        <f t="shared" ca="1" si="298"/>
        <v>0</v>
      </c>
      <c r="EN57" s="151">
        <f t="shared" ca="1" si="299"/>
        <v>0</v>
      </c>
      <c r="EO57" s="85">
        <f t="shared" ca="1" si="300"/>
        <v>515.75253228888289</v>
      </c>
      <c r="EP57" s="145">
        <f t="shared" ca="1" si="301"/>
        <v>0</v>
      </c>
      <c r="EQ57" s="145">
        <f t="shared" ca="1" si="302"/>
        <v>61.350712925538716</v>
      </c>
      <c r="ER57" s="145">
        <f t="shared" ca="1" si="303"/>
        <v>5.1845672894821453</v>
      </c>
      <c r="ES57" s="145">
        <f t="shared" ca="1" si="304"/>
        <v>0</v>
      </c>
      <c r="ET57" s="85">
        <f t="shared" ca="1" si="305"/>
        <v>0</v>
      </c>
      <c r="EU57" s="102">
        <f t="shared" ca="1" si="306"/>
        <v>0</v>
      </c>
      <c r="EV57" s="102">
        <f t="shared" ca="1" si="307"/>
        <v>586.90063647001864</v>
      </c>
      <c r="EW57" s="102">
        <f t="shared" ca="1" si="308"/>
        <v>61.350712925538716</v>
      </c>
      <c r="EX57" s="102">
        <f t="shared" ca="1" si="309"/>
        <v>5.1845672894821453</v>
      </c>
      <c r="EY57" s="102">
        <f t="shared" ca="1" si="310"/>
        <v>0</v>
      </c>
      <c r="EZ57" s="564">
        <f t="shared" ca="1" si="311"/>
        <v>0</v>
      </c>
      <c r="FB57" s="10">
        <f t="shared" si="316"/>
        <v>2027</v>
      </c>
      <c r="FC57" s="85">
        <f ca="1">HLOOKUP(FC$49,$O$24:$T$45,COUNTA($N$25:$N32)+1,FALSE)*G57*$D$7/$D$8</f>
        <v>36.169926486135381</v>
      </c>
      <c r="FD57" s="147">
        <f ca="1">HLOOKUP(FD$49,$O$24:$T$45,COUNTA($N$25:$N32)+1,FALSE)*H57*$D$7/$D$8</f>
        <v>0</v>
      </c>
      <c r="FE57" s="147">
        <f ca="1">HLOOKUP(FE$49,$O$24:$T$45,COUNTA($N$25:$N32)+1,FALSE)*I57*$D$7/$D$8</f>
        <v>0</v>
      </c>
      <c r="FF57" s="147">
        <f ca="1">HLOOKUP(FF$49,$O$24:$T$45,COUNTA($N$25:$N32)+1,FALSE)*J57*$D$7/$D$8</f>
        <v>0.43204727412351213</v>
      </c>
      <c r="FG57" s="147">
        <f ca="1">HLOOKUP(FG$49,$O$24:$T$45,COUNTA($N$25:$N32)+1,FALSE)*K57*$D$7/$D$8</f>
        <v>0</v>
      </c>
      <c r="FH57" s="85">
        <f ca="1">HLOOKUP(FH$49,$O$24:$T$45,COUNTA($N$25:$N32)+1,FALSE)*L57*$D$7/$D$8</f>
        <v>0</v>
      </c>
      <c r="FI57" s="151">
        <f ca="1">HLOOKUP(FI$49,$O$24:$T$45,COUNTA($N$25:$N32)+1,FALSE)*M57*$D$7/$D$8</f>
        <v>0</v>
      </c>
      <c r="FJ57" s="153">
        <f ca="1">HLOOKUP(FJ$49,$O$24:$T$45,COUNTA($N$25:$N32)+1,FALSE)*N57*$D$7/$D$8</f>
        <v>41.159570815051943</v>
      </c>
      <c r="FK57" s="153">
        <f ca="1">HLOOKUP(FK$49,$O$24:$T$45,COUNTA($N$25:$N32)+1,FALSE)*O57*$D$7/$D$8</f>
        <v>0</v>
      </c>
      <c r="FL57" s="153">
        <f ca="1">HLOOKUP(FL$49,$O$24:$T$45,COUNTA($N$25:$N32)+1,FALSE)*P57*$D$7/$D$8</f>
        <v>0.43204727412351213</v>
      </c>
      <c r="FM57" s="153">
        <f ca="1">HLOOKUP(FM$49,$O$24:$T$45,COUNTA($N$25:$N32)+1,FALSE)*Q57*$D$7/$D$8</f>
        <v>0</v>
      </c>
      <c r="FN57" s="151">
        <f ca="1">HLOOKUP(FN$49,$O$24:$T$45,COUNTA($N$25:$N32)+1,FALSE)*R57*$D$7/$D$8</f>
        <v>0</v>
      </c>
      <c r="FO57" s="85">
        <f ca="1">HLOOKUP(FO$49,$O$24:$T$45,COUNTA($N$25:$N32)+1,FALSE)*S57*$D$7/$D$8</f>
        <v>62.515187424782695</v>
      </c>
      <c r="FP57" s="147">
        <f ca="1">HLOOKUP(FP$49,$O$24:$T$45,COUNTA($N$25:$N32)+1,FALSE)*T57*$D$7/$D$8</f>
        <v>0</v>
      </c>
      <c r="FQ57" s="147">
        <f ca="1">HLOOKUP(FQ$49,$O$24:$T$45,COUNTA($N$25:$N32)+1,FALSE)*U57*$D$7/$D$8</f>
        <v>0</v>
      </c>
      <c r="FR57" s="147">
        <f ca="1">HLOOKUP(FR$49,$O$24:$T$45,COUNTA($N$25:$N32)+1,FALSE)*V57*$D$7/$D$8</f>
        <v>0.43204727412351213</v>
      </c>
      <c r="FS57" s="147">
        <f ca="1">HLOOKUP(FS$49,$O$24:$T$45,COUNTA($N$25:$N32)+1,FALSE)*W57*$D$7/$D$8</f>
        <v>0</v>
      </c>
      <c r="FT57" s="85">
        <f ca="1">HLOOKUP(FT$49,$O$24:$T$45,COUNTA($N$25:$N32)+1,FALSE)*X57*$D$7/$D$8</f>
        <v>0</v>
      </c>
      <c r="FU57" s="151">
        <f ca="1">HLOOKUP(FU$49,$O$24:$T$45,COUNTA($N$25:$N32)+1,FALSE)*Y57*$D$7/$D$8</f>
        <v>0</v>
      </c>
      <c r="FV57" s="153">
        <f ca="1">HLOOKUP(FV$49,$O$24:$T$45,COUNTA($N$25:$N32)+1,FALSE)*Z57*$D$7/$D$8</f>
        <v>71.139162663570943</v>
      </c>
      <c r="FW57" s="153">
        <f ca="1">HLOOKUP(FW$49,$O$24:$T$45,COUNTA($N$25:$N32)+1,FALSE)*AA57*$D$7/$D$8</f>
        <v>0</v>
      </c>
      <c r="FX57" s="153">
        <f ca="1">HLOOKUP(FX$49,$O$24:$T$45,COUNTA($N$25:$N32)+1,FALSE)*AB57*$D$7/$D$8</f>
        <v>0.43204727412351213</v>
      </c>
      <c r="FY57" s="153">
        <f ca="1">HLOOKUP(FY$49,$O$24:$T$45,COUNTA($N$25:$N32)+1,FALSE)*AC57*$D$7/$D$8</f>
        <v>0</v>
      </c>
      <c r="FZ57" s="151">
        <f ca="1">HLOOKUP(FZ$49,$O$24:$T$45,COUNTA($N$25:$N32)+1,FALSE)*AD57*$D$7/$D$8</f>
        <v>0</v>
      </c>
      <c r="GA57" s="85">
        <f ca="1">HLOOKUP(GA$49,$O$24:$T$45,COUNTA($N$25:$N32)+1,FALSE)*AE57*$D$7/$D$8</f>
        <v>80.624856020098264</v>
      </c>
      <c r="GB57" s="147">
        <f ca="1">HLOOKUP(GB$49,$O$24:$T$45,COUNTA($N$25:$N32)+1,FALSE)*AF57*$D$7/$D$8</f>
        <v>0</v>
      </c>
      <c r="GC57" s="147">
        <f ca="1">HLOOKUP(GC$49,$O$24:$T$45,COUNTA($N$25:$N32)+1,FALSE)*AG57*$D$7/$D$8</f>
        <v>0</v>
      </c>
      <c r="GD57" s="147">
        <f ca="1">HLOOKUP(GD$49,$O$24:$T$45,COUNTA($N$25:$N32)+1,FALSE)*AH57*$D$7/$D$8</f>
        <v>0.43204727412351213</v>
      </c>
      <c r="GE57" s="147">
        <f ca="1">HLOOKUP(GE$49,$O$24:$T$45,COUNTA($N$25:$N32)+1,FALSE)*AI57*$D$7/$D$8</f>
        <v>0</v>
      </c>
      <c r="GF57" s="85">
        <f ca="1">HLOOKUP(GF$49,$O$24:$T$45,COUNTA($N$25:$N32)+1,FALSE)*AJ57*$D$7/$D$8</f>
        <v>0</v>
      </c>
      <c r="GG57" s="151">
        <f ca="1">HLOOKUP(GG$49,$O$24:$T$45,COUNTA($N$25:$N32)+1,FALSE)*AK57*$D$7/$D$8</f>
        <v>0</v>
      </c>
      <c r="GH57" s="153">
        <f ca="1">HLOOKUP(GH$49,$O$24:$T$45,COUNTA($N$25:$N32)+1,FALSE)*AL57*$D$7/$D$8</f>
        <v>91.747061528716131</v>
      </c>
      <c r="GI57" s="153">
        <f ca="1">HLOOKUP(GI$49,$O$24:$T$45,COUNTA($N$25:$N32)+1,FALSE)*AM57*$D$7/$D$8</f>
        <v>0</v>
      </c>
      <c r="GJ57" s="153">
        <f ca="1">HLOOKUP(GJ$49,$O$24:$T$45,COUNTA($N$25:$N32)+1,FALSE)*AN57*$D$7/$D$8</f>
        <v>0.43204727412351213</v>
      </c>
      <c r="GK57" s="153">
        <f ca="1">HLOOKUP(GK$49,$O$24:$T$45,COUNTA($N$25:$N32)+1,FALSE)*AO57*$D$7/$D$8</f>
        <v>0</v>
      </c>
      <c r="GL57" s="564">
        <f ca="1">HLOOKUP(GL$49,$O$24:$T$45,COUNTA($N$25:$N32)+1,FALSE)*AP57*$D$7/$D$8</f>
        <v>0</v>
      </c>
    </row>
    <row r="58" spans="6:194">
      <c r="F58" s="10">
        <f t="shared" si="317"/>
        <v>2028</v>
      </c>
      <c r="G58" s="79">
        <f ca="1">IF(OR($F58&gt;MAX('הנחות עבודה'!$B$69:$B$89),$F58&gt;$D$5),0,VLOOKUP($F58,'הספק נוסף נדרש'!$B$8:$AX$28,MATCH(G$49,'הספק נוסף נדרש'!$B$6:$AX$6,0)+(ROUNDUP((G$2-$F$2)/COUNTA($F$10:$F$16),0)-1)*COUNTA('הספק נוסף נדרש'!$C$6:$J$6),FALSE))</f>
        <v>662.48868657758612</v>
      </c>
      <c r="H58" s="138">
        <f ca="1">IF(OR($F58&gt;MAX('הנחות עבודה'!$B$69:$B$89),$F58&gt;$D$5),0,VLOOKUP($F58,'הספק נוסף נדרש'!$B$8:$AX$28,MATCH(H$49,'הספק נוסף נדרש'!$B$6:$AX$6,0)+(ROUNDUP((H$2-$F$2)/COUNTA($F$10:$F$16),0)-1)*COUNTA('הספק נוסף נדרש'!$C$6:$J$6),FALSE))</f>
        <v>0</v>
      </c>
      <c r="I58" s="138">
        <f ca="1">IF(OR($F58&gt;MAX('הנחות עבודה'!$B$69:$B$89),$F58&gt;$D$5),0,VLOOKUP($F58,'הספק נוסף נדרש'!$B$8:$AX$28,MATCH(I$49,'הספק נוסף נדרש'!$B$6:$AX$6,0)+(ROUNDUP((I$2-$F$2)/COUNTA($F$10:$F$16),0)-1)*COUNTA('הספק נוסף נדרש'!$C$6:$J$6),FALSE))</f>
        <v>0</v>
      </c>
      <c r="J58" s="138">
        <f ca="1">IF(OR($F58&gt;MAX('הנחות עבודה'!$B$69:$B$89),$F58&gt;$D$5),0,VLOOKUP($F58,'הספק נוסף נדרש'!$B$8:$AX$28,MATCH(J$49,'הספק נוסף נדרש'!$B$6:$AX$6,0)+(ROUNDUP((J$2-$F$2)/COUNTA($F$10:$F$16),0)-1)*COUNTA('הספק נוסף נדרש'!$C$6:$J$6),FALSE))</f>
        <v>5</v>
      </c>
      <c r="K58" s="138">
        <f ca="1">IF(OR($F58&gt;MAX('הנחות עבודה'!$B$69:$B$89),$F58&gt;$D$5),0,VLOOKUP($F58,'הספק נוסף נדרש'!$B$8:$AX$28,MATCH(K$49,'הספק נוסף נדרש'!$B$6:$AX$6,0)+(ROUNDUP((K$2-$F$2)/COUNTA($F$10:$F$16),0)-1)*COUNTA('הספק נוסף נדרש'!$C$6:$J$6),FALSE))</f>
        <v>0</v>
      </c>
      <c r="L58" s="79">
        <f ca="1">IF(OR($F58&gt;MAX('הנחות עבודה'!$B$69:$B$89),$F58&gt;$D$5),0,VLOOKUP($F58,'הספק נוסף נדרש'!$B$8:$AX$28,MATCH(L$49,'הספק נוסף נדרש'!$B$6:$AX$6,0)+(ROUNDUP((L$2-$F$2)/COUNTA($F$10:$F$16),0)-1)*COUNTA('הספק נוסף נדרש'!$C$6:$J$6),FALSE))</f>
        <v>0</v>
      </c>
      <c r="M58" s="74">
        <f ca="1">IF(OR($F58&gt;MAX('הנחות עבודה'!$B$69:$B$89),$F58&gt;$D$5),0,VLOOKUP($F58,'הספק נוסף נדרש'!$B$8:$AX$28,MATCH(M$49,'הספק נוסף נדרש'!$B$6:$AX$6,0)+(ROUNDUP((M$2-$F$2)/COUNTA($F$10:$F$16),0)-1)*COUNTA('הספק נוסף נדרש'!$C$6:$J$6),FALSE))</f>
        <v>0</v>
      </c>
      <c r="N58" s="136">
        <f ca="1">IF(OR($F58&gt;MAX('הנחות עבודה'!$B$69:$B$89),$F58&gt;$D$5),0,VLOOKUP($F58,'הספק נוסף נדרש'!$B$8:$AX$28,MATCH(N$49,'הספק נוסף נדרש'!$B$6:$AX$6,0)+(ROUNDUP((N$2-$F$2)/COUNTA($F$10:$F$16),0)-1)*COUNTA('הספק נוסף נדרש'!$C$6:$J$6),FALSE))</f>
        <v>662.48868657758612</v>
      </c>
      <c r="O58" s="136">
        <f ca="1">IF(OR($F58&gt;MAX('הנחות עבודה'!$B$69:$B$89),$F58&gt;$D$5),0,VLOOKUP($F58,'הספק נוסף נדרש'!$B$8:$AX$28,MATCH(O$49,'הספק נוסף נדרש'!$B$6:$AX$6,0)+(ROUNDUP((O$2-$F$2)/COUNTA($F$10:$F$16),0)-1)*COUNTA('הספק נוסף נדרש'!$C$6:$J$6),FALSE))</f>
        <v>0</v>
      </c>
      <c r="P58" s="136">
        <f ca="1">IF(OR($F58&gt;MAX('הנחות עבודה'!$B$69:$B$89),$F58&gt;$D$5),0,VLOOKUP($F58,'הספק נוסף נדרש'!$B$8:$AX$28,MATCH(P$49,'הספק נוסף נדרש'!$B$6:$AX$6,0)+(ROUNDUP((P$2-$F$2)/COUNTA($F$10:$F$16),0)-1)*COUNTA('הספק נוסף נדרש'!$C$6:$J$6),FALSE))</f>
        <v>5</v>
      </c>
      <c r="Q58" s="136">
        <f ca="1">IF(OR($F58&gt;MAX('הנחות עבודה'!$B$69:$B$89),$F58&gt;$D$5),0,VLOOKUP($F58,'הספק נוסף נדרש'!$B$8:$AX$28,MATCH(Q$49,'הספק נוסף נדרש'!$B$6:$AX$6,0)+(ROUNDUP((Q$2-$F$2)/COUNTA($F$10:$F$16),0)-1)*COUNTA('הספק נוסף נדרש'!$C$6:$J$6),FALSE))</f>
        <v>0</v>
      </c>
      <c r="R58" s="136">
        <f ca="1">IF(OR($F58&gt;MAX('הנחות עבודה'!$B$69:$B$89),$F58&gt;$D$5),0,VLOOKUP($F58,'הספק נוסף נדרש'!$B$8:$AX$28,MATCH(R$49,'הספק נוסף נדרש'!$B$6:$AX$6,0)+(ROUNDUP((R$2-$F$2)/COUNTA($F$10:$F$16),0)-1)*COUNTA('הספק נוסף נדרש'!$C$6:$J$6),FALSE))</f>
        <v>0</v>
      </c>
      <c r="S58" s="79">
        <f ca="1">IF(OR($F58&gt;MAX('הנחות עבודה'!$B$69:$B$89),$F58&gt;$D$5),0,VLOOKUP($F58,'הספק נוסף נדרש'!$B$8:$AX$28,MATCH(S$49,'הספק נוסף נדרש'!$B$6:$AX$6,0)+(ROUNDUP((S$2-$F$2)/COUNTA($F$10:$F$16),0)-1)*COUNTA('הספק נוסף נדרש'!$C$6:$J$6),FALSE))</f>
        <v>1153.3928620654169</v>
      </c>
      <c r="T58" s="138">
        <f ca="1">IF(OR($F58&gt;MAX('הנחות עבודה'!$B$69:$B$89),$F58&gt;$D$5),0,VLOOKUP($F58,'הספק נוסף נדרש'!$B$8:$AX$28,MATCH(T$49,'הספק נוסף נדרש'!$B$6:$AX$6,0)+(ROUNDUP((T$2-$F$2)/COUNTA($F$10:$F$16),0)-1)*COUNTA('הספק נוסף נדרש'!$C$6:$J$6),FALSE))</f>
        <v>0</v>
      </c>
      <c r="U58" s="138">
        <f ca="1">IF(OR($F58&gt;MAX('הנחות עבודה'!$B$69:$B$89),$F58&gt;$D$5),0,VLOOKUP($F58,'הספק נוסף נדרש'!$B$8:$AX$28,MATCH(U$49,'הספק נוסף נדרש'!$B$6:$AX$6,0)+(ROUNDUP((U$2-$F$2)/COUNTA($F$10:$F$16),0)-1)*COUNTA('הספק נוסף נדרש'!$C$6:$J$6),FALSE))</f>
        <v>0</v>
      </c>
      <c r="V58" s="138">
        <f ca="1">IF(OR($F58&gt;MAX('הנחות עבודה'!$B$69:$B$89),$F58&gt;$D$5),0,VLOOKUP($F58,'הספק נוסף נדרש'!$B$8:$AX$28,MATCH(V$49,'הספק נוסף נדרש'!$B$6:$AX$6,0)+(ROUNDUP((V$2-$F$2)/COUNTA($F$10:$F$16),0)-1)*COUNTA('הספק נוסף נדרש'!$C$6:$J$6),FALSE))</f>
        <v>5</v>
      </c>
      <c r="W58" s="138">
        <f ca="1">IF(OR($F58&gt;MAX('הנחות עבודה'!$B$69:$B$89),$F58&gt;$D$5),0,VLOOKUP($F58,'הספק נוסף נדרש'!$B$8:$AX$28,MATCH(W$49,'הספק נוסף נדרש'!$B$6:$AX$6,0)+(ROUNDUP((W$2-$F$2)/COUNTA($F$10:$F$16),0)-1)*COUNTA('הספק נוסף נדרש'!$C$6:$J$6),FALSE))</f>
        <v>0</v>
      </c>
      <c r="X58" s="79">
        <f ca="1">IF(OR($F58&gt;MAX('הנחות עבודה'!$B$69:$B$89),$F58&gt;$D$5),0,VLOOKUP($F58,'הספק נוסף נדרש'!$B$8:$AX$28,MATCH(X$49,'הספק נוסף נדרש'!$B$6:$AX$6,0)+(ROUNDUP((X$2-$F$2)/COUNTA($F$10:$F$16),0)-1)*COUNTA('הספק נוסף נדרש'!$C$6:$J$6),FALSE))</f>
        <v>0</v>
      </c>
      <c r="Y58" s="74">
        <f ca="1">IF(OR($F58&gt;MAX('הנחות עבודה'!$B$69:$B$89),$F58&gt;$D$5),0,VLOOKUP($F58,'הספק נוסף נדרש'!$B$8:$AX$28,MATCH(Y$49,'הספק נוסף נדרש'!$B$6:$AX$6,0)+(ROUNDUP((Y$2-$F$2)/COUNTA($F$10:$F$16),0)-1)*COUNTA('הספק נוסף נדרש'!$C$6:$J$6),FALSE))</f>
        <v>0</v>
      </c>
      <c r="Z58" s="136">
        <f ca="1">IF(OR($F58&gt;MAX('הנחות עבודה'!$B$69:$B$89),$F58&gt;$D$5),0,VLOOKUP($F58,'הספק נוסף נדרש'!$B$8:$AX$28,MATCH(Z$49,'הספק נוסף נדרש'!$B$6:$AX$6,0)+(ROUNDUP((Z$2-$F$2)/COUNTA($F$10:$F$16),0)-1)*COUNTA('הספק נוסף נדרש'!$C$6:$J$6),FALSE))</f>
        <v>1153.3928620654169</v>
      </c>
      <c r="AA58" s="136">
        <f ca="1">IF(OR($F58&gt;MAX('הנחות עבודה'!$B$69:$B$89),$F58&gt;$D$5),0,VLOOKUP($F58,'הספק נוסף נדרש'!$B$8:$AX$28,MATCH(AA$49,'הספק נוסף נדרש'!$B$6:$AX$6,0)+(ROUNDUP((AA$2-$F$2)/COUNTA($F$10:$F$16),0)-1)*COUNTA('הספק נוסף נדרש'!$C$6:$J$6),FALSE))</f>
        <v>0</v>
      </c>
      <c r="AB58" s="136">
        <f ca="1">IF(OR($F58&gt;MAX('הנחות עבודה'!$B$69:$B$89),$F58&gt;$D$5),0,VLOOKUP($F58,'הספק נוסף נדרש'!$B$8:$AX$28,MATCH(AB$49,'הספק נוסף נדרש'!$B$6:$AX$6,0)+(ROUNDUP((AB$2-$F$2)/COUNTA($F$10:$F$16),0)-1)*COUNTA('הספק נוסף נדרש'!$C$6:$J$6),FALSE))</f>
        <v>5</v>
      </c>
      <c r="AC58" s="136">
        <f ca="1">IF(OR($F58&gt;MAX('הנחות עבודה'!$B$69:$B$89),$F58&gt;$D$5),0,VLOOKUP($F58,'הספק נוסף נדרש'!$B$8:$AX$28,MATCH(AC$49,'הספק נוסף נדרש'!$B$6:$AX$6,0)+(ROUNDUP((AC$2-$F$2)/COUNTA($F$10:$F$16),0)-1)*COUNTA('הספק נוסף נדרש'!$C$6:$J$6),FALSE))</f>
        <v>0</v>
      </c>
      <c r="AD58" s="136">
        <f ca="1">IF(OR($F58&gt;MAX('הנחות עבודה'!$B$69:$B$89),$F58&gt;$D$5),0,VLOOKUP($F58,'הספק נוסף נדרש'!$B$8:$AX$28,MATCH(AD$49,'הספק נוסף נדרש'!$B$6:$AX$6,0)+(ROUNDUP((AD$2-$F$2)/COUNTA($F$10:$F$16),0)-1)*COUNTA('הספק נוסף נדרש'!$C$6:$J$6),FALSE))</f>
        <v>0</v>
      </c>
      <c r="AE58" s="79">
        <f ca="1">IF(OR($F58&gt;MAX('הנחות עבודה'!$B$69:$B$89),$F58&gt;$D$5),0,VLOOKUP($F58,'הספק נוסף נדרש'!$B$8:$AX$28,MATCH(AE$49,'הספק נוסף נדרש'!$B$6:$AX$6,0)+(ROUNDUP((AE$2-$F$2)/COUNTA($F$10:$F$16),0)-1)*COUNTA('הספק נוסף נדרש'!$C$6:$J$6),FALSE))</f>
        <v>1491.9704656881022</v>
      </c>
      <c r="AF58" s="138">
        <f ca="1">IF(OR($F58&gt;MAX('הנחות עבודה'!$B$69:$B$89),$F58&gt;$D$5),0,VLOOKUP($F58,'הספק נוסף נדרש'!$B$8:$AX$28,MATCH(AF$49,'הספק נוסף נדרש'!$B$6:$AX$6,0)+(ROUNDUP((AF$2-$F$2)/COUNTA($F$10:$F$16),0)-1)*COUNTA('הספק נוסף נדרש'!$C$6:$J$6),FALSE))</f>
        <v>0</v>
      </c>
      <c r="AG58" s="138">
        <f ca="1">IF(OR($F58&gt;MAX('הנחות עבודה'!$B$69:$B$89),$F58&gt;$D$5),0,VLOOKUP($F58,'הספק נוסף נדרש'!$B$8:$AX$28,MATCH(AG$49,'הספק נוסף נדרש'!$B$6:$AX$6,0)+(ROUNDUP((AG$2-$F$2)/COUNTA($F$10:$F$16),0)-1)*COUNTA('הספק נוסף נדרש'!$C$6:$J$6),FALSE))</f>
        <v>0</v>
      </c>
      <c r="AH58" s="138">
        <f ca="1">IF(OR($F58&gt;MAX('הנחות עבודה'!$B$69:$B$89),$F58&gt;$D$5),0,VLOOKUP($F58,'הספק נוסף נדרש'!$B$8:$AX$28,MATCH(AH$49,'הספק נוסף נדרש'!$B$6:$AX$6,0)+(ROUNDUP((AH$2-$F$2)/COUNTA($F$10:$F$16),0)-1)*COUNTA('הספק נוסף נדרש'!$C$6:$J$6),FALSE))</f>
        <v>5</v>
      </c>
      <c r="AI58" s="138">
        <f ca="1">IF(OR($F58&gt;MAX('הנחות עבודה'!$B$69:$B$89),$F58&gt;$D$5),0,VLOOKUP($F58,'הספק נוסף נדרש'!$B$8:$AX$28,MATCH(AI$49,'הספק נוסף נדרש'!$B$6:$AX$6,0)+(ROUNDUP((AI$2-$F$2)/COUNTA($F$10:$F$16),0)-1)*COUNTA('הספק נוסף נדרש'!$C$6:$J$6),FALSE))</f>
        <v>0</v>
      </c>
      <c r="AJ58" s="79">
        <f ca="1">IF(OR($F58&gt;MAX('הנחות עבודה'!$B$69:$B$89),$F58&gt;$D$5),0,VLOOKUP($F58,'הספק נוסף נדרש'!$B$8:$AX$28,MATCH(AJ$49,'הספק נוסף נדרש'!$B$6:$AX$6,0)+(ROUNDUP((AJ$2-$F$2)/COUNTA($F$10:$F$16),0)-1)*COUNTA('הספק נוסף נדרש'!$C$6:$J$6),FALSE))</f>
        <v>0</v>
      </c>
      <c r="AK58" s="74">
        <f ca="1">IF(OR($F58&gt;MAX('הנחות עבודה'!$B$69:$B$89),$F58&gt;$D$5),0,VLOOKUP($F58,'הספק נוסף נדרש'!$B$8:$AX$28,MATCH(AK$49,'הספק נוסף נדרש'!$B$6:$AX$6,0)+(ROUNDUP((AK$2-$F$2)/COUNTA($F$10:$F$16),0)-1)*COUNTA('הספק נוסף נדרש'!$C$6:$J$6),FALSE))</f>
        <v>0</v>
      </c>
      <c r="AL58" s="136">
        <f ca="1">IF(OR($F58&gt;MAX('הנחות עבודה'!$B$69:$B$89),$F58&gt;$D$5),0,VLOOKUP($F58,'הספק נוסף נדרש'!$B$8:$AX$28,MATCH(AL$49,'הספק נוסף נדרש'!$B$6:$AX$6,0)+(ROUNDUP((AL$2-$F$2)/COUNTA($F$10:$F$16),0)-1)*COUNTA('הספק נוסף נדרש'!$C$6:$J$6),FALSE))</f>
        <v>1491.9704656881022</v>
      </c>
      <c r="AM58" s="136">
        <f ca="1">IF(OR($F58&gt;MAX('הנחות עבודה'!$B$69:$B$89),$F58&gt;$D$5),0,VLOOKUP($F58,'הספק נוסף נדרש'!$B$8:$AX$28,MATCH(AM$49,'הספק נוסף נדרש'!$B$6:$AX$6,0)+(ROUNDUP((AM$2-$F$2)/COUNTA($F$10:$F$16),0)-1)*COUNTA('הספק נוסף נדרש'!$C$6:$J$6),FALSE))</f>
        <v>0</v>
      </c>
      <c r="AN58" s="136">
        <f ca="1">IF(OR($F58&gt;MAX('הנחות עבודה'!$B$69:$B$89),$F58&gt;$D$5),0,VLOOKUP($F58,'הספק נוסף נדרש'!$B$8:$AX$28,MATCH(AN$49,'הספק נוסף נדרש'!$B$6:$AX$6,0)+(ROUNDUP((AN$2-$F$2)/COUNTA($F$10:$F$16),0)-1)*COUNTA('הספק נוסף נדרש'!$C$6:$J$6),FALSE))</f>
        <v>5</v>
      </c>
      <c r="AO58" s="136">
        <f ca="1">IF(OR($F58&gt;MAX('הנחות עבודה'!$B$69:$B$89),$F58&gt;$D$5),0,VLOOKUP($F58,'הספק נוסף נדרש'!$B$8:$AX$28,MATCH(AO$49,'הספק נוסף נדרש'!$B$6:$AX$6,0)+(ROUNDUP((AO$2-$F$2)/COUNTA($F$10:$F$16),0)-1)*COUNTA('הספק נוסף נדרש'!$C$6:$J$6),FALSE))</f>
        <v>0</v>
      </c>
      <c r="AP58" s="136">
        <f ca="1">IF(OR($F58&gt;MAX('הנחות עבודה'!$B$69:$B$89),$F58&gt;$D$5),0,VLOOKUP($F58,'הספק נוסף נדרש'!$B$8:$AX$28,MATCH(AP$49,'הספק נוסף נדרש'!$B$6:$AX$6,0)+(ROUNDUP((AP$2-$F$2)/COUNTA($F$10:$F$16),0)-1)*COUNTA('הספק נוסף נדרש'!$C$6:$J$6),FALSE))</f>
        <v>0</v>
      </c>
      <c r="AQ58" s="9"/>
      <c r="AR58" s="10">
        <f t="shared" si="313"/>
        <v>2028</v>
      </c>
      <c r="AS58" s="79">
        <f ca="1">HLOOKUP(AS$49,$G$24:$L$45,COUNTA($F$25:$F33)+1,FALSE)*G58*$D$7/$D$8</f>
        <v>1631.5694484580292</v>
      </c>
      <c r="AT58" s="138">
        <f ca="1">HLOOKUP(AT$49,$G$24:$L$45,COUNTA($F$25:$F33)+1,FALSE)*H58*$D$7/$D$8</f>
        <v>0</v>
      </c>
      <c r="AU58" s="138">
        <f ca="1">HLOOKUP(AU$49,$G$24:$L$45,COUNTA($F$25:$F33)+1,FALSE)*I58*$D$7/$D$8</f>
        <v>0</v>
      </c>
      <c r="AV58" s="138">
        <f ca="1">HLOOKUP(AV$49,$G$24:$L$45,COUNTA($F$25:$F33)+1,FALSE)*J58*$D$7/$D$8</f>
        <v>19.239928286489093</v>
      </c>
      <c r="AW58" s="138">
        <f ca="1">HLOOKUP(AW$49,$G$24:$L$45,COUNTA($F$25:$F33)+1,FALSE)*K58*$D$7/$D$8</f>
        <v>0</v>
      </c>
      <c r="AX58" s="79">
        <f ca="1">HLOOKUP(AX$49,$G$24:$L$45,COUNTA($F$25:$F33)+1,FALSE)*L58*$D$7/$D$8</f>
        <v>0</v>
      </c>
      <c r="AY58" s="74">
        <f ca="1">HLOOKUP(AY$49,$G$24:$L$45,COUNTA($F$25:$F33)+1,FALSE)*M58*$D$7/$D$8</f>
        <v>0</v>
      </c>
      <c r="AZ58" s="136">
        <f ca="1">HLOOKUP(AZ$49,$G$24:$L$45,COUNTA($F$25:$F33)+1,FALSE)*N58*$D$7/$D$8</f>
        <v>1843.4500146090552</v>
      </c>
      <c r="BA58" s="136">
        <f ca="1">HLOOKUP(BA$49,$G$24:$L$45,COUNTA($F$25:$F33)+1,FALSE)*O58*$D$7/$D$8</f>
        <v>0</v>
      </c>
      <c r="BB58" s="136">
        <f ca="1">HLOOKUP(BB$49,$G$24:$L$45,COUNTA($F$25:$F33)+1,FALSE)*P58*$D$7/$D$8</f>
        <v>19.239928286489093</v>
      </c>
      <c r="BC58" s="136">
        <f ca="1">HLOOKUP(BC$49,$G$24:$L$45,COUNTA($F$25:$F33)+1,FALSE)*Q58*$D$7/$D$8</f>
        <v>0</v>
      </c>
      <c r="BD58" s="136">
        <f ca="1">HLOOKUP(BD$49,$G$24:$L$45,COUNTA($F$25:$F33)+1,FALSE)*R58*$D$7/$D$8</f>
        <v>0</v>
      </c>
      <c r="BE58" s="79">
        <f ca="1">HLOOKUP(BE$49,$G$24:$L$45,COUNTA($F$25:$F33)+1,FALSE)*S58*$D$7/$D$8</f>
        <v>2840.5625544144468</v>
      </c>
      <c r="BF58" s="138">
        <f ca="1">HLOOKUP(BF$49,$G$24:$L$45,COUNTA($F$25:$F33)+1,FALSE)*T58*$D$7/$D$8</f>
        <v>0</v>
      </c>
      <c r="BG58" s="138">
        <f ca="1">HLOOKUP(BG$49,$G$24:$L$45,COUNTA($F$25:$F33)+1,FALSE)*U58*$D$7/$D$8</f>
        <v>0</v>
      </c>
      <c r="BH58" s="138">
        <f ca="1">HLOOKUP(BH$49,$G$24:$L$45,COUNTA($F$25:$F33)+1,FALSE)*V58*$D$7/$D$8</f>
        <v>19.239928286489093</v>
      </c>
      <c r="BI58" s="138">
        <f ca="1">HLOOKUP(BI$49,$G$24:$L$45,COUNTA($F$25:$F33)+1,FALSE)*W58*$D$7/$D$8</f>
        <v>0</v>
      </c>
      <c r="BJ58" s="79">
        <f ca="1">HLOOKUP(BJ$49,$G$24:$L$45,COUNTA($F$25:$F33)+1,FALSE)*X58*$D$7/$D$8</f>
        <v>0</v>
      </c>
      <c r="BK58" s="74">
        <f ca="1">HLOOKUP(BK$49,$G$24:$L$45,COUNTA($F$25:$F33)+1,FALSE)*Y58*$D$7/$D$8</f>
        <v>0</v>
      </c>
      <c r="BL58" s="136">
        <f ca="1">HLOOKUP(BL$49,$G$24:$L$45,COUNTA($F$25:$F33)+1,FALSE)*Z58*$D$7/$D$8</f>
        <v>3209.4466388679448</v>
      </c>
      <c r="BM58" s="136">
        <f ca="1">HLOOKUP(BM$49,$G$24:$L$45,COUNTA($F$25:$F33)+1,FALSE)*AA58*$D$7/$D$8</f>
        <v>0</v>
      </c>
      <c r="BN58" s="136">
        <f ca="1">HLOOKUP(BN$49,$G$24:$L$45,COUNTA($F$25:$F33)+1,FALSE)*AB58*$D$7/$D$8</f>
        <v>19.239928286489093</v>
      </c>
      <c r="BO58" s="136">
        <f ca="1">HLOOKUP(BO$49,$G$24:$L$45,COUNTA($F$25:$F33)+1,FALSE)*AC58*$D$7/$D$8</f>
        <v>0</v>
      </c>
      <c r="BP58" s="136">
        <f ca="1">HLOOKUP(BP$49,$G$24:$L$45,COUNTA($F$25:$F33)+1,FALSE)*AD58*$D$7/$D$8</f>
        <v>0</v>
      </c>
      <c r="BQ58" s="79">
        <f ca="1">HLOOKUP(BQ$49,$G$24:$L$45,COUNTA($F$25:$F33)+1,FALSE)*AE58*$D$7/$D$8</f>
        <v>3674.4075470839348</v>
      </c>
      <c r="BR58" s="138">
        <f ca="1">HLOOKUP(BR$49,$G$24:$L$45,COUNTA($F$25:$F33)+1,FALSE)*AF58*$D$7/$D$8</f>
        <v>0</v>
      </c>
      <c r="BS58" s="138">
        <f ca="1">HLOOKUP(BS$49,$G$24:$L$45,COUNTA($F$25:$F33)+1,FALSE)*AG58*$D$7/$D$8</f>
        <v>0</v>
      </c>
      <c r="BT58" s="138">
        <f ca="1">HLOOKUP(BT$49,$G$24:$L$45,COUNTA($F$25:$F33)+1,FALSE)*AH58*$D$7/$D$8</f>
        <v>19.239928286489093</v>
      </c>
      <c r="BU58" s="138">
        <f ca="1">HLOOKUP(BU$49,$G$24:$L$45,COUNTA($F$25:$F33)+1,FALSE)*AI58*$D$7/$D$8</f>
        <v>0</v>
      </c>
      <c r="BV58" s="79">
        <f ca="1">HLOOKUP(BV$49,$G$24:$L$45,COUNTA($F$25:$F33)+1,FALSE)*AJ58*$D$7/$D$8</f>
        <v>0</v>
      </c>
      <c r="BW58" s="74">
        <f ca="1">HLOOKUP(BW$49,$G$24:$L$45,COUNTA($F$25:$F33)+1,FALSE)*AK58*$D$7/$D$8</f>
        <v>0</v>
      </c>
      <c r="BX58" s="136">
        <f ca="1">HLOOKUP(BX$49,$G$24:$L$45,COUNTA($F$25:$F33)+1,FALSE)*AL58*$D$7/$D$8</f>
        <v>4151.5772759493093</v>
      </c>
      <c r="BY58" s="136">
        <f ca="1">HLOOKUP(BY$49,$G$24:$L$45,COUNTA($F$25:$F33)+1,FALSE)*AM58*$D$7/$D$8</f>
        <v>0</v>
      </c>
      <c r="BZ58" s="136">
        <f ca="1">HLOOKUP(BZ$49,$G$24:$L$45,COUNTA($F$25:$F33)+1,FALSE)*AN58*$D$7/$D$8</f>
        <v>19.239928286489093</v>
      </c>
      <c r="CA58" s="136">
        <f ca="1">HLOOKUP(CA$49,$G$24:$L$45,COUNTA($F$25:$F33)+1,FALSE)*AO58*$D$7/$D$8</f>
        <v>0</v>
      </c>
      <c r="CB58" s="739">
        <f ca="1">HLOOKUP(CB$49,$G$24:$L$45,COUNTA($F$25:$F33)+1,FALSE)*AP58*$D$7/$D$8</f>
        <v>0</v>
      </c>
      <c r="CD58" s="10">
        <f t="shared" si="314"/>
        <v>2028</v>
      </c>
      <c r="CE58" s="85">
        <f t="shared" ca="1" si="240"/>
        <v>853.25416217807651</v>
      </c>
      <c r="CF58" s="147">
        <f t="shared" ca="1" si="241"/>
        <v>0</v>
      </c>
      <c r="CG58" s="147">
        <f t="shared" ca="1" si="242"/>
        <v>216.27952515046442</v>
      </c>
      <c r="CH58" s="147">
        <f t="shared" ca="1" si="243"/>
        <v>17.284652157377472</v>
      </c>
      <c r="CI58" s="147">
        <f t="shared" ca="1" si="244"/>
        <v>0</v>
      </c>
      <c r="CJ58" s="85">
        <f t="shared" ca="1" si="245"/>
        <v>0</v>
      </c>
      <c r="CK58" s="151">
        <f t="shared" ca="1" si="246"/>
        <v>0</v>
      </c>
      <c r="CL58" s="102">
        <f t="shared" ca="1" si="247"/>
        <v>1054.4487988528497</v>
      </c>
      <c r="CM58" s="102">
        <f t="shared" ca="1" si="248"/>
        <v>216.27952515046442</v>
      </c>
      <c r="CN58" s="102">
        <f t="shared" ca="1" si="249"/>
        <v>17.284652157377472</v>
      </c>
      <c r="CO58" s="102">
        <f t="shared" ca="1" si="250"/>
        <v>0</v>
      </c>
      <c r="CP58" s="151">
        <f t="shared" ca="1" si="251"/>
        <v>0</v>
      </c>
      <c r="CQ58" s="85">
        <f t="shared" ca="1" si="252"/>
        <v>1496.2114688232432</v>
      </c>
      <c r="CR58" s="147">
        <f t="shared" ca="1" si="253"/>
        <v>0</v>
      </c>
      <c r="CS58" s="147">
        <f t="shared" ca="1" si="254"/>
        <v>216.27952515046442</v>
      </c>
      <c r="CT58" s="147">
        <f t="shared" ca="1" si="255"/>
        <v>17.284652157377472</v>
      </c>
      <c r="CU58" s="147">
        <f t="shared" ca="1" si="256"/>
        <v>0</v>
      </c>
      <c r="CV58" s="85">
        <f t="shared" ca="1" si="257"/>
        <v>0</v>
      </c>
      <c r="CW58" s="151">
        <f t="shared" ca="1" si="258"/>
        <v>0</v>
      </c>
      <c r="CX58" s="102">
        <f t="shared" ca="1" si="259"/>
        <v>1853.0655247730874</v>
      </c>
      <c r="CY58" s="102">
        <f t="shared" ca="1" si="260"/>
        <v>216.27952515046442</v>
      </c>
      <c r="CZ58" s="102">
        <f t="shared" ca="1" si="261"/>
        <v>17.284652157377472</v>
      </c>
      <c r="DA58" s="102">
        <f t="shared" ca="1" si="262"/>
        <v>0</v>
      </c>
      <c r="DB58" s="151">
        <f t="shared" ca="1" si="263"/>
        <v>0</v>
      </c>
      <c r="DC58" s="85">
        <f t="shared" ca="1" si="264"/>
        <v>1882.7772819638226</v>
      </c>
      <c r="DD58" s="147">
        <f t="shared" ca="1" si="265"/>
        <v>0</v>
      </c>
      <c r="DE58" s="147">
        <f t="shared" ca="1" si="266"/>
        <v>216.27952515046442</v>
      </c>
      <c r="DF58" s="147">
        <f t="shared" ca="1" si="267"/>
        <v>17.284652157377472</v>
      </c>
      <c r="DG58" s="147">
        <f t="shared" ca="1" si="268"/>
        <v>0</v>
      </c>
      <c r="DH58" s="85">
        <f t="shared" ca="1" si="269"/>
        <v>0</v>
      </c>
      <c r="DI58" s="151">
        <f t="shared" ca="1" si="270"/>
        <v>0</v>
      </c>
      <c r="DJ58" s="102">
        <f t="shared" ca="1" si="271"/>
        <v>2333.433186016221</v>
      </c>
      <c r="DK58" s="102">
        <f t="shared" ca="1" si="272"/>
        <v>216.27952515046442</v>
      </c>
      <c r="DL58" s="102">
        <f t="shared" ca="1" si="273"/>
        <v>17.284652157377472</v>
      </c>
      <c r="DM58" s="102">
        <f t="shared" ca="1" si="274"/>
        <v>0</v>
      </c>
      <c r="DN58" s="564">
        <f t="shared" ca="1" si="275"/>
        <v>0</v>
      </c>
      <c r="DP58" s="10">
        <f t="shared" si="315"/>
        <v>2028</v>
      </c>
      <c r="DQ58" s="85">
        <f t="shared" ca="1" si="276"/>
        <v>263.06873888033118</v>
      </c>
      <c r="DR58" s="147">
        <f t="shared" ca="1" si="277"/>
        <v>0</v>
      </c>
      <c r="DS58" s="147">
        <f t="shared" ca="1" si="278"/>
        <v>61.350712925538716</v>
      </c>
      <c r="DT58" s="147">
        <f t="shared" ca="1" si="279"/>
        <v>5.6166145636056575</v>
      </c>
      <c r="DU58" s="147">
        <f t="shared" ca="1" si="280"/>
        <v>0</v>
      </c>
      <c r="DV58" s="85">
        <f t="shared" ca="1" si="281"/>
        <v>0</v>
      </c>
      <c r="DW58" s="151">
        <f t="shared" ca="1" si="282"/>
        <v>0</v>
      </c>
      <c r="DX58" s="102">
        <f t="shared" ca="1" si="283"/>
        <v>299.3590930112037</v>
      </c>
      <c r="DY58" s="102">
        <f t="shared" ca="1" si="284"/>
        <v>61.350712925538716</v>
      </c>
      <c r="DZ58" s="102">
        <f t="shared" ca="1" si="285"/>
        <v>5.6166145636056575</v>
      </c>
      <c r="EA58" s="102">
        <f t="shared" ca="1" si="286"/>
        <v>0</v>
      </c>
      <c r="EB58" s="151">
        <f t="shared" ca="1" si="287"/>
        <v>0</v>
      </c>
      <c r="EC58" s="85">
        <f t="shared" ca="1" si="288"/>
        <v>472.06501755856192</v>
      </c>
      <c r="ED58" s="147">
        <f t="shared" ca="1" si="289"/>
        <v>0</v>
      </c>
      <c r="EE58" s="147">
        <f t="shared" ca="1" si="290"/>
        <v>61.350712925538716</v>
      </c>
      <c r="EF58" s="147">
        <f t="shared" ca="1" si="291"/>
        <v>5.6166145636056575</v>
      </c>
      <c r="EG58" s="147">
        <f t="shared" ca="1" si="292"/>
        <v>0</v>
      </c>
      <c r="EH58" s="85">
        <f t="shared" ca="1" si="293"/>
        <v>0</v>
      </c>
      <c r="EI58" s="151">
        <f t="shared" ca="1" si="294"/>
        <v>0</v>
      </c>
      <c r="EJ58" s="102">
        <f t="shared" ca="1" si="295"/>
        <v>537.18642549517642</v>
      </c>
      <c r="EK58" s="102">
        <f t="shared" ca="1" si="296"/>
        <v>61.350712925538716</v>
      </c>
      <c r="EL58" s="102">
        <f t="shared" ca="1" si="297"/>
        <v>5.6166145636056575</v>
      </c>
      <c r="EM58" s="102">
        <f t="shared" ca="1" si="298"/>
        <v>0</v>
      </c>
      <c r="EN58" s="151">
        <f t="shared" ca="1" si="299"/>
        <v>0</v>
      </c>
      <c r="EO58" s="85">
        <f t="shared" ca="1" si="300"/>
        <v>598.57581927567105</v>
      </c>
      <c r="EP58" s="145">
        <f t="shared" ca="1" si="301"/>
        <v>0</v>
      </c>
      <c r="EQ58" s="145">
        <f t="shared" ca="1" si="302"/>
        <v>61.350712925538716</v>
      </c>
      <c r="ER58" s="145">
        <f t="shared" ca="1" si="303"/>
        <v>5.6166145636056575</v>
      </c>
      <c r="ES58" s="145">
        <f t="shared" ca="1" si="304"/>
        <v>0</v>
      </c>
      <c r="ET58" s="85">
        <f t="shared" ca="1" si="305"/>
        <v>0</v>
      </c>
      <c r="EU58" s="102">
        <f t="shared" ca="1" si="306"/>
        <v>0</v>
      </c>
      <c r="EV58" s="102">
        <f t="shared" ca="1" si="307"/>
        <v>681.14940269780732</v>
      </c>
      <c r="EW58" s="102">
        <f t="shared" ca="1" si="308"/>
        <v>61.350712925538716</v>
      </c>
      <c r="EX58" s="102">
        <f t="shared" ca="1" si="309"/>
        <v>5.6166145636056575</v>
      </c>
      <c r="EY58" s="102">
        <f t="shared" ca="1" si="310"/>
        <v>0</v>
      </c>
      <c r="EZ58" s="564">
        <f t="shared" ca="1" si="311"/>
        <v>0</v>
      </c>
      <c r="FB58" s="10">
        <f t="shared" si="316"/>
        <v>2028</v>
      </c>
      <c r="FC58" s="85">
        <f ca="1">HLOOKUP(FC$49,$O$24:$T$45,COUNTA($N$25:$N33)+1,FALSE)*G58*$D$7/$D$8</f>
        <v>36.776525994172239</v>
      </c>
      <c r="FD58" s="147">
        <f ca="1">HLOOKUP(FD$49,$O$24:$T$45,COUNTA($N$25:$N33)+1,FALSE)*H58*$D$7/$D$8</f>
        <v>0</v>
      </c>
      <c r="FE58" s="147">
        <f ca="1">HLOOKUP(FE$49,$O$24:$T$45,COUNTA($N$25:$N33)+1,FALSE)*I58*$D$7/$D$8</f>
        <v>0</v>
      </c>
      <c r="FF58" s="147">
        <f ca="1">HLOOKUP(FF$49,$O$24:$T$45,COUNTA($N$25:$N33)+1,FALSE)*J58*$D$7/$D$8</f>
        <v>0.43204727412351213</v>
      </c>
      <c r="FG58" s="147">
        <f ca="1">HLOOKUP(FG$49,$O$24:$T$45,COUNTA($N$25:$N33)+1,FALSE)*K58*$D$7/$D$8</f>
        <v>0</v>
      </c>
      <c r="FH58" s="85">
        <f ca="1">HLOOKUP(FH$49,$O$24:$T$45,COUNTA($N$25:$N33)+1,FALSE)*L58*$D$7/$D$8</f>
        <v>0</v>
      </c>
      <c r="FI58" s="151">
        <f ca="1">HLOOKUP(FI$49,$O$24:$T$45,COUNTA($N$25:$N33)+1,FALSE)*M58*$D$7/$D$8</f>
        <v>0</v>
      </c>
      <c r="FJ58" s="153">
        <f ca="1">HLOOKUP(FJ$49,$O$24:$T$45,COUNTA($N$25:$N33)+1,FALSE)*N58*$D$7/$D$8</f>
        <v>41.849850775034419</v>
      </c>
      <c r="FK58" s="153">
        <f ca="1">HLOOKUP(FK$49,$O$24:$T$45,COUNTA($N$25:$N33)+1,FALSE)*O58*$D$7/$D$8</f>
        <v>0</v>
      </c>
      <c r="FL58" s="153">
        <f ca="1">HLOOKUP(FL$49,$O$24:$T$45,COUNTA($N$25:$N33)+1,FALSE)*P58*$D$7/$D$8</f>
        <v>0.43204727412351213</v>
      </c>
      <c r="FM58" s="153">
        <f ca="1">HLOOKUP(FM$49,$O$24:$T$45,COUNTA($N$25:$N33)+1,FALSE)*Q58*$D$7/$D$8</f>
        <v>0</v>
      </c>
      <c r="FN58" s="151">
        <f ca="1">HLOOKUP(FN$49,$O$24:$T$45,COUNTA($N$25:$N33)+1,FALSE)*R58*$D$7/$D$8</f>
        <v>0</v>
      </c>
      <c r="FO58" s="85">
        <f ca="1">HLOOKUP(FO$49,$O$24:$T$45,COUNTA($N$25:$N33)+1,FALSE)*S58*$D$7/$D$8</f>
        <v>64.027935016327021</v>
      </c>
      <c r="FP58" s="147">
        <f ca="1">HLOOKUP(FP$49,$O$24:$T$45,COUNTA($N$25:$N33)+1,FALSE)*T58*$D$7/$D$8</f>
        <v>0</v>
      </c>
      <c r="FQ58" s="147">
        <f ca="1">HLOOKUP(FQ$49,$O$24:$T$45,COUNTA($N$25:$N33)+1,FALSE)*U58*$D$7/$D$8</f>
        <v>0</v>
      </c>
      <c r="FR58" s="147">
        <f ca="1">HLOOKUP(FR$49,$O$24:$T$45,COUNTA($N$25:$N33)+1,FALSE)*V58*$D$7/$D$8</f>
        <v>0.43204727412351213</v>
      </c>
      <c r="FS58" s="147">
        <f ca="1">HLOOKUP(FS$49,$O$24:$T$45,COUNTA($N$25:$N33)+1,FALSE)*W58*$D$7/$D$8</f>
        <v>0</v>
      </c>
      <c r="FT58" s="85">
        <f ca="1">HLOOKUP(FT$49,$O$24:$T$45,COUNTA($N$25:$N33)+1,FALSE)*X58*$D$7/$D$8</f>
        <v>0</v>
      </c>
      <c r="FU58" s="151">
        <f ca="1">HLOOKUP(FU$49,$O$24:$T$45,COUNTA($N$25:$N33)+1,FALSE)*Y58*$D$7/$D$8</f>
        <v>0</v>
      </c>
      <c r="FV58" s="153">
        <f ca="1">HLOOKUP(FV$49,$O$24:$T$45,COUNTA($N$25:$N33)+1,FALSE)*Z58*$D$7/$D$8</f>
        <v>72.860593909590619</v>
      </c>
      <c r="FW58" s="153">
        <f ca="1">HLOOKUP(FW$49,$O$24:$T$45,COUNTA($N$25:$N33)+1,FALSE)*AA58*$D$7/$D$8</f>
        <v>0</v>
      </c>
      <c r="FX58" s="153">
        <f ca="1">HLOOKUP(FX$49,$O$24:$T$45,COUNTA($N$25:$N33)+1,FALSE)*AB58*$D$7/$D$8</f>
        <v>0.43204727412351213</v>
      </c>
      <c r="FY58" s="153">
        <f ca="1">HLOOKUP(FY$49,$O$24:$T$45,COUNTA($N$25:$N33)+1,FALSE)*AC58*$D$7/$D$8</f>
        <v>0</v>
      </c>
      <c r="FZ58" s="151">
        <f ca="1">HLOOKUP(FZ$49,$O$24:$T$45,COUNTA($N$25:$N33)+1,FALSE)*AD58*$D$7/$D$8</f>
        <v>0</v>
      </c>
      <c r="GA58" s="85">
        <f ca="1">HLOOKUP(GA$49,$O$24:$T$45,COUNTA($N$25:$N33)+1,FALSE)*AE58*$D$7/$D$8</f>
        <v>82.823286986788133</v>
      </c>
      <c r="GB58" s="147">
        <f ca="1">HLOOKUP(GB$49,$O$24:$T$45,COUNTA($N$25:$N33)+1,FALSE)*AF58*$D$7/$D$8</f>
        <v>0</v>
      </c>
      <c r="GC58" s="147">
        <f ca="1">HLOOKUP(GC$49,$O$24:$T$45,COUNTA($N$25:$N33)+1,FALSE)*AG58*$D$7/$D$8</f>
        <v>0</v>
      </c>
      <c r="GD58" s="147">
        <f ca="1">HLOOKUP(GD$49,$O$24:$T$45,COUNTA($N$25:$N33)+1,FALSE)*AH58*$D$7/$D$8</f>
        <v>0.43204727412351213</v>
      </c>
      <c r="GE58" s="147">
        <f ca="1">HLOOKUP(GE$49,$O$24:$T$45,COUNTA($N$25:$N33)+1,FALSE)*AI58*$D$7/$D$8</f>
        <v>0</v>
      </c>
      <c r="GF58" s="85">
        <f ca="1">HLOOKUP(GF$49,$O$24:$T$45,COUNTA($N$25:$N33)+1,FALSE)*AJ58*$D$7/$D$8</f>
        <v>0</v>
      </c>
      <c r="GG58" s="151">
        <f ca="1">HLOOKUP(GG$49,$O$24:$T$45,COUNTA($N$25:$N33)+1,FALSE)*AK58*$D$7/$D$8</f>
        <v>0</v>
      </c>
      <c r="GH58" s="153">
        <f ca="1">HLOOKUP(GH$49,$O$24:$T$45,COUNTA($N$25:$N33)+1,FALSE)*AL58*$D$7/$D$8</f>
        <v>94.248766227788707</v>
      </c>
      <c r="GI58" s="153">
        <f ca="1">HLOOKUP(GI$49,$O$24:$T$45,COUNTA($N$25:$N33)+1,FALSE)*AM58*$D$7/$D$8</f>
        <v>0</v>
      </c>
      <c r="GJ58" s="153">
        <f ca="1">HLOOKUP(GJ$49,$O$24:$T$45,COUNTA($N$25:$N33)+1,FALSE)*AN58*$D$7/$D$8</f>
        <v>0.43204727412351213</v>
      </c>
      <c r="GK58" s="153">
        <f ca="1">HLOOKUP(GK$49,$O$24:$T$45,COUNTA($N$25:$N33)+1,FALSE)*AO58*$D$7/$D$8</f>
        <v>0</v>
      </c>
      <c r="GL58" s="564">
        <f ca="1">HLOOKUP(GL$49,$O$24:$T$45,COUNTA($N$25:$N33)+1,FALSE)*AP58*$D$7/$D$8</f>
        <v>0</v>
      </c>
    </row>
    <row r="59" spans="6:194">
      <c r="F59" s="10">
        <f t="shared" si="317"/>
        <v>2029</v>
      </c>
      <c r="G59" s="79">
        <f ca="1">IF(OR($F59&gt;MAX('הנחות עבודה'!$B$69:$B$89),$F59&gt;$D$5),0,VLOOKUP($F59,'הספק נוסף נדרש'!$B$8:$AX$28,MATCH(G$49,'הספק נוסף נדרש'!$B$6:$AX$6,0)+(ROUNDUP((G$2-$F$2)/COUNTA($F$10:$F$16),0)-1)*COUNTA('הספק נוסף נדרש'!$C$6:$J$6),FALSE))</f>
        <v>743.82022164536647</v>
      </c>
      <c r="H59" s="138">
        <f ca="1">IF(OR($F59&gt;MAX('הנחות עבודה'!$B$69:$B$89),$F59&gt;$D$5),0,VLOOKUP($F59,'הספק נוסף נדרש'!$B$8:$AX$28,MATCH(H$49,'הספק נוסף נדרש'!$B$6:$AX$6,0)+(ROUNDUP((H$2-$F$2)/COUNTA($F$10:$F$16),0)-1)*COUNTA('הספק נוסף נדרש'!$C$6:$J$6),FALSE))</f>
        <v>0</v>
      </c>
      <c r="I59" s="138">
        <f ca="1">IF(OR($F59&gt;MAX('הנחות עבודה'!$B$69:$B$89),$F59&gt;$D$5),0,VLOOKUP($F59,'הספק נוסף נדרש'!$B$8:$AX$28,MATCH(I$49,'הספק נוסף נדרש'!$B$6:$AX$6,0)+(ROUNDUP((I$2-$F$2)/COUNTA($F$10:$F$16),0)-1)*COUNTA('הספק נוסף נדרש'!$C$6:$J$6),FALSE))</f>
        <v>0</v>
      </c>
      <c r="J59" s="138">
        <f ca="1">IF(OR($F59&gt;MAX('הנחות עבודה'!$B$69:$B$89),$F59&gt;$D$5),0,VLOOKUP($F59,'הספק נוסף נדרש'!$B$8:$AX$28,MATCH(J$49,'הספק נוסף נדרש'!$B$6:$AX$6,0)+(ROUNDUP((J$2-$F$2)/COUNTA($F$10:$F$16),0)-1)*COUNTA('הספק נוסף נדרש'!$C$6:$J$6),FALSE))</f>
        <v>5</v>
      </c>
      <c r="K59" s="138">
        <f ca="1">IF(OR($F59&gt;MAX('הנחות עבודה'!$B$69:$B$89),$F59&gt;$D$5),0,VLOOKUP($F59,'הספק נוסף נדרש'!$B$8:$AX$28,MATCH(K$49,'הספק נוסף נדרש'!$B$6:$AX$6,0)+(ROUNDUP((K$2-$F$2)/COUNTA($F$10:$F$16),0)-1)*COUNTA('הספק נוסף נדרש'!$C$6:$J$6),FALSE))</f>
        <v>0</v>
      </c>
      <c r="L59" s="79">
        <f ca="1">IF(OR($F59&gt;MAX('הנחות עבודה'!$B$69:$B$89),$F59&gt;$D$5),0,VLOOKUP($F59,'הספק נוסף נדרש'!$B$8:$AX$28,MATCH(L$49,'הספק נוסף נדרש'!$B$6:$AX$6,0)+(ROUNDUP((L$2-$F$2)/COUNTA($F$10:$F$16),0)-1)*COUNTA('הספק נוסף נדרש'!$C$6:$J$6),FALSE))</f>
        <v>0</v>
      </c>
      <c r="M59" s="74">
        <f ca="1">IF(OR($F59&gt;MAX('הנחות עבודה'!$B$69:$B$89),$F59&gt;$D$5),0,VLOOKUP($F59,'הספק נוסף נדרש'!$B$8:$AX$28,MATCH(M$49,'הספק נוסף נדרש'!$B$6:$AX$6,0)+(ROUNDUP((M$2-$F$2)/COUNTA($F$10:$F$16),0)-1)*COUNTA('הספק נוסף נדרש'!$C$6:$J$6),FALSE))</f>
        <v>0</v>
      </c>
      <c r="N59" s="136">
        <f ca="1">IF(OR($F59&gt;MAX('הנחות עבודה'!$B$69:$B$89),$F59&gt;$D$5),0,VLOOKUP($F59,'הספק נוסף נדרש'!$B$8:$AX$28,MATCH(N$49,'הספק נוסף נדרש'!$B$6:$AX$6,0)+(ROUNDUP((N$2-$F$2)/COUNTA($F$10:$F$16),0)-1)*COUNTA('הספק נוסף נדרש'!$C$6:$J$6),FALSE))</f>
        <v>743.82022164536647</v>
      </c>
      <c r="O59" s="136">
        <f ca="1">IF(OR($F59&gt;MAX('הנחות עבודה'!$B$69:$B$89),$F59&gt;$D$5),0,VLOOKUP($F59,'הספק נוסף נדרש'!$B$8:$AX$28,MATCH(O$49,'הספק נוסף נדרש'!$B$6:$AX$6,0)+(ROUNDUP((O$2-$F$2)/COUNTA($F$10:$F$16),0)-1)*COUNTA('הספק נוסף נדרש'!$C$6:$J$6),FALSE))</f>
        <v>0</v>
      </c>
      <c r="P59" s="136">
        <f ca="1">IF(OR($F59&gt;MAX('הנחות עבודה'!$B$69:$B$89),$F59&gt;$D$5),0,VLOOKUP($F59,'הספק נוסף נדרש'!$B$8:$AX$28,MATCH(P$49,'הספק נוסף נדרש'!$B$6:$AX$6,0)+(ROUNDUP((P$2-$F$2)/COUNTA($F$10:$F$16),0)-1)*COUNTA('הספק נוסף נדרש'!$C$6:$J$6),FALSE))</f>
        <v>5</v>
      </c>
      <c r="Q59" s="136">
        <f ca="1">IF(OR($F59&gt;MAX('הנחות עבודה'!$B$69:$B$89),$F59&gt;$D$5),0,VLOOKUP($F59,'הספק נוסף נדרש'!$B$8:$AX$28,MATCH(Q$49,'הספק נוסף נדרש'!$B$6:$AX$6,0)+(ROUNDUP((Q$2-$F$2)/COUNTA($F$10:$F$16),0)-1)*COUNTA('הספק נוסף נדרש'!$C$6:$J$6),FALSE))</f>
        <v>0</v>
      </c>
      <c r="R59" s="136">
        <f ca="1">IF(OR($F59&gt;MAX('הנחות עבודה'!$B$69:$B$89),$F59&gt;$D$5),0,VLOOKUP($F59,'הספק נוסף נדרש'!$B$8:$AX$28,MATCH(R$49,'הספק נוסף נדרש'!$B$6:$AX$6,0)+(ROUNDUP((R$2-$F$2)/COUNTA($F$10:$F$16),0)-1)*COUNTA('הספק נוסף נדרש'!$C$6:$J$6),FALSE))</f>
        <v>0</v>
      </c>
      <c r="S59" s="79">
        <f ca="1">IF(OR($F59&gt;MAX('הנחות עבודה'!$B$69:$B$89),$F59&gt;$D$5),0,VLOOKUP($F59,'הספק נוסף נדרש'!$B$8:$AX$28,MATCH(S$49,'הספק נוסף נדרש'!$B$6:$AX$6,0)+(ROUNDUP((S$2-$F$2)/COUNTA($F$10:$F$16),0)-1)*COUNTA('הספק נוסף נדרש'!$C$6:$J$6),FALSE))</f>
        <v>1281.7580523680226</v>
      </c>
      <c r="T59" s="138">
        <f ca="1">IF(OR($F59&gt;MAX('הנחות עבודה'!$B$69:$B$89),$F59&gt;$D$5),0,VLOOKUP($F59,'הספק נוסף נדרש'!$B$8:$AX$28,MATCH(T$49,'הספק נוסף נדרש'!$B$6:$AX$6,0)+(ROUNDUP((T$2-$F$2)/COUNTA($F$10:$F$16),0)-1)*COUNTA('הספק נוסף נדרש'!$C$6:$J$6),FALSE))</f>
        <v>0</v>
      </c>
      <c r="U59" s="138">
        <f ca="1">IF(OR($F59&gt;MAX('הנחות עבודה'!$B$69:$B$89),$F59&gt;$D$5),0,VLOOKUP($F59,'הספק נוסף נדרש'!$B$8:$AX$28,MATCH(U$49,'הספק נוסף נדרש'!$B$6:$AX$6,0)+(ROUNDUP((U$2-$F$2)/COUNTA($F$10:$F$16),0)-1)*COUNTA('הספק נוסף נדרש'!$C$6:$J$6),FALSE))</f>
        <v>0</v>
      </c>
      <c r="V59" s="138">
        <f ca="1">IF(OR($F59&gt;MAX('הנחות עבודה'!$B$69:$B$89),$F59&gt;$D$5),0,VLOOKUP($F59,'הספק נוסף נדרש'!$B$8:$AX$28,MATCH(V$49,'הספק נוסף נדרש'!$B$6:$AX$6,0)+(ROUNDUP((V$2-$F$2)/COUNTA($F$10:$F$16),0)-1)*COUNTA('הספק נוסף נדרש'!$C$6:$J$6),FALSE))</f>
        <v>5</v>
      </c>
      <c r="W59" s="138">
        <f ca="1">IF(OR($F59&gt;MAX('הנחות עבודה'!$B$69:$B$89),$F59&gt;$D$5),0,VLOOKUP($F59,'הספק נוסף נדרש'!$B$8:$AX$28,MATCH(W$49,'הספק נוסף נדרש'!$B$6:$AX$6,0)+(ROUNDUP((W$2-$F$2)/COUNTA($F$10:$F$16),0)-1)*COUNTA('הספק נוסף נדרש'!$C$6:$J$6),FALSE))</f>
        <v>0</v>
      </c>
      <c r="X59" s="79">
        <f ca="1">IF(OR($F59&gt;MAX('הנחות עבודה'!$B$69:$B$89),$F59&gt;$D$5),0,VLOOKUP($F59,'הספק נוסף נדרש'!$B$8:$AX$28,MATCH(X$49,'הספק נוסף נדרש'!$B$6:$AX$6,0)+(ROUNDUP((X$2-$F$2)/COUNTA($F$10:$F$16),0)-1)*COUNTA('הספק נוסף נדרש'!$C$6:$J$6),FALSE))</f>
        <v>0</v>
      </c>
      <c r="Y59" s="74">
        <f ca="1">IF(OR($F59&gt;MAX('הנחות עבודה'!$B$69:$B$89),$F59&gt;$D$5),0,VLOOKUP($F59,'הספק נוסף נדרש'!$B$8:$AX$28,MATCH(Y$49,'הספק נוסף נדרש'!$B$6:$AX$6,0)+(ROUNDUP((Y$2-$F$2)/COUNTA($F$10:$F$16),0)-1)*COUNTA('הספק נוסף נדרש'!$C$6:$J$6),FALSE))</f>
        <v>0</v>
      </c>
      <c r="Z59" s="136">
        <f ca="1">IF(OR($F59&gt;MAX('הנחות עבודה'!$B$69:$B$89),$F59&gt;$D$5),0,VLOOKUP($F59,'הספק נוסף נדרש'!$B$8:$AX$28,MATCH(Z$49,'הספק נוסף נדרש'!$B$6:$AX$6,0)+(ROUNDUP((Z$2-$F$2)/COUNTA($F$10:$F$16),0)-1)*COUNTA('הספק נוסף נדרש'!$C$6:$J$6),FALSE))</f>
        <v>1281.7580523680226</v>
      </c>
      <c r="AA59" s="136">
        <f ca="1">IF(OR($F59&gt;MAX('הנחות עבודה'!$B$69:$B$89),$F59&gt;$D$5),0,VLOOKUP($F59,'הספק נוסף נדרש'!$B$8:$AX$28,MATCH(AA$49,'הספק נוסף נדרש'!$B$6:$AX$6,0)+(ROUNDUP((AA$2-$F$2)/COUNTA($F$10:$F$16),0)-1)*COUNTA('הספק נוסף נדרש'!$C$6:$J$6),FALSE))</f>
        <v>0</v>
      </c>
      <c r="AB59" s="136">
        <f ca="1">IF(OR($F59&gt;MAX('הנחות עבודה'!$B$69:$B$89),$F59&gt;$D$5),0,VLOOKUP($F59,'הספק נוסף נדרש'!$B$8:$AX$28,MATCH(AB$49,'הספק נוסף נדרש'!$B$6:$AX$6,0)+(ROUNDUP((AB$2-$F$2)/COUNTA($F$10:$F$16),0)-1)*COUNTA('הספק נוסף נדרש'!$C$6:$J$6),FALSE))</f>
        <v>5</v>
      </c>
      <c r="AC59" s="136">
        <f ca="1">IF(OR($F59&gt;MAX('הנחות עבודה'!$B$69:$B$89),$F59&gt;$D$5),0,VLOOKUP($F59,'הספק נוסף נדרש'!$B$8:$AX$28,MATCH(AC$49,'הספק נוסף נדרש'!$B$6:$AX$6,0)+(ROUNDUP((AC$2-$F$2)/COUNTA($F$10:$F$16),0)-1)*COUNTA('הספק נוסף נדרש'!$C$6:$J$6),FALSE))</f>
        <v>0</v>
      </c>
      <c r="AD59" s="136">
        <f ca="1">IF(OR($F59&gt;MAX('הנחות עבודה'!$B$69:$B$89),$F59&gt;$D$5),0,VLOOKUP($F59,'הספק נוסף נדרש'!$B$8:$AX$28,MATCH(AD$49,'הספק נוסף נדרש'!$B$6:$AX$6,0)+(ROUNDUP((AD$2-$F$2)/COUNTA($F$10:$F$16),0)-1)*COUNTA('הספק נוסף נדרש'!$C$6:$J$6),FALSE))</f>
        <v>0</v>
      </c>
      <c r="AE59" s="79">
        <f ca="1">IF(OR($F59&gt;MAX('הנחות עבודה'!$B$69:$B$89),$F59&gt;$D$5),0,VLOOKUP($F59,'הספק נוסף נדרש'!$B$8:$AX$28,MATCH(AE$49,'הספק נוסף נדרש'!$B$6:$AX$6,0)+(ROUNDUP((AE$2-$F$2)/COUNTA($F$10:$F$16),0)-1)*COUNTA('הספק נוסף נדרש'!$C$6:$J$6),FALSE))</f>
        <v>1651.413781948213</v>
      </c>
      <c r="AF59" s="138">
        <f ca="1">IF(OR($F59&gt;MAX('הנחות עבודה'!$B$69:$B$89),$F59&gt;$D$5),0,VLOOKUP($F59,'הספק נוסף נדרש'!$B$8:$AX$28,MATCH(AF$49,'הספק נוסף נדרש'!$B$6:$AX$6,0)+(ROUNDUP((AF$2-$F$2)/COUNTA($F$10:$F$16),0)-1)*COUNTA('הספק נוסף נדרש'!$C$6:$J$6),FALSE))</f>
        <v>0</v>
      </c>
      <c r="AG59" s="138">
        <f ca="1">IF(OR($F59&gt;MAX('הנחות עבודה'!$B$69:$B$89),$F59&gt;$D$5),0,VLOOKUP($F59,'הספק נוסף נדרש'!$B$8:$AX$28,MATCH(AG$49,'הספק נוסף נדרש'!$B$6:$AX$6,0)+(ROUNDUP((AG$2-$F$2)/COUNTA($F$10:$F$16),0)-1)*COUNTA('הספק נוסף נדרש'!$C$6:$J$6),FALSE))</f>
        <v>0</v>
      </c>
      <c r="AH59" s="138">
        <f ca="1">IF(OR($F59&gt;MAX('הנחות עבודה'!$B$69:$B$89),$F59&gt;$D$5),0,VLOOKUP($F59,'הספק נוסף נדרש'!$B$8:$AX$28,MATCH(AH$49,'הספק נוסף נדרש'!$B$6:$AX$6,0)+(ROUNDUP((AH$2-$F$2)/COUNTA($F$10:$F$16),0)-1)*COUNTA('הספק נוסף נדרש'!$C$6:$J$6),FALSE))</f>
        <v>5</v>
      </c>
      <c r="AI59" s="138">
        <f ca="1">IF(OR($F59&gt;MAX('הנחות עבודה'!$B$69:$B$89),$F59&gt;$D$5),0,VLOOKUP($F59,'הספק נוסף נדרש'!$B$8:$AX$28,MATCH(AI$49,'הספק נוסף נדרש'!$B$6:$AX$6,0)+(ROUNDUP((AI$2-$F$2)/COUNTA($F$10:$F$16),0)-1)*COUNTA('הספק נוסף נדרש'!$C$6:$J$6),FALSE))</f>
        <v>0</v>
      </c>
      <c r="AJ59" s="79">
        <f ca="1">IF(OR($F59&gt;MAX('הנחות עבודה'!$B$69:$B$89),$F59&gt;$D$5),0,VLOOKUP($F59,'הספק נוסף נדרש'!$B$8:$AX$28,MATCH(AJ$49,'הספק נוסף נדרש'!$B$6:$AX$6,0)+(ROUNDUP((AJ$2-$F$2)/COUNTA($F$10:$F$16),0)-1)*COUNTA('הספק נוסף נדרש'!$C$6:$J$6),FALSE))</f>
        <v>0</v>
      </c>
      <c r="AK59" s="74">
        <f ca="1">IF(OR($F59&gt;MAX('הנחות עבודה'!$B$69:$B$89),$F59&gt;$D$5),0,VLOOKUP($F59,'הספק נוסף נדרש'!$B$8:$AX$28,MATCH(AK$49,'הספק נוסף נדרש'!$B$6:$AX$6,0)+(ROUNDUP((AK$2-$F$2)/COUNTA($F$10:$F$16),0)-1)*COUNTA('הספק נוסף נדרש'!$C$6:$J$6),FALSE))</f>
        <v>0</v>
      </c>
      <c r="AL59" s="136">
        <f ca="1">IF(OR($F59&gt;MAX('הנחות עבודה'!$B$69:$B$89),$F59&gt;$D$5),0,VLOOKUP($F59,'הספק נוסף נדרש'!$B$8:$AX$28,MATCH(AL$49,'הספק נוסף נדרש'!$B$6:$AX$6,0)+(ROUNDUP((AL$2-$F$2)/COUNTA($F$10:$F$16),0)-1)*COUNTA('הספק נוסף נדרש'!$C$6:$J$6),FALSE))</f>
        <v>1651.413781948213</v>
      </c>
      <c r="AM59" s="136">
        <f ca="1">IF(OR($F59&gt;MAX('הנחות עבודה'!$B$69:$B$89),$F59&gt;$D$5),0,VLOOKUP($F59,'הספק נוסף נדרש'!$B$8:$AX$28,MATCH(AM$49,'הספק נוסף נדרש'!$B$6:$AX$6,0)+(ROUNDUP((AM$2-$F$2)/COUNTA($F$10:$F$16),0)-1)*COUNTA('הספק נוסף נדרש'!$C$6:$J$6),FALSE))</f>
        <v>0</v>
      </c>
      <c r="AN59" s="136">
        <f ca="1">IF(OR($F59&gt;MAX('הנחות עבודה'!$B$69:$B$89),$F59&gt;$D$5),0,VLOOKUP($F59,'הספק נוסף נדרש'!$B$8:$AX$28,MATCH(AN$49,'הספק נוסף נדרש'!$B$6:$AX$6,0)+(ROUNDUP((AN$2-$F$2)/COUNTA($F$10:$F$16),0)-1)*COUNTA('הספק נוסף נדרש'!$C$6:$J$6),FALSE))</f>
        <v>5</v>
      </c>
      <c r="AO59" s="136">
        <f ca="1">IF(OR($F59&gt;MAX('הנחות עבודה'!$B$69:$B$89),$F59&gt;$D$5),0,VLOOKUP($F59,'הספק נוסף נדרש'!$B$8:$AX$28,MATCH(AO$49,'הספק נוסף נדרש'!$B$6:$AX$6,0)+(ROUNDUP((AO$2-$F$2)/COUNTA($F$10:$F$16),0)-1)*COUNTA('הספק נוסף נדרש'!$C$6:$J$6),FALSE))</f>
        <v>0</v>
      </c>
      <c r="AP59" s="136">
        <f ca="1">IF(OR($F59&gt;MAX('הנחות עבודה'!$B$69:$B$89),$F59&gt;$D$5),0,VLOOKUP($F59,'הספק נוסף נדרש'!$B$8:$AX$28,MATCH(AP$49,'הספק נוסף נדרש'!$B$6:$AX$6,0)+(ROUNDUP((AP$2-$F$2)/COUNTA($F$10:$F$16),0)-1)*COUNTA('הספק נוסף נדרש'!$C$6:$J$6),FALSE))</f>
        <v>0</v>
      </c>
      <c r="AQ59" s="9"/>
      <c r="AR59" s="10">
        <f t="shared" si="313"/>
        <v>2029</v>
      </c>
      <c r="AS59" s="79">
        <f ca="1">HLOOKUP(AS$49,$G$24:$L$45,COUNTA($F$25:$F34)+1,FALSE)*G59*$D$7/$D$8</f>
        <v>1781.0640977563471</v>
      </c>
      <c r="AT59" s="138">
        <f ca="1">HLOOKUP(AT$49,$G$24:$L$45,COUNTA($F$25:$F34)+1,FALSE)*H59*$D$7/$D$8</f>
        <v>0</v>
      </c>
      <c r="AU59" s="138">
        <f ca="1">HLOOKUP(AU$49,$G$24:$L$45,COUNTA($F$25:$F34)+1,FALSE)*I59*$D$7/$D$8</f>
        <v>0</v>
      </c>
      <c r="AV59" s="138">
        <f ca="1">HLOOKUP(AV$49,$G$24:$L$45,COUNTA($F$25:$F34)+1,FALSE)*J59*$D$7/$D$8</f>
        <v>18.862543167949806</v>
      </c>
      <c r="AW59" s="138">
        <f ca="1">HLOOKUP(AW$49,$G$24:$L$45,COUNTA($F$25:$F34)+1,FALSE)*K59*$D$7/$D$8</f>
        <v>0</v>
      </c>
      <c r="AX59" s="79">
        <f ca="1">HLOOKUP(AX$49,$G$24:$L$45,COUNTA($F$25:$F34)+1,FALSE)*L59*$D$7/$D$8</f>
        <v>0</v>
      </c>
      <c r="AY59" s="74">
        <f ca="1">HLOOKUP(AY$49,$G$24:$L$45,COUNTA($F$25:$F34)+1,FALSE)*M59*$D$7/$D$8</f>
        <v>0</v>
      </c>
      <c r="AZ59" s="136">
        <f ca="1">HLOOKUP(AZ$49,$G$24:$L$45,COUNTA($F$25:$F34)+1,FALSE)*N59*$D$7/$D$8</f>
        <v>2016.1786605248697</v>
      </c>
      <c r="BA59" s="136">
        <f ca="1">HLOOKUP(BA$49,$G$24:$L$45,COUNTA($F$25:$F34)+1,FALSE)*O59*$D$7/$D$8</f>
        <v>0</v>
      </c>
      <c r="BB59" s="136">
        <f ca="1">HLOOKUP(BB$49,$G$24:$L$45,COUNTA($F$25:$F34)+1,FALSE)*P59*$D$7/$D$8</f>
        <v>18.862543167949806</v>
      </c>
      <c r="BC59" s="136">
        <f ca="1">HLOOKUP(BC$49,$G$24:$L$45,COUNTA($F$25:$F34)+1,FALSE)*Q59*$D$7/$D$8</f>
        <v>0</v>
      </c>
      <c r="BD59" s="136">
        <f ca="1">HLOOKUP(BD$49,$G$24:$L$45,COUNTA($F$25:$F34)+1,FALSE)*R59*$D$7/$D$8</f>
        <v>0</v>
      </c>
      <c r="BE59" s="79">
        <f ca="1">HLOOKUP(BE$49,$G$24:$L$45,COUNTA($F$25:$F34)+1,FALSE)*S59*$D$7/$D$8</f>
        <v>3069.1465258001649</v>
      </c>
      <c r="BF59" s="138">
        <f ca="1">HLOOKUP(BF$49,$G$24:$L$45,COUNTA($F$25:$F34)+1,FALSE)*T59*$D$7/$D$8</f>
        <v>0</v>
      </c>
      <c r="BG59" s="138">
        <f ca="1">HLOOKUP(BG$49,$G$24:$L$45,COUNTA($F$25:$F34)+1,FALSE)*U59*$D$7/$D$8</f>
        <v>0</v>
      </c>
      <c r="BH59" s="138">
        <f ca="1">HLOOKUP(BH$49,$G$24:$L$45,COUNTA($F$25:$F34)+1,FALSE)*V59*$D$7/$D$8</f>
        <v>18.862543167949806</v>
      </c>
      <c r="BI59" s="138">
        <f ca="1">HLOOKUP(BI$49,$G$24:$L$45,COUNTA($F$25:$F34)+1,FALSE)*W59*$D$7/$D$8</f>
        <v>0</v>
      </c>
      <c r="BJ59" s="79">
        <f ca="1">HLOOKUP(BJ$49,$G$24:$L$45,COUNTA($F$25:$F34)+1,FALSE)*X59*$D$7/$D$8</f>
        <v>0</v>
      </c>
      <c r="BK59" s="74">
        <f ca="1">HLOOKUP(BK$49,$G$24:$L$45,COUNTA($F$25:$F34)+1,FALSE)*Y59*$D$7/$D$8</f>
        <v>0</v>
      </c>
      <c r="BL59" s="136">
        <f ca="1">HLOOKUP(BL$49,$G$24:$L$45,COUNTA($F$25:$F34)+1,FALSE)*Z59*$D$7/$D$8</f>
        <v>3474.2981676726022</v>
      </c>
      <c r="BM59" s="136">
        <f ca="1">HLOOKUP(BM$49,$G$24:$L$45,COUNTA($F$25:$F34)+1,FALSE)*AA59*$D$7/$D$8</f>
        <v>0</v>
      </c>
      <c r="BN59" s="136">
        <f ca="1">HLOOKUP(BN$49,$G$24:$L$45,COUNTA($F$25:$F34)+1,FALSE)*AB59*$D$7/$D$8</f>
        <v>18.862543167949806</v>
      </c>
      <c r="BO59" s="136">
        <f ca="1">HLOOKUP(BO$49,$G$24:$L$45,COUNTA($F$25:$F34)+1,FALSE)*AC59*$D$7/$D$8</f>
        <v>0</v>
      </c>
      <c r="BP59" s="136">
        <f ca="1">HLOOKUP(BP$49,$G$24:$L$45,COUNTA($F$25:$F34)+1,FALSE)*AD59*$D$7/$D$8</f>
        <v>0</v>
      </c>
      <c r="BQ59" s="79">
        <f ca="1">HLOOKUP(BQ$49,$G$24:$L$45,COUNTA($F$25:$F34)+1,FALSE)*AE59*$D$7/$D$8</f>
        <v>3954.2804994757339</v>
      </c>
      <c r="BR59" s="138">
        <f ca="1">HLOOKUP(BR$49,$G$24:$L$45,COUNTA($F$25:$F34)+1,FALSE)*AF59*$D$7/$D$8</f>
        <v>0</v>
      </c>
      <c r="BS59" s="138">
        <f ca="1">HLOOKUP(BS$49,$G$24:$L$45,COUNTA($F$25:$F34)+1,FALSE)*AG59*$D$7/$D$8</f>
        <v>0</v>
      </c>
      <c r="BT59" s="138">
        <f ca="1">HLOOKUP(BT$49,$G$24:$L$45,COUNTA($F$25:$F34)+1,FALSE)*AH59*$D$7/$D$8</f>
        <v>18.862543167949806</v>
      </c>
      <c r="BU59" s="138">
        <f ca="1">HLOOKUP(BU$49,$G$24:$L$45,COUNTA($F$25:$F34)+1,FALSE)*AI59*$D$7/$D$8</f>
        <v>0</v>
      </c>
      <c r="BV59" s="79">
        <f ca="1">HLOOKUP(BV$49,$G$24:$L$45,COUNTA($F$25:$F34)+1,FALSE)*AJ59*$D$7/$D$8</f>
        <v>0</v>
      </c>
      <c r="BW59" s="74">
        <f ca="1">HLOOKUP(BW$49,$G$24:$L$45,COUNTA($F$25:$F34)+1,FALSE)*AK59*$D$7/$D$8</f>
        <v>0</v>
      </c>
      <c r="BX59" s="136">
        <f ca="1">HLOOKUP(BX$49,$G$24:$L$45,COUNTA($F$25:$F34)+1,FALSE)*AL59*$D$7/$D$8</f>
        <v>4476.2768340655502</v>
      </c>
      <c r="BY59" s="136">
        <f ca="1">HLOOKUP(BY$49,$G$24:$L$45,COUNTA($F$25:$F34)+1,FALSE)*AM59*$D$7/$D$8</f>
        <v>0</v>
      </c>
      <c r="BZ59" s="136">
        <f ca="1">HLOOKUP(BZ$49,$G$24:$L$45,COUNTA($F$25:$F34)+1,FALSE)*AN59*$D$7/$D$8</f>
        <v>18.862543167949806</v>
      </c>
      <c r="CA59" s="136">
        <f ca="1">HLOOKUP(CA$49,$G$24:$L$45,COUNTA($F$25:$F34)+1,FALSE)*AO59*$D$7/$D$8</f>
        <v>0</v>
      </c>
      <c r="CB59" s="739">
        <f ca="1">HLOOKUP(CB$49,$G$24:$L$45,COUNTA($F$25:$F34)+1,FALSE)*AP59*$D$7/$D$8</f>
        <v>0</v>
      </c>
      <c r="CD59" s="10">
        <f t="shared" si="314"/>
        <v>2029</v>
      </c>
      <c r="CE59" s="85">
        <f t="shared" ca="1" si="240"/>
        <v>963.55435070877979</v>
      </c>
      <c r="CF59" s="147">
        <f t="shared" ca="1" si="241"/>
        <v>0</v>
      </c>
      <c r="CG59" s="147">
        <f t="shared" ca="1" si="242"/>
        <v>216.27952515046442</v>
      </c>
      <c r="CH59" s="147">
        <f t="shared" ca="1" si="243"/>
        <v>18.456611574201744</v>
      </c>
      <c r="CI59" s="147">
        <f t="shared" ca="1" si="244"/>
        <v>0</v>
      </c>
      <c r="CJ59" s="85">
        <f t="shared" ca="1" si="245"/>
        <v>0</v>
      </c>
      <c r="CK59" s="151">
        <f t="shared" ca="1" si="246"/>
        <v>0</v>
      </c>
      <c r="CL59" s="102">
        <f t="shared" ca="1" si="247"/>
        <v>1192.7770644585885</v>
      </c>
      <c r="CM59" s="102">
        <f t="shared" ca="1" si="248"/>
        <v>216.27952515046442</v>
      </c>
      <c r="CN59" s="102">
        <f t="shared" ca="1" si="249"/>
        <v>18.456611574201744</v>
      </c>
      <c r="CO59" s="102">
        <f t="shared" ca="1" si="250"/>
        <v>0</v>
      </c>
      <c r="CP59" s="151">
        <f t="shared" ca="1" si="251"/>
        <v>0</v>
      </c>
      <c r="CQ59" s="85">
        <f t="shared" ca="1" si="252"/>
        <v>1686.2817986056264</v>
      </c>
      <c r="CR59" s="147">
        <f t="shared" ca="1" si="253"/>
        <v>0</v>
      </c>
      <c r="CS59" s="147">
        <f t="shared" ca="1" si="254"/>
        <v>216.27952515046442</v>
      </c>
      <c r="CT59" s="147">
        <f t="shared" ca="1" si="255"/>
        <v>18.456611574201744</v>
      </c>
      <c r="CU59" s="147">
        <f t="shared" ca="1" si="256"/>
        <v>0</v>
      </c>
      <c r="CV59" s="85">
        <f t="shared" ca="1" si="257"/>
        <v>0</v>
      </c>
      <c r="CW59" s="151">
        <f t="shared" ca="1" si="258"/>
        <v>0</v>
      </c>
      <c r="CX59" s="102">
        <f t="shared" ca="1" si="259"/>
        <v>2091.4341024894266</v>
      </c>
      <c r="CY59" s="102">
        <f t="shared" ca="1" si="260"/>
        <v>216.27952515046442</v>
      </c>
      <c r="CZ59" s="102">
        <f t="shared" ca="1" si="261"/>
        <v>18.456611574201744</v>
      </c>
      <c r="DA59" s="102">
        <f t="shared" ca="1" si="262"/>
        <v>0</v>
      </c>
      <c r="DB59" s="151">
        <f t="shared" ca="1" si="263"/>
        <v>0</v>
      </c>
      <c r="DC59" s="85">
        <f t="shared" ca="1" si="264"/>
        <v>2127.6634065816265</v>
      </c>
      <c r="DD59" s="147">
        <f t="shared" ca="1" si="265"/>
        <v>0</v>
      </c>
      <c r="DE59" s="147">
        <f t="shared" ca="1" si="266"/>
        <v>216.27952515046442</v>
      </c>
      <c r="DF59" s="147">
        <f t="shared" ca="1" si="267"/>
        <v>18.456611574201744</v>
      </c>
      <c r="DG59" s="147">
        <f t="shared" ca="1" si="268"/>
        <v>0</v>
      </c>
      <c r="DH59" s="85">
        <f t="shared" ca="1" si="269"/>
        <v>0</v>
      </c>
      <c r="DI59" s="151">
        <f t="shared" ca="1" si="270"/>
        <v>0</v>
      </c>
      <c r="DJ59" s="102">
        <f t="shared" ca="1" si="271"/>
        <v>2640.5466491982202</v>
      </c>
      <c r="DK59" s="102">
        <f t="shared" ca="1" si="272"/>
        <v>216.27952515046442</v>
      </c>
      <c r="DL59" s="102">
        <f t="shared" ca="1" si="273"/>
        <v>18.456611574201744</v>
      </c>
      <c r="DM59" s="102">
        <f t="shared" ca="1" si="274"/>
        <v>0</v>
      </c>
      <c r="DN59" s="564">
        <f t="shared" ca="1" si="275"/>
        <v>0</v>
      </c>
      <c r="DP59" s="10">
        <f t="shared" si="315"/>
        <v>2029</v>
      </c>
      <c r="DQ59" s="85">
        <f t="shared" ca="1" si="276"/>
        <v>304.36019678831184</v>
      </c>
      <c r="DR59" s="147">
        <f t="shared" ca="1" si="277"/>
        <v>0</v>
      </c>
      <c r="DS59" s="147">
        <f t="shared" ca="1" si="278"/>
        <v>61.350712925538716</v>
      </c>
      <c r="DT59" s="147">
        <f t="shared" ca="1" si="279"/>
        <v>6.0486618377291697</v>
      </c>
      <c r="DU59" s="147">
        <f t="shared" ca="1" si="280"/>
        <v>0</v>
      </c>
      <c r="DV59" s="85">
        <f t="shared" ca="1" si="281"/>
        <v>0</v>
      </c>
      <c r="DW59" s="151">
        <f t="shared" ca="1" si="282"/>
        <v>0</v>
      </c>
      <c r="DX59" s="102">
        <f t="shared" ca="1" si="283"/>
        <v>346.34671092830763</v>
      </c>
      <c r="DY59" s="102">
        <f t="shared" ca="1" si="284"/>
        <v>61.350712925538716</v>
      </c>
      <c r="DZ59" s="102">
        <f t="shared" ca="1" si="285"/>
        <v>6.0486618377291697</v>
      </c>
      <c r="EA59" s="102">
        <f t="shared" ca="1" si="286"/>
        <v>0</v>
      </c>
      <c r="EB59" s="151">
        <f t="shared" ca="1" si="287"/>
        <v>0</v>
      </c>
      <c r="EC59" s="85">
        <f t="shared" ca="1" si="288"/>
        <v>543.21884899177485</v>
      </c>
      <c r="ED59" s="147">
        <f t="shared" ca="1" si="289"/>
        <v>0</v>
      </c>
      <c r="EE59" s="147">
        <f t="shared" ca="1" si="290"/>
        <v>61.350712925538716</v>
      </c>
      <c r="EF59" s="147">
        <f t="shared" ca="1" si="291"/>
        <v>6.0486618377291697</v>
      </c>
      <c r="EG59" s="147">
        <f t="shared" ca="1" si="292"/>
        <v>0</v>
      </c>
      <c r="EH59" s="85">
        <f t="shared" ca="1" si="293"/>
        <v>0</v>
      </c>
      <c r="EI59" s="151">
        <f t="shared" ca="1" si="294"/>
        <v>0</v>
      </c>
      <c r="EJ59" s="102">
        <f t="shared" ca="1" si="295"/>
        <v>618.15593381751728</v>
      </c>
      <c r="EK59" s="102">
        <f t="shared" ca="1" si="296"/>
        <v>61.350712925538716</v>
      </c>
      <c r="EL59" s="102">
        <f t="shared" ca="1" si="297"/>
        <v>6.0486618377291697</v>
      </c>
      <c r="EM59" s="102">
        <f t="shared" ca="1" si="298"/>
        <v>0</v>
      </c>
      <c r="EN59" s="151">
        <f t="shared" ca="1" si="299"/>
        <v>0</v>
      </c>
      <c r="EO59" s="85">
        <f t="shared" ca="1" si="300"/>
        <v>690.25023290634078</v>
      </c>
      <c r="EP59" s="145">
        <f t="shared" ca="1" si="301"/>
        <v>0</v>
      </c>
      <c r="EQ59" s="145">
        <f t="shared" ca="1" si="302"/>
        <v>61.350712925538716</v>
      </c>
      <c r="ER59" s="145">
        <f t="shared" ca="1" si="303"/>
        <v>6.0486618377291697</v>
      </c>
      <c r="ES59" s="145">
        <f t="shared" ca="1" si="304"/>
        <v>0</v>
      </c>
      <c r="ET59" s="85">
        <f t="shared" ca="1" si="305"/>
        <v>0</v>
      </c>
      <c r="EU59" s="102">
        <f t="shared" ca="1" si="306"/>
        <v>0</v>
      </c>
      <c r="EV59" s="102">
        <f t="shared" ca="1" si="307"/>
        <v>785.47030921682619</v>
      </c>
      <c r="EW59" s="102">
        <f t="shared" ca="1" si="308"/>
        <v>61.350712925538716</v>
      </c>
      <c r="EX59" s="102">
        <f t="shared" ca="1" si="309"/>
        <v>6.0486618377291697</v>
      </c>
      <c r="EY59" s="102">
        <f t="shared" ca="1" si="310"/>
        <v>0</v>
      </c>
      <c r="EZ59" s="564">
        <f t="shared" ca="1" si="311"/>
        <v>0</v>
      </c>
      <c r="FB59" s="10">
        <f t="shared" si="316"/>
        <v>2029</v>
      </c>
      <c r="FC59" s="85">
        <f ca="1">HLOOKUP(FC$49,$O$24:$T$45,COUNTA($N$25:$N34)+1,FALSE)*G59*$D$7/$D$8</f>
        <v>41.291457907980643</v>
      </c>
      <c r="FD59" s="147">
        <f ca="1">HLOOKUP(FD$49,$O$24:$T$45,COUNTA($N$25:$N34)+1,FALSE)*H59*$D$7/$D$8</f>
        <v>0</v>
      </c>
      <c r="FE59" s="147">
        <f ca="1">HLOOKUP(FE$49,$O$24:$T$45,COUNTA($N$25:$N34)+1,FALSE)*I59*$D$7/$D$8</f>
        <v>0</v>
      </c>
      <c r="FF59" s="147">
        <f ca="1">HLOOKUP(FF$49,$O$24:$T$45,COUNTA($N$25:$N34)+1,FALSE)*J59*$D$7/$D$8</f>
        <v>0.43204727412351213</v>
      </c>
      <c r="FG59" s="147">
        <f ca="1">HLOOKUP(FG$49,$O$24:$T$45,COUNTA($N$25:$N34)+1,FALSE)*K59*$D$7/$D$8</f>
        <v>0</v>
      </c>
      <c r="FH59" s="85">
        <f ca="1">HLOOKUP(FH$49,$O$24:$T$45,COUNTA($N$25:$N34)+1,FALSE)*L59*$D$7/$D$8</f>
        <v>0</v>
      </c>
      <c r="FI59" s="151">
        <f ca="1">HLOOKUP(FI$49,$O$24:$T$45,COUNTA($N$25:$N34)+1,FALSE)*M59*$D$7/$D$8</f>
        <v>0</v>
      </c>
      <c r="FJ59" s="153">
        <f ca="1">HLOOKUP(FJ$49,$O$24:$T$45,COUNTA($N$25:$N34)+1,FALSE)*N59*$D$7/$D$8</f>
        <v>46.987617917103904</v>
      </c>
      <c r="FK59" s="153">
        <f ca="1">HLOOKUP(FK$49,$O$24:$T$45,COUNTA($N$25:$N34)+1,FALSE)*O59*$D$7/$D$8</f>
        <v>0</v>
      </c>
      <c r="FL59" s="153">
        <f ca="1">HLOOKUP(FL$49,$O$24:$T$45,COUNTA($N$25:$N34)+1,FALSE)*P59*$D$7/$D$8</f>
        <v>0.43204727412351213</v>
      </c>
      <c r="FM59" s="153">
        <f ca="1">HLOOKUP(FM$49,$O$24:$T$45,COUNTA($N$25:$N34)+1,FALSE)*Q59*$D$7/$D$8</f>
        <v>0</v>
      </c>
      <c r="FN59" s="151">
        <f ca="1">HLOOKUP(FN$49,$O$24:$T$45,COUNTA($N$25:$N34)+1,FALSE)*R59*$D$7/$D$8</f>
        <v>0</v>
      </c>
      <c r="FO59" s="85">
        <f ca="1">HLOOKUP(FO$49,$O$24:$T$45,COUNTA($N$25:$N34)+1,FALSE)*S59*$D$7/$D$8</f>
        <v>71.153831433212872</v>
      </c>
      <c r="FP59" s="147">
        <f ca="1">HLOOKUP(FP$49,$O$24:$T$45,COUNTA($N$25:$N34)+1,FALSE)*T59*$D$7/$D$8</f>
        <v>0</v>
      </c>
      <c r="FQ59" s="147">
        <f ca="1">HLOOKUP(FQ$49,$O$24:$T$45,COUNTA($N$25:$N34)+1,FALSE)*U59*$D$7/$D$8</f>
        <v>0</v>
      </c>
      <c r="FR59" s="147">
        <f ca="1">HLOOKUP(FR$49,$O$24:$T$45,COUNTA($N$25:$N34)+1,FALSE)*V59*$D$7/$D$8</f>
        <v>0.43204727412351213</v>
      </c>
      <c r="FS59" s="147">
        <f ca="1">HLOOKUP(FS$49,$O$24:$T$45,COUNTA($N$25:$N34)+1,FALSE)*W59*$D$7/$D$8</f>
        <v>0</v>
      </c>
      <c r="FT59" s="85">
        <f ca="1">HLOOKUP(FT$49,$O$24:$T$45,COUNTA($N$25:$N34)+1,FALSE)*X59*$D$7/$D$8</f>
        <v>0</v>
      </c>
      <c r="FU59" s="151">
        <f ca="1">HLOOKUP(FU$49,$O$24:$T$45,COUNTA($N$25:$N34)+1,FALSE)*Y59*$D$7/$D$8</f>
        <v>0</v>
      </c>
      <c r="FV59" s="153">
        <f ca="1">HLOOKUP(FV$49,$O$24:$T$45,COUNTA($N$25:$N34)+1,FALSE)*Z59*$D$7/$D$8</f>
        <v>80.969508322340829</v>
      </c>
      <c r="FW59" s="153">
        <f ca="1">HLOOKUP(FW$49,$O$24:$T$45,COUNTA($N$25:$N34)+1,FALSE)*AA59*$D$7/$D$8</f>
        <v>0</v>
      </c>
      <c r="FX59" s="153">
        <f ca="1">HLOOKUP(FX$49,$O$24:$T$45,COUNTA($N$25:$N34)+1,FALSE)*AB59*$D$7/$D$8</f>
        <v>0.43204727412351213</v>
      </c>
      <c r="FY59" s="153">
        <f ca="1">HLOOKUP(FY$49,$O$24:$T$45,COUNTA($N$25:$N34)+1,FALSE)*AC59*$D$7/$D$8</f>
        <v>0</v>
      </c>
      <c r="FZ59" s="151">
        <f ca="1">HLOOKUP(FZ$49,$O$24:$T$45,COUNTA($N$25:$N34)+1,FALSE)*AD59*$D$7/$D$8</f>
        <v>0</v>
      </c>
      <c r="GA59" s="85">
        <f ca="1">HLOOKUP(GA$49,$O$24:$T$45,COUNTA($N$25:$N34)+1,FALSE)*AE59*$D$7/$D$8</f>
        <v>91.674413630669719</v>
      </c>
      <c r="GB59" s="147">
        <f ca="1">HLOOKUP(GB$49,$O$24:$T$45,COUNTA($N$25:$N34)+1,FALSE)*AF59*$D$7/$D$8</f>
        <v>0</v>
      </c>
      <c r="GC59" s="147">
        <f ca="1">HLOOKUP(GC$49,$O$24:$T$45,COUNTA($N$25:$N34)+1,FALSE)*AG59*$D$7/$D$8</f>
        <v>0</v>
      </c>
      <c r="GD59" s="147">
        <f ca="1">HLOOKUP(GD$49,$O$24:$T$45,COUNTA($N$25:$N34)+1,FALSE)*AH59*$D$7/$D$8</f>
        <v>0.43204727412351213</v>
      </c>
      <c r="GE59" s="147">
        <f ca="1">HLOOKUP(GE$49,$O$24:$T$45,COUNTA($N$25:$N34)+1,FALSE)*AI59*$D$7/$D$8</f>
        <v>0</v>
      </c>
      <c r="GF59" s="85">
        <f ca="1">HLOOKUP(GF$49,$O$24:$T$45,COUNTA($N$25:$N34)+1,FALSE)*AJ59*$D$7/$D$8</f>
        <v>0</v>
      </c>
      <c r="GG59" s="151">
        <f ca="1">HLOOKUP(GG$49,$O$24:$T$45,COUNTA($N$25:$N34)+1,FALSE)*AK59*$D$7/$D$8</f>
        <v>0</v>
      </c>
      <c r="GH59" s="153">
        <f ca="1">HLOOKUP(GH$49,$O$24:$T$45,COUNTA($N$25:$N34)+1,FALSE)*AL59*$D$7/$D$8</f>
        <v>104.32090651901888</v>
      </c>
      <c r="GI59" s="153">
        <f ca="1">HLOOKUP(GI$49,$O$24:$T$45,COUNTA($N$25:$N34)+1,FALSE)*AM59*$D$7/$D$8</f>
        <v>0</v>
      </c>
      <c r="GJ59" s="153">
        <f ca="1">HLOOKUP(GJ$49,$O$24:$T$45,COUNTA($N$25:$N34)+1,FALSE)*AN59*$D$7/$D$8</f>
        <v>0.43204727412351213</v>
      </c>
      <c r="GK59" s="153">
        <f ca="1">HLOOKUP(GK$49,$O$24:$T$45,COUNTA($N$25:$N34)+1,FALSE)*AO59*$D$7/$D$8</f>
        <v>0</v>
      </c>
      <c r="GL59" s="564">
        <f ca="1">HLOOKUP(GL$49,$O$24:$T$45,COUNTA($N$25:$N34)+1,FALSE)*AP59*$D$7/$D$8</f>
        <v>0</v>
      </c>
    </row>
    <row r="60" spans="6:194">
      <c r="F60" s="10">
        <f t="shared" si="317"/>
        <v>2030</v>
      </c>
      <c r="G60" s="79">
        <f ca="1">IF(OR($F60&gt;MAX('הנחות עבודה'!$B$69:$B$89),$F60&gt;$D$5),0,VLOOKUP($F60,'הספק נוסף נדרש'!$B$8:$AX$28,MATCH(G$49,'הספק נוסף נדרש'!$B$6:$AX$6,0)+(ROUNDUP((G$2-$F$2)/COUNTA($F$10:$F$16),0)-1)*COUNTA('הספק נוסף נדרש'!$C$6:$J$6),FALSE))</f>
        <v>758.00809086056142</v>
      </c>
      <c r="H60" s="138">
        <f ca="1">IF(OR($F60&gt;MAX('הנחות עבודה'!$B$69:$B$89),$F60&gt;$D$5),0,VLOOKUP($F60,'הספק נוסף נדרש'!$B$8:$AX$28,MATCH(H$49,'הספק נוסף נדרש'!$B$6:$AX$6,0)+(ROUNDUP((H$2-$F$2)/COUNTA($F$10:$F$16),0)-1)*COUNTA('הספק נוסף נדרש'!$C$6:$J$6),FALSE))</f>
        <v>0</v>
      </c>
      <c r="I60" s="138">
        <f ca="1">IF(OR($F60&gt;MAX('הנחות עבודה'!$B$69:$B$89),$F60&gt;$D$5),0,VLOOKUP($F60,'הספק נוסף נדרש'!$B$8:$AX$28,MATCH(I$49,'הספק נוסף נדרש'!$B$6:$AX$6,0)+(ROUNDUP((I$2-$F$2)/COUNTA($F$10:$F$16),0)-1)*COUNTA('הספק נוסף נדרש'!$C$6:$J$6),FALSE))</f>
        <v>0</v>
      </c>
      <c r="J60" s="138">
        <f ca="1">IF(OR($F60&gt;MAX('הנחות עבודה'!$B$69:$B$89),$F60&gt;$D$5),0,VLOOKUP($F60,'הספק נוסף נדרש'!$B$8:$AX$28,MATCH(J$49,'הספק נוסף נדרש'!$B$6:$AX$6,0)+(ROUNDUP((J$2-$F$2)/COUNTA($F$10:$F$16),0)-1)*COUNTA('הספק נוסף נדרש'!$C$6:$J$6),FALSE))</f>
        <v>5</v>
      </c>
      <c r="K60" s="138">
        <f ca="1">IF(OR($F60&gt;MAX('הנחות עבודה'!$B$69:$B$89),$F60&gt;$D$5),0,VLOOKUP($F60,'הספק נוסף נדרש'!$B$8:$AX$28,MATCH(K$49,'הספק נוסף נדרש'!$B$6:$AX$6,0)+(ROUNDUP((K$2-$F$2)/COUNTA($F$10:$F$16),0)-1)*COUNTA('הספק נוסף נדרש'!$C$6:$J$6),FALSE))</f>
        <v>0</v>
      </c>
      <c r="L60" s="79">
        <f ca="1">IF(OR($F60&gt;MAX('הנחות עבודה'!$B$69:$B$89),$F60&gt;$D$5),0,VLOOKUP($F60,'הספק נוסף נדרש'!$B$8:$AX$28,MATCH(L$49,'הספק נוסף נדרש'!$B$6:$AX$6,0)+(ROUNDUP((L$2-$F$2)/COUNTA($F$10:$F$16),0)-1)*COUNTA('הספק נוסף נדרש'!$C$6:$J$6),FALSE))</f>
        <v>0</v>
      </c>
      <c r="M60" s="74">
        <f ca="1">IF(OR($F60&gt;MAX('הנחות עבודה'!$B$69:$B$89),$F60&gt;$D$5),0,VLOOKUP($F60,'הספק נוסף נדרש'!$B$8:$AX$28,MATCH(M$49,'הספק נוסף נדרש'!$B$6:$AX$6,0)+(ROUNDUP((M$2-$F$2)/COUNTA($F$10:$F$16),0)-1)*COUNTA('הספק נוסף נדרש'!$C$6:$J$6),FALSE))</f>
        <v>0</v>
      </c>
      <c r="N60" s="136">
        <f ca="1">IF(OR($F60&gt;MAX('הנחות עבודה'!$B$69:$B$89),$F60&gt;$D$5),0,VLOOKUP($F60,'הספק נוסף נדרש'!$B$8:$AX$28,MATCH(N$49,'הספק נוסף נדרש'!$B$6:$AX$6,0)+(ROUNDUP((N$2-$F$2)/COUNTA($F$10:$F$16),0)-1)*COUNTA('הספק נוסף נדרש'!$C$6:$J$6),FALSE))</f>
        <v>758.00809086056142</v>
      </c>
      <c r="O60" s="136">
        <f ca="1">IF(OR($F60&gt;MAX('הנחות עבודה'!$B$69:$B$89),$F60&gt;$D$5),0,VLOOKUP($F60,'הספק נוסף נדרש'!$B$8:$AX$28,MATCH(O$49,'הספק נוסף נדרש'!$B$6:$AX$6,0)+(ROUNDUP((O$2-$F$2)/COUNTA($F$10:$F$16),0)-1)*COUNTA('הספק נוסף נדרש'!$C$6:$J$6),FALSE))</f>
        <v>0</v>
      </c>
      <c r="P60" s="136">
        <f ca="1">IF(OR($F60&gt;MAX('הנחות עבודה'!$B$69:$B$89),$F60&gt;$D$5),0,VLOOKUP($F60,'הספק נוסף נדרש'!$B$8:$AX$28,MATCH(P$49,'הספק נוסף נדרש'!$B$6:$AX$6,0)+(ROUNDUP((P$2-$F$2)/COUNTA($F$10:$F$16),0)-1)*COUNTA('הספק נוסף נדרש'!$C$6:$J$6),FALSE))</f>
        <v>5</v>
      </c>
      <c r="Q60" s="136">
        <f ca="1">IF(OR($F60&gt;MAX('הנחות עבודה'!$B$69:$B$89),$F60&gt;$D$5),0,VLOOKUP($F60,'הספק נוסף נדרש'!$B$8:$AX$28,MATCH(Q$49,'הספק נוסף נדרש'!$B$6:$AX$6,0)+(ROUNDUP((Q$2-$F$2)/COUNTA($F$10:$F$16),0)-1)*COUNTA('הספק נוסף נדרש'!$C$6:$J$6),FALSE))</f>
        <v>0</v>
      </c>
      <c r="R60" s="136">
        <f ca="1">IF(OR($F60&gt;MAX('הנחות עבודה'!$B$69:$B$89),$F60&gt;$D$5),0,VLOOKUP($F60,'הספק נוסף נדרש'!$B$8:$AX$28,MATCH(R$49,'הספק נוסף נדרש'!$B$6:$AX$6,0)+(ROUNDUP((R$2-$F$2)/COUNTA($F$10:$F$16),0)-1)*COUNTA('הספק נוסף נדרש'!$C$6:$J$6),FALSE))</f>
        <v>0</v>
      </c>
      <c r="S60" s="79">
        <f ca="1">IF(OR($F60&gt;MAX('הנחות עבודה'!$B$69:$B$89),$F60&gt;$D$5),0,VLOOKUP($F60,'הספק נוסף נדרש'!$B$8:$AX$28,MATCH(S$49,'הספק נוסף נדרש'!$B$6:$AX$6,0)+(ROUNDUP((S$2-$F$2)/COUNTA($F$10:$F$16),0)-1)*COUNTA('הספק נוסף נדרש'!$C$6:$J$6),FALSE))</f>
        <v>1314.770052156533</v>
      </c>
      <c r="T60" s="138">
        <f ca="1">IF(OR($F60&gt;MAX('הנחות עבודה'!$B$69:$B$89),$F60&gt;$D$5),0,VLOOKUP($F60,'הספק נוסף נדרש'!$B$8:$AX$28,MATCH(T$49,'הספק נוסף נדרש'!$B$6:$AX$6,0)+(ROUNDUP((T$2-$F$2)/COUNTA($F$10:$F$16),0)-1)*COUNTA('הספק נוסף נדרש'!$C$6:$J$6),FALSE))</f>
        <v>0</v>
      </c>
      <c r="U60" s="138">
        <f ca="1">IF(OR($F60&gt;MAX('הנחות עבודה'!$B$69:$B$89),$F60&gt;$D$5),0,VLOOKUP($F60,'הספק נוסף נדרש'!$B$8:$AX$28,MATCH(U$49,'הספק נוסף נדרש'!$B$6:$AX$6,0)+(ROUNDUP((U$2-$F$2)/COUNTA($F$10:$F$16),0)-1)*COUNTA('הספק נוסף נדרש'!$C$6:$J$6),FALSE))</f>
        <v>0</v>
      </c>
      <c r="V60" s="138">
        <f ca="1">IF(OR($F60&gt;MAX('הנחות עבודה'!$B$69:$B$89),$F60&gt;$D$5),0,VLOOKUP($F60,'הספק נוסף נדרש'!$B$8:$AX$28,MATCH(V$49,'הספק נוסף נדרש'!$B$6:$AX$6,0)+(ROUNDUP((V$2-$F$2)/COUNTA($F$10:$F$16),0)-1)*COUNTA('הספק נוסף נדרש'!$C$6:$J$6),FALSE))</f>
        <v>5</v>
      </c>
      <c r="W60" s="138">
        <f ca="1">IF(OR($F60&gt;MAX('הנחות עבודה'!$B$69:$B$89),$F60&gt;$D$5),0,VLOOKUP($F60,'הספק נוסף נדרש'!$B$8:$AX$28,MATCH(W$49,'הספק נוסף נדרש'!$B$6:$AX$6,0)+(ROUNDUP((W$2-$F$2)/COUNTA($F$10:$F$16),0)-1)*COUNTA('הספק נוסף נדרש'!$C$6:$J$6),FALSE))</f>
        <v>0</v>
      </c>
      <c r="X60" s="79">
        <f ca="1">IF(OR($F60&gt;MAX('הנחות עבודה'!$B$69:$B$89),$F60&gt;$D$5),0,VLOOKUP($F60,'הספק נוסף נדרש'!$B$8:$AX$28,MATCH(X$49,'הספק נוסף נדרש'!$B$6:$AX$6,0)+(ROUNDUP((X$2-$F$2)/COUNTA($F$10:$F$16),0)-1)*COUNTA('הספק נוסף נדרש'!$C$6:$J$6),FALSE))</f>
        <v>0</v>
      </c>
      <c r="Y60" s="74">
        <f ca="1">IF(OR($F60&gt;MAX('הנחות עבודה'!$B$69:$B$89),$F60&gt;$D$5),0,VLOOKUP($F60,'הספק נוסף נדרש'!$B$8:$AX$28,MATCH(Y$49,'הספק נוסף נדרש'!$B$6:$AX$6,0)+(ROUNDUP((Y$2-$F$2)/COUNTA($F$10:$F$16),0)-1)*COUNTA('הספק נוסף נדרש'!$C$6:$J$6),FALSE))</f>
        <v>0</v>
      </c>
      <c r="Z60" s="136">
        <f ca="1">IF(OR($F60&gt;MAX('הנחות עבודה'!$B$69:$B$89),$F60&gt;$D$5),0,VLOOKUP($F60,'הספק נוסף נדרש'!$B$8:$AX$28,MATCH(Z$49,'הספק נוסף נדרש'!$B$6:$AX$6,0)+(ROUNDUP((Z$2-$F$2)/COUNTA($F$10:$F$16),0)-1)*COUNTA('הספק נוסף נדרש'!$C$6:$J$6),FALSE))</f>
        <v>1314.770052156533</v>
      </c>
      <c r="AA60" s="136">
        <f ca="1">IF(OR($F60&gt;MAX('הנחות עבודה'!$B$69:$B$89),$F60&gt;$D$5),0,VLOOKUP($F60,'הספק נוסף נדרש'!$B$8:$AX$28,MATCH(AA$49,'הספק נוסף נדרש'!$B$6:$AX$6,0)+(ROUNDUP((AA$2-$F$2)/COUNTA($F$10:$F$16),0)-1)*COUNTA('הספק נוסף נדרש'!$C$6:$J$6),FALSE))</f>
        <v>0</v>
      </c>
      <c r="AB60" s="136">
        <f ca="1">IF(OR($F60&gt;MAX('הנחות עבודה'!$B$69:$B$89),$F60&gt;$D$5),0,VLOOKUP($F60,'הספק נוסף נדרש'!$B$8:$AX$28,MATCH(AB$49,'הספק נוסף נדרש'!$B$6:$AX$6,0)+(ROUNDUP((AB$2-$F$2)/COUNTA($F$10:$F$16),0)-1)*COUNTA('הספק נוסף נדרש'!$C$6:$J$6),FALSE))</f>
        <v>5</v>
      </c>
      <c r="AC60" s="136">
        <f ca="1">IF(OR($F60&gt;MAX('הנחות עבודה'!$B$69:$B$89),$F60&gt;$D$5),0,VLOOKUP($F60,'הספק נוסף נדרש'!$B$8:$AX$28,MATCH(AC$49,'הספק נוסף נדרש'!$B$6:$AX$6,0)+(ROUNDUP((AC$2-$F$2)/COUNTA($F$10:$F$16),0)-1)*COUNTA('הספק נוסף נדרש'!$C$6:$J$6),FALSE))</f>
        <v>0</v>
      </c>
      <c r="AD60" s="136">
        <f ca="1">IF(OR($F60&gt;MAX('הנחות עבודה'!$B$69:$B$89),$F60&gt;$D$5),0,VLOOKUP($F60,'הספק נוסף נדרש'!$B$8:$AX$28,MATCH(AD$49,'הספק נוסף נדרש'!$B$6:$AX$6,0)+(ROUNDUP((AD$2-$F$2)/COUNTA($F$10:$F$16),0)-1)*COUNTA('הספק נוסף נדרש'!$C$6:$J$6),FALSE))</f>
        <v>0</v>
      </c>
      <c r="AE60" s="79">
        <f ca="1">IF(OR($F60&gt;MAX('הנחות עבודה'!$B$69:$B$89),$F60&gt;$D$5),0,VLOOKUP($F60,'הספק נוסף נדרש'!$B$8:$AX$28,MATCH(AE$49,'הספק נוסף נדרש'!$B$6:$AX$6,0)+(ROUNDUP((AE$2-$F$2)/COUNTA($F$10:$F$16),0)-1)*COUNTA('הספק נוסף נדרש'!$C$6:$J$6),FALSE))</f>
        <v>1698.5273571395901</v>
      </c>
      <c r="AF60" s="138">
        <f ca="1">IF(OR($F60&gt;MAX('הנחות עבודה'!$B$69:$B$89),$F60&gt;$D$5),0,VLOOKUP($F60,'הספק נוסף נדרש'!$B$8:$AX$28,MATCH(AF$49,'הספק נוסף נדרש'!$B$6:$AX$6,0)+(ROUNDUP((AF$2-$F$2)/COUNTA($F$10:$F$16),0)-1)*COUNTA('הספק נוסף נדרש'!$C$6:$J$6),FALSE))</f>
        <v>0</v>
      </c>
      <c r="AG60" s="138">
        <f ca="1">IF(OR($F60&gt;MAX('הנחות עבודה'!$B$69:$B$89),$F60&gt;$D$5),0,VLOOKUP($F60,'הספק נוסף נדרש'!$B$8:$AX$28,MATCH(AG$49,'הספק נוסף נדרש'!$B$6:$AX$6,0)+(ROUNDUP((AG$2-$F$2)/COUNTA($F$10:$F$16),0)-1)*COUNTA('הספק נוסף נדרש'!$C$6:$J$6),FALSE))</f>
        <v>0</v>
      </c>
      <c r="AH60" s="138">
        <f ca="1">IF(OR($F60&gt;MAX('הנחות עבודה'!$B$69:$B$89),$F60&gt;$D$5),0,VLOOKUP($F60,'הספק נוסף נדרש'!$B$8:$AX$28,MATCH(AH$49,'הספק נוסף נדרש'!$B$6:$AX$6,0)+(ROUNDUP((AH$2-$F$2)/COUNTA($F$10:$F$16),0)-1)*COUNTA('הספק נוסף נדרש'!$C$6:$J$6),FALSE))</f>
        <v>5</v>
      </c>
      <c r="AI60" s="138">
        <f ca="1">IF(OR($F60&gt;MAX('הנחות עבודה'!$B$69:$B$89),$F60&gt;$D$5),0,VLOOKUP($F60,'הספק נוסף נדרש'!$B$8:$AX$28,MATCH(AI$49,'הספק נוסף נדרש'!$B$6:$AX$6,0)+(ROUNDUP((AI$2-$F$2)/COUNTA($F$10:$F$16),0)-1)*COUNTA('הספק נוסף נדרש'!$C$6:$J$6),FALSE))</f>
        <v>0</v>
      </c>
      <c r="AJ60" s="79">
        <f ca="1">IF(OR($F60&gt;MAX('הנחות עבודה'!$B$69:$B$89),$F60&gt;$D$5),0,VLOOKUP($F60,'הספק נוסף נדרש'!$B$8:$AX$28,MATCH(AJ$49,'הספק נוסף נדרש'!$B$6:$AX$6,0)+(ROUNDUP((AJ$2-$F$2)/COUNTA($F$10:$F$16),0)-1)*COUNTA('הספק נוסף נדרש'!$C$6:$J$6),FALSE))</f>
        <v>0</v>
      </c>
      <c r="AK60" s="74">
        <f ca="1">IF(OR($F60&gt;MAX('הנחות עבודה'!$B$69:$B$89),$F60&gt;$D$5),0,VLOOKUP($F60,'הספק נוסף נדרש'!$B$8:$AX$28,MATCH(AK$49,'הספק נוסף נדרש'!$B$6:$AX$6,0)+(ROUNDUP((AK$2-$F$2)/COUNTA($F$10:$F$16),0)-1)*COUNTA('הספק נוסף נדרש'!$C$6:$J$6),FALSE))</f>
        <v>0</v>
      </c>
      <c r="AL60" s="136">
        <f ca="1">IF(OR($F60&gt;MAX('הנחות עבודה'!$B$69:$B$89),$F60&gt;$D$5),0,VLOOKUP($F60,'הספק נוסף נדרש'!$B$8:$AX$28,MATCH(AL$49,'הספק נוסף נדרש'!$B$6:$AX$6,0)+(ROUNDUP((AL$2-$F$2)/COUNTA($F$10:$F$16),0)-1)*COUNTA('הספק נוסף נדרש'!$C$6:$J$6),FALSE))</f>
        <v>1698.5273571395901</v>
      </c>
      <c r="AM60" s="136">
        <f ca="1">IF(OR($F60&gt;MAX('הנחות עבודה'!$B$69:$B$89),$F60&gt;$D$5),0,VLOOKUP($F60,'הספק נוסף נדרש'!$B$8:$AX$28,MATCH(AM$49,'הספק נוסף נדרש'!$B$6:$AX$6,0)+(ROUNDUP((AM$2-$F$2)/COUNTA($F$10:$F$16),0)-1)*COUNTA('הספק נוסף נדרש'!$C$6:$J$6),FALSE))</f>
        <v>0</v>
      </c>
      <c r="AN60" s="136">
        <f ca="1">IF(OR($F60&gt;MAX('הנחות עבודה'!$B$69:$B$89),$F60&gt;$D$5),0,VLOOKUP($F60,'הספק נוסף נדרש'!$B$8:$AX$28,MATCH(AN$49,'הספק נוסף נדרש'!$B$6:$AX$6,0)+(ROUNDUP((AN$2-$F$2)/COUNTA($F$10:$F$16),0)-1)*COUNTA('הספק נוסף נדרש'!$C$6:$J$6),FALSE))</f>
        <v>5</v>
      </c>
      <c r="AO60" s="136">
        <f ca="1">IF(OR($F60&gt;MAX('הנחות עבודה'!$B$69:$B$89),$F60&gt;$D$5),0,VLOOKUP($F60,'הספק נוסף נדרש'!$B$8:$AX$28,MATCH(AO$49,'הספק נוסף נדרש'!$B$6:$AX$6,0)+(ROUNDUP((AO$2-$F$2)/COUNTA($F$10:$F$16),0)-1)*COUNTA('הספק נוסף נדרש'!$C$6:$J$6),FALSE))</f>
        <v>0</v>
      </c>
      <c r="AP60" s="136">
        <f ca="1">IF(OR($F60&gt;MAX('הנחות עבודה'!$B$69:$B$89),$F60&gt;$D$5),0,VLOOKUP($F60,'הספק נוסף נדרש'!$B$8:$AX$28,MATCH(AP$49,'הספק נוסף נדרש'!$B$6:$AX$6,0)+(ROUNDUP((AP$2-$F$2)/COUNTA($F$10:$F$16),0)-1)*COUNTA('הספק נוסף נדרש'!$C$6:$J$6),FALSE))</f>
        <v>0</v>
      </c>
      <c r="AQ60" s="9"/>
      <c r="AR60" s="10">
        <f t="shared" si="313"/>
        <v>2030</v>
      </c>
      <c r="AS60" s="79">
        <f ca="1">HLOOKUP(AS$49,$G$24:$L$45,COUNTA($F$25:$F35)+1,FALSE)*G60*$D$7/$D$8</f>
        <v>1764.7063582496892</v>
      </c>
      <c r="AT60" s="138">
        <f ca="1">HLOOKUP(AT$49,$G$24:$L$45,COUNTA($F$25:$F35)+1,FALSE)*H60*$D$7/$D$8</f>
        <v>0</v>
      </c>
      <c r="AU60" s="138">
        <f ca="1">HLOOKUP(AU$49,$G$24:$L$45,COUNTA($F$25:$F35)+1,FALSE)*I60*$D$7/$D$8</f>
        <v>0</v>
      </c>
      <c r="AV60" s="138">
        <f ca="1">HLOOKUP(AV$49,$G$24:$L$45,COUNTA($F$25:$F35)+1,FALSE)*J60*$D$7/$D$8</f>
        <v>18.501992733288201</v>
      </c>
      <c r="AW60" s="138">
        <f ca="1">HLOOKUP(AW$49,$G$24:$L$45,COUNTA($F$25:$F35)+1,FALSE)*K60*$D$7/$D$8</f>
        <v>0</v>
      </c>
      <c r="AX60" s="79">
        <f ca="1">HLOOKUP(AX$49,$G$24:$L$45,COUNTA($F$25:$F35)+1,FALSE)*L60*$D$7/$D$8</f>
        <v>0</v>
      </c>
      <c r="AY60" s="74">
        <f ca="1">HLOOKUP(AY$49,$G$24:$L$45,COUNTA($F$25:$F35)+1,FALSE)*M60*$D$7/$D$8</f>
        <v>0</v>
      </c>
      <c r="AZ60" s="136">
        <f ca="1">HLOOKUP(AZ$49,$G$24:$L$45,COUNTA($F$25:$F35)+1,FALSE)*N60*$D$7/$D$8</f>
        <v>2001.5305200684923</v>
      </c>
      <c r="BA60" s="136">
        <f ca="1">HLOOKUP(BA$49,$G$24:$L$45,COUNTA($F$25:$F35)+1,FALSE)*O60*$D$7/$D$8</f>
        <v>0</v>
      </c>
      <c r="BB60" s="136">
        <f ca="1">HLOOKUP(BB$49,$G$24:$L$45,COUNTA($F$25:$F35)+1,FALSE)*P60*$D$7/$D$8</f>
        <v>18.501992733288201</v>
      </c>
      <c r="BC60" s="136">
        <f ca="1">HLOOKUP(BC$49,$G$24:$L$45,COUNTA($F$25:$F35)+1,FALSE)*Q60*$D$7/$D$8</f>
        <v>0</v>
      </c>
      <c r="BD60" s="136">
        <f ca="1">HLOOKUP(BD$49,$G$24:$L$45,COUNTA($F$25:$F35)+1,FALSE)*R60*$D$7/$D$8</f>
        <v>0</v>
      </c>
      <c r="BE60" s="79">
        <f ca="1">HLOOKUP(BE$49,$G$24:$L$45,COUNTA($F$25:$F35)+1,FALSE)*S60*$D$7/$D$8</f>
        <v>3060.8948620097458</v>
      </c>
      <c r="BF60" s="138">
        <f ca="1">HLOOKUP(BF$49,$G$24:$L$45,COUNTA($F$25:$F35)+1,FALSE)*T60*$D$7/$D$8</f>
        <v>0</v>
      </c>
      <c r="BG60" s="138">
        <f ca="1">HLOOKUP(BG$49,$G$24:$L$45,COUNTA($F$25:$F35)+1,FALSE)*U60*$D$7/$D$8</f>
        <v>0</v>
      </c>
      <c r="BH60" s="138">
        <f ca="1">HLOOKUP(BH$49,$G$24:$L$45,COUNTA($F$25:$F35)+1,FALSE)*V60*$D$7/$D$8</f>
        <v>18.501992733288201</v>
      </c>
      <c r="BI60" s="138">
        <f ca="1">HLOOKUP(BI$49,$G$24:$L$45,COUNTA($F$25:$F35)+1,FALSE)*W60*$D$7/$D$8</f>
        <v>0</v>
      </c>
      <c r="BJ60" s="79">
        <f ca="1">HLOOKUP(BJ$49,$G$24:$L$45,COUNTA($F$25:$F35)+1,FALSE)*X60*$D$7/$D$8</f>
        <v>0</v>
      </c>
      <c r="BK60" s="74">
        <f ca="1">HLOOKUP(BK$49,$G$24:$L$45,COUNTA($F$25:$F35)+1,FALSE)*Y60*$D$7/$D$8</f>
        <v>0</v>
      </c>
      <c r="BL60" s="136">
        <f ca="1">HLOOKUP(BL$49,$G$24:$L$45,COUNTA($F$25:$F35)+1,FALSE)*Z60*$D$7/$D$8</f>
        <v>3471.6679386307878</v>
      </c>
      <c r="BM60" s="136">
        <f ca="1">HLOOKUP(BM$49,$G$24:$L$45,COUNTA($F$25:$F35)+1,FALSE)*AA60*$D$7/$D$8</f>
        <v>0</v>
      </c>
      <c r="BN60" s="136">
        <f ca="1">HLOOKUP(BN$49,$G$24:$L$45,COUNTA($F$25:$F35)+1,FALSE)*AB60*$D$7/$D$8</f>
        <v>18.501992733288201</v>
      </c>
      <c r="BO60" s="136">
        <f ca="1">HLOOKUP(BO$49,$G$24:$L$45,COUNTA($F$25:$F35)+1,FALSE)*AC60*$D$7/$D$8</f>
        <v>0</v>
      </c>
      <c r="BP60" s="136">
        <f ca="1">HLOOKUP(BP$49,$G$24:$L$45,COUNTA($F$25:$F35)+1,FALSE)*AD60*$D$7/$D$8</f>
        <v>0</v>
      </c>
      <c r="BQ60" s="79">
        <f ca="1">HLOOKUP(BQ$49,$G$24:$L$45,COUNTA($F$25:$F35)+1,FALSE)*AE60*$D$7/$D$8</f>
        <v>3954.3140277069401</v>
      </c>
      <c r="BR60" s="138">
        <f ca="1">HLOOKUP(BR$49,$G$24:$L$45,COUNTA($F$25:$F35)+1,FALSE)*AF60*$D$7/$D$8</f>
        <v>0</v>
      </c>
      <c r="BS60" s="138">
        <f ca="1">HLOOKUP(BS$49,$G$24:$L$45,COUNTA($F$25:$F35)+1,FALSE)*AG60*$D$7/$D$8</f>
        <v>0</v>
      </c>
      <c r="BT60" s="138">
        <f ca="1">HLOOKUP(BT$49,$G$24:$L$45,COUNTA($F$25:$F35)+1,FALSE)*AH60*$D$7/$D$8</f>
        <v>18.501992733288201</v>
      </c>
      <c r="BU60" s="138">
        <f ca="1">HLOOKUP(BU$49,$G$24:$L$45,COUNTA($F$25:$F35)+1,FALSE)*AI60*$D$7/$D$8</f>
        <v>0</v>
      </c>
      <c r="BV60" s="79">
        <f ca="1">HLOOKUP(BV$49,$G$24:$L$45,COUNTA($F$25:$F35)+1,FALSE)*AJ60*$D$7/$D$8</f>
        <v>0</v>
      </c>
      <c r="BW60" s="74">
        <f ca="1">HLOOKUP(BW$49,$G$24:$L$45,COUNTA($F$25:$F35)+1,FALSE)*AK60*$D$7/$D$8</f>
        <v>0</v>
      </c>
      <c r="BX60" s="136">
        <f ca="1">HLOOKUP(BX$49,$G$24:$L$45,COUNTA($F$25:$F35)+1,FALSE)*AL60*$D$7/$D$8</f>
        <v>4484.9842442005611</v>
      </c>
      <c r="BY60" s="136">
        <f ca="1">HLOOKUP(BY$49,$G$24:$L$45,COUNTA($F$25:$F35)+1,FALSE)*AM60*$D$7/$D$8</f>
        <v>0</v>
      </c>
      <c r="BZ60" s="136">
        <f ca="1">HLOOKUP(BZ$49,$G$24:$L$45,COUNTA($F$25:$F35)+1,FALSE)*AN60*$D$7/$D$8</f>
        <v>18.501992733288201</v>
      </c>
      <c r="CA60" s="136">
        <f ca="1">HLOOKUP(CA$49,$G$24:$L$45,COUNTA($F$25:$F35)+1,FALSE)*AO60*$D$7/$D$8</f>
        <v>0</v>
      </c>
      <c r="CB60" s="739">
        <f ca="1">HLOOKUP(CB$49,$G$24:$L$45,COUNTA($F$25:$F35)+1,FALSE)*AP60*$D$7/$D$8</f>
        <v>0</v>
      </c>
      <c r="CD60" s="10">
        <f t="shared" si="314"/>
        <v>2030</v>
      </c>
      <c r="CE60" s="85">
        <f t="shared" ca="1" si="240"/>
        <v>1072.8415146359366</v>
      </c>
      <c r="CF60" s="147">
        <f t="shared" ca="1" si="241"/>
        <v>0</v>
      </c>
      <c r="CG60" s="147">
        <f t="shared" ca="1" si="242"/>
        <v>216.27952515046442</v>
      </c>
      <c r="CH60" s="147">
        <f t="shared" ca="1" si="243"/>
        <v>19.606169426540287</v>
      </c>
      <c r="CI60" s="147">
        <f t="shared" ca="1" si="244"/>
        <v>0</v>
      </c>
      <c r="CJ60" s="85">
        <f t="shared" ca="1" si="245"/>
        <v>0</v>
      </c>
      <c r="CK60" s="151">
        <f t="shared" ca="1" si="246"/>
        <v>0</v>
      </c>
      <c r="CL60" s="102">
        <f t="shared" ca="1" si="247"/>
        <v>1330.100333878547</v>
      </c>
      <c r="CM60" s="102">
        <f t="shared" ca="1" si="248"/>
        <v>216.27952515046442</v>
      </c>
      <c r="CN60" s="102">
        <f t="shared" ca="1" si="249"/>
        <v>19.606169426540287</v>
      </c>
      <c r="CO60" s="102">
        <f t="shared" ca="1" si="250"/>
        <v>0</v>
      </c>
      <c r="CP60" s="151">
        <f t="shared" ca="1" si="251"/>
        <v>0</v>
      </c>
      <c r="CQ60" s="85">
        <f t="shared" ca="1" si="252"/>
        <v>1875.8411079969287</v>
      </c>
      <c r="CR60" s="147">
        <f t="shared" ca="1" si="253"/>
        <v>0</v>
      </c>
      <c r="CS60" s="147">
        <f t="shared" ca="1" si="254"/>
        <v>216.27952515046442</v>
      </c>
      <c r="CT60" s="147">
        <f t="shared" ca="1" si="255"/>
        <v>19.606169426540287</v>
      </c>
      <c r="CU60" s="147">
        <f t="shared" ca="1" si="256"/>
        <v>0</v>
      </c>
      <c r="CV60" s="85">
        <f t="shared" ca="1" si="257"/>
        <v>0</v>
      </c>
      <c r="CW60" s="151">
        <f t="shared" ca="1" si="258"/>
        <v>0</v>
      </c>
      <c r="CX60" s="102">
        <f t="shared" ca="1" si="259"/>
        <v>2329.6222224771814</v>
      </c>
      <c r="CY60" s="102">
        <f t="shared" ca="1" si="260"/>
        <v>216.27952515046442</v>
      </c>
      <c r="CZ60" s="102">
        <f t="shared" ca="1" si="261"/>
        <v>19.606169426540287</v>
      </c>
      <c r="DA60" s="102">
        <f t="shared" ca="1" si="262"/>
        <v>0</v>
      </c>
      <c r="DB60" s="151">
        <f t="shared" ca="1" si="263"/>
        <v>0</v>
      </c>
      <c r="DC60" s="85">
        <f t="shared" ca="1" si="264"/>
        <v>2372.5516075818737</v>
      </c>
      <c r="DD60" s="147">
        <f t="shared" ca="1" si="265"/>
        <v>0</v>
      </c>
      <c r="DE60" s="147">
        <f t="shared" ca="1" si="266"/>
        <v>216.27952515046442</v>
      </c>
      <c r="DF60" s="147">
        <f t="shared" ca="1" si="267"/>
        <v>19.606169426540287</v>
      </c>
      <c r="DG60" s="147">
        <f t="shared" ca="1" si="268"/>
        <v>0</v>
      </c>
      <c r="DH60" s="85">
        <f t="shared" ca="1" si="269"/>
        <v>0</v>
      </c>
      <c r="DI60" s="151">
        <f t="shared" ca="1" si="270"/>
        <v>0</v>
      </c>
      <c r="DJ60" s="102">
        <f t="shared" ca="1" si="271"/>
        <v>2948.2575202218331</v>
      </c>
      <c r="DK60" s="102">
        <f t="shared" ca="1" si="272"/>
        <v>216.27952515046442</v>
      </c>
      <c r="DL60" s="102">
        <f t="shared" ca="1" si="273"/>
        <v>19.606169426540287</v>
      </c>
      <c r="DM60" s="102">
        <f t="shared" ca="1" si="274"/>
        <v>0</v>
      </c>
      <c r="DN60" s="564">
        <f t="shared" ca="1" si="275"/>
        <v>0</v>
      </c>
      <c r="DP60" s="10">
        <f t="shared" si="315"/>
        <v>2030</v>
      </c>
      <c r="DQ60" s="85">
        <f t="shared" ca="1" si="276"/>
        <v>346.43926141557102</v>
      </c>
      <c r="DR60" s="147">
        <f t="shared" ca="1" si="277"/>
        <v>0</v>
      </c>
      <c r="DS60" s="147">
        <f t="shared" ca="1" si="278"/>
        <v>61.350712925538716</v>
      </c>
      <c r="DT60" s="147">
        <f t="shared" ca="1" si="279"/>
        <v>6.4807091118526818</v>
      </c>
      <c r="DU60" s="147">
        <f t="shared" ca="1" si="280"/>
        <v>0</v>
      </c>
      <c r="DV60" s="85">
        <f t="shared" ca="1" si="281"/>
        <v>0</v>
      </c>
      <c r="DW60" s="151">
        <f t="shared" ca="1" si="282"/>
        <v>0</v>
      </c>
      <c r="DX60" s="102">
        <f t="shared" ca="1" si="283"/>
        <v>394.23058597629023</v>
      </c>
      <c r="DY60" s="102">
        <f t="shared" ca="1" si="284"/>
        <v>61.350712925538716</v>
      </c>
      <c r="DZ60" s="102">
        <f t="shared" ca="1" si="285"/>
        <v>6.4807091118526818</v>
      </c>
      <c r="EA60" s="102">
        <f t="shared" ca="1" si="286"/>
        <v>0</v>
      </c>
      <c r="EB60" s="151">
        <f t="shared" ca="1" si="287"/>
        <v>0</v>
      </c>
      <c r="EC60" s="85">
        <f t="shared" ca="1" si="288"/>
        <v>616.2052651814364</v>
      </c>
      <c r="ED60" s="147">
        <f t="shared" ca="1" si="289"/>
        <v>0</v>
      </c>
      <c r="EE60" s="147">
        <f t="shared" ca="1" si="290"/>
        <v>61.350712925538716</v>
      </c>
      <c r="EF60" s="147">
        <f t="shared" ca="1" si="291"/>
        <v>6.4807091118526818</v>
      </c>
      <c r="EG60" s="147">
        <f t="shared" ca="1" si="292"/>
        <v>0</v>
      </c>
      <c r="EH60" s="85">
        <f t="shared" ca="1" si="293"/>
        <v>0</v>
      </c>
      <c r="EI60" s="151">
        <f t="shared" ca="1" si="294"/>
        <v>0</v>
      </c>
      <c r="EJ60" s="102">
        <f t="shared" ca="1" si="295"/>
        <v>701.21083211394455</v>
      </c>
      <c r="EK60" s="102">
        <f t="shared" ca="1" si="296"/>
        <v>61.350712925538716</v>
      </c>
      <c r="EL60" s="102">
        <f t="shared" ca="1" si="297"/>
        <v>6.4807091118526818</v>
      </c>
      <c r="EM60" s="102">
        <f t="shared" ca="1" si="298"/>
        <v>0</v>
      </c>
      <c r="EN60" s="151">
        <f t="shared" ca="1" si="299"/>
        <v>0</v>
      </c>
      <c r="EO60" s="85">
        <f t="shared" ca="1" si="300"/>
        <v>784.54004761148781</v>
      </c>
      <c r="EP60" s="145">
        <f t="shared" ca="1" si="301"/>
        <v>0</v>
      </c>
      <c r="EQ60" s="145">
        <f t="shared" ca="1" si="302"/>
        <v>61.350712925538716</v>
      </c>
      <c r="ER60" s="145">
        <f t="shared" ca="1" si="303"/>
        <v>6.4807091118526818</v>
      </c>
      <c r="ES60" s="145">
        <f t="shared" ca="1" si="304"/>
        <v>0</v>
      </c>
      <c r="ET60" s="85">
        <f t="shared" ca="1" si="305"/>
        <v>0</v>
      </c>
      <c r="EU60" s="102">
        <f t="shared" ca="1" si="306"/>
        <v>0</v>
      </c>
      <c r="EV60" s="102">
        <f t="shared" ca="1" si="307"/>
        <v>892.76741160331449</v>
      </c>
      <c r="EW60" s="102">
        <f t="shared" ca="1" si="308"/>
        <v>61.350712925538716</v>
      </c>
      <c r="EX60" s="102">
        <f t="shared" ca="1" si="309"/>
        <v>6.4807091118526818</v>
      </c>
      <c r="EY60" s="102">
        <f t="shared" ca="1" si="310"/>
        <v>0</v>
      </c>
      <c r="EZ60" s="564">
        <f t="shared" ca="1" si="311"/>
        <v>0</v>
      </c>
      <c r="FB60" s="10">
        <f t="shared" si="316"/>
        <v>2030</v>
      </c>
      <c r="FC60" s="85">
        <f ca="1">HLOOKUP(FC$49,$O$24:$T$45,COUNTA($N$25:$N35)+1,FALSE)*G60*$D$7/$D$8</f>
        <v>42.079064627259193</v>
      </c>
      <c r="FD60" s="147">
        <f ca="1">HLOOKUP(FD$49,$O$24:$T$45,COUNTA($N$25:$N35)+1,FALSE)*H60*$D$7/$D$8</f>
        <v>0</v>
      </c>
      <c r="FE60" s="147">
        <f ca="1">HLOOKUP(FE$49,$O$24:$T$45,COUNTA($N$25:$N35)+1,FALSE)*I60*$D$7/$D$8</f>
        <v>0</v>
      </c>
      <c r="FF60" s="147">
        <f ca="1">HLOOKUP(FF$49,$O$24:$T$45,COUNTA($N$25:$N35)+1,FALSE)*J60*$D$7/$D$8</f>
        <v>0.43204727412351213</v>
      </c>
      <c r="FG60" s="147">
        <f ca="1">HLOOKUP(FG$49,$O$24:$T$45,COUNTA($N$25:$N35)+1,FALSE)*K60*$D$7/$D$8</f>
        <v>0</v>
      </c>
      <c r="FH60" s="85">
        <f ca="1">HLOOKUP(FH$49,$O$24:$T$45,COUNTA($N$25:$N35)+1,FALSE)*L60*$D$7/$D$8</f>
        <v>0</v>
      </c>
      <c r="FI60" s="151">
        <f ca="1">HLOOKUP(FI$49,$O$24:$T$45,COUNTA($N$25:$N35)+1,FALSE)*M60*$D$7/$D$8</f>
        <v>0</v>
      </c>
      <c r="FJ60" s="153">
        <f ca="1">HLOOKUP(FJ$49,$O$24:$T$45,COUNTA($N$25:$N35)+1,FALSE)*N60*$D$7/$D$8</f>
        <v>47.883875047982578</v>
      </c>
      <c r="FK60" s="153">
        <f ca="1">HLOOKUP(FK$49,$O$24:$T$45,COUNTA($N$25:$N35)+1,FALSE)*O60*$D$7/$D$8</f>
        <v>0</v>
      </c>
      <c r="FL60" s="153">
        <f ca="1">HLOOKUP(FL$49,$O$24:$T$45,COUNTA($N$25:$N35)+1,FALSE)*P60*$D$7/$D$8</f>
        <v>0.43204727412351213</v>
      </c>
      <c r="FM60" s="153">
        <f ca="1">HLOOKUP(FM$49,$O$24:$T$45,COUNTA($N$25:$N35)+1,FALSE)*Q60*$D$7/$D$8</f>
        <v>0</v>
      </c>
      <c r="FN60" s="151">
        <f ca="1">HLOOKUP(FN$49,$O$24:$T$45,COUNTA($N$25:$N35)+1,FALSE)*R60*$D$7/$D$8</f>
        <v>0</v>
      </c>
      <c r="FO60" s="85">
        <f ca="1">HLOOKUP(FO$49,$O$24:$T$45,COUNTA($N$25:$N35)+1,FALSE)*S60*$D$7/$D$8</f>
        <v>72.986416189661512</v>
      </c>
      <c r="FP60" s="147">
        <f ca="1">HLOOKUP(FP$49,$O$24:$T$45,COUNTA($N$25:$N35)+1,FALSE)*T60*$D$7/$D$8</f>
        <v>0</v>
      </c>
      <c r="FQ60" s="147">
        <f ca="1">HLOOKUP(FQ$49,$O$24:$T$45,COUNTA($N$25:$N35)+1,FALSE)*U60*$D$7/$D$8</f>
        <v>0</v>
      </c>
      <c r="FR60" s="147">
        <f ca="1">HLOOKUP(FR$49,$O$24:$T$45,COUNTA($N$25:$N35)+1,FALSE)*V60*$D$7/$D$8</f>
        <v>0.43204727412351213</v>
      </c>
      <c r="FS60" s="147">
        <f ca="1">HLOOKUP(FS$49,$O$24:$T$45,COUNTA($N$25:$N35)+1,FALSE)*W60*$D$7/$D$8</f>
        <v>0</v>
      </c>
      <c r="FT60" s="85">
        <f ca="1">HLOOKUP(FT$49,$O$24:$T$45,COUNTA($N$25:$N35)+1,FALSE)*X60*$D$7/$D$8</f>
        <v>0</v>
      </c>
      <c r="FU60" s="151">
        <f ca="1">HLOOKUP(FU$49,$O$24:$T$45,COUNTA($N$25:$N35)+1,FALSE)*Y60*$D$7/$D$8</f>
        <v>0</v>
      </c>
      <c r="FV60" s="153">
        <f ca="1">HLOOKUP(FV$49,$O$24:$T$45,COUNTA($N$25:$N35)+1,FALSE)*Z60*$D$7/$D$8</f>
        <v>83.054898296427311</v>
      </c>
      <c r="FW60" s="153">
        <f ca="1">HLOOKUP(FW$49,$O$24:$T$45,COUNTA($N$25:$N35)+1,FALSE)*AA60*$D$7/$D$8</f>
        <v>0</v>
      </c>
      <c r="FX60" s="153">
        <f ca="1">HLOOKUP(FX$49,$O$24:$T$45,COUNTA($N$25:$N35)+1,FALSE)*AB60*$D$7/$D$8</f>
        <v>0.43204727412351213</v>
      </c>
      <c r="FY60" s="153">
        <f ca="1">HLOOKUP(FY$49,$O$24:$T$45,COUNTA($N$25:$N35)+1,FALSE)*AC60*$D$7/$D$8</f>
        <v>0</v>
      </c>
      <c r="FZ60" s="151">
        <f ca="1">HLOOKUP(FZ$49,$O$24:$T$45,COUNTA($N$25:$N35)+1,FALSE)*AD60*$D$7/$D$8</f>
        <v>0</v>
      </c>
      <c r="GA60" s="85">
        <f ca="1">HLOOKUP(GA$49,$O$24:$T$45,COUNTA($N$25:$N35)+1,FALSE)*AE60*$D$7/$D$8</f>
        <v>94.289814705147009</v>
      </c>
      <c r="GB60" s="147">
        <f ca="1">HLOOKUP(GB$49,$O$24:$T$45,COUNTA($N$25:$N35)+1,FALSE)*AF60*$D$7/$D$8</f>
        <v>0</v>
      </c>
      <c r="GC60" s="147">
        <f ca="1">HLOOKUP(GC$49,$O$24:$T$45,COUNTA($N$25:$N35)+1,FALSE)*AG60*$D$7/$D$8</f>
        <v>0</v>
      </c>
      <c r="GD60" s="147">
        <f ca="1">HLOOKUP(GD$49,$O$24:$T$45,COUNTA($N$25:$N35)+1,FALSE)*AH60*$D$7/$D$8</f>
        <v>0.43204727412351213</v>
      </c>
      <c r="GE60" s="147">
        <f ca="1">HLOOKUP(GE$49,$O$24:$T$45,COUNTA($N$25:$N35)+1,FALSE)*AI60*$D$7/$D$8</f>
        <v>0</v>
      </c>
      <c r="GF60" s="85">
        <f ca="1">HLOOKUP(GF$49,$O$24:$T$45,COUNTA($N$25:$N35)+1,FALSE)*AJ60*$D$7/$D$8</f>
        <v>0</v>
      </c>
      <c r="GG60" s="151">
        <f ca="1">HLOOKUP(GG$49,$O$24:$T$45,COUNTA($N$25:$N35)+1,FALSE)*AK60*$D$7/$D$8</f>
        <v>0</v>
      </c>
      <c r="GH60" s="153">
        <f ca="1">HLOOKUP(GH$49,$O$24:$T$45,COUNTA($N$25:$N35)+1,FALSE)*AL60*$D$7/$D$8</f>
        <v>107.29710238648835</v>
      </c>
      <c r="GI60" s="153">
        <f ca="1">HLOOKUP(GI$49,$O$24:$T$45,COUNTA($N$25:$N35)+1,FALSE)*AM60*$D$7/$D$8</f>
        <v>0</v>
      </c>
      <c r="GJ60" s="153">
        <f ca="1">HLOOKUP(GJ$49,$O$24:$T$45,COUNTA($N$25:$N35)+1,FALSE)*AN60*$D$7/$D$8</f>
        <v>0.43204727412351213</v>
      </c>
      <c r="GK60" s="153">
        <f ca="1">HLOOKUP(GK$49,$O$24:$T$45,COUNTA($N$25:$N35)+1,FALSE)*AO60*$D$7/$D$8</f>
        <v>0</v>
      </c>
      <c r="GL60" s="564">
        <f ca="1">HLOOKUP(GL$49,$O$24:$T$45,COUNTA($N$25:$N35)+1,FALSE)*AP60*$D$7/$D$8</f>
        <v>0</v>
      </c>
    </row>
    <row r="61" spans="6:194">
      <c r="F61" s="10">
        <f t="shared" si="317"/>
        <v>2031</v>
      </c>
      <c r="G61" s="79">
        <f ca="1">IF(OR($F61&gt;MAX('הנחות עבודה'!$B$69:$B$89),$F61&gt;$D$5),0,VLOOKUP($F61,'הספק נוסף נדרש'!$B$8:$AX$28,MATCH(G$49,'הספק נוסף נדרש'!$B$6:$AX$6,0)+(ROUNDUP((G$2-$F$2)/COUNTA($F$10:$F$16),0)-1)*COUNTA('הספק נוסף נדרש'!$C$6:$J$6),FALSE))</f>
        <v>0</v>
      </c>
      <c r="H61" s="138">
        <f ca="1">IF(OR($F61&gt;MAX('הנחות עבודה'!$B$69:$B$89),$F61&gt;$D$5),0,VLOOKUP($F61,'הספק נוסף נדרש'!$B$8:$AX$28,MATCH(H$49,'הספק נוסף נדרש'!$B$6:$AX$6,0)+(ROUNDUP((H$2-$F$2)/COUNTA($F$10:$F$16),0)-1)*COUNTA('הספק נוסף נדרש'!$C$6:$J$6),FALSE))</f>
        <v>0</v>
      </c>
      <c r="I61" s="138">
        <f ca="1">IF(OR($F61&gt;MAX('הנחות עבודה'!$B$69:$B$89),$F61&gt;$D$5),0,VLOOKUP($F61,'הספק נוסף נדרש'!$B$8:$AX$28,MATCH(I$49,'הספק נוסף נדרש'!$B$6:$AX$6,0)+(ROUNDUP((I$2-$F$2)/COUNTA($F$10:$F$16),0)-1)*COUNTA('הספק נוסף נדרש'!$C$6:$J$6),FALSE))</f>
        <v>0</v>
      </c>
      <c r="J61" s="138">
        <f ca="1">IF(OR($F61&gt;MAX('הנחות עבודה'!$B$69:$B$89),$F61&gt;$D$5),0,VLOOKUP($F61,'הספק נוסף נדרש'!$B$8:$AX$28,MATCH(J$49,'הספק נוסף נדרש'!$B$6:$AX$6,0)+(ROUNDUP((J$2-$F$2)/COUNTA($F$10:$F$16),0)-1)*COUNTA('הספק נוסף נדרש'!$C$6:$J$6),FALSE))</f>
        <v>0</v>
      </c>
      <c r="K61" s="138">
        <f ca="1">IF(OR($F61&gt;MAX('הנחות עבודה'!$B$69:$B$89),$F61&gt;$D$5),0,VLOOKUP($F61,'הספק נוסף נדרש'!$B$8:$AX$28,MATCH(K$49,'הספק נוסף נדרש'!$B$6:$AX$6,0)+(ROUNDUP((K$2-$F$2)/COUNTA($F$10:$F$16),0)-1)*COUNTA('הספק נוסף נדרש'!$C$6:$J$6),FALSE))</f>
        <v>0</v>
      </c>
      <c r="L61" s="79">
        <f ca="1">IF(OR($F61&gt;MAX('הנחות עבודה'!$B$69:$B$89),$F61&gt;$D$5),0,VLOOKUP($F61,'הספק נוסף נדרש'!$B$8:$AX$28,MATCH(L$49,'הספק נוסף נדרש'!$B$6:$AX$6,0)+(ROUNDUP((L$2-$F$2)/COUNTA($F$10:$F$16),0)-1)*COUNTA('הספק נוסף נדרש'!$C$6:$J$6),FALSE))</f>
        <v>0</v>
      </c>
      <c r="M61" s="74">
        <f ca="1">IF(OR($F61&gt;MAX('הנחות עבודה'!$B$69:$B$89),$F61&gt;$D$5),0,VLOOKUP($F61,'הספק נוסף נדרש'!$B$8:$AX$28,MATCH(M$49,'הספק נוסף נדרש'!$B$6:$AX$6,0)+(ROUNDUP((M$2-$F$2)/COUNTA($F$10:$F$16),0)-1)*COUNTA('הספק נוסף נדרש'!$C$6:$J$6),FALSE))</f>
        <v>0</v>
      </c>
      <c r="N61" s="136">
        <f ca="1">IF(OR($F61&gt;MAX('הנחות עבודה'!$B$69:$B$89),$F61&gt;$D$5),0,VLOOKUP($F61,'הספק נוסף נדרש'!$B$8:$AX$28,MATCH(N$49,'הספק נוסף נדרש'!$B$6:$AX$6,0)+(ROUNDUP((N$2-$F$2)/COUNTA($F$10:$F$16),0)-1)*COUNTA('הספק נוסף נדרש'!$C$6:$J$6),FALSE))</f>
        <v>0</v>
      </c>
      <c r="O61" s="136">
        <f ca="1">IF(OR($F61&gt;MAX('הנחות עבודה'!$B$69:$B$89),$F61&gt;$D$5),0,VLOOKUP($F61,'הספק נוסף נדרש'!$B$8:$AX$28,MATCH(O$49,'הספק נוסף נדרש'!$B$6:$AX$6,0)+(ROUNDUP((O$2-$F$2)/COUNTA($F$10:$F$16),0)-1)*COUNTA('הספק נוסף נדרש'!$C$6:$J$6),FALSE))</f>
        <v>0</v>
      </c>
      <c r="P61" s="136">
        <f ca="1">IF(OR($F61&gt;MAX('הנחות עבודה'!$B$69:$B$89),$F61&gt;$D$5),0,VLOOKUP($F61,'הספק נוסף נדרש'!$B$8:$AX$28,MATCH(P$49,'הספק נוסף נדרש'!$B$6:$AX$6,0)+(ROUNDUP((P$2-$F$2)/COUNTA($F$10:$F$16),0)-1)*COUNTA('הספק נוסף נדרש'!$C$6:$J$6),FALSE))</f>
        <v>0</v>
      </c>
      <c r="Q61" s="136">
        <f ca="1">IF(OR($F61&gt;MAX('הנחות עבודה'!$B$69:$B$89),$F61&gt;$D$5),0,VLOOKUP($F61,'הספק נוסף נדרש'!$B$8:$AX$28,MATCH(Q$49,'הספק נוסף נדרש'!$B$6:$AX$6,0)+(ROUNDUP((Q$2-$F$2)/COUNTA($F$10:$F$16),0)-1)*COUNTA('הספק נוסף נדרש'!$C$6:$J$6),FALSE))</f>
        <v>0</v>
      </c>
      <c r="R61" s="136">
        <f ca="1">IF(OR($F61&gt;MAX('הנחות עבודה'!$B$69:$B$89),$F61&gt;$D$5),0,VLOOKUP($F61,'הספק נוסף נדרש'!$B$8:$AX$28,MATCH(R$49,'הספק נוסף נדרש'!$B$6:$AX$6,0)+(ROUNDUP((R$2-$F$2)/COUNTA($F$10:$F$16),0)-1)*COUNTA('הספק נוסף נדרש'!$C$6:$J$6),FALSE))</f>
        <v>0</v>
      </c>
      <c r="S61" s="79">
        <f ca="1">IF(OR($F61&gt;MAX('הנחות עבודה'!$B$69:$B$89),$F61&gt;$D$5),0,VLOOKUP($F61,'הספק נוסף נדרש'!$B$8:$AX$28,MATCH(S$49,'הספק נוסף נדרש'!$B$6:$AX$6,0)+(ROUNDUP((S$2-$F$2)/COUNTA($F$10:$F$16),0)-1)*COUNTA('הספק נוסף נדרש'!$C$6:$J$6),FALSE))</f>
        <v>0</v>
      </c>
      <c r="T61" s="138">
        <f ca="1">IF(OR($F61&gt;MAX('הנחות עבודה'!$B$69:$B$89),$F61&gt;$D$5),0,VLOOKUP($F61,'הספק נוסף נדרש'!$B$8:$AX$28,MATCH(T$49,'הספק נוסף נדרש'!$B$6:$AX$6,0)+(ROUNDUP((T$2-$F$2)/COUNTA($F$10:$F$16),0)-1)*COUNTA('הספק נוסף נדרש'!$C$6:$J$6),FALSE))</f>
        <v>0</v>
      </c>
      <c r="U61" s="138">
        <f ca="1">IF(OR($F61&gt;MAX('הנחות עבודה'!$B$69:$B$89),$F61&gt;$D$5),0,VLOOKUP($F61,'הספק נוסף נדרש'!$B$8:$AX$28,MATCH(U$49,'הספק נוסף נדרש'!$B$6:$AX$6,0)+(ROUNDUP((U$2-$F$2)/COUNTA($F$10:$F$16),0)-1)*COUNTA('הספק נוסף נדרש'!$C$6:$J$6),FALSE))</f>
        <v>0</v>
      </c>
      <c r="V61" s="138">
        <f ca="1">IF(OR($F61&gt;MAX('הנחות עבודה'!$B$69:$B$89),$F61&gt;$D$5),0,VLOOKUP($F61,'הספק נוסף נדרש'!$B$8:$AX$28,MATCH(V$49,'הספק נוסף נדרש'!$B$6:$AX$6,0)+(ROUNDUP((V$2-$F$2)/COUNTA($F$10:$F$16),0)-1)*COUNTA('הספק נוסף נדרש'!$C$6:$J$6),FALSE))</f>
        <v>0</v>
      </c>
      <c r="W61" s="138">
        <f ca="1">IF(OR($F61&gt;MAX('הנחות עבודה'!$B$69:$B$89),$F61&gt;$D$5),0,VLOOKUP($F61,'הספק נוסף נדרש'!$B$8:$AX$28,MATCH(W$49,'הספק נוסף נדרש'!$B$6:$AX$6,0)+(ROUNDUP((W$2-$F$2)/COUNTA($F$10:$F$16),0)-1)*COUNTA('הספק נוסף נדרש'!$C$6:$J$6),FALSE))</f>
        <v>0</v>
      </c>
      <c r="X61" s="79">
        <f ca="1">IF(OR($F61&gt;MAX('הנחות עבודה'!$B$69:$B$89),$F61&gt;$D$5),0,VLOOKUP($F61,'הספק נוסף נדרש'!$B$8:$AX$28,MATCH(X$49,'הספק נוסף נדרש'!$B$6:$AX$6,0)+(ROUNDUP((X$2-$F$2)/COUNTA($F$10:$F$16),0)-1)*COUNTA('הספק נוסף נדרש'!$C$6:$J$6),FALSE))</f>
        <v>0</v>
      </c>
      <c r="Y61" s="74">
        <f ca="1">IF(OR($F61&gt;MAX('הנחות עבודה'!$B$69:$B$89),$F61&gt;$D$5),0,VLOOKUP($F61,'הספק נוסף נדרש'!$B$8:$AX$28,MATCH(Y$49,'הספק נוסף נדרש'!$B$6:$AX$6,0)+(ROUNDUP((Y$2-$F$2)/COUNTA($F$10:$F$16),0)-1)*COUNTA('הספק נוסף נדרש'!$C$6:$J$6),FALSE))</f>
        <v>0</v>
      </c>
      <c r="Z61" s="136">
        <f ca="1">IF(OR($F61&gt;MAX('הנחות עבודה'!$B$69:$B$89),$F61&gt;$D$5),0,VLOOKUP($F61,'הספק נוסף נדרש'!$B$8:$AX$28,MATCH(Z$49,'הספק נוסף נדרש'!$B$6:$AX$6,0)+(ROUNDUP((Z$2-$F$2)/COUNTA($F$10:$F$16),0)-1)*COUNTA('הספק נוסף נדרש'!$C$6:$J$6),FALSE))</f>
        <v>0</v>
      </c>
      <c r="AA61" s="136">
        <f ca="1">IF(OR($F61&gt;MAX('הנחות עבודה'!$B$69:$B$89),$F61&gt;$D$5),0,VLOOKUP($F61,'הספק נוסף נדרש'!$B$8:$AX$28,MATCH(AA$49,'הספק נוסף נדרש'!$B$6:$AX$6,0)+(ROUNDUP((AA$2-$F$2)/COUNTA($F$10:$F$16),0)-1)*COUNTA('הספק נוסף נדרש'!$C$6:$J$6),FALSE))</f>
        <v>0</v>
      </c>
      <c r="AB61" s="136">
        <f ca="1">IF(OR($F61&gt;MAX('הנחות עבודה'!$B$69:$B$89),$F61&gt;$D$5),0,VLOOKUP($F61,'הספק נוסף נדרש'!$B$8:$AX$28,MATCH(AB$49,'הספק נוסף נדרש'!$B$6:$AX$6,0)+(ROUNDUP((AB$2-$F$2)/COUNTA($F$10:$F$16),0)-1)*COUNTA('הספק נוסף נדרש'!$C$6:$J$6),FALSE))</f>
        <v>0</v>
      </c>
      <c r="AC61" s="136">
        <f ca="1">IF(OR($F61&gt;MAX('הנחות עבודה'!$B$69:$B$89),$F61&gt;$D$5),0,VLOOKUP($F61,'הספק נוסף נדרש'!$B$8:$AX$28,MATCH(AC$49,'הספק נוסף נדרש'!$B$6:$AX$6,0)+(ROUNDUP((AC$2-$F$2)/COUNTA($F$10:$F$16),0)-1)*COUNTA('הספק נוסף נדרש'!$C$6:$J$6),FALSE))</f>
        <v>0</v>
      </c>
      <c r="AD61" s="136">
        <f ca="1">IF(OR($F61&gt;MAX('הנחות עבודה'!$B$69:$B$89),$F61&gt;$D$5),0,VLOOKUP($F61,'הספק נוסף נדרש'!$B$8:$AX$28,MATCH(AD$49,'הספק נוסף נדרש'!$B$6:$AX$6,0)+(ROUNDUP((AD$2-$F$2)/COUNTA($F$10:$F$16),0)-1)*COUNTA('הספק נוסף נדרש'!$C$6:$J$6),FALSE))</f>
        <v>0</v>
      </c>
      <c r="AE61" s="79">
        <f ca="1">IF(OR($F61&gt;MAX('הנחות עבודה'!$B$69:$B$89),$F61&gt;$D$5),0,VLOOKUP($F61,'הספק נוסף נדרש'!$B$8:$AX$28,MATCH(AE$49,'הספק נוסף נדרש'!$B$6:$AX$6,0)+(ROUNDUP((AE$2-$F$2)/COUNTA($F$10:$F$16),0)-1)*COUNTA('הספק נוסף נדרש'!$C$6:$J$6),FALSE))</f>
        <v>0</v>
      </c>
      <c r="AF61" s="138">
        <f ca="1">IF(OR($F61&gt;MAX('הנחות עבודה'!$B$69:$B$89),$F61&gt;$D$5),0,VLOOKUP($F61,'הספק נוסף נדרש'!$B$8:$AX$28,MATCH(AF$49,'הספק נוסף נדרש'!$B$6:$AX$6,0)+(ROUNDUP((AF$2-$F$2)/COUNTA($F$10:$F$16),0)-1)*COUNTA('הספק נוסף נדרש'!$C$6:$J$6),FALSE))</f>
        <v>0</v>
      </c>
      <c r="AG61" s="138">
        <f ca="1">IF(OR($F61&gt;MAX('הנחות עבודה'!$B$69:$B$89),$F61&gt;$D$5),0,VLOOKUP($F61,'הספק נוסף נדרש'!$B$8:$AX$28,MATCH(AG$49,'הספק נוסף נדרש'!$B$6:$AX$6,0)+(ROUNDUP((AG$2-$F$2)/COUNTA($F$10:$F$16),0)-1)*COUNTA('הספק נוסף נדרש'!$C$6:$J$6),FALSE))</f>
        <v>0</v>
      </c>
      <c r="AH61" s="138">
        <f ca="1">IF(OR($F61&gt;MAX('הנחות עבודה'!$B$69:$B$89),$F61&gt;$D$5),0,VLOOKUP($F61,'הספק נוסף נדרש'!$B$8:$AX$28,MATCH(AH$49,'הספק נוסף נדרש'!$B$6:$AX$6,0)+(ROUNDUP((AH$2-$F$2)/COUNTA($F$10:$F$16),0)-1)*COUNTA('הספק נוסף נדרש'!$C$6:$J$6),FALSE))</f>
        <v>0</v>
      </c>
      <c r="AI61" s="138">
        <f ca="1">IF(OR($F61&gt;MAX('הנחות עבודה'!$B$69:$B$89),$F61&gt;$D$5),0,VLOOKUP($F61,'הספק נוסף נדרש'!$B$8:$AX$28,MATCH(AI$49,'הספק נוסף נדרש'!$B$6:$AX$6,0)+(ROUNDUP((AI$2-$F$2)/COUNTA($F$10:$F$16),0)-1)*COUNTA('הספק נוסף נדרש'!$C$6:$J$6),FALSE))</f>
        <v>0</v>
      </c>
      <c r="AJ61" s="79">
        <f ca="1">IF(OR($F61&gt;MAX('הנחות עבודה'!$B$69:$B$89),$F61&gt;$D$5),0,VLOOKUP($F61,'הספק נוסף נדרש'!$B$8:$AX$28,MATCH(AJ$49,'הספק נוסף נדרש'!$B$6:$AX$6,0)+(ROUNDUP((AJ$2-$F$2)/COUNTA($F$10:$F$16),0)-1)*COUNTA('הספק נוסף נדרש'!$C$6:$J$6),FALSE))</f>
        <v>0</v>
      </c>
      <c r="AK61" s="74">
        <f ca="1">IF(OR($F61&gt;MAX('הנחות עבודה'!$B$69:$B$89),$F61&gt;$D$5),0,VLOOKUP($F61,'הספק נוסף נדרש'!$B$8:$AX$28,MATCH(AK$49,'הספק נוסף נדרש'!$B$6:$AX$6,0)+(ROUNDUP((AK$2-$F$2)/COUNTA($F$10:$F$16),0)-1)*COUNTA('הספק נוסף נדרש'!$C$6:$J$6),FALSE))</f>
        <v>0</v>
      </c>
      <c r="AL61" s="136">
        <f ca="1">IF(OR($F61&gt;MAX('הנחות עבודה'!$B$69:$B$89),$F61&gt;$D$5),0,VLOOKUP($F61,'הספק נוסף נדרש'!$B$8:$AX$28,MATCH(AL$49,'הספק נוסף נדרש'!$B$6:$AX$6,0)+(ROUNDUP((AL$2-$F$2)/COUNTA($F$10:$F$16),0)-1)*COUNTA('הספק נוסף נדרש'!$C$6:$J$6),FALSE))</f>
        <v>0</v>
      </c>
      <c r="AM61" s="136">
        <f ca="1">IF(OR($F61&gt;MAX('הנחות עבודה'!$B$69:$B$89),$F61&gt;$D$5),0,VLOOKUP($F61,'הספק נוסף נדרש'!$B$8:$AX$28,MATCH(AM$49,'הספק נוסף נדרש'!$B$6:$AX$6,0)+(ROUNDUP((AM$2-$F$2)/COUNTA($F$10:$F$16),0)-1)*COUNTA('הספק נוסף נדרש'!$C$6:$J$6),FALSE))</f>
        <v>0</v>
      </c>
      <c r="AN61" s="136">
        <f ca="1">IF(OR($F61&gt;MAX('הנחות עבודה'!$B$69:$B$89),$F61&gt;$D$5),0,VLOOKUP($F61,'הספק נוסף נדרש'!$B$8:$AX$28,MATCH(AN$49,'הספק נוסף נדרש'!$B$6:$AX$6,0)+(ROUNDUP((AN$2-$F$2)/COUNTA($F$10:$F$16),0)-1)*COUNTA('הספק נוסף נדרש'!$C$6:$J$6),FALSE))</f>
        <v>0</v>
      </c>
      <c r="AO61" s="136">
        <f ca="1">IF(OR($F61&gt;MAX('הנחות עבודה'!$B$69:$B$89),$F61&gt;$D$5),0,VLOOKUP($F61,'הספק נוסף נדרש'!$B$8:$AX$28,MATCH(AO$49,'הספק נוסף נדרש'!$B$6:$AX$6,0)+(ROUNDUP((AO$2-$F$2)/COUNTA($F$10:$F$16),0)-1)*COUNTA('הספק נוסף נדרש'!$C$6:$J$6),FALSE))</f>
        <v>0</v>
      </c>
      <c r="AP61" s="136">
        <f ca="1">IF(OR($F61&gt;MAX('הנחות עבודה'!$B$69:$B$89),$F61&gt;$D$5),0,VLOOKUP($F61,'הספק נוסף נדרש'!$B$8:$AX$28,MATCH(AP$49,'הספק נוסף נדרש'!$B$6:$AX$6,0)+(ROUNDUP((AP$2-$F$2)/COUNTA($F$10:$F$16),0)-1)*COUNTA('הספק נוסף נדרש'!$C$6:$J$6),FALSE))</f>
        <v>0</v>
      </c>
      <c r="AQ61" s="9"/>
      <c r="AR61" s="10">
        <f t="shared" si="313"/>
        <v>2031</v>
      </c>
      <c r="AS61" s="79">
        <f ca="1">HLOOKUP(AS$49,$G$24:$L$45,COUNTA($F$25:$F36)+1,FALSE)*G61*$D$7/$D$8</f>
        <v>0</v>
      </c>
      <c r="AT61" s="138">
        <f ca="1">HLOOKUP(AT$49,$G$24:$L$45,COUNTA($F$25:$F36)+1,FALSE)*H61*$D$7/$D$8</f>
        <v>0</v>
      </c>
      <c r="AU61" s="138">
        <f ca="1">HLOOKUP(AU$49,$G$24:$L$45,COUNTA($F$25:$F36)+1,FALSE)*I61*$D$7/$D$8</f>
        <v>0</v>
      </c>
      <c r="AV61" s="138">
        <f ca="1">HLOOKUP(AV$49,$G$24:$L$45,COUNTA($F$25:$F36)+1,FALSE)*J61*$D$7/$D$8</f>
        <v>0</v>
      </c>
      <c r="AW61" s="138">
        <f ca="1">HLOOKUP(AW$49,$G$24:$L$45,COUNTA($F$25:$F36)+1,FALSE)*K61*$D$7/$D$8</f>
        <v>0</v>
      </c>
      <c r="AX61" s="79">
        <f ca="1">HLOOKUP(AX$49,$G$24:$L$45,COUNTA($F$25:$F36)+1,FALSE)*L61*$D$7/$D$8</f>
        <v>0</v>
      </c>
      <c r="AY61" s="74">
        <f ca="1">HLOOKUP(AY$49,$G$24:$L$45,COUNTA($F$25:$F36)+1,FALSE)*M61*$D$7/$D$8</f>
        <v>0</v>
      </c>
      <c r="AZ61" s="136">
        <f ca="1">HLOOKUP(AZ$49,$G$24:$L$45,COUNTA($F$25:$F36)+1,FALSE)*N61*$D$7/$D$8</f>
        <v>0</v>
      </c>
      <c r="BA61" s="136">
        <f ca="1">HLOOKUP(BA$49,$G$24:$L$45,COUNTA($F$25:$F36)+1,FALSE)*O61*$D$7/$D$8</f>
        <v>0</v>
      </c>
      <c r="BB61" s="136">
        <f ca="1">HLOOKUP(BB$49,$G$24:$L$45,COUNTA($F$25:$F36)+1,FALSE)*P61*$D$7/$D$8</f>
        <v>0</v>
      </c>
      <c r="BC61" s="136">
        <f ca="1">HLOOKUP(BC$49,$G$24:$L$45,COUNTA($F$25:$F36)+1,FALSE)*Q61*$D$7/$D$8</f>
        <v>0</v>
      </c>
      <c r="BD61" s="136">
        <f ca="1">HLOOKUP(BD$49,$G$24:$L$45,COUNTA($F$25:$F36)+1,FALSE)*R61*$D$7/$D$8</f>
        <v>0</v>
      </c>
      <c r="BE61" s="79">
        <f ca="1">HLOOKUP(BE$49,$G$24:$L$45,COUNTA($F$25:$F36)+1,FALSE)*S61*$D$7/$D$8</f>
        <v>0</v>
      </c>
      <c r="BF61" s="138">
        <f ca="1">HLOOKUP(BF$49,$G$24:$L$45,COUNTA($F$25:$F36)+1,FALSE)*T61*$D$7/$D$8</f>
        <v>0</v>
      </c>
      <c r="BG61" s="138">
        <f ca="1">HLOOKUP(BG$49,$G$24:$L$45,COUNTA($F$25:$F36)+1,FALSE)*U61*$D$7/$D$8</f>
        <v>0</v>
      </c>
      <c r="BH61" s="138">
        <f ca="1">HLOOKUP(BH$49,$G$24:$L$45,COUNTA($F$25:$F36)+1,FALSE)*V61*$D$7/$D$8</f>
        <v>0</v>
      </c>
      <c r="BI61" s="138">
        <f ca="1">HLOOKUP(BI$49,$G$24:$L$45,COUNTA($F$25:$F36)+1,FALSE)*W61*$D$7/$D$8</f>
        <v>0</v>
      </c>
      <c r="BJ61" s="79">
        <f ca="1">HLOOKUP(BJ$49,$G$24:$L$45,COUNTA($F$25:$F36)+1,FALSE)*X61*$D$7/$D$8</f>
        <v>0</v>
      </c>
      <c r="BK61" s="74">
        <f ca="1">HLOOKUP(BK$49,$G$24:$L$45,COUNTA($F$25:$F36)+1,FALSE)*Y61*$D$7/$D$8</f>
        <v>0</v>
      </c>
      <c r="BL61" s="136">
        <f ca="1">HLOOKUP(BL$49,$G$24:$L$45,COUNTA($F$25:$F36)+1,FALSE)*Z61*$D$7/$D$8</f>
        <v>0</v>
      </c>
      <c r="BM61" s="136">
        <f ca="1">HLOOKUP(BM$49,$G$24:$L$45,COUNTA($F$25:$F36)+1,FALSE)*AA61*$D$7/$D$8</f>
        <v>0</v>
      </c>
      <c r="BN61" s="136">
        <f ca="1">HLOOKUP(BN$49,$G$24:$L$45,COUNTA($F$25:$F36)+1,FALSE)*AB61*$D$7/$D$8</f>
        <v>0</v>
      </c>
      <c r="BO61" s="136">
        <f ca="1">HLOOKUP(BO$49,$G$24:$L$45,COUNTA($F$25:$F36)+1,FALSE)*AC61*$D$7/$D$8</f>
        <v>0</v>
      </c>
      <c r="BP61" s="136">
        <f ca="1">HLOOKUP(BP$49,$G$24:$L$45,COUNTA($F$25:$F36)+1,FALSE)*AD61*$D$7/$D$8</f>
        <v>0</v>
      </c>
      <c r="BQ61" s="79">
        <f ca="1">HLOOKUP(BQ$49,$G$24:$L$45,COUNTA($F$25:$F36)+1,FALSE)*AE61*$D$7/$D$8</f>
        <v>0</v>
      </c>
      <c r="BR61" s="138">
        <f ca="1">HLOOKUP(BR$49,$G$24:$L$45,COUNTA($F$25:$F36)+1,FALSE)*AF61*$D$7/$D$8</f>
        <v>0</v>
      </c>
      <c r="BS61" s="138">
        <f ca="1">HLOOKUP(BS$49,$G$24:$L$45,COUNTA($F$25:$F36)+1,FALSE)*AG61*$D$7/$D$8</f>
        <v>0</v>
      </c>
      <c r="BT61" s="138">
        <f ca="1">HLOOKUP(BT$49,$G$24:$L$45,COUNTA($F$25:$F36)+1,FALSE)*AH61*$D$7/$D$8</f>
        <v>0</v>
      </c>
      <c r="BU61" s="138">
        <f ca="1">HLOOKUP(BU$49,$G$24:$L$45,COUNTA($F$25:$F36)+1,FALSE)*AI61*$D$7/$D$8</f>
        <v>0</v>
      </c>
      <c r="BV61" s="79">
        <f ca="1">HLOOKUP(BV$49,$G$24:$L$45,COUNTA($F$25:$F36)+1,FALSE)*AJ61*$D$7/$D$8</f>
        <v>0</v>
      </c>
      <c r="BW61" s="74">
        <f ca="1">HLOOKUP(BW$49,$G$24:$L$45,COUNTA($F$25:$F36)+1,FALSE)*AK61*$D$7/$D$8</f>
        <v>0</v>
      </c>
      <c r="BX61" s="136">
        <f ca="1">HLOOKUP(BX$49,$G$24:$L$45,COUNTA($F$25:$F36)+1,FALSE)*AL61*$D$7/$D$8</f>
        <v>0</v>
      </c>
      <c r="BY61" s="136">
        <f ca="1">HLOOKUP(BY$49,$G$24:$L$45,COUNTA($F$25:$F36)+1,FALSE)*AM61*$D$7/$D$8</f>
        <v>0</v>
      </c>
      <c r="BZ61" s="136">
        <f ca="1">HLOOKUP(BZ$49,$G$24:$L$45,COUNTA($F$25:$F36)+1,FALSE)*AN61*$D$7/$D$8</f>
        <v>0</v>
      </c>
      <c r="CA61" s="136">
        <f ca="1">HLOOKUP(CA$49,$G$24:$L$45,COUNTA($F$25:$F36)+1,FALSE)*AO61*$D$7/$D$8</f>
        <v>0</v>
      </c>
      <c r="CB61" s="739">
        <f ca="1">HLOOKUP(CB$49,$G$24:$L$45,COUNTA($F$25:$F36)+1,FALSE)*AP61*$D$7/$D$8</f>
        <v>0</v>
      </c>
      <c r="CD61" s="10">
        <f t="shared" si="314"/>
        <v>2031</v>
      </c>
      <c r="CE61" s="85">
        <f t="shared" ca="1" si="240"/>
        <v>1072.8415146359366</v>
      </c>
      <c r="CF61" s="147">
        <f t="shared" ca="1" si="241"/>
        <v>0</v>
      </c>
      <c r="CG61" s="147">
        <f t="shared" ca="1" si="242"/>
        <v>216.27952515046442</v>
      </c>
      <c r="CH61" s="147">
        <f t="shared" ca="1" si="243"/>
        <v>19.606169426540287</v>
      </c>
      <c r="CI61" s="147">
        <f t="shared" ca="1" si="244"/>
        <v>0</v>
      </c>
      <c r="CJ61" s="85">
        <f t="shared" ca="1" si="245"/>
        <v>0</v>
      </c>
      <c r="CK61" s="151">
        <f t="shared" ca="1" si="246"/>
        <v>0</v>
      </c>
      <c r="CL61" s="102">
        <f t="shared" ca="1" si="247"/>
        <v>1330.100333878547</v>
      </c>
      <c r="CM61" s="102">
        <f t="shared" ca="1" si="248"/>
        <v>216.27952515046442</v>
      </c>
      <c r="CN61" s="102">
        <f t="shared" ca="1" si="249"/>
        <v>19.606169426540287</v>
      </c>
      <c r="CO61" s="102">
        <f t="shared" ca="1" si="250"/>
        <v>0</v>
      </c>
      <c r="CP61" s="151">
        <f t="shared" ca="1" si="251"/>
        <v>0</v>
      </c>
      <c r="CQ61" s="85">
        <f t="shared" ca="1" si="252"/>
        <v>1875.8411079969287</v>
      </c>
      <c r="CR61" s="147">
        <f t="shared" ca="1" si="253"/>
        <v>0</v>
      </c>
      <c r="CS61" s="147">
        <f t="shared" ca="1" si="254"/>
        <v>216.27952515046442</v>
      </c>
      <c r="CT61" s="147">
        <f t="shared" ca="1" si="255"/>
        <v>19.606169426540287</v>
      </c>
      <c r="CU61" s="147">
        <f t="shared" ca="1" si="256"/>
        <v>0</v>
      </c>
      <c r="CV61" s="85">
        <f t="shared" ca="1" si="257"/>
        <v>0</v>
      </c>
      <c r="CW61" s="151">
        <f t="shared" ca="1" si="258"/>
        <v>0</v>
      </c>
      <c r="CX61" s="102">
        <f t="shared" ca="1" si="259"/>
        <v>2329.6222224771814</v>
      </c>
      <c r="CY61" s="102">
        <f t="shared" ca="1" si="260"/>
        <v>216.27952515046442</v>
      </c>
      <c r="CZ61" s="102">
        <f t="shared" ca="1" si="261"/>
        <v>19.606169426540287</v>
      </c>
      <c r="DA61" s="102">
        <f t="shared" ca="1" si="262"/>
        <v>0</v>
      </c>
      <c r="DB61" s="151">
        <f t="shared" ca="1" si="263"/>
        <v>0</v>
      </c>
      <c r="DC61" s="85">
        <f t="shared" ca="1" si="264"/>
        <v>2372.5516075818737</v>
      </c>
      <c r="DD61" s="147">
        <f t="shared" ca="1" si="265"/>
        <v>0</v>
      </c>
      <c r="DE61" s="147">
        <f t="shared" ca="1" si="266"/>
        <v>216.27952515046442</v>
      </c>
      <c r="DF61" s="147">
        <f t="shared" ca="1" si="267"/>
        <v>19.606169426540287</v>
      </c>
      <c r="DG61" s="147">
        <f t="shared" ca="1" si="268"/>
        <v>0</v>
      </c>
      <c r="DH61" s="85">
        <f t="shared" ca="1" si="269"/>
        <v>0</v>
      </c>
      <c r="DI61" s="151">
        <f t="shared" ca="1" si="270"/>
        <v>0</v>
      </c>
      <c r="DJ61" s="102">
        <f t="shared" ca="1" si="271"/>
        <v>2948.2575202218331</v>
      </c>
      <c r="DK61" s="102">
        <f t="shared" ca="1" si="272"/>
        <v>216.27952515046442</v>
      </c>
      <c r="DL61" s="102">
        <f t="shared" ca="1" si="273"/>
        <v>19.606169426540287</v>
      </c>
      <c r="DM61" s="102">
        <f t="shared" ca="1" si="274"/>
        <v>0</v>
      </c>
      <c r="DN61" s="564">
        <f t="shared" ca="1" si="275"/>
        <v>0</v>
      </c>
      <c r="DP61" s="10">
        <f t="shared" si="315"/>
        <v>2031</v>
      </c>
      <c r="DQ61" s="85">
        <f t="shared" ca="1" si="276"/>
        <v>346.43926141557102</v>
      </c>
      <c r="DR61" s="147">
        <f t="shared" ca="1" si="277"/>
        <v>0</v>
      </c>
      <c r="DS61" s="147">
        <f t="shared" ca="1" si="278"/>
        <v>61.350712925538716</v>
      </c>
      <c r="DT61" s="147">
        <f t="shared" ca="1" si="279"/>
        <v>6.4807091118526818</v>
      </c>
      <c r="DU61" s="147">
        <f t="shared" ca="1" si="280"/>
        <v>0</v>
      </c>
      <c r="DV61" s="85">
        <f t="shared" ca="1" si="281"/>
        <v>0</v>
      </c>
      <c r="DW61" s="151">
        <f t="shared" ca="1" si="282"/>
        <v>0</v>
      </c>
      <c r="DX61" s="102">
        <f t="shared" ca="1" si="283"/>
        <v>394.23058597629023</v>
      </c>
      <c r="DY61" s="102">
        <f t="shared" ca="1" si="284"/>
        <v>61.350712925538716</v>
      </c>
      <c r="DZ61" s="102">
        <f t="shared" ca="1" si="285"/>
        <v>6.4807091118526818</v>
      </c>
      <c r="EA61" s="102">
        <f t="shared" ca="1" si="286"/>
        <v>0</v>
      </c>
      <c r="EB61" s="151">
        <f t="shared" ca="1" si="287"/>
        <v>0</v>
      </c>
      <c r="EC61" s="85">
        <f t="shared" ca="1" si="288"/>
        <v>616.2052651814364</v>
      </c>
      <c r="ED61" s="147">
        <f t="shared" ca="1" si="289"/>
        <v>0</v>
      </c>
      <c r="EE61" s="147">
        <f t="shared" ca="1" si="290"/>
        <v>61.350712925538716</v>
      </c>
      <c r="EF61" s="147">
        <f t="shared" ca="1" si="291"/>
        <v>6.4807091118526818</v>
      </c>
      <c r="EG61" s="147">
        <f t="shared" ca="1" si="292"/>
        <v>0</v>
      </c>
      <c r="EH61" s="85">
        <f t="shared" ca="1" si="293"/>
        <v>0</v>
      </c>
      <c r="EI61" s="151">
        <f t="shared" ca="1" si="294"/>
        <v>0</v>
      </c>
      <c r="EJ61" s="102">
        <f t="shared" ca="1" si="295"/>
        <v>701.21083211394455</v>
      </c>
      <c r="EK61" s="102">
        <f t="shared" ca="1" si="296"/>
        <v>61.350712925538716</v>
      </c>
      <c r="EL61" s="102">
        <f t="shared" ca="1" si="297"/>
        <v>6.4807091118526818</v>
      </c>
      <c r="EM61" s="102">
        <f t="shared" ca="1" si="298"/>
        <v>0</v>
      </c>
      <c r="EN61" s="151">
        <f t="shared" ca="1" si="299"/>
        <v>0</v>
      </c>
      <c r="EO61" s="85">
        <f t="shared" ca="1" si="300"/>
        <v>784.54004761148781</v>
      </c>
      <c r="EP61" s="145">
        <f t="shared" ca="1" si="301"/>
        <v>0</v>
      </c>
      <c r="EQ61" s="145">
        <f t="shared" ca="1" si="302"/>
        <v>61.350712925538716</v>
      </c>
      <c r="ER61" s="145">
        <f t="shared" ca="1" si="303"/>
        <v>6.4807091118526818</v>
      </c>
      <c r="ES61" s="145">
        <f t="shared" ca="1" si="304"/>
        <v>0</v>
      </c>
      <c r="ET61" s="85">
        <f t="shared" ca="1" si="305"/>
        <v>0</v>
      </c>
      <c r="EU61" s="102">
        <f t="shared" ca="1" si="306"/>
        <v>0</v>
      </c>
      <c r="EV61" s="102">
        <f t="shared" ca="1" si="307"/>
        <v>892.76741160331449</v>
      </c>
      <c r="EW61" s="102">
        <f t="shared" ca="1" si="308"/>
        <v>61.350712925538716</v>
      </c>
      <c r="EX61" s="102">
        <f t="shared" ca="1" si="309"/>
        <v>6.4807091118526818</v>
      </c>
      <c r="EY61" s="102">
        <f t="shared" ca="1" si="310"/>
        <v>0</v>
      </c>
      <c r="EZ61" s="564">
        <f t="shared" ca="1" si="311"/>
        <v>0</v>
      </c>
      <c r="FB61" s="10">
        <f t="shared" si="316"/>
        <v>2031</v>
      </c>
      <c r="FC61" s="85">
        <f ca="1">HLOOKUP(FC$49,$O$24:$T$45,COUNTA($N$25:$N36)+1,FALSE)*G61*$D$7/$D$8</f>
        <v>0</v>
      </c>
      <c r="FD61" s="147">
        <f ca="1">HLOOKUP(FD$49,$O$24:$T$45,COUNTA($N$25:$N36)+1,FALSE)*H61*$D$7/$D$8</f>
        <v>0</v>
      </c>
      <c r="FE61" s="147">
        <f ca="1">HLOOKUP(FE$49,$O$24:$T$45,COUNTA($N$25:$N36)+1,FALSE)*I61*$D$7/$D$8</f>
        <v>0</v>
      </c>
      <c r="FF61" s="147">
        <f ca="1">HLOOKUP(FF$49,$O$24:$T$45,COUNTA($N$25:$N36)+1,FALSE)*J61*$D$7/$D$8</f>
        <v>0</v>
      </c>
      <c r="FG61" s="147">
        <f ca="1">HLOOKUP(FG$49,$O$24:$T$45,COUNTA($N$25:$N36)+1,FALSE)*K61*$D$7/$D$8</f>
        <v>0</v>
      </c>
      <c r="FH61" s="85">
        <f ca="1">HLOOKUP(FH$49,$O$24:$T$45,COUNTA($N$25:$N36)+1,FALSE)*L61*$D$7/$D$8</f>
        <v>0</v>
      </c>
      <c r="FI61" s="151">
        <f ca="1">HLOOKUP(FI$49,$O$24:$T$45,COUNTA($N$25:$N36)+1,FALSE)*M61*$D$7/$D$8</f>
        <v>0</v>
      </c>
      <c r="FJ61" s="153">
        <f ca="1">HLOOKUP(FJ$49,$O$24:$T$45,COUNTA($N$25:$N36)+1,FALSE)*N61*$D$7/$D$8</f>
        <v>0</v>
      </c>
      <c r="FK61" s="153">
        <f ca="1">HLOOKUP(FK$49,$O$24:$T$45,COUNTA($N$25:$N36)+1,FALSE)*O61*$D$7/$D$8</f>
        <v>0</v>
      </c>
      <c r="FL61" s="153">
        <f ca="1">HLOOKUP(FL$49,$O$24:$T$45,COUNTA($N$25:$N36)+1,FALSE)*P61*$D$7/$D$8</f>
        <v>0</v>
      </c>
      <c r="FM61" s="153">
        <f ca="1">HLOOKUP(FM$49,$O$24:$T$45,COUNTA($N$25:$N36)+1,FALSE)*Q61*$D$7/$D$8</f>
        <v>0</v>
      </c>
      <c r="FN61" s="151">
        <f ca="1">HLOOKUP(FN$49,$O$24:$T$45,COUNTA($N$25:$N36)+1,FALSE)*R61*$D$7/$D$8</f>
        <v>0</v>
      </c>
      <c r="FO61" s="85">
        <f ca="1">HLOOKUP(FO$49,$O$24:$T$45,COUNTA($N$25:$N36)+1,FALSE)*S61*$D$7/$D$8</f>
        <v>0</v>
      </c>
      <c r="FP61" s="147">
        <f ca="1">HLOOKUP(FP$49,$O$24:$T$45,COUNTA($N$25:$N36)+1,FALSE)*T61*$D$7/$D$8</f>
        <v>0</v>
      </c>
      <c r="FQ61" s="147">
        <f ca="1">HLOOKUP(FQ$49,$O$24:$T$45,COUNTA($N$25:$N36)+1,FALSE)*U61*$D$7/$D$8</f>
        <v>0</v>
      </c>
      <c r="FR61" s="147">
        <f ca="1">HLOOKUP(FR$49,$O$24:$T$45,COUNTA($N$25:$N36)+1,FALSE)*V61*$D$7/$D$8</f>
        <v>0</v>
      </c>
      <c r="FS61" s="147">
        <f ca="1">HLOOKUP(FS$49,$O$24:$T$45,COUNTA($N$25:$N36)+1,FALSE)*W61*$D$7/$D$8</f>
        <v>0</v>
      </c>
      <c r="FT61" s="85">
        <f ca="1">HLOOKUP(FT$49,$O$24:$T$45,COUNTA($N$25:$N36)+1,FALSE)*X61*$D$7/$D$8</f>
        <v>0</v>
      </c>
      <c r="FU61" s="151">
        <f ca="1">HLOOKUP(FU$49,$O$24:$T$45,COUNTA($N$25:$N36)+1,FALSE)*Y61*$D$7/$D$8</f>
        <v>0</v>
      </c>
      <c r="FV61" s="153">
        <f ca="1">HLOOKUP(FV$49,$O$24:$T$45,COUNTA($N$25:$N36)+1,FALSE)*Z61*$D$7/$D$8</f>
        <v>0</v>
      </c>
      <c r="FW61" s="153">
        <f ca="1">HLOOKUP(FW$49,$O$24:$T$45,COUNTA($N$25:$N36)+1,FALSE)*AA61*$D$7/$D$8</f>
        <v>0</v>
      </c>
      <c r="FX61" s="153">
        <f ca="1">HLOOKUP(FX$49,$O$24:$T$45,COUNTA($N$25:$N36)+1,FALSE)*AB61*$D$7/$D$8</f>
        <v>0</v>
      </c>
      <c r="FY61" s="153">
        <f ca="1">HLOOKUP(FY$49,$O$24:$T$45,COUNTA($N$25:$N36)+1,FALSE)*AC61*$D$7/$D$8</f>
        <v>0</v>
      </c>
      <c r="FZ61" s="151">
        <f ca="1">HLOOKUP(FZ$49,$O$24:$T$45,COUNTA($N$25:$N36)+1,FALSE)*AD61*$D$7/$D$8</f>
        <v>0</v>
      </c>
      <c r="GA61" s="85">
        <f ca="1">HLOOKUP(GA$49,$O$24:$T$45,COUNTA($N$25:$N36)+1,FALSE)*AE61*$D$7/$D$8</f>
        <v>0</v>
      </c>
      <c r="GB61" s="147">
        <f ca="1">HLOOKUP(GB$49,$O$24:$T$45,COUNTA($N$25:$N36)+1,FALSE)*AF61*$D$7/$D$8</f>
        <v>0</v>
      </c>
      <c r="GC61" s="147">
        <f ca="1">HLOOKUP(GC$49,$O$24:$T$45,COUNTA($N$25:$N36)+1,FALSE)*AG61*$D$7/$D$8</f>
        <v>0</v>
      </c>
      <c r="GD61" s="147">
        <f ca="1">HLOOKUP(GD$49,$O$24:$T$45,COUNTA($N$25:$N36)+1,FALSE)*AH61*$D$7/$D$8</f>
        <v>0</v>
      </c>
      <c r="GE61" s="147">
        <f ca="1">HLOOKUP(GE$49,$O$24:$T$45,COUNTA($N$25:$N36)+1,FALSE)*AI61*$D$7/$D$8</f>
        <v>0</v>
      </c>
      <c r="GF61" s="85">
        <f ca="1">HLOOKUP(GF$49,$O$24:$T$45,COUNTA($N$25:$N36)+1,FALSE)*AJ61*$D$7/$D$8</f>
        <v>0</v>
      </c>
      <c r="GG61" s="151">
        <f ca="1">HLOOKUP(GG$49,$O$24:$T$45,COUNTA($N$25:$N36)+1,FALSE)*AK61*$D$7/$D$8</f>
        <v>0</v>
      </c>
      <c r="GH61" s="153">
        <f ca="1">HLOOKUP(GH$49,$O$24:$T$45,COUNTA($N$25:$N36)+1,FALSE)*AL61*$D$7/$D$8</f>
        <v>0</v>
      </c>
      <c r="GI61" s="153">
        <f ca="1">HLOOKUP(GI$49,$O$24:$T$45,COUNTA($N$25:$N36)+1,FALSE)*AM61*$D$7/$D$8</f>
        <v>0</v>
      </c>
      <c r="GJ61" s="153">
        <f ca="1">HLOOKUP(GJ$49,$O$24:$T$45,COUNTA($N$25:$N36)+1,FALSE)*AN61*$D$7/$D$8</f>
        <v>0</v>
      </c>
      <c r="GK61" s="153">
        <f ca="1">HLOOKUP(GK$49,$O$24:$T$45,COUNTA($N$25:$N36)+1,FALSE)*AO61*$D$7/$D$8</f>
        <v>0</v>
      </c>
      <c r="GL61" s="564">
        <f ca="1">HLOOKUP(GL$49,$O$24:$T$45,COUNTA($N$25:$N36)+1,FALSE)*AP61*$D$7/$D$8</f>
        <v>0</v>
      </c>
    </row>
    <row r="62" spans="6:194">
      <c r="F62" s="10">
        <f t="shared" si="317"/>
        <v>2032</v>
      </c>
      <c r="G62" s="79">
        <f ca="1">IF(OR($F62&gt;MAX('הנחות עבודה'!$B$69:$B$89),$F62&gt;$D$5),0,VLOOKUP($F62,'הספק נוסף נדרש'!$B$8:$AX$28,MATCH(G$49,'הספק נוסף נדרש'!$B$6:$AX$6,0)+(ROUNDUP((G$2-$F$2)/COUNTA($F$10:$F$16),0)-1)*COUNTA('הספק נוסף נדרש'!$C$6:$J$6),FALSE))</f>
        <v>0</v>
      </c>
      <c r="H62" s="138">
        <f ca="1">IF(OR($F62&gt;MAX('הנחות עבודה'!$B$69:$B$89),$F62&gt;$D$5),0,VLOOKUP($F62,'הספק נוסף נדרש'!$B$8:$AX$28,MATCH(H$49,'הספק נוסף נדרש'!$B$6:$AX$6,0)+(ROUNDUP((H$2-$F$2)/COUNTA($F$10:$F$16),0)-1)*COUNTA('הספק נוסף נדרש'!$C$6:$J$6),FALSE))</f>
        <v>0</v>
      </c>
      <c r="I62" s="138">
        <f ca="1">IF(OR($F62&gt;MAX('הנחות עבודה'!$B$69:$B$89),$F62&gt;$D$5),0,VLOOKUP($F62,'הספק נוסף נדרש'!$B$8:$AX$28,MATCH(I$49,'הספק נוסף נדרש'!$B$6:$AX$6,0)+(ROUNDUP((I$2-$F$2)/COUNTA($F$10:$F$16),0)-1)*COUNTA('הספק נוסף נדרש'!$C$6:$J$6),FALSE))</f>
        <v>0</v>
      </c>
      <c r="J62" s="138">
        <f ca="1">IF(OR($F62&gt;MAX('הנחות עבודה'!$B$69:$B$89),$F62&gt;$D$5),0,VLOOKUP($F62,'הספק נוסף נדרש'!$B$8:$AX$28,MATCH(J$49,'הספק נוסף נדרש'!$B$6:$AX$6,0)+(ROUNDUP((J$2-$F$2)/COUNTA($F$10:$F$16),0)-1)*COUNTA('הספק נוסף נדרש'!$C$6:$J$6),FALSE))</f>
        <v>0</v>
      </c>
      <c r="K62" s="138">
        <f ca="1">IF(OR($F62&gt;MAX('הנחות עבודה'!$B$69:$B$89),$F62&gt;$D$5),0,VLOOKUP($F62,'הספק נוסף נדרש'!$B$8:$AX$28,MATCH(K$49,'הספק נוסף נדרש'!$B$6:$AX$6,0)+(ROUNDUP((K$2-$F$2)/COUNTA($F$10:$F$16),0)-1)*COUNTA('הספק נוסף נדרש'!$C$6:$J$6),FALSE))</f>
        <v>0</v>
      </c>
      <c r="L62" s="79">
        <f ca="1">IF(OR($F62&gt;MAX('הנחות עבודה'!$B$69:$B$89),$F62&gt;$D$5),0,VLOOKUP($F62,'הספק נוסף נדרש'!$B$8:$AX$28,MATCH(L$49,'הספק נוסף נדרש'!$B$6:$AX$6,0)+(ROUNDUP((L$2-$F$2)/COUNTA($F$10:$F$16),0)-1)*COUNTA('הספק נוסף נדרש'!$C$6:$J$6),FALSE))</f>
        <v>0</v>
      </c>
      <c r="M62" s="74">
        <f ca="1">IF(OR($F62&gt;MAX('הנחות עבודה'!$B$69:$B$89),$F62&gt;$D$5),0,VLOOKUP($F62,'הספק נוסף נדרש'!$B$8:$AX$28,MATCH(M$49,'הספק נוסף נדרש'!$B$6:$AX$6,0)+(ROUNDUP((M$2-$F$2)/COUNTA($F$10:$F$16),0)-1)*COUNTA('הספק נוסף נדרש'!$C$6:$J$6),FALSE))</f>
        <v>0</v>
      </c>
      <c r="N62" s="136">
        <f ca="1">IF(OR($F62&gt;MAX('הנחות עבודה'!$B$69:$B$89),$F62&gt;$D$5),0,VLOOKUP($F62,'הספק נוסף נדרש'!$B$8:$AX$28,MATCH(N$49,'הספק נוסף נדרש'!$B$6:$AX$6,0)+(ROUNDUP((N$2-$F$2)/COUNTA($F$10:$F$16),0)-1)*COUNTA('הספק נוסף נדרש'!$C$6:$J$6),FALSE))</f>
        <v>0</v>
      </c>
      <c r="O62" s="136">
        <f ca="1">IF(OR($F62&gt;MAX('הנחות עבודה'!$B$69:$B$89),$F62&gt;$D$5),0,VLOOKUP($F62,'הספק נוסף נדרש'!$B$8:$AX$28,MATCH(O$49,'הספק נוסף נדרש'!$B$6:$AX$6,0)+(ROUNDUP((O$2-$F$2)/COUNTA($F$10:$F$16),0)-1)*COUNTA('הספק נוסף נדרש'!$C$6:$J$6),FALSE))</f>
        <v>0</v>
      </c>
      <c r="P62" s="136">
        <f ca="1">IF(OR($F62&gt;MAX('הנחות עבודה'!$B$69:$B$89),$F62&gt;$D$5),0,VLOOKUP($F62,'הספק נוסף נדרש'!$B$8:$AX$28,MATCH(P$49,'הספק נוסף נדרש'!$B$6:$AX$6,0)+(ROUNDUP((P$2-$F$2)/COUNTA($F$10:$F$16),0)-1)*COUNTA('הספק נוסף נדרש'!$C$6:$J$6),FALSE))</f>
        <v>0</v>
      </c>
      <c r="Q62" s="136">
        <f ca="1">IF(OR($F62&gt;MAX('הנחות עבודה'!$B$69:$B$89),$F62&gt;$D$5),0,VLOOKUP($F62,'הספק נוסף נדרש'!$B$8:$AX$28,MATCH(Q$49,'הספק נוסף נדרש'!$B$6:$AX$6,0)+(ROUNDUP((Q$2-$F$2)/COUNTA($F$10:$F$16),0)-1)*COUNTA('הספק נוסף נדרש'!$C$6:$J$6),FALSE))</f>
        <v>0</v>
      </c>
      <c r="R62" s="136">
        <f ca="1">IF(OR($F62&gt;MAX('הנחות עבודה'!$B$69:$B$89),$F62&gt;$D$5),0,VLOOKUP($F62,'הספק נוסף נדרש'!$B$8:$AX$28,MATCH(R$49,'הספק נוסף נדרש'!$B$6:$AX$6,0)+(ROUNDUP((R$2-$F$2)/COUNTA($F$10:$F$16),0)-1)*COUNTA('הספק נוסף נדרש'!$C$6:$J$6),FALSE))</f>
        <v>0</v>
      </c>
      <c r="S62" s="79">
        <f ca="1">IF(OR($F62&gt;MAX('הנחות עבודה'!$B$69:$B$89),$F62&gt;$D$5),0,VLOOKUP($F62,'הספק נוסף נדרש'!$B$8:$AX$28,MATCH(S$49,'הספק נוסף נדרש'!$B$6:$AX$6,0)+(ROUNDUP((S$2-$F$2)/COUNTA($F$10:$F$16),0)-1)*COUNTA('הספק נוסף נדרש'!$C$6:$J$6),FALSE))</f>
        <v>0</v>
      </c>
      <c r="T62" s="138">
        <f ca="1">IF(OR($F62&gt;MAX('הנחות עבודה'!$B$69:$B$89),$F62&gt;$D$5),0,VLOOKUP($F62,'הספק נוסף נדרש'!$B$8:$AX$28,MATCH(T$49,'הספק נוסף נדרש'!$B$6:$AX$6,0)+(ROUNDUP((T$2-$F$2)/COUNTA($F$10:$F$16),0)-1)*COUNTA('הספק נוסף נדרש'!$C$6:$J$6),FALSE))</f>
        <v>0</v>
      </c>
      <c r="U62" s="138">
        <f ca="1">IF(OR($F62&gt;MAX('הנחות עבודה'!$B$69:$B$89),$F62&gt;$D$5),0,VLOOKUP($F62,'הספק נוסף נדרש'!$B$8:$AX$28,MATCH(U$49,'הספק נוסף נדרש'!$B$6:$AX$6,0)+(ROUNDUP((U$2-$F$2)/COUNTA($F$10:$F$16),0)-1)*COUNTA('הספק נוסף נדרש'!$C$6:$J$6),FALSE))</f>
        <v>0</v>
      </c>
      <c r="V62" s="138">
        <f ca="1">IF(OR($F62&gt;MAX('הנחות עבודה'!$B$69:$B$89),$F62&gt;$D$5),0,VLOOKUP($F62,'הספק נוסף נדרש'!$B$8:$AX$28,MATCH(V$49,'הספק נוסף נדרש'!$B$6:$AX$6,0)+(ROUNDUP((V$2-$F$2)/COUNTA($F$10:$F$16),0)-1)*COUNTA('הספק נוסף נדרש'!$C$6:$J$6),FALSE))</f>
        <v>0</v>
      </c>
      <c r="W62" s="138">
        <f ca="1">IF(OR($F62&gt;MAX('הנחות עבודה'!$B$69:$B$89),$F62&gt;$D$5),0,VLOOKUP($F62,'הספק נוסף נדרש'!$B$8:$AX$28,MATCH(W$49,'הספק נוסף נדרש'!$B$6:$AX$6,0)+(ROUNDUP((W$2-$F$2)/COUNTA($F$10:$F$16),0)-1)*COUNTA('הספק נוסף נדרש'!$C$6:$J$6),FALSE))</f>
        <v>0</v>
      </c>
      <c r="X62" s="79">
        <f ca="1">IF(OR($F62&gt;MAX('הנחות עבודה'!$B$69:$B$89),$F62&gt;$D$5),0,VLOOKUP($F62,'הספק נוסף נדרש'!$B$8:$AX$28,MATCH(X$49,'הספק נוסף נדרש'!$B$6:$AX$6,0)+(ROUNDUP((X$2-$F$2)/COUNTA($F$10:$F$16),0)-1)*COUNTA('הספק נוסף נדרש'!$C$6:$J$6),FALSE))</f>
        <v>0</v>
      </c>
      <c r="Y62" s="74">
        <f ca="1">IF(OR($F62&gt;MAX('הנחות עבודה'!$B$69:$B$89),$F62&gt;$D$5),0,VLOOKUP($F62,'הספק נוסף נדרש'!$B$8:$AX$28,MATCH(Y$49,'הספק נוסף נדרש'!$B$6:$AX$6,0)+(ROUNDUP((Y$2-$F$2)/COUNTA($F$10:$F$16),0)-1)*COUNTA('הספק נוסף נדרש'!$C$6:$J$6),FALSE))</f>
        <v>0</v>
      </c>
      <c r="Z62" s="136">
        <f ca="1">IF(OR($F62&gt;MAX('הנחות עבודה'!$B$69:$B$89),$F62&gt;$D$5),0,VLOOKUP($F62,'הספק נוסף נדרש'!$B$8:$AX$28,MATCH(Z$49,'הספק נוסף נדרש'!$B$6:$AX$6,0)+(ROUNDUP((Z$2-$F$2)/COUNTA($F$10:$F$16),0)-1)*COUNTA('הספק נוסף נדרש'!$C$6:$J$6),FALSE))</f>
        <v>0</v>
      </c>
      <c r="AA62" s="136">
        <f ca="1">IF(OR($F62&gt;MAX('הנחות עבודה'!$B$69:$B$89),$F62&gt;$D$5),0,VLOOKUP($F62,'הספק נוסף נדרש'!$B$8:$AX$28,MATCH(AA$49,'הספק נוסף נדרש'!$B$6:$AX$6,0)+(ROUNDUP((AA$2-$F$2)/COUNTA($F$10:$F$16),0)-1)*COUNTA('הספק נוסף נדרש'!$C$6:$J$6),FALSE))</f>
        <v>0</v>
      </c>
      <c r="AB62" s="136">
        <f ca="1">IF(OR($F62&gt;MAX('הנחות עבודה'!$B$69:$B$89),$F62&gt;$D$5),0,VLOOKUP($F62,'הספק נוסף נדרש'!$B$8:$AX$28,MATCH(AB$49,'הספק נוסף נדרש'!$B$6:$AX$6,0)+(ROUNDUP((AB$2-$F$2)/COUNTA($F$10:$F$16),0)-1)*COUNTA('הספק נוסף נדרש'!$C$6:$J$6),FALSE))</f>
        <v>0</v>
      </c>
      <c r="AC62" s="136">
        <f ca="1">IF(OR($F62&gt;MAX('הנחות עבודה'!$B$69:$B$89),$F62&gt;$D$5),0,VLOOKUP($F62,'הספק נוסף נדרש'!$B$8:$AX$28,MATCH(AC$49,'הספק נוסף נדרש'!$B$6:$AX$6,0)+(ROUNDUP((AC$2-$F$2)/COUNTA($F$10:$F$16),0)-1)*COUNTA('הספק נוסף נדרש'!$C$6:$J$6),FALSE))</f>
        <v>0</v>
      </c>
      <c r="AD62" s="136">
        <f ca="1">IF(OR($F62&gt;MAX('הנחות עבודה'!$B$69:$B$89),$F62&gt;$D$5),0,VLOOKUP($F62,'הספק נוסף נדרש'!$B$8:$AX$28,MATCH(AD$49,'הספק נוסף נדרש'!$B$6:$AX$6,0)+(ROUNDUP((AD$2-$F$2)/COUNTA($F$10:$F$16),0)-1)*COUNTA('הספק נוסף נדרש'!$C$6:$J$6),FALSE))</f>
        <v>0</v>
      </c>
      <c r="AE62" s="79">
        <f ca="1">IF(OR($F62&gt;MAX('הנחות עבודה'!$B$69:$B$89),$F62&gt;$D$5),0,VLOOKUP($F62,'הספק נוסף נדרש'!$B$8:$AX$28,MATCH(AE$49,'הספק נוסף נדרש'!$B$6:$AX$6,0)+(ROUNDUP((AE$2-$F$2)/COUNTA($F$10:$F$16),0)-1)*COUNTA('הספק נוסף נדרש'!$C$6:$J$6),FALSE))</f>
        <v>0</v>
      </c>
      <c r="AF62" s="138">
        <f ca="1">IF(OR($F62&gt;MAX('הנחות עבודה'!$B$69:$B$89),$F62&gt;$D$5),0,VLOOKUP($F62,'הספק נוסף נדרש'!$B$8:$AX$28,MATCH(AF$49,'הספק נוסף נדרש'!$B$6:$AX$6,0)+(ROUNDUP((AF$2-$F$2)/COUNTA($F$10:$F$16),0)-1)*COUNTA('הספק נוסף נדרש'!$C$6:$J$6),FALSE))</f>
        <v>0</v>
      </c>
      <c r="AG62" s="138">
        <f ca="1">IF(OR($F62&gt;MAX('הנחות עבודה'!$B$69:$B$89),$F62&gt;$D$5),0,VLOOKUP($F62,'הספק נוסף נדרש'!$B$8:$AX$28,MATCH(AG$49,'הספק נוסף נדרש'!$B$6:$AX$6,0)+(ROUNDUP((AG$2-$F$2)/COUNTA($F$10:$F$16),0)-1)*COUNTA('הספק נוסף נדרש'!$C$6:$J$6),FALSE))</f>
        <v>0</v>
      </c>
      <c r="AH62" s="138">
        <f ca="1">IF(OR($F62&gt;MAX('הנחות עבודה'!$B$69:$B$89),$F62&gt;$D$5),0,VLOOKUP($F62,'הספק נוסף נדרש'!$B$8:$AX$28,MATCH(AH$49,'הספק נוסף נדרש'!$B$6:$AX$6,0)+(ROUNDUP((AH$2-$F$2)/COUNTA($F$10:$F$16),0)-1)*COUNTA('הספק נוסף נדרש'!$C$6:$J$6),FALSE))</f>
        <v>0</v>
      </c>
      <c r="AI62" s="138">
        <f ca="1">IF(OR($F62&gt;MAX('הנחות עבודה'!$B$69:$B$89),$F62&gt;$D$5),0,VLOOKUP($F62,'הספק נוסף נדרש'!$B$8:$AX$28,MATCH(AI$49,'הספק נוסף נדרש'!$B$6:$AX$6,0)+(ROUNDUP((AI$2-$F$2)/COUNTA($F$10:$F$16),0)-1)*COUNTA('הספק נוסף נדרש'!$C$6:$J$6),FALSE))</f>
        <v>0</v>
      </c>
      <c r="AJ62" s="79">
        <f ca="1">IF(OR($F62&gt;MAX('הנחות עבודה'!$B$69:$B$89),$F62&gt;$D$5),0,VLOOKUP($F62,'הספק נוסף נדרש'!$B$8:$AX$28,MATCH(AJ$49,'הספק נוסף נדרש'!$B$6:$AX$6,0)+(ROUNDUP((AJ$2-$F$2)/COUNTA($F$10:$F$16),0)-1)*COUNTA('הספק נוסף נדרש'!$C$6:$J$6),FALSE))</f>
        <v>0</v>
      </c>
      <c r="AK62" s="74">
        <f ca="1">IF(OR($F62&gt;MAX('הנחות עבודה'!$B$69:$B$89),$F62&gt;$D$5),0,VLOOKUP($F62,'הספק נוסף נדרש'!$B$8:$AX$28,MATCH(AK$49,'הספק נוסף נדרש'!$B$6:$AX$6,0)+(ROUNDUP((AK$2-$F$2)/COUNTA($F$10:$F$16),0)-1)*COUNTA('הספק נוסף נדרש'!$C$6:$J$6),FALSE))</f>
        <v>0</v>
      </c>
      <c r="AL62" s="136">
        <f ca="1">IF(OR($F62&gt;MAX('הנחות עבודה'!$B$69:$B$89),$F62&gt;$D$5),0,VLOOKUP($F62,'הספק נוסף נדרש'!$B$8:$AX$28,MATCH(AL$49,'הספק נוסף נדרש'!$B$6:$AX$6,0)+(ROUNDUP((AL$2-$F$2)/COUNTA($F$10:$F$16),0)-1)*COUNTA('הספק נוסף נדרש'!$C$6:$J$6),FALSE))</f>
        <v>0</v>
      </c>
      <c r="AM62" s="136">
        <f ca="1">IF(OR($F62&gt;MAX('הנחות עבודה'!$B$69:$B$89),$F62&gt;$D$5),0,VLOOKUP($F62,'הספק נוסף נדרש'!$B$8:$AX$28,MATCH(AM$49,'הספק נוסף נדרש'!$B$6:$AX$6,0)+(ROUNDUP((AM$2-$F$2)/COUNTA($F$10:$F$16),0)-1)*COUNTA('הספק נוסף נדרש'!$C$6:$J$6),FALSE))</f>
        <v>0</v>
      </c>
      <c r="AN62" s="136">
        <f ca="1">IF(OR($F62&gt;MAX('הנחות עבודה'!$B$69:$B$89),$F62&gt;$D$5),0,VLOOKUP($F62,'הספק נוסף נדרש'!$B$8:$AX$28,MATCH(AN$49,'הספק נוסף נדרש'!$B$6:$AX$6,0)+(ROUNDUP((AN$2-$F$2)/COUNTA($F$10:$F$16),0)-1)*COUNTA('הספק נוסף נדרש'!$C$6:$J$6),FALSE))</f>
        <v>0</v>
      </c>
      <c r="AO62" s="136">
        <f ca="1">IF(OR($F62&gt;MAX('הנחות עבודה'!$B$69:$B$89),$F62&gt;$D$5),0,VLOOKUP($F62,'הספק נוסף נדרש'!$B$8:$AX$28,MATCH(AO$49,'הספק נוסף נדרש'!$B$6:$AX$6,0)+(ROUNDUP((AO$2-$F$2)/COUNTA($F$10:$F$16),0)-1)*COUNTA('הספק נוסף נדרש'!$C$6:$J$6),FALSE))</f>
        <v>0</v>
      </c>
      <c r="AP62" s="136">
        <f ca="1">IF(OR($F62&gt;MAX('הנחות עבודה'!$B$69:$B$89),$F62&gt;$D$5),0,VLOOKUP($F62,'הספק נוסף נדרש'!$B$8:$AX$28,MATCH(AP$49,'הספק נוסף נדרש'!$B$6:$AX$6,0)+(ROUNDUP((AP$2-$F$2)/COUNTA($F$10:$F$16),0)-1)*COUNTA('הספק נוסף נדרש'!$C$6:$J$6),FALSE))</f>
        <v>0</v>
      </c>
      <c r="AQ62" s="9"/>
      <c r="AR62" s="10">
        <f t="shared" si="313"/>
        <v>2032</v>
      </c>
      <c r="AS62" s="79">
        <f ca="1">HLOOKUP(AS$49,$G$24:$L$45,COUNTA($F$25:$F37)+1,FALSE)*G62*$D$7/$D$8</f>
        <v>0</v>
      </c>
      <c r="AT62" s="138">
        <f ca="1">HLOOKUP(AT$49,$G$24:$L$45,COUNTA($F$25:$F37)+1,FALSE)*H62*$D$7/$D$8</f>
        <v>0</v>
      </c>
      <c r="AU62" s="138">
        <f ca="1">HLOOKUP(AU$49,$G$24:$L$45,COUNTA($F$25:$F37)+1,FALSE)*I62*$D$7/$D$8</f>
        <v>0</v>
      </c>
      <c r="AV62" s="138">
        <f ca="1">HLOOKUP(AV$49,$G$24:$L$45,COUNTA($F$25:$F37)+1,FALSE)*J62*$D$7/$D$8</f>
        <v>0</v>
      </c>
      <c r="AW62" s="138">
        <f ca="1">HLOOKUP(AW$49,$G$24:$L$45,COUNTA($F$25:$F37)+1,FALSE)*K62*$D$7/$D$8</f>
        <v>0</v>
      </c>
      <c r="AX62" s="79">
        <f ca="1">HLOOKUP(AX$49,$G$24:$L$45,COUNTA($F$25:$F37)+1,FALSE)*L62*$D$7/$D$8</f>
        <v>0</v>
      </c>
      <c r="AY62" s="74">
        <f ca="1">HLOOKUP(AY$49,$G$24:$L$45,COUNTA($F$25:$F37)+1,FALSE)*M62*$D$7/$D$8</f>
        <v>0</v>
      </c>
      <c r="AZ62" s="136">
        <f ca="1">HLOOKUP(AZ$49,$G$24:$L$45,COUNTA($F$25:$F37)+1,FALSE)*N62*$D$7/$D$8</f>
        <v>0</v>
      </c>
      <c r="BA62" s="136">
        <f ca="1">HLOOKUP(BA$49,$G$24:$L$45,COUNTA($F$25:$F37)+1,FALSE)*O62*$D$7/$D$8</f>
        <v>0</v>
      </c>
      <c r="BB62" s="136">
        <f ca="1">HLOOKUP(BB$49,$G$24:$L$45,COUNTA($F$25:$F37)+1,FALSE)*P62*$D$7/$D$8</f>
        <v>0</v>
      </c>
      <c r="BC62" s="136">
        <f ca="1">HLOOKUP(BC$49,$G$24:$L$45,COUNTA($F$25:$F37)+1,FALSE)*Q62*$D$7/$D$8</f>
        <v>0</v>
      </c>
      <c r="BD62" s="136">
        <f ca="1">HLOOKUP(BD$49,$G$24:$L$45,COUNTA($F$25:$F37)+1,FALSE)*R62*$D$7/$D$8</f>
        <v>0</v>
      </c>
      <c r="BE62" s="79">
        <f ca="1">HLOOKUP(BE$49,$G$24:$L$45,COUNTA($F$25:$F37)+1,FALSE)*S62*$D$7/$D$8</f>
        <v>0</v>
      </c>
      <c r="BF62" s="138">
        <f ca="1">HLOOKUP(BF$49,$G$24:$L$45,COUNTA($F$25:$F37)+1,FALSE)*T62*$D$7/$D$8</f>
        <v>0</v>
      </c>
      <c r="BG62" s="138">
        <f ca="1">HLOOKUP(BG$49,$G$24:$L$45,COUNTA($F$25:$F37)+1,FALSE)*U62*$D$7/$D$8</f>
        <v>0</v>
      </c>
      <c r="BH62" s="138">
        <f ca="1">HLOOKUP(BH$49,$G$24:$L$45,COUNTA($F$25:$F37)+1,FALSE)*V62*$D$7/$D$8</f>
        <v>0</v>
      </c>
      <c r="BI62" s="138">
        <f ca="1">HLOOKUP(BI$49,$G$24:$L$45,COUNTA($F$25:$F37)+1,FALSE)*W62*$D$7/$D$8</f>
        <v>0</v>
      </c>
      <c r="BJ62" s="79">
        <f ca="1">HLOOKUP(BJ$49,$G$24:$L$45,COUNTA($F$25:$F37)+1,FALSE)*X62*$D$7/$D$8</f>
        <v>0</v>
      </c>
      <c r="BK62" s="74">
        <f ca="1">HLOOKUP(BK$49,$G$24:$L$45,COUNTA($F$25:$F37)+1,FALSE)*Y62*$D$7/$D$8</f>
        <v>0</v>
      </c>
      <c r="BL62" s="136">
        <f ca="1">HLOOKUP(BL$49,$G$24:$L$45,COUNTA($F$25:$F37)+1,FALSE)*Z62*$D$7/$D$8</f>
        <v>0</v>
      </c>
      <c r="BM62" s="136">
        <f ca="1">HLOOKUP(BM$49,$G$24:$L$45,COUNTA($F$25:$F37)+1,FALSE)*AA62*$D$7/$D$8</f>
        <v>0</v>
      </c>
      <c r="BN62" s="136">
        <f ca="1">HLOOKUP(BN$49,$G$24:$L$45,COUNTA($F$25:$F37)+1,FALSE)*AB62*$D$7/$D$8</f>
        <v>0</v>
      </c>
      <c r="BO62" s="136">
        <f ca="1">HLOOKUP(BO$49,$G$24:$L$45,COUNTA($F$25:$F37)+1,FALSE)*AC62*$D$7/$D$8</f>
        <v>0</v>
      </c>
      <c r="BP62" s="136">
        <f ca="1">HLOOKUP(BP$49,$G$24:$L$45,COUNTA($F$25:$F37)+1,FALSE)*AD62*$D$7/$D$8</f>
        <v>0</v>
      </c>
      <c r="BQ62" s="79">
        <f ca="1">HLOOKUP(BQ$49,$G$24:$L$45,COUNTA($F$25:$F37)+1,FALSE)*AE62*$D$7/$D$8</f>
        <v>0</v>
      </c>
      <c r="BR62" s="138">
        <f ca="1">HLOOKUP(BR$49,$G$24:$L$45,COUNTA($F$25:$F37)+1,FALSE)*AF62*$D$7/$D$8</f>
        <v>0</v>
      </c>
      <c r="BS62" s="138">
        <f ca="1">HLOOKUP(BS$49,$G$24:$L$45,COUNTA($F$25:$F37)+1,FALSE)*AG62*$D$7/$D$8</f>
        <v>0</v>
      </c>
      <c r="BT62" s="138">
        <f ca="1">HLOOKUP(BT$49,$G$24:$L$45,COUNTA($F$25:$F37)+1,FALSE)*AH62*$D$7/$D$8</f>
        <v>0</v>
      </c>
      <c r="BU62" s="138">
        <f ca="1">HLOOKUP(BU$49,$G$24:$L$45,COUNTA($F$25:$F37)+1,FALSE)*AI62*$D$7/$D$8</f>
        <v>0</v>
      </c>
      <c r="BV62" s="79">
        <f ca="1">HLOOKUP(BV$49,$G$24:$L$45,COUNTA($F$25:$F37)+1,FALSE)*AJ62*$D$7/$D$8</f>
        <v>0</v>
      </c>
      <c r="BW62" s="74">
        <f ca="1">HLOOKUP(BW$49,$G$24:$L$45,COUNTA($F$25:$F37)+1,FALSE)*AK62*$D$7/$D$8</f>
        <v>0</v>
      </c>
      <c r="BX62" s="136">
        <f ca="1">HLOOKUP(BX$49,$G$24:$L$45,COUNTA($F$25:$F37)+1,FALSE)*AL62*$D$7/$D$8</f>
        <v>0</v>
      </c>
      <c r="BY62" s="136">
        <f ca="1">HLOOKUP(BY$49,$G$24:$L$45,COUNTA($F$25:$F37)+1,FALSE)*AM62*$D$7/$D$8</f>
        <v>0</v>
      </c>
      <c r="BZ62" s="136">
        <f ca="1">HLOOKUP(BZ$49,$G$24:$L$45,COUNTA($F$25:$F37)+1,FALSE)*AN62*$D$7/$D$8</f>
        <v>0</v>
      </c>
      <c r="CA62" s="136">
        <f ca="1">HLOOKUP(CA$49,$G$24:$L$45,COUNTA($F$25:$F37)+1,FALSE)*AO62*$D$7/$D$8</f>
        <v>0</v>
      </c>
      <c r="CB62" s="739">
        <f ca="1">HLOOKUP(CB$49,$G$24:$L$45,COUNTA($F$25:$F37)+1,FALSE)*AP62*$D$7/$D$8</f>
        <v>0</v>
      </c>
      <c r="CD62" s="10">
        <f t="shared" si="314"/>
        <v>2032</v>
      </c>
      <c r="CE62" s="85">
        <f t="shared" ca="1" si="240"/>
        <v>1072.8415146359366</v>
      </c>
      <c r="CF62" s="147">
        <f t="shared" ca="1" si="241"/>
        <v>0</v>
      </c>
      <c r="CG62" s="147">
        <f t="shared" ca="1" si="242"/>
        <v>216.27952515046442</v>
      </c>
      <c r="CH62" s="147">
        <f t="shared" ca="1" si="243"/>
        <v>19.606169426540287</v>
      </c>
      <c r="CI62" s="147">
        <f t="shared" ca="1" si="244"/>
        <v>0</v>
      </c>
      <c r="CJ62" s="85">
        <f t="shared" ca="1" si="245"/>
        <v>0</v>
      </c>
      <c r="CK62" s="151">
        <f t="shared" ca="1" si="246"/>
        <v>0</v>
      </c>
      <c r="CL62" s="102">
        <f t="shared" ca="1" si="247"/>
        <v>1330.100333878547</v>
      </c>
      <c r="CM62" s="102">
        <f t="shared" ca="1" si="248"/>
        <v>216.27952515046442</v>
      </c>
      <c r="CN62" s="102">
        <f t="shared" ca="1" si="249"/>
        <v>19.606169426540287</v>
      </c>
      <c r="CO62" s="102">
        <f t="shared" ca="1" si="250"/>
        <v>0</v>
      </c>
      <c r="CP62" s="151">
        <f t="shared" ca="1" si="251"/>
        <v>0</v>
      </c>
      <c r="CQ62" s="85">
        <f t="shared" ca="1" si="252"/>
        <v>1875.8411079969287</v>
      </c>
      <c r="CR62" s="147">
        <f t="shared" ca="1" si="253"/>
        <v>0</v>
      </c>
      <c r="CS62" s="147">
        <f t="shared" ca="1" si="254"/>
        <v>216.27952515046442</v>
      </c>
      <c r="CT62" s="147">
        <f t="shared" ca="1" si="255"/>
        <v>19.606169426540287</v>
      </c>
      <c r="CU62" s="147">
        <f t="shared" ca="1" si="256"/>
        <v>0</v>
      </c>
      <c r="CV62" s="85">
        <f t="shared" ca="1" si="257"/>
        <v>0</v>
      </c>
      <c r="CW62" s="151">
        <f t="shared" ca="1" si="258"/>
        <v>0</v>
      </c>
      <c r="CX62" s="102">
        <f t="shared" ca="1" si="259"/>
        <v>2329.6222224771814</v>
      </c>
      <c r="CY62" s="102">
        <f t="shared" ca="1" si="260"/>
        <v>216.27952515046442</v>
      </c>
      <c r="CZ62" s="102">
        <f t="shared" ca="1" si="261"/>
        <v>19.606169426540287</v>
      </c>
      <c r="DA62" s="102">
        <f t="shared" ca="1" si="262"/>
        <v>0</v>
      </c>
      <c r="DB62" s="151">
        <f t="shared" ca="1" si="263"/>
        <v>0</v>
      </c>
      <c r="DC62" s="85">
        <f t="shared" ca="1" si="264"/>
        <v>2372.5516075818737</v>
      </c>
      <c r="DD62" s="147">
        <f t="shared" ca="1" si="265"/>
        <v>0</v>
      </c>
      <c r="DE62" s="147">
        <f t="shared" ca="1" si="266"/>
        <v>216.27952515046442</v>
      </c>
      <c r="DF62" s="147">
        <f t="shared" ca="1" si="267"/>
        <v>19.606169426540287</v>
      </c>
      <c r="DG62" s="147">
        <f t="shared" ca="1" si="268"/>
        <v>0</v>
      </c>
      <c r="DH62" s="85">
        <f t="shared" ca="1" si="269"/>
        <v>0</v>
      </c>
      <c r="DI62" s="151">
        <f t="shared" ca="1" si="270"/>
        <v>0</v>
      </c>
      <c r="DJ62" s="102">
        <f t="shared" ca="1" si="271"/>
        <v>2948.2575202218331</v>
      </c>
      <c r="DK62" s="102">
        <f t="shared" ca="1" si="272"/>
        <v>216.27952515046442</v>
      </c>
      <c r="DL62" s="102">
        <f t="shared" ca="1" si="273"/>
        <v>19.606169426540287</v>
      </c>
      <c r="DM62" s="102">
        <f t="shared" ca="1" si="274"/>
        <v>0</v>
      </c>
      <c r="DN62" s="564">
        <f t="shared" ca="1" si="275"/>
        <v>0</v>
      </c>
      <c r="DP62" s="10">
        <f t="shared" si="315"/>
        <v>2032</v>
      </c>
      <c r="DQ62" s="85">
        <f t="shared" ca="1" si="276"/>
        <v>346.43926141557102</v>
      </c>
      <c r="DR62" s="147">
        <f t="shared" ca="1" si="277"/>
        <v>0</v>
      </c>
      <c r="DS62" s="147">
        <f t="shared" ca="1" si="278"/>
        <v>61.350712925538716</v>
      </c>
      <c r="DT62" s="147">
        <f t="shared" ca="1" si="279"/>
        <v>6.4807091118526818</v>
      </c>
      <c r="DU62" s="147">
        <f t="shared" ca="1" si="280"/>
        <v>0</v>
      </c>
      <c r="DV62" s="85">
        <f t="shared" ca="1" si="281"/>
        <v>0</v>
      </c>
      <c r="DW62" s="151">
        <f t="shared" ca="1" si="282"/>
        <v>0</v>
      </c>
      <c r="DX62" s="102">
        <f t="shared" ca="1" si="283"/>
        <v>394.23058597629023</v>
      </c>
      <c r="DY62" s="102">
        <f t="shared" ca="1" si="284"/>
        <v>61.350712925538716</v>
      </c>
      <c r="DZ62" s="102">
        <f t="shared" ca="1" si="285"/>
        <v>6.4807091118526818</v>
      </c>
      <c r="EA62" s="102">
        <f t="shared" ca="1" si="286"/>
        <v>0</v>
      </c>
      <c r="EB62" s="151">
        <f t="shared" ca="1" si="287"/>
        <v>0</v>
      </c>
      <c r="EC62" s="85">
        <f t="shared" ca="1" si="288"/>
        <v>616.2052651814364</v>
      </c>
      <c r="ED62" s="147">
        <f t="shared" ca="1" si="289"/>
        <v>0</v>
      </c>
      <c r="EE62" s="147">
        <f t="shared" ca="1" si="290"/>
        <v>61.350712925538716</v>
      </c>
      <c r="EF62" s="147">
        <f t="shared" ca="1" si="291"/>
        <v>6.4807091118526818</v>
      </c>
      <c r="EG62" s="147">
        <f t="shared" ca="1" si="292"/>
        <v>0</v>
      </c>
      <c r="EH62" s="85">
        <f t="shared" ca="1" si="293"/>
        <v>0</v>
      </c>
      <c r="EI62" s="151">
        <f t="shared" ca="1" si="294"/>
        <v>0</v>
      </c>
      <c r="EJ62" s="102">
        <f t="shared" ca="1" si="295"/>
        <v>701.21083211394455</v>
      </c>
      <c r="EK62" s="102">
        <f t="shared" ca="1" si="296"/>
        <v>61.350712925538716</v>
      </c>
      <c r="EL62" s="102">
        <f t="shared" ca="1" si="297"/>
        <v>6.4807091118526818</v>
      </c>
      <c r="EM62" s="102">
        <f t="shared" ca="1" si="298"/>
        <v>0</v>
      </c>
      <c r="EN62" s="151">
        <f t="shared" ca="1" si="299"/>
        <v>0</v>
      </c>
      <c r="EO62" s="85">
        <f t="shared" ca="1" si="300"/>
        <v>784.54004761148781</v>
      </c>
      <c r="EP62" s="145">
        <f t="shared" ca="1" si="301"/>
        <v>0</v>
      </c>
      <c r="EQ62" s="145">
        <f t="shared" ca="1" si="302"/>
        <v>61.350712925538716</v>
      </c>
      <c r="ER62" s="145">
        <f t="shared" ca="1" si="303"/>
        <v>6.4807091118526818</v>
      </c>
      <c r="ES62" s="145">
        <f t="shared" ca="1" si="304"/>
        <v>0</v>
      </c>
      <c r="ET62" s="85">
        <f t="shared" ca="1" si="305"/>
        <v>0</v>
      </c>
      <c r="EU62" s="102">
        <f t="shared" ca="1" si="306"/>
        <v>0</v>
      </c>
      <c r="EV62" s="102">
        <f t="shared" ca="1" si="307"/>
        <v>892.76741160331449</v>
      </c>
      <c r="EW62" s="102">
        <f t="shared" ca="1" si="308"/>
        <v>61.350712925538716</v>
      </c>
      <c r="EX62" s="102">
        <f t="shared" ca="1" si="309"/>
        <v>6.4807091118526818</v>
      </c>
      <c r="EY62" s="102">
        <f t="shared" ca="1" si="310"/>
        <v>0</v>
      </c>
      <c r="EZ62" s="564">
        <f t="shared" ca="1" si="311"/>
        <v>0</v>
      </c>
      <c r="FB62" s="10">
        <f t="shared" si="316"/>
        <v>2032</v>
      </c>
      <c r="FC62" s="85">
        <f ca="1">HLOOKUP(FC$49,$O$24:$T$45,COUNTA($N$25:$N37)+1,FALSE)*G62*$D$7/$D$8</f>
        <v>0</v>
      </c>
      <c r="FD62" s="147">
        <f ca="1">HLOOKUP(FD$49,$O$24:$T$45,COUNTA($N$25:$N37)+1,FALSE)*H62*$D$7/$D$8</f>
        <v>0</v>
      </c>
      <c r="FE62" s="147">
        <f ca="1">HLOOKUP(FE$49,$O$24:$T$45,COUNTA($N$25:$N37)+1,FALSE)*I62*$D$7/$D$8</f>
        <v>0</v>
      </c>
      <c r="FF62" s="147">
        <f ca="1">HLOOKUP(FF$49,$O$24:$T$45,COUNTA($N$25:$N37)+1,FALSE)*J62*$D$7/$D$8</f>
        <v>0</v>
      </c>
      <c r="FG62" s="147">
        <f ca="1">HLOOKUP(FG$49,$O$24:$T$45,COUNTA($N$25:$N37)+1,FALSE)*K62*$D$7/$D$8</f>
        <v>0</v>
      </c>
      <c r="FH62" s="85">
        <f ca="1">HLOOKUP(FH$49,$O$24:$T$45,COUNTA($N$25:$N37)+1,FALSE)*L62*$D$7/$D$8</f>
        <v>0</v>
      </c>
      <c r="FI62" s="151">
        <f ca="1">HLOOKUP(FI$49,$O$24:$T$45,COUNTA($N$25:$N37)+1,FALSE)*M62*$D$7/$D$8</f>
        <v>0</v>
      </c>
      <c r="FJ62" s="153">
        <f ca="1">HLOOKUP(FJ$49,$O$24:$T$45,COUNTA($N$25:$N37)+1,FALSE)*N62*$D$7/$D$8</f>
        <v>0</v>
      </c>
      <c r="FK62" s="153">
        <f ca="1">HLOOKUP(FK$49,$O$24:$T$45,COUNTA($N$25:$N37)+1,FALSE)*O62*$D$7/$D$8</f>
        <v>0</v>
      </c>
      <c r="FL62" s="153">
        <f ca="1">HLOOKUP(FL$49,$O$24:$T$45,COUNTA($N$25:$N37)+1,FALSE)*P62*$D$7/$D$8</f>
        <v>0</v>
      </c>
      <c r="FM62" s="153">
        <f ca="1">HLOOKUP(FM$49,$O$24:$T$45,COUNTA($N$25:$N37)+1,FALSE)*Q62*$D$7/$D$8</f>
        <v>0</v>
      </c>
      <c r="FN62" s="151">
        <f ca="1">HLOOKUP(FN$49,$O$24:$T$45,COUNTA($N$25:$N37)+1,FALSE)*R62*$D$7/$D$8</f>
        <v>0</v>
      </c>
      <c r="FO62" s="85">
        <f ca="1">HLOOKUP(FO$49,$O$24:$T$45,COUNTA($N$25:$N37)+1,FALSE)*S62*$D$7/$D$8</f>
        <v>0</v>
      </c>
      <c r="FP62" s="147">
        <f ca="1">HLOOKUP(FP$49,$O$24:$T$45,COUNTA($N$25:$N37)+1,FALSE)*T62*$D$7/$D$8</f>
        <v>0</v>
      </c>
      <c r="FQ62" s="147">
        <f ca="1">HLOOKUP(FQ$49,$O$24:$T$45,COUNTA($N$25:$N37)+1,FALSE)*U62*$D$7/$D$8</f>
        <v>0</v>
      </c>
      <c r="FR62" s="147">
        <f ca="1">HLOOKUP(FR$49,$O$24:$T$45,COUNTA($N$25:$N37)+1,FALSE)*V62*$D$7/$D$8</f>
        <v>0</v>
      </c>
      <c r="FS62" s="147">
        <f ca="1">HLOOKUP(FS$49,$O$24:$T$45,COUNTA($N$25:$N37)+1,FALSE)*W62*$D$7/$D$8</f>
        <v>0</v>
      </c>
      <c r="FT62" s="85">
        <f ca="1">HLOOKUP(FT$49,$O$24:$T$45,COUNTA($N$25:$N37)+1,FALSE)*X62*$D$7/$D$8</f>
        <v>0</v>
      </c>
      <c r="FU62" s="151">
        <f ca="1">HLOOKUP(FU$49,$O$24:$T$45,COUNTA($N$25:$N37)+1,FALSE)*Y62*$D$7/$D$8</f>
        <v>0</v>
      </c>
      <c r="FV62" s="153">
        <f ca="1">HLOOKUP(FV$49,$O$24:$T$45,COUNTA($N$25:$N37)+1,FALSE)*Z62*$D$7/$D$8</f>
        <v>0</v>
      </c>
      <c r="FW62" s="153">
        <f ca="1">HLOOKUP(FW$49,$O$24:$T$45,COUNTA($N$25:$N37)+1,FALSE)*AA62*$D$7/$D$8</f>
        <v>0</v>
      </c>
      <c r="FX62" s="153">
        <f ca="1">HLOOKUP(FX$49,$O$24:$T$45,COUNTA($N$25:$N37)+1,FALSE)*AB62*$D$7/$D$8</f>
        <v>0</v>
      </c>
      <c r="FY62" s="153">
        <f ca="1">HLOOKUP(FY$49,$O$24:$T$45,COUNTA($N$25:$N37)+1,FALSE)*AC62*$D$7/$D$8</f>
        <v>0</v>
      </c>
      <c r="FZ62" s="151">
        <f ca="1">HLOOKUP(FZ$49,$O$24:$T$45,COUNTA($N$25:$N37)+1,FALSE)*AD62*$D$7/$D$8</f>
        <v>0</v>
      </c>
      <c r="GA62" s="85">
        <f ca="1">HLOOKUP(GA$49,$O$24:$T$45,COUNTA($N$25:$N37)+1,FALSE)*AE62*$D$7/$D$8</f>
        <v>0</v>
      </c>
      <c r="GB62" s="147">
        <f ca="1">HLOOKUP(GB$49,$O$24:$T$45,COUNTA($N$25:$N37)+1,FALSE)*AF62*$D$7/$D$8</f>
        <v>0</v>
      </c>
      <c r="GC62" s="147">
        <f ca="1">HLOOKUP(GC$49,$O$24:$T$45,COUNTA($N$25:$N37)+1,FALSE)*AG62*$D$7/$D$8</f>
        <v>0</v>
      </c>
      <c r="GD62" s="147">
        <f ca="1">HLOOKUP(GD$49,$O$24:$T$45,COUNTA($N$25:$N37)+1,FALSE)*AH62*$D$7/$D$8</f>
        <v>0</v>
      </c>
      <c r="GE62" s="147">
        <f ca="1">HLOOKUP(GE$49,$O$24:$T$45,COUNTA($N$25:$N37)+1,FALSE)*AI62*$D$7/$D$8</f>
        <v>0</v>
      </c>
      <c r="GF62" s="85">
        <f ca="1">HLOOKUP(GF$49,$O$24:$T$45,COUNTA($N$25:$N37)+1,FALSE)*AJ62*$D$7/$D$8</f>
        <v>0</v>
      </c>
      <c r="GG62" s="151">
        <f ca="1">HLOOKUP(GG$49,$O$24:$T$45,COUNTA($N$25:$N37)+1,FALSE)*AK62*$D$7/$D$8</f>
        <v>0</v>
      </c>
      <c r="GH62" s="153">
        <f ca="1">HLOOKUP(GH$49,$O$24:$T$45,COUNTA($N$25:$N37)+1,FALSE)*AL62*$D$7/$D$8</f>
        <v>0</v>
      </c>
      <c r="GI62" s="153">
        <f ca="1">HLOOKUP(GI$49,$O$24:$T$45,COUNTA($N$25:$N37)+1,FALSE)*AM62*$D$7/$D$8</f>
        <v>0</v>
      </c>
      <c r="GJ62" s="153">
        <f ca="1">HLOOKUP(GJ$49,$O$24:$T$45,COUNTA($N$25:$N37)+1,FALSE)*AN62*$D$7/$D$8</f>
        <v>0</v>
      </c>
      <c r="GK62" s="153">
        <f ca="1">HLOOKUP(GK$49,$O$24:$T$45,COUNTA($N$25:$N37)+1,FALSE)*AO62*$D$7/$D$8</f>
        <v>0</v>
      </c>
      <c r="GL62" s="564">
        <f ca="1">HLOOKUP(GL$49,$O$24:$T$45,COUNTA($N$25:$N37)+1,FALSE)*AP62*$D$7/$D$8</f>
        <v>0</v>
      </c>
    </row>
    <row r="63" spans="6:194">
      <c r="F63" s="10">
        <f t="shared" si="317"/>
        <v>2033</v>
      </c>
      <c r="G63" s="79">
        <f ca="1">IF(OR($F63&gt;MAX('הנחות עבודה'!$B$69:$B$89),$F63&gt;$D$5),0,VLOOKUP($F63,'הספק נוסף נדרש'!$B$8:$AX$28,MATCH(G$49,'הספק נוסף נדרש'!$B$6:$AX$6,0)+(ROUNDUP((G$2-$F$2)/COUNTA($F$10:$F$16),0)-1)*COUNTA('הספק נוסף נדרש'!$C$6:$J$6),FALSE))</f>
        <v>0</v>
      </c>
      <c r="H63" s="138">
        <f ca="1">IF(OR($F63&gt;MAX('הנחות עבודה'!$B$69:$B$89),$F63&gt;$D$5),0,VLOOKUP($F63,'הספק נוסף נדרש'!$B$8:$AX$28,MATCH(H$49,'הספק נוסף נדרש'!$B$6:$AX$6,0)+(ROUNDUP((H$2-$F$2)/COUNTA($F$10:$F$16),0)-1)*COUNTA('הספק נוסף נדרש'!$C$6:$J$6),FALSE))</f>
        <v>0</v>
      </c>
      <c r="I63" s="138">
        <f ca="1">IF(OR($F63&gt;MAX('הנחות עבודה'!$B$69:$B$89),$F63&gt;$D$5),0,VLOOKUP($F63,'הספק נוסף נדרש'!$B$8:$AX$28,MATCH(I$49,'הספק נוסף נדרש'!$B$6:$AX$6,0)+(ROUNDUP((I$2-$F$2)/COUNTA($F$10:$F$16),0)-1)*COUNTA('הספק נוסף נדרש'!$C$6:$J$6),FALSE))</f>
        <v>0</v>
      </c>
      <c r="J63" s="138">
        <f ca="1">IF(OR($F63&gt;MAX('הנחות עבודה'!$B$69:$B$89),$F63&gt;$D$5),0,VLOOKUP($F63,'הספק נוסף נדרש'!$B$8:$AX$28,MATCH(J$49,'הספק נוסף נדרש'!$B$6:$AX$6,0)+(ROUNDUP((J$2-$F$2)/COUNTA($F$10:$F$16),0)-1)*COUNTA('הספק נוסף נדרש'!$C$6:$J$6),FALSE))</f>
        <v>0</v>
      </c>
      <c r="K63" s="138">
        <f ca="1">IF(OR($F63&gt;MAX('הנחות עבודה'!$B$69:$B$89),$F63&gt;$D$5),0,VLOOKUP($F63,'הספק נוסף נדרש'!$B$8:$AX$28,MATCH(K$49,'הספק נוסף נדרש'!$B$6:$AX$6,0)+(ROUNDUP((K$2-$F$2)/COUNTA($F$10:$F$16),0)-1)*COUNTA('הספק נוסף נדרש'!$C$6:$J$6),FALSE))</f>
        <v>0</v>
      </c>
      <c r="L63" s="79">
        <f ca="1">IF(OR($F63&gt;MAX('הנחות עבודה'!$B$69:$B$89),$F63&gt;$D$5),0,VLOOKUP($F63,'הספק נוסף נדרש'!$B$8:$AX$28,MATCH(L$49,'הספק נוסף נדרש'!$B$6:$AX$6,0)+(ROUNDUP((L$2-$F$2)/COUNTA($F$10:$F$16),0)-1)*COUNTA('הספק נוסף נדרש'!$C$6:$J$6),FALSE))</f>
        <v>0</v>
      </c>
      <c r="M63" s="74">
        <f ca="1">IF(OR($F63&gt;MAX('הנחות עבודה'!$B$69:$B$89),$F63&gt;$D$5),0,VLOOKUP($F63,'הספק נוסף נדרש'!$B$8:$AX$28,MATCH(M$49,'הספק נוסף נדרש'!$B$6:$AX$6,0)+(ROUNDUP((M$2-$F$2)/COUNTA($F$10:$F$16),0)-1)*COUNTA('הספק נוסף נדרש'!$C$6:$J$6),FALSE))</f>
        <v>0</v>
      </c>
      <c r="N63" s="136">
        <f ca="1">IF(OR($F63&gt;MAX('הנחות עבודה'!$B$69:$B$89),$F63&gt;$D$5),0,VLOOKUP($F63,'הספק נוסף נדרש'!$B$8:$AX$28,MATCH(N$49,'הספק נוסף נדרש'!$B$6:$AX$6,0)+(ROUNDUP((N$2-$F$2)/COUNTA($F$10:$F$16),0)-1)*COUNTA('הספק נוסף נדרש'!$C$6:$J$6),FALSE))</f>
        <v>0</v>
      </c>
      <c r="O63" s="136">
        <f ca="1">IF(OR($F63&gt;MAX('הנחות עבודה'!$B$69:$B$89),$F63&gt;$D$5),0,VLOOKUP($F63,'הספק נוסף נדרש'!$B$8:$AX$28,MATCH(O$49,'הספק נוסף נדרש'!$B$6:$AX$6,0)+(ROUNDUP((O$2-$F$2)/COUNTA($F$10:$F$16),0)-1)*COUNTA('הספק נוסף נדרש'!$C$6:$J$6),FALSE))</f>
        <v>0</v>
      </c>
      <c r="P63" s="136">
        <f ca="1">IF(OR($F63&gt;MAX('הנחות עבודה'!$B$69:$B$89),$F63&gt;$D$5),0,VLOOKUP($F63,'הספק נוסף נדרש'!$B$8:$AX$28,MATCH(P$49,'הספק נוסף נדרש'!$B$6:$AX$6,0)+(ROUNDUP((P$2-$F$2)/COUNTA($F$10:$F$16),0)-1)*COUNTA('הספק נוסף נדרש'!$C$6:$J$6),FALSE))</f>
        <v>0</v>
      </c>
      <c r="Q63" s="136">
        <f ca="1">IF(OR($F63&gt;MAX('הנחות עבודה'!$B$69:$B$89),$F63&gt;$D$5),0,VLOOKUP($F63,'הספק נוסף נדרש'!$B$8:$AX$28,MATCH(Q$49,'הספק נוסף נדרש'!$B$6:$AX$6,0)+(ROUNDUP((Q$2-$F$2)/COUNTA($F$10:$F$16),0)-1)*COUNTA('הספק נוסף נדרש'!$C$6:$J$6),FALSE))</f>
        <v>0</v>
      </c>
      <c r="R63" s="136">
        <f ca="1">IF(OR($F63&gt;MAX('הנחות עבודה'!$B$69:$B$89),$F63&gt;$D$5),0,VLOOKUP($F63,'הספק נוסף נדרש'!$B$8:$AX$28,MATCH(R$49,'הספק נוסף נדרש'!$B$6:$AX$6,0)+(ROUNDUP((R$2-$F$2)/COUNTA($F$10:$F$16),0)-1)*COUNTA('הספק נוסף נדרש'!$C$6:$J$6),FALSE))</f>
        <v>0</v>
      </c>
      <c r="S63" s="79">
        <f ca="1">IF(OR($F63&gt;MAX('הנחות עבודה'!$B$69:$B$89),$F63&gt;$D$5),0,VLOOKUP($F63,'הספק נוסף נדרש'!$B$8:$AX$28,MATCH(S$49,'הספק נוסף נדרש'!$B$6:$AX$6,0)+(ROUNDUP((S$2-$F$2)/COUNTA($F$10:$F$16),0)-1)*COUNTA('הספק נוסף נדרש'!$C$6:$J$6),FALSE))</f>
        <v>0</v>
      </c>
      <c r="T63" s="138">
        <f ca="1">IF(OR($F63&gt;MAX('הנחות עבודה'!$B$69:$B$89),$F63&gt;$D$5),0,VLOOKUP($F63,'הספק נוסף נדרש'!$B$8:$AX$28,MATCH(T$49,'הספק נוסף נדרש'!$B$6:$AX$6,0)+(ROUNDUP((T$2-$F$2)/COUNTA($F$10:$F$16),0)-1)*COUNTA('הספק נוסף נדרש'!$C$6:$J$6),FALSE))</f>
        <v>0</v>
      </c>
      <c r="U63" s="138">
        <f ca="1">IF(OR($F63&gt;MAX('הנחות עבודה'!$B$69:$B$89),$F63&gt;$D$5),0,VLOOKUP($F63,'הספק נוסף נדרש'!$B$8:$AX$28,MATCH(U$49,'הספק נוסף נדרש'!$B$6:$AX$6,0)+(ROUNDUP((U$2-$F$2)/COUNTA($F$10:$F$16),0)-1)*COUNTA('הספק נוסף נדרש'!$C$6:$J$6),FALSE))</f>
        <v>0</v>
      </c>
      <c r="V63" s="138">
        <f ca="1">IF(OR($F63&gt;MAX('הנחות עבודה'!$B$69:$B$89),$F63&gt;$D$5),0,VLOOKUP($F63,'הספק נוסף נדרש'!$B$8:$AX$28,MATCH(V$49,'הספק נוסף נדרש'!$B$6:$AX$6,0)+(ROUNDUP((V$2-$F$2)/COUNTA($F$10:$F$16),0)-1)*COUNTA('הספק נוסף נדרש'!$C$6:$J$6),FALSE))</f>
        <v>0</v>
      </c>
      <c r="W63" s="138">
        <f ca="1">IF(OR($F63&gt;MAX('הנחות עבודה'!$B$69:$B$89),$F63&gt;$D$5),0,VLOOKUP($F63,'הספק נוסף נדרש'!$B$8:$AX$28,MATCH(W$49,'הספק נוסף נדרש'!$B$6:$AX$6,0)+(ROUNDUP((W$2-$F$2)/COUNTA($F$10:$F$16),0)-1)*COUNTA('הספק נוסף נדרש'!$C$6:$J$6),FALSE))</f>
        <v>0</v>
      </c>
      <c r="X63" s="79">
        <f ca="1">IF(OR($F63&gt;MAX('הנחות עבודה'!$B$69:$B$89),$F63&gt;$D$5),0,VLOOKUP($F63,'הספק נוסף נדרש'!$B$8:$AX$28,MATCH(X$49,'הספק נוסף נדרש'!$B$6:$AX$6,0)+(ROUNDUP((X$2-$F$2)/COUNTA($F$10:$F$16),0)-1)*COUNTA('הספק נוסף נדרש'!$C$6:$J$6),FALSE))</f>
        <v>0</v>
      </c>
      <c r="Y63" s="74">
        <f ca="1">IF(OR($F63&gt;MAX('הנחות עבודה'!$B$69:$B$89),$F63&gt;$D$5),0,VLOOKUP($F63,'הספק נוסף נדרש'!$B$8:$AX$28,MATCH(Y$49,'הספק נוסף נדרש'!$B$6:$AX$6,0)+(ROUNDUP((Y$2-$F$2)/COUNTA($F$10:$F$16),0)-1)*COUNTA('הספק נוסף נדרש'!$C$6:$J$6),FALSE))</f>
        <v>0</v>
      </c>
      <c r="Z63" s="136">
        <f ca="1">IF(OR($F63&gt;MAX('הנחות עבודה'!$B$69:$B$89),$F63&gt;$D$5),0,VLOOKUP($F63,'הספק נוסף נדרש'!$B$8:$AX$28,MATCH(Z$49,'הספק נוסף נדרש'!$B$6:$AX$6,0)+(ROUNDUP((Z$2-$F$2)/COUNTA($F$10:$F$16),0)-1)*COUNTA('הספק נוסף נדרש'!$C$6:$J$6),FALSE))</f>
        <v>0</v>
      </c>
      <c r="AA63" s="136">
        <f ca="1">IF(OR($F63&gt;MAX('הנחות עבודה'!$B$69:$B$89),$F63&gt;$D$5),0,VLOOKUP($F63,'הספק נוסף נדרש'!$B$8:$AX$28,MATCH(AA$49,'הספק נוסף נדרש'!$B$6:$AX$6,0)+(ROUNDUP((AA$2-$F$2)/COUNTA($F$10:$F$16),0)-1)*COUNTA('הספק נוסף נדרש'!$C$6:$J$6),FALSE))</f>
        <v>0</v>
      </c>
      <c r="AB63" s="136">
        <f ca="1">IF(OR($F63&gt;MAX('הנחות עבודה'!$B$69:$B$89),$F63&gt;$D$5),0,VLOOKUP($F63,'הספק נוסף נדרש'!$B$8:$AX$28,MATCH(AB$49,'הספק נוסף נדרש'!$B$6:$AX$6,0)+(ROUNDUP((AB$2-$F$2)/COUNTA($F$10:$F$16),0)-1)*COUNTA('הספק נוסף נדרש'!$C$6:$J$6),FALSE))</f>
        <v>0</v>
      </c>
      <c r="AC63" s="136">
        <f ca="1">IF(OR($F63&gt;MAX('הנחות עבודה'!$B$69:$B$89),$F63&gt;$D$5),0,VLOOKUP($F63,'הספק נוסף נדרש'!$B$8:$AX$28,MATCH(AC$49,'הספק נוסף נדרש'!$B$6:$AX$6,0)+(ROUNDUP((AC$2-$F$2)/COUNTA($F$10:$F$16),0)-1)*COUNTA('הספק נוסף נדרש'!$C$6:$J$6),FALSE))</f>
        <v>0</v>
      </c>
      <c r="AD63" s="136">
        <f ca="1">IF(OR($F63&gt;MAX('הנחות עבודה'!$B$69:$B$89),$F63&gt;$D$5),0,VLOOKUP($F63,'הספק נוסף נדרש'!$B$8:$AX$28,MATCH(AD$49,'הספק נוסף נדרש'!$B$6:$AX$6,0)+(ROUNDUP((AD$2-$F$2)/COUNTA($F$10:$F$16),0)-1)*COUNTA('הספק נוסף נדרש'!$C$6:$J$6),FALSE))</f>
        <v>0</v>
      </c>
      <c r="AE63" s="79">
        <f ca="1">IF(OR($F63&gt;MAX('הנחות עבודה'!$B$69:$B$89),$F63&gt;$D$5),0,VLOOKUP($F63,'הספק נוסף נדרש'!$B$8:$AX$28,MATCH(AE$49,'הספק נוסף נדרש'!$B$6:$AX$6,0)+(ROUNDUP((AE$2-$F$2)/COUNTA($F$10:$F$16),0)-1)*COUNTA('הספק נוסף נדרש'!$C$6:$J$6),FALSE))</f>
        <v>0</v>
      </c>
      <c r="AF63" s="138">
        <f ca="1">IF(OR($F63&gt;MAX('הנחות עבודה'!$B$69:$B$89),$F63&gt;$D$5),0,VLOOKUP($F63,'הספק נוסף נדרש'!$B$8:$AX$28,MATCH(AF$49,'הספק נוסף נדרש'!$B$6:$AX$6,0)+(ROUNDUP((AF$2-$F$2)/COUNTA($F$10:$F$16),0)-1)*COUNTA('הספק נוסף נדרש'!$C$6:$J$6),FALSE))</f>
        <v>0</v>
      </c>
      <c r="AG63" s="138">
        <f ca="1">IF(OR($F63&gt;MAX('הנחות עבודה'!$B$69:$B$89),$F63&gt;$D$5),0,VLOOKUP($F63,'הספק נוסף נדרש'!$B$8:$AX$28,MATCH(AG$49,'הספק נוסף נדרש'!$B$6:$AX$6,0)+(ROUNDUP((AG$2-$F$2)/COUNTA($F$10:$F$16),0)-1)*COUNTA('הספק נוסף נדרש'!$C$6:$J$6),FALSE))</f>
        <v>0</v>
      </c>
      <c r="AH63" s="138">
        <f ca="1">IF(OR($F63&gt;MAX('הנחות עבודה'!$B$69:$B$89),$F63&gt;$D$5),0,VLOOKUP($F63,'הספק נוסף נדרש'!$B$8:$AX$28,MATCH(AH$49,'הספק נוסף נדרש'!$B$6:$AX$6,0)+(ROUNDUP((AH$2-$F$2)/COUNTA($F$10:$F$16),0)-1)*COUNTA('הספק נוסף נדרש'!$C$6:$J$6),FALSE))</f>
        <v>0</v>
      </c>
      <c r="AI63" s="138">
        <f ca="1">IF(OR($F63&gt;MAX('הנחות עבודה'!$B$69:$B$89),$F63&gt;$D$5),0,VLOOKUP($F63,'הספק נוסף נדרש'!$B$8:$AX$28,MATCH(AI$49,'הספק נוסף נדרש'!$B$6:$AX$6,0)+(ROUNDUP((AI$2-$F$2)/COUNTA($F$10:$F$16),0)-1)*COUNTA('הספק נוסף נדרש'!$C$6:$J$6),FALSE))</f>
        <v>0</v>
      </c>
      <c r="AJ63" s="79">
        <f ca="1">IF(OR($F63&gt;MAX('הנחות עבודה'!$B$69:$B$89),$F63&gt;$D$5),0,VLOOKUP($F63,'הספק נוסף נדרש'!$B$8:$AX$28,MATCH(AJ$49,'הספק נוסף נדרש'!$B$6:$AX$6,0)+(ROUNDUP((AJ$2-$F$2)/COUNTA($F$10:$F$16),0)-1)*COUNTA('הספק נוסף נדרש'!$C$6:$J$6),FALSE))</f>
        <v>0</v>
      </c>
      <c r="AK63" s="74">
        <f ca="1">IF(OR($F63&gt;MAX('הנחות עבודה'!$B$69:$B$89),$F63&gt;$D$5),0,VLOOKUP($F63,'הספק נוסף נדרש'!$B$8:$AX$28,MATCH(AK$49,'הספק נוסף נדרש'!$B$6:$AX$6,0)+(ROUNDUP((AK$2-$F$2)/COUNTA($F$10:$F$16),0)-1)*COUNTA('הספק נוסף נדרש'!$C$6:$J$6),FALSE))</f>
        <v>0</v>
      </c>
      <c r="AL63" s="136">
        <f ca="1">IF(OR($F63&gt;MAX('הנחות עבודה'!$B$69:$B$89),$F63&gt;$D$5),0,VLOOKUP($F63,'הספק נוסף נדרש'!$B$8:$AX$28,MATCH(AL$49,'הספק נוסף נדרש'!$B$6:$AX$6,0)+(ROUNDUP((AL$2-$F$2)/COUNTA($F$10:$F$16),0)-1)*COUNTA('הספק נוסף נדרש'!$C$6:$J$6),FALSE))</f>
        <v>0</v>
      </c>
      <c r="AM63" s="136">
        <f ca="1">IF(OR($F63&gt;MAX('הנחות עבודה'!$B$69:$B$89),$F63&gt;$D$5),0,VLOOKUP($F63,'הספק נוסף נדרש'!$B$8:$AX$28,MATCH(AM$49,'הספק נוסף נדרש'!$B$6:$AX$6,0)+(ROUNDUP((AM$2-$F$2)/COUNTA($F$10:$F$16),0)-1)*COUNTA('הספק נוסף נדרש'!$C$6:$J$6),FALSE))</f>
        <v>0</v>
      </c>
      <c r="AN63" s="136">
        <f ca="1">IF(OR($F63&gt;MAX('הנחות עבודה'!$B$69:$B$89),$F63&gt;$D$5),0,VLOOKUP($F63,'הספק נוסף נדרש'!$B$8:$AX$28,MATCH(AN$49,'הספק נוסף נדרש'!$B$6:$AX$6,0)+(ROUNDUP((AN$2-$F$2)/COUNTA($F$10:$F$16),0)-1)*COUNTA('הספק נוסף נדרש'!$C$6:$J$6),FALSE))</f>
        <v>0</v>
      </c>
      <c r="AO63" s="136">
        <f ca="1">IF(OR($F63&gt;MAX('הנחות עבודה'!$B$69:$B$89),$F63&gt;$D$5),0,VLOOKUP($F63,'הספק נוסף נדרש'!$B$8:$AX$28,MATCH(AO$49,'הספק נוסף נדרש'!$B$6:$AX$6,0)+(ROUNDUP((AO$2-$F$2)/COUNTA($F$10:$F$16),0)-1)*COUNTA('הספק נוסף נדרש'!$C$6:$J$6),FALSE))</f>
        <v>0</v>
      </c>
      <c r="AP63" s="136">
        <f ca="1">IF(OR($F63&gt;MAX('הנחות עבודה'!$B$69:$B$89),$F63&gt;$D$5),0,VLOOKUP($F63,'הספק נוסף נדרש'!$B$8:$AX$28,MATCH(AP$49,'הספק נוסף נדרש'!$B$6:$AX$6,0)+(ROUNDUP((AP$2-$F$2)/COUNTA($F$10:$F$16),0)-1)*COUNTA('הספק נוסף נדרש'!$C$6:$J$6),FALSE))</f>
        <v>0</v>
      </c>
      <c r="AQ63" s="9"/>
      <c r="AR63" s="10">
        <f t="shared" si="313"/>
        <v>2033</v>
      </c>
      <c r="AS63" s="79">
        <f ca="1">HLOOKUP(AS$49,$G$24:$L$45,COUNTA($F$25:$F38)+1,FALSE)*G63*$D$7/$D$8</f>
        <v>0</v>
      </c>
      <c r="AT63" s="138">
        <f ca="1">HLOOKUP(AT$49,$G$24:$L$45,COUNTA($F$25:$F38)+1,FALSE)*H63*$D$7/$D$8</f>
        <v>0</v>
      </c>
      <c r="AU63" s="138">
        <f ca="1">HLOOKUP(AU$49,$G$24:$L$45,COUNTA($F$25:$F38)+1,FALSE)*I63*$D$7/$D$8</f>
        <v>0</v>
      </c>
      <c r="AV63" s="138">
        <f ca="1">HLOOKUP(AV$49,$G$24:$L$45,COUNTA($F$25:$F38)+1,FALSE)*J63*$D$7/$D$8</f>
        <v>0</v>
      </c>
      <c r="AW63" s="138">
        <f ca="1">HLOOKUP(AW$49,$G$24:$L$45,COUNTA($F$25:$F38)+1,FALSE)*K63*$D$7/$D$8</f>
        <v>0</v>
      </c>
      <c r="AX63" s="79">
        <f ca="1">HLOOKUP(AX$49,$G$24:$L$45,COUNTA($F$25:$F38)+1,FALSE)*L63*$D$7/$D$8</f>
        <v>0</v>
      </c>
      <c r="AY63" s="74">
        <f ca="1">HLOOKUP(AY$49,$G$24:$L$45,COUNTA($F$25:$F38)+1,FALSE)*M63*$D$7/$D$8</f>
        <v>0</v>
      </c>
      <c r="AZ63" s="136">
        <f ca="1">HLOOKUP(AZ$49,$G$24:$L$45,COUNTA($F$25:$F38)+1,FALSE)*N63*$D$7/$D$8</f>
        <v>0</v>
      </c>
      <c r="BA63" s="136">
        <f ca="1">HLOOKUP(BA$49,$G$24:$L$45,COUNTA($F$25:$F38)+1,FALSE)*O63*$D$7/$D$8</f>
        <v>0</v>
      </c>
      <c r="BB63" s="136">
        <f ca="1">HLOOKUP(BB$49,$G$24:$L$45,COUNTA($F$25:$F38)+1,FALSE)*P63*$D$7/$D$8</f>
        <v>0</v>
      </c>
      <c r="BC63" s="136">
        <f ca="1">HLOOKUP(BC$49,$G$24:$L$45,COUNTA($F$25:$F38)+1,FALSE)*Q63*$D$7/$D$8</f>
        <v>0</v>
      </c>
      <c r="BD63" s="136">
        <f ca="1">HLOOKUP(BD$49,$G$24:$L$45,COUNTA($F$25:$F38)+1,FALSE)*R63*$D$7/$D$8</f>
        <v>0</v>
      </c>
      <c r="BE63" s="79">
        <f ca="1">HLOOKUP(BE$49,$G$24:$L$45,COUNTA($F$25:$F38)+1,FALSE)*S63*$D$7/$D$8</f>
        <v>0</v>
      </c>
      <c r="BF63" s="138">
        <f ca="1">HLOOKUP(BF$49,$G$24:$L$45,COUNTA($F$25:$F38)+1,FALSE)*T63*$D$7/$D$8</f>
        <v>0</v>
      </c>
      <c r="BG63" s="138">
        <f ca="1">HLOOKUP(BG$49,$G$24:$L$45,COUNTA($F$25:$F38)+1,FALSE)*U63*$D$7/$D$8</f>
        <v>0</v>
      </c>
      <c r="BH63" s="138">
        <f ca="1">HLOOKUP(BH$49,$G$24:$L$45,COUNTA($F$25:$F38)+1,FALSE)*V63*$D$7/$D$8</f>
        <v>0</v>
      </c>
      <c r="BI63" s="138">
        <f ca="1">HLOOKUP(BI$49,$G$24:$L$45,COUNTA($F$25:$F38)+1,FALSE)*W63*$D$7/$D$8</f>
        <v>0</v>
      </c>
      <c r="BJ63" s="79">
        <f ca="1">HLOOKUP(BJ$49,$G$24:$L$45,COUNTA($F$25:$F38)+1,FALSE)*X63*$D$7/$D$8</f>
        <v>0</v>
      </c>
      <c r="BK63" s="74">
        <f ca="1">HLOOKUP(BK$49,$G$24:$L$45,COUNTA($F$25:$F38)+1,FALSE)*Y63*$D$7/$D$8</f>
        <v>0</v>
      </c>
      <c r="BL63" s="136">
        <f ca="1">HLOOKUP(BL$49,$G$24:$L$45,COUNTA($F$25:$F38)+1,FALSE)*Z63*$D$7/$D$8</f>
        <v>0</v>
      </c>
      <c r="BM63" s="136">
        <f ca="1">HLOOKUP(BM$49,$G$24:$L$45,COUNTA($F$25:$F38)+1,FALSE)*AA63*$D$7/$D$8</f>
        <v>0</v>
      </c>
      <c r="BN63" s="136">
        <f ca="1">HLOOKUP(BN$49,$G$24:$L$45,COUNTA($F$25:$F38)+1,FALSE)*AB63*$D$7/$D$8</f>
        <v>0</v>
      </c>
      <c r="BO63" s="136">
        <f ca="1">HLOOKUP(BO$49,$G$24:$L$45,COUNTA($F$25:$F38)+1,FALSE)*AC63*$D$7/$D$8</f>
        <v>0</v>
      </c>
      <c r="BP63" s="136">
        <f ca="1">HLOOKUP(BP$49,$G$24:$L$45,COUNTA($F$25:$F38)+1,FALSE)*AD63*$D$7/$D$8</f>
        <v>0</v>
      </c>
      <c r="BQ63" s="79">
        <f ca="1">HLOOKUP(BQ$49,$G$24:$L$45,COUNTA($F$25:$F38)+1,FALSE)*AE63*$D$7/$D$8</f>
        <v>0</v>
      </c>
      <c r="BR63" s="138">
        <f ca="1">HLOOKUP(BR$49,$G$24:$L$45,COUNTA($F$25:$F38)+1,FALSE)*AF63*$D$7/$D$8</f>
        <v>0</v>
      </c>
      <c r="BS63" s="138">
        <f ca="1">HLOOKUP(BS$49,$G$24:$L$45,COUNTA($F$25:$F38)+1,FALSE)*AG63*$D$7/$D$8</f>
        <v>0</v>
      </c>
      <c r="BT63" s="138">
        <f ca="1">HLOOKUP(BT$49,$G$24:$L$45,COUNTA($F$25:$F38)+1,FALSE)*AH63*$D$7/$D$8</f>
        <v>0</v>
      </c>
      <c r="BU63" s="138">
        <f ca="1">HLOOKUP(BU$49,$G$24:$L$45,COUNTA($F$25:$F38)+1,FALSE)*AI63*$D$7/$D$8</f>
        <v>0</v>
      </c>
      <c r="BV63" s="79">
        <f ca="1">HLOOKUP(BV$49,$G$24:$L$45,COUNTA($F$25:$F38)+1,FALSE)*AJ63*$D$7/$D$8</f>
        <v>0</v>
      </c>
      <c r="BW63" s="74">
        <f ca="1">HLOOKUP(BW$49,$G$24:$L$45,COUNTA($F$25:$F38)+1,FALSE)*AK63*$D$7/$D$8</f>
        <v>0</v>
      </c>
      <c r="BX63" s="136">
        <f ca="1">HLOOKUP(BX$49,$G$24:$L$45,COUNTA($F$25:$F38)+1,FALSE)*AL63*$D$7/$D$8</f>
        <v>0</v>
      </c>
      <c r="BY63" s="136">
        <f ca="1">HLOOKUP(BY$49,$G$24:$L$45,COUNTA($F$25:$F38)+1,FALSE)*AM63*$D$7/$D$8</f>
        <v>0</v>
      </c>
      <c r="BZ63" s="136">
        <f ca="1">HLOOKUP(BZ$49,$G$24:$L$45,COUNTA($F$25:$F38)+1,FALSE)*AN63*$D$7/$D$8</f>
        <v>0</v>
      </c>
      <c r="CA63" s="136">
        <f ca="1">HLOOKUP(CA$49,$G$24:$L$45,COUNTA($F$25:$F38)+1,FALSE)*AO63*$D$7/$D$8</f>
        <v>0</v>
      </c>
      <c r="CB63" s="739">
        <f ca="1">HLOOKUP(CB$49,$G$24:$L$45,COUNTA($F$25:$F38)+1,FALSE)*AP63*$D$7/$D$8</f>
        <v>0</v>
      </c>
      <c r="CD63" s="10">
        <f t="shared" si="314"/>
        <v>2033</v>
      </c>
      <c r="CE63" s="85">
        <f t="shared" ca="1" si="240"/>
        <v>1072.8415146359366</v>
      </c>
      <c r="CF63" s="147">
        <f t="shared" ca="1" si="241"/>
        <v>0</v>
      </c>
      <c r="CG63" s="147">
        <f t="shared" ca="1" si="242"/>
        <v>216.27952515046442</v>
      </c>
      <c r="CH63" s="147">
        <f t="shared" ca="1" si="243"/>
        <v>19.606169426540287</v>
      </c>
      <c r="CI63" s="147">
        <f t="shared" ca="1" si="244"/>
        <v>0</v>
      </c>
      <c r="CJ63" s="85">
        <f t="shared" ca="1" si="245"/>
        <v>0</v>
      </c>
      <c r="CK63" s="151">
        <f t="shared" ca="1" si="246"/>
        <v>0</v>
      </c>
      <c r="CL63" s="102">
        <f t="shared" ca="1" si="247"/>
        <v>1330.100333878547</v>
      </c>
      <c r="CM63" s="102">
        <f t="shared" ca="1" si="248"/>
        <v>216.27952515046442</v>
      </c>
      <c r="CN63" s="102">
        <f t="shared" ca="1" si="249"/>
        <v>19.606169426540287</v>
      </c>
      <c r="CO63" s="102">
        <f t="shared" ca="1" si="250"/>
        <v>0</v>
      </c>
      <c r="CP63" s="151">
        <f t="shared" ca="1" si="251"/>
        <v>0</v>
      </c>
      <c r="CQ63" s="85">
        <f t="shared" ca="1" si="252"/>
        <v>1875.8411079969287</v>
      </c>
      <c r="CR63" s="147">
        <f t="shared" ca="1" si="253"/>
        <v>0</v>
      </c>
      <c r="CS63" s="147">
        <f t="shared" ca="1" si="254"/>
        <v>216.27952515046442</v>
      </c>
      <c r="CT63" s="147">
        <f t="shared" ca="1" si="255"/>
        <v>19.606169426540287</v>
      </c>
      <c r="CU63" s="147">
        <f t="shared" ca="1" si="256"/>
        <v>0</v>
      </c>
      <c r="CV63" s="85">
        <f t="shared" ca="1" si="257"/>
        <v>0</v>
      </c>
      <c r="CW63" s="151">
        <f t="shared" ca="1" si="258"/>
        <v>0</v>
      </c>
      <c r="CX63" s="102">
        <f t="shared" ca="1" si="259"/>
        <v>2329.6222224771814</v>
      </c>
      <c r="CY63" s="102">
        <f t="shared" ca="1" si="260"/>
        <v>216.27952515046442</v>
      </c>
      <c r="CZ63" s="102">
        <f t="shared" ca="1" si="261"/>
        <v>19.606169426540287</v>
      </c>
      <c r="DA63" s="102">
        <f t="shared" ca="1" si="262"/>
        <v>0</v>
      </c>
      <c r="DB63" s="151">
        <f t="shared" ca="1" si="263"/>
        <v>0</v>
      </c>
      <c r="DC63" s="85">
        <f t="shared" ca="1" si="264"/>
        <v>2372.5516075818737</v>
      </c>
      <c r="DD63" s="147">
        <f t="shared" ca="1" si="265"/>
        <v>0</v>
      </c>
      <c r="DE63" s="147">
        <f t="shared" ca="1" si="266"/>
        <v>216.27952515046442</v>
      </c>
      <c r="DF63" s="147">
        <f t="shared" ca="1" si="267"/>
        <v>19.606169426540287</v>
      </c>
      <c r="DG63" s="147">
        <f t="shared" ca="1" si="268"/>
        <v>0</v>
      </c>
      <c r="DH63" s="85">
        <f t="shared" ca="1" si="269"/>
        <v>0</v>
      </c>
      <c r="DI63" s="151">
        <f t="shared" ca="1" si="270"/>
        <v>0</v>
      </c>
      <c r="DJ63" s="102">
        <f t="shared" ca="1" si="271"/>
        <v>2948.2575202218331</v>
      </c>
      <c r="DK63" s="102">
        <f t="shared" ca="1" si="272"/>
        <v>216.27952515046442</v>
      </c>
      <c r="DL63" s="102">
        <f t="shared" ca="1" si="273"/>
        <v>19.606169426540287</v>
      </c>
      <c r="DM63" s="102">
        <f t="shared" ca="1" si="274"/>
        <v>0</v>
      </c>
      <c r="DN63" s="564">
        <f t="shared" ca="1" si="275"/>
        <v>0</v>
      </c>
      <c r="DP63" s="10">
        <f t="shared" si="315"/>
        <v>2033</v>
      </c>
      <c r="DQ63" s="85">
        <f t="shared" ca="1" si="276"/>
        <v>346.43926141557102</v>
      </c>
      <c r="DR63" s="147">
        <f t="shared" ca="1" si="277"/>
        <v>0</v>
      </c>
      <c r="DS63" s="147">
        <f t="shared" ca="1" si="278"/>
        <v>61.350712925538716</v>
      </c>
      <c r="DT63" s="147">
        <f t="shared" ca="1" si="279"/>
        <v>6.4807091118526818</v>
      </c>
      <c r="DU63" s="147">
        <f t="shared" ca="1" si="280"/>
        <v>0</v>
      </c>
      <c r="DV63" s="85">
        <f t="shared" ca="1" si="281"/>
        <v>0</v>
      </c>
      <c r="DW63" s="151">
        <f t="shared" ca="1" si="282"/>
        <v>0</v>
      </c>
      <c r="DX63" s="102">
        <f t="shared" ca="1" si="283"/>
        <v>394.23058597629023</v>
      </c>
      <c r="DY63" s="102">
        <f t="shared" ca="1" si="284"/>
        <v>61.350712925538716</v>
      </c>
      <c r="DZ63" s="102">
        <f t="shared" ca="1" si="285"/>
        <v>6.4807091118526818</v>
      </c>
      <c r="EA63" s="102">
        <f t="shared" ca="1" si="286"/>
        <v>0</v>
      </c>
      <c r="EB63" s="151">
        <f t="shared" ca="1" si="287"/>
        <v>0</v>
      </c>
      <c r="EC63" s="85">
        <f t="shared" ca="1" si="288"/>
        <v>616.2052651814364</v>
      </c>
      <c r="ED63" s="147">
        <f t="shared" ca="1" si="289"/>
        <v>0</v>
      </c>
      <c r="EE63" s="147">
        <f t="shared" ca="1" si="290"/>
        <v>61.350712925538716</v>
      </c>
      <c r="EF63" s="147">
        <f t="shared" ca="1" si="291"/>
        <v>6.4807091118526818</v>
      </c>
      <c r="EG63" s="147">
        <f t="shared" ca="1" si="292"/>
        <v>0</v>
      </c>
      <c r="EH63" s="85">
        <f t="shared" ca="1" si="293"/>
        <v>0</v>
      </c>
      <c r="EI63" s="151">
        <f t="shared" ca="1" si="294"/>
        <v>0</v>
      </c>
      <c r="EJ63" s="102">
        <f t="shared" ca="1" si="295"/>
        <v>701.21083211394455</v>
      </c>
      <c r="EK63" s="102">
        <f t="shared" ca="1" si="296"/>
        <v>61.350712925538716</v>
      </c>
      <c r="EL63" s="102">
        <f t="shared" ca="1" si="297"/>
        <v>6.4807091118526818</v>
      </c>
      <c r="EM63" s="102">
        <f t="shared" ca="1" si="298"/>
        <v>0</v>
      </c>
      <c r="EN63" s="151">
        <f t="shared" ca="1" si="299"/>
        <v>0</v>
      </c>
      <c r="EO63" s="85">
        <f t="shared" ca="1" si="300"/>
        <v>784.54004761148781</v>
      </c>
      <c r="EP63" s="145">
        <f t="shared" ca="1" si="301"/>
        <v>0</v>
      </c>
      <c r="EQ63" s="145">
        <f t="shared" ca="1" si="302"/>
        <v>61.350712925538716</v>
      </c>
      <c r="ER63" s="145">
        <f t="shared" ca="1" si="303"/>
        <v>6.4807091118526818</v>
      </c>
      <c r="ES63" s="145">
        <f t="shared" ca="1" si="304"/>
        <v>0</v>
      </c>
      <c r="ET63" s="85">
        <f t="shared" ca="1" si="305"/>
        <v>0</v>
      </c>
      <c r="EU63" s="102">
        <f t="shared" ca="1" si="306"/>
        <v>0</v>
      </c>
      <c r="EV63" s="102">
        <f t="shared" ca="1" si="307"/>
        <v>892.76741160331449</v>
      </c>
      <c r="EW63" s="102">
        <f t="shared" ca="1" si="308"/>
        <v>61.350712925538716</v>
      </c>
      <c r="EX63" s="102">
        <f t="shared" ca="1" si="309"/>
        <v>6.4807091118526818</v>
      </c>
      <c r="EY63" s="102">
        <f t="shared" ca="1" si="310"/>
        <v>0</v>
      </c>
      <c r="EZ63" s="564">
        <f t="shared" ca="1" si="311"/>
        <v>0</v>
      </c>
      <c r="FB63" s="10">
        <f t="shared" si="316"/>
        <v>2033</v>
      </c>
      <c r="FC63" s="85">
        <f ca="1">HLOOKUP(FC$49,$O$24:$T$45,COUNTA($N$25:$N38)+1,FALSE)*G63*$D$7/$D$8</f>
        <v>0</v>
      </c>
      <c r="FD63" s="147">
        <f ca="1">HLOOKUP(FD$49,$O$24:$T$45,COUNTA($N$25:$N38)+1,FALSE)*H63*$D$7/$D$8</f>
        <v>0</v>
      </c>
      <c r="FE63" s="147">
        <f ca="1">HLOOKUP(FE$49,$O$24:$T$45,COUNTA($N$25:$N38)+1,FALSE)*I63*$D$7/$D$8</f>
        <v>0</v>
      </c>
      <c r="FF63" s="147">
        <f ca="1">HLOOKUP(FF$49,$O$24:$T$45,COUNTA($N$25:$N38)+1,FALSE)*J63*$D$7/$D$8</f>
        <v>0</v>
      </c>
      <c r="FG63" s="147">
        <f ca="1">HLOOKUP(FG$49,$O$24:$T$45,COUNTA($N$25:$N38)+1,FALSE)*K63*$D$7/$D$8</f>
        <v>0</v>
      </c>
      <c r="FH63" s="85">
        <f ca="1">HLOOKUP(FH$49,$O$24:$T$45,COUNTA($N$25:$N38)+1,FALSE)*L63*$D$7/$D$8</f>
        <v>0</v>
      </c>
      <c r="FI63" s="151">
        <f ca="1">HLOOKUP(FI$49,$O$24:$T$45,COUNTA($N$25:$N38)+1,FALSE)*M63*$D$7/$D$8</f>
        <v>0</v>
      </c>
      <c r="FJ63" s="153">
        <f ca="1">HLOOKUP(FJ$49,$O$24:$T$45,COUNTA($N$25:$N38)+1,FALSE)*N63*$D$7/$D$8</f>
        <v>0</v>
      </c>
      <c r="FK63" s="153">
        <f ca="1">HLOOKUP(FK$49,$O$24:$T$45,COUNTA($N$25:$N38)+1,FALSE)*O63*$D$7/$D$8</f>
        <v>0</v>
      </c>
      <c r="FL63" s="153">
        <f ca="1">HLOOKUP(FL$49,$O$24:$T$45,COUNTA($N$25:$N38)+1,FALSE)*P63*$D$7/$D$8</f>
        <v>0</v>
      </c>
      <c r="FM63" s="153">
        <f ca="1">HLOOKUP(FM$49,$O$24:$T$45,COUNTA($N$25:$N38)+1,FALSE)*Q63*$D$7/$D$8</f>
        <v>0</v>
      </c>
      <c r="FN63" s="151">
        <f ca="1">HLOOKUP(FN$49,$O$24:$T$45,COUNTA($N$25:$N38)+1,FALSE)*R63*$D$7/$D$8</f>
        <v>0</v>
      </c>
      <c r="FO63" s="85">
        <f ca="1">HLOOKUP(FO$49,$O$24:$T$45,COUNTA($N$25:$N38)+1,FALSE)*S63*$D$7/$D$8</f>
        <v>0</v>
      </c>
      <c r="FP63" s="147">
        <f ca="1">HLOOKUP(FP$49,$O$24:$T$45,COUNTA($N$25:$N38)+1,FALSE)*T63*$D$7/$D$8</f>
        <v>0</v>
      </c>
      <c r="FQ63" s="147">
        <f ca="1">HLOOKUP(FQ$49,$O$24:$T$45,COUNTA($N$25:$N38)+1,FALSE)*U63*$D$7/$D$8</f>
        <v>0</v>
      </c>
      <c r="FR63" s="147">
        <f ca="1">HLOOKUP(FR$49,$O$24:$T$45,COUNTA($N$25:$N38)+1,FALSE)*V63*$D$7/$D$8</f>
        <v>0</v>
      </c>
      <c r="FS63" s="147">
        <f ca="1">HLOOKUP(FS$49,$O$24:$T$45,COUNTA($N$25:$N38)+1,FALSE)*W63*$D$7/$D$8</f>
        <v>0</v>
      </c>
      <c r="FT63" s="85">
        <f ca="1">HLOOKUP(FT$49,$O$24:$T$45,COUNTA($N$25:$N38)+1,FALSE)*X63*$D$7/$D$8</f>
        <v>0</v>
      </c>
      <c r="FU63" s="151">
        <f ca="1">HLOOKUP(FU$49,$O$24:$T$45,COUNTA($N$25:$N38)+1,FALSE)*Y63*$D$7/$D$8</f>
        <v>0</v>
      </c>
      <c r="FV63" s="153">
        <f ca="1">HLOOKUP(FV$49,$O$24:$T$45,COUNTA($N$25:$N38)+1,FALSE)*Z63*$D$7/$D$8</f>
        <v>0</v>
      </c>
      <c r="FW63" s="153">
        <f ca="1">HLOOKUP(FW$49,$O$24:$T$45,COUNTA($N$25:$N38)+1,FALSE)*AA63*$D$7/$D$8</f>
        <v>0</v>
      </c>
      <c r="FX63" s="153">
        <f ca="1">HLOOKUP(FX$49,$O$24:$T$45,COUNTA($N$25:$N38)+1,FALSE)*AB63*$D$7/$D$8</f>
        <v>0</v>
      </c>
      <c r="FY63" s="153">
        <f ca="1">HLOOKUP(FY$49,$O$24:$T$45,COUNTA($N$25:$N38)+1,FALSE)*AC63*$D$7/$D$8</f>
        <v>0</v>
      </c>
      <c r="FZ63" s="151">
        <f ca="1">HLOOKUP(FZ$49,$O$24:$T$45,COUNTA($N$25:$N38)+1,FALSE)*AD63*$D$7/$D$8</f>
        <v>0</v>
      </c>
      <c r="GA63" s="85">
        <f ca="1">HLOOKUP(GA$49,$O$24:$T$45,COUNTA($N$25:$N38)+1,FALSE)*AE63*$D$7/$D$8</f>
        <v>0</v>
      </c>
      <c r="GB63" s="147">
        <f ca="1">HLOOKUP(GB$49,$O$24:$T$45,COUNTA($N$25:$N38)+1,FALSE)*AF63*$D$7/$D$8</f>
        <v>0</v>
      </c>
      <c r="GC63" s="147">
        <f ca="1">HLOOKUP(GC$49,$O$24:$T$45,COUNTA($N$25:$N38)+1,FALSE)*AG63*$D$7/$D$8</f>
        <v>0</v>
      </c>
      <c r="GD63" s="147">
        <f ca="1">HLOOKUP(GD$49,$O$24:$T$45,COUNTA($N$25:$N38)+1,FALSE)*AH63*$D$7/$D$8</f>
        <v>0</v>
      </c>
      <c r="GE63" s="147">
        <f ca="1">HLOOKUP(GE$49,$O$24:$T$45,COUNTA($N$25:$N38)+1,FALSE)*AI63*$D$7/$D$8</f>
        <v>0</v>
      </c>
      <c r="GF63" s="85">
        <f ca="1">HLOOKUP(GF$49,$O$24:$T$45,COUNTA($N$25:$N38)+1,FALSE)*AJ63*$D$7/$D$8</f>
        <v>0</v>
      </c>
      <c r="GG63" s="151">
        <f ca="1">HLOOKUP(GG$49,$O$24:$T$45,COUNTA($N$25:$N38)+1,FALSE)*AK63*$D$7/$D$8</f>
        <v>0</v>
      </c>
      <c r="GH63" s="153">
        <f ca="1">HLOOKUP(GH$49,$O$24:$T$45,COUNTA($N$25:$N38)+1,FALSE)*AL63*$D$7/$D$8</f>
        <v>0</v>
      </c>
      <c r="GI63" s="153">
        <f ca="1">HLOOKUP(GI$49,$O$24:$T$45,COUNTA($N$25:$N38)+1,FALSE)*AM63*$D$7/$D$8</f>
        <v>0</v>
      </c>
      <c r="GJ63" s="153">
        <f ca="1">HLOOKUP(GJ$49,$O$24:$T$45,COUNTA($N$25:$N38)+1,FALSE)*AN63*$D$7/$D$8</f>
        <v>0</v>
      </c>
      <c r="GK63" s="153">
        <f ca="1">HLOOKUP(GK$49,$O$24:$T$45,COUNTA($N$25:$N38)+1,FALSE)*AO63*$D$7/$D$8</f>
        <v>0</v>
      </c>
      <c r="GL63" s="564">
        <f ca="1">HLOOKUP(GL$49,$O$24:$T$45,COUNTA($N$25:$N38)+1,FALSE)*AP63*$D$7/$D$8</f>
        <v>0</v>
      </c>
    </row>
    <row r="64" spans="6:194">
      <c r="F64" s="10">
        <f t="shared" si="317"/>
        <v>2034</v>
      </c>
      <c r="G64" s="79">
        <f ca="1">IF(OR($F64&gt;MAX('הנחות עבודה'!$B$69:$B$89),$F64&gt;$D$5),0,VLOOKUP($F64,'הספק נוסף נדרש'!$B$8:$AX$28,MATCH(G$49,'הספק נוסף נדרש'!$B$6:$AX$6,0)+(ROUNDUP((G$2-$F$2)/COUNTA($F$10:$F$16),0)-1)*COUNTA('הספק נוסף נדרש'!$C$6:$J$6),FALSE))</f>
        <v>0</v>
      </c>
      <c r="H64" s="138">
        <f ca="1">IF(OR($F64&gt;MAX('הנחות עבודה'!$B$69:$B$89),$F64&gt;$D$5),0,VLOOKUP($F64,'הספק נוסף נדרש'!$B$8:$AX$28,MATCH(H$49,'הספק נוסף נדרש'!$B$6:$AX$6,0)+(ROUNDUP((H$2-$F$2)/COUNTA($F$10:$F$16),0)-1)*COUNTA('הספק נוסף נדרש'!$C$6:$J$6),FALSE))</f>
        <v>0</v>
      </c>
      <c r="I64" s="138">
        <f ca="1">IF(OR($F64&gt;MAX('הנחות עבודה'!$B$69:$B$89),$F64&gt;$D$5),0,VLOOKUP($F64,'הספק נוסף נדרש'!$B$8:$AX$28,MATCH(I$49,'הספק נוסף נדרש'!$B$6:$AX$6,0)+(ROUNDUP((I$2-$F$2)/COUNTA($F$10:$F$16),0)-1)*COUNTA('הספק נוסף נדרש'!$C$6:$J$6),FALSE))</f>
        <v>0</v>
      </c>
      <c r="J64" s="138">
        <f ca="1">IF(OR($F64&gt;MAX('הנחות עבודה'!$B$69:$B$89),$F64&gt;$D$5),0,VLOOKUP($F64,'הספק נוסף נדרש'!$B$8:$AX$28,MATCH(J$49,'הספק נוסף נדרש'!$B$6:$AX$6,0)+(ROUNDUP((J$2-$F$2)/COUNTA($F$10:$F$16),0)-1)*COUNTA('הספק נוסף נדרש'!$C$6:$J$6),FALSE))</f>
        <v>0</v>
      </c>
      <c r="K64" s="138">
        <f ca="1">IF(OR($F64&gt;MAX('הנחות עבודה'!$B$69:$B$89),$F64&gt;$D$5),0,VLOOKUP($F64,'הספק נוסף נדרש'!$B$8:$AX$28,MATCH(K$49,'הספק נוסף נדרש'!$B$6:$AX$6,0)+(ROUNDUP((K$2-$F$2)/COUNTA($F$10:$F$16),0)-1)*COUNTA('הספק נוסף נדרש'!$C$6:$J$6),FALSE))</f>
        <v>0</v>
      </c>
      <c r="L64" s="79">
        <f ca="1">IF(OR($F64&gt;MAX('הנחות עבודה'!$B$69:$B$89),$F64&gt;$D$5),0,VLOOKUP($F64,'הספק נוסף נדרש'!$B$8:$AX$28,MATCH(L$49,'הספק נוסף נדרש'!$B$6:$AX$6,0)+(ROUNDUP((L$2-$F$2)/COUNTA($F$10:$F$16),0)-1)*COUNTA('הספק נוסף נדרש'!$C$6:$J$6),FALSE))</f>
        <v>0</v>
      </c>
      <c r="M64" s="74">
        <f ca="1">IF(OR($F64&gt;MAX('הנחות עבודה'!$B$69:$B$89),$F64&gt;$D$5),0,VLOOKUP($F64,'הספק נוסף נדרש'!$B$8:$AX$28,MATCH(M$49,'הספק נוסף נדרש'!$B$6:$AX$6,0)+(ROUNDUP((M$2-$F$2)/COUNTA($F$10:$F$16),0)-1)*COUNTA('הספק נוסף נדרש'!$C$6:$J$6),FALSE))</f>
        <v>0</v>
      </c>
      <c r="N64" s="136">
        <f ca="1">IF(OR($F64&gt;MAX('הנחות עבודה'!$B$69:$B$89),$F64&gt;$D$5),0,VLOOKUP($F64,'הספק נוסף נדרש'!$B$8:$AX$28,MATCH(N$49,'הספק נוסף נדרש'!$B$6:$AX$6,0)+(ROUNDUP((N$2-$F$2)/COUNTA($F$10:$F$16),0)-1)*COUNTA('הספק נוסף נדרש'!$C$6:$J$6),FALSE))</f>
        <v>0</v>
      </c>
      <c r="O64" s="136">
        <f ca="1">IF(OR($F64&gt;MAX('הנחות עבודה'!$B$69:$B$89),$F64&gt;$D$5),0,VLOOKUP($F64,'הספק נוסף נדרש'!$B$8:$AX$28,MATCH(O$49,'הספק נוסף נדרש'!$B$6:$AX$6,0)+(ROUNDUP((O$2-$F$2)/COUNTA($F$10:$F$16),0)-1)*COUNTA('הספק נוסף נדרש'!$C$6:$J$6),FALSE))</f>
        <v>0</v>
      </c>
      <c r="P64" s="136">
        <f ca="1">IF(OR($F64&gt;MAX('הנחות עבודה'!$B$69:$B$89),$F64&gt;$D$5),0,VLOOKUP($F64,'הספק נוסף נדרש'!$B$8:$AX$28,MATCH(P$49,'הספק נוסף נדרש'!$B$6:$AX$6,0)+(ROUNDUP((P$2-$F$2)/COUNTA($F$10:$F$16),0)-1)*COUNTA('הספק נוסף נדרש'!$C$6:$J$6),FALSE))</f>
        <v>0</v>
      </c>
      <c r="Q64" s="136">
        <f ca="1">IF(OR($F64&gt;MAX('הנחות עבודה'!$B$69:$B$89),$F64&gt;$D$5),0,VLOOKUP($F64,'הספק נוסף נדרש'!$B$8:$AX$28,MATCH(Q$49,'הספק נוסף נדרש'!$B$6:$AX$6,0)+(ROUNDUP((Q$2-$F$2)/COUNTA($F$10:$F$16),0)-1)*COUNTA('הספק נוסף נדרש'!$C$6:$J$6),FALSE))</f>
        <v>0</v>
      </c>
      <c r="R64" s="136">
        <f ca="1">IF(OR($F64&gt;MAX('הנחות עבודה'!$B$69:$B$89),$F64&gt;$D$5),0,VLOOKUP($F64,'הספק נוסף נדרש'!$B$8:$AX$28,MATCH(R$49,'הספק נוסף נדרש'!$B$6:$AX$6,0)+(ROUNDUP((R$2-$F$2)/COUNTA($F$10:$F$16),0)-1)*COUNTA('הספק נוסף נדרש'!$C$6:$J$6),FALSE))</f>
        <v>0</v>
      </c>
      <c r="S64" s="79">
        <f ca="1">IF(OR($F64&gt;MAX('הנחות עבודה'!$B$69:$B$89),$F64&gt;$D$5),0,VLOOKUP($F64,'הספק נוסף נדרש'!$B$8:$AX$28,MATCH(S$49,'הספק נוסף נדרש'!$B$6:$AX$6,0)+(ROUNDUP((S$2-$F$2)/COUNTA($F$10:$F$16),0)-1)*COUNTA('הספק נוסף נדרש'!$C$6:$J$6),FALSE))</f>
        <v>0</v>
      </c>
      <c r="T64" s="138">
        <f ca="1">IF(OR($F64&gt;MAX('הנחות עבודה'!$B$69:$B$89),$F64&gt;$D$5),0,VLOOKUP($F64,'הספק נוסף נדרש'!$B$8:$AX$28,MATCH(T$49,'הספק נוסף נדרש'!$B$6:$AX$6,0)+(ROUNDUP((T$2-$F$2)/COUNTA($F$10:$F$16),0)-1)*COUNTA('הספק נוסף נדרש'!$C$6:$J$6),FALSE))</f>
        <v>0</v>
      </c>
      <c r="U64" s="138">
        <f ca="1">IF(OR($F64&gt;MAX('הנחות עבודה'!$B$69:$B$89),$F64&gt;$D$5),0,VLOOKUP($F64,'הספק נוסף נדרש'!$B$8:$AX$28,MATCH(U$49,'הספק נוסף נדרש'!$B$6:$AX$6,0)+(ROUNDUP((U$2-$F$2)/COUNTA($F$10:$F$16),0)-1)*COUNTA('הספק נוסף נדרש'!$C$6:$J$6),FALSE))</f>
        <v>0</v>
      </c>
      <c r="V64" s="138">
        <f ca="1">IF(OR($F64&gt;MAX('הנחות עבודה'!$B$69:$B$89),$F64&gt;$D$5),0,VLOOKUP($F64,'הספק נוסף נדרש'!$B$8:$AX$28,MATCH(V$49,'הספק נוסף נדרש'!$B$6:$AX$6,0)+(ROUNDUP((V$2-$F$2)/COUNTA($F$10:$F$16),0)-1)*COUNTA('הספק נוסף נדרש'!$C$6:$J$6),FALSE))</f>
        <v>0</v>
      </c>
      <c r="W64" s="138">
        <f ca="1">IF(OR($F64&gt;MAX('הנחות עבודה'!$B$69:$B$89),$F64&gt;$D$5),0,VLOOKUP($F64,'הספק נוסף נדרש'!$B$8:$AX$28,MATCH(W$49,'הספק נוסף נדרש'!$B$6:$AX$6,0)+(ROUNDUP((W$2-$F$2)/COUNTA($F$10:$F$16),0)-1)*COUNTA('הספק נוסף נדרש'!$C$6:$J$6),FALSE))</f>
        <v>0</v>
      </c>
      <c r="X64" s="79">
        <f ca="1">IF(OR($F64&gt;MAX('הנחות עבודה'!$B$69:$B$89),$F64&gt;$D$5),0,VLOOKUP($F64,'הספק נוסף נדרש'!$B$8:$AX$28,MATCH(X$49,'הספק נוסף נדרש'!$B$6:$AX$6,0)+(ROUNDUP((X$2-$F$2)/COUNTA($F$10:$F$16),0)-1)*COUNTA('הספק נוסף נדרש'!$C$6:$J$6),FALSE))</f>
        <v>0</v>
      </c>
      <c r="Y64" s="74">
        <f ca="1">IF(OR($F64&gt;MAX('הנחות עבודה'!$B$69:$B$89),$F64&gt;$D$5),0,VLOOKUP($F64,'הספק נוסף נדרש'!$B$8:$AX$28,MATCH(Y$49,'הספק נוסף נדרש'!$B$6:$AX$6,0)+(ROUNDUP((Y$2-$F$2)/COUNTA($F$10:$F$16),0)-1)*COUNTA('הספק נוסף נדרש'!$C$6:$J$6),FALSE))</f>
        <v>0</v>
      </c>
      <c r="Z64" s="136">
        <f ca="1">IF(OR($F64&gt;MAX('הנחות עבודה'!$B$69:$B$89),$F64&gt;$D$5),0,VLOOKUP($F64,'הספק נוסף נדרש'!$B$8:$AX$28,MATCH(Z$49,'הספק נוסף נדרש'!$B$6:$AX$6,0)+(ROUNDUP((Z$2-$F$2)/COUNTA($F$10:$F$16),0)-1)*COUNTA('הספק נוסף נדרש'!$C$6:$J$6),FALSE))</f>
        <v>0</v>
      </c>
      <c r="AA64" s="136">
        <f ca="1">IF(OR($F64&gt;MAX('הנחות עבודה'!$B$69:$B$89),$F64&gt;$D$5),0,VLOOKUP($F64,'הספק נוסף נדרש'!$B$8:$AX$28,MATCH(AA$49,'הספק נוסף נדרש'!$B$6:$AX$6,0)+(ROUNDUP((AA$2-$F$2)/COUNTA($F$10:$F$16),0)-1)*COUNTA('הספק נוסף נדרש'!$C$6:$J$6),FALSE))</f>
        <v>0</v>
      </c>
      <c r="AB64" s="136">
        <f ca="1">IF(OR($F64&gt;MAX('הנחות עבודה'!$B$69:$B$89),$F64&gt;$D$5),0,VLOOKUP($F64,'הספק נוסף נדרש'!$B$8:$AX$28,MATCH(AB$49,'הספק נוסף נדרש'!$B$6:$AX$6,0)+(ROUNDUP((AB$2-$F$2)/COUNTA($F$10:$F$16),0)-1)*COUNTA('הספק נוסף נדרש'!$C$6:$J$6),FALSE))</f>
        <v>0</v>
      </c>
      <c r="AC64" s="136">
        <f ca="1">IF(OR($F64&gt;MAX('הנחות עבודה'!$B$69:$B$89),$F64&gt;$D$5),0,VLOOKUP($F64,'הספק נוסף נדרש'!$B$8:$AX$28,MATCH(AC$49,'הספק נוסף נדרש'!$B$6:$AX$6,0)+(ROUNDUP((AC$2-$F$2)/COUNTA($F$10:$F$16),0)-1)*COUNTA('הספק נוסף נדרש'!$C$6:$J$6),FALSE))</f>
        <v>0</v>
      </c>
      <c r="AD64" s="136">
        <f ca="1">IF(OR($F64&gt;MAX('הנחות עבודה'!$B$69:$B$89),$F64&gt;$D$5),0,VLOOKUP($F64,'הספק נוסף נדרש'!$B$8:$AX$28,MATCH(AD$49,'הספק נוסף נדרש'!$B$6:$AX$6,0)+(ROUNDUP((AD$2-$F$2)/COUNTA($F$10:$F$16),0)-1)*COUNTA('הספק נוסף נדרש'!$C$6:$J$6),FALSE))</f>
        <v>0</v>
      </c>
      <c r="AE64" s="79">
        <f ca="1">IF(OR($F64&gt;MAX('הנחות עבודה'!$B$69:$B$89),$F64&gt;$D$5),0,VLOOKUP($F64,'הספק נוסף נדרש'!$B$8:$AX$28,MATCH(AE$49,'הספק נוסף נדרש'!$B$6:$AX$6,0)+(ROUNDUP((AE$2-$F$2)/COUNTA($F$10:$F$16),0)-1)*COUNTA('הספק נוסף נדרש'!$C$6:$J$6),FALSE))</f>
        <v>0</v>
      </c>
      <c r="AF64" s="138">
        <f ca="1">IF(OR($F64&gt;MAX('הנחות עבודה'!$B$69:$B$89),$F64&gt;$D$5),0,VLOOKUP($F64,'הספק נוסף נדרש'!$B$8:$AX$28,MATCH(AF$49,'הספק נוסף נדרש'!$B$6:$AX$6,0)+(ROUNDUP((AF$2-$F$2)/COUNTA($F$10:$F$16),0)-1)*COUNTA('הספק נוסף נדרש'!$C$6:$J$6),FALSE))</f>
        <v>0</v>
      </c>
      <c r="AG64" s="138">
        <f ca="1">IF(OR($F64&gt;MAX('הנחות עבודה'!$B$69:$B$89),$F64&gt;$D$5),0,VLOOKUP($F64,'הספק נוסף נדרש'!$B$8:$AX$28,MATCH(AG$49,'הספק נוסף נדרש'!$B$6:$AX$6,0)+(ROUNDUP((AG$2-$F$2)/COUNTA($F$10:$F$16),0)-1)*COUNTA('הספק נוסף נדרש'!$C$6:$J$6),FALSE))</f>
        <v>0</v>
      </c>
      <c r="AH64" s="138">
        <f ca="1">IF(OR($F64&gt;MAX('הנחות עבודה'!$B$69:$B$89),$F64&gt;$D$5),0,VLOOKUP($F64,'הספק נוסף נדרש'!$B$8:$AX$28,MATCH(AH$49,'הספק נוסף נדרש'!$B$6:$AX$6,0)+(ROUNDUP((AH$2-$F$2)/COUNTA($F$10:$F$16),0)-1)*COUNTA('הספק נוסף נדרש'!$C$6:$J$6),FALSE))</f>
        <v>0</v>
      </c>
      <c r="AI64" s="138">
        <f ca="1">IF(OR($F64&gt;MAX('הנחות עבודה'!$B$69:$B$89),$F64&gt;$D$5),0,VLOOKUP($F64,'הספק נוסף נדרש'!$B$8:$AX$28,MATCH(AI$49,'הספק נוסף נדרש'!$B$6:$AX$6,0)+(ROUNDUP((AI$2-$F$2)/COUNTA($F$10:$F$16),0)-1)*COUNTA('הספק נוסף נדרש'!$C$6:$J$6),FALSE))</f>
        <v>0</v>
      </c>
      <c r="AJ64" s="79">
        <f ca="1">IF(OR($F64&gt;MAX('הנחות עבודה'!$B$69:$B$89),$F64&gt;$D$5),0,VLOOKUP($F64,'הספק נוסף נדרש'!$B$8:$AX$28,MATCH(AJ$49,'הספק נוסף נדרש'!$B$6:$AX$6,0)+(ROUNDUP((AJ$2-$F$2)/COUNTA($F$10:$F$16),0)-1)*COUNTA('הספק נוסף נדרש'!$C$6:$J$6),FALSE))</f>
        <v>0</v>
      </c>
      <c r="AK64" s="74">
        <f ca="1">IF(OR($F64&gt;MAX('הנחות עבודה'!$B$69:$B$89),$F64&gt;$D$5),0,VLOOKUP($F64,'הספק נוסף נדרש'!$B$8:$AX$28,MATCH(AK$49,'הספק נוסף נדרש'!$B$6:$AX$6,0)+(ROUNDUP((AK$2-$F$2)/COUNTA($F$10:$F$16),0)-1)*COUNTA('הספק נוסף נדרש'!$C$6:$J$6),FALSE))</f>
        <v>0</v>
      </c>
      <c r="AL64" s="136">
        <f ca="1">IF(OR($F64&gt;MAX('הנחות עבודה'!$B$69:$B$89),$F64&gt;$D$5),0,VLOOKUP($F64,'הספק נוסף נדרש'!$B$8:$AX$28,MATCH(AL$49,'הספק נוסף נדרש'!$B$6:$AX$6,0)+(ROUNDUP((AL$2-$F$2)/COUNTA($F$10:$F$16),0)-1)*COUNTA('הספק נוסף נדרש'!$C$6:$J$6),FALSE))</f>
        <v>0</v>
      </c>
      <c r="AM64" s="136">
        <f ca="1">IF(OR($F64&gt;MAX('הנחות עבודה'!$B$69:$B$89),$F64&gt;$D$5),0,VLOOKUP($F64,'הספק נוסף נדרש'!$B$8:$AX$28,MATCH(AM$49,'הספק נוסף נדרש'!$B$6:$AX$6,0)+(ROUNDUP((AM$2-$F$2)/COUNTA($F$10:$F$16),0)-1)*COUNTA('הספק נוסף נדרש'!$C$6:$J$6),FALSE))</f>
        <v>0</v>
      </c>
      <c r="AN64" s="136">
        <f ca="1">IF(OR($F64&gt;MAX('הנחות עבודה'!$B$69:$B$89),$F64&gt;$D$5),0,VLOOKUP($F64,'הספק נוסף נדרש'!$B$8:$AX$28,MATCH(AN$49,'הספק נוסף נדרש'!$B$6:$AX$6,0)+(ROUNDUP((AN$2-$F$2)/COUNTA($F$10:$F$16),0)-1)*COUNTA('הספק נוסף נדרש'!$C$6:$J$6),FALSE))</f>
        <v>0</v>
      </c>
      <c r="AO64" s="136">
        <f ca="1">IF(OR($F64&gt;MAX('הנחות עבודה'!$B$69:$B$89),$F64&gt;$D$5),0,VLOOKUP($F64,'הספק נוסף נדרש'!$B$8:$AX$28,MATCH(AO$49,'הספק נוסף נדרש'!$B$6:$AX$6,0)+(ROUNDUP((AO$2-$F$2)/COUNTA($F$10:$F$16),0)-1)*COUNTA('הספק נוסף נדרש'!$C$6:$J$6),FALSE))</f>
        <v>0</v>
      </c>
      <c r="AP64" s="136">
        <f ca="1">IF(OR($F64&gt;MAX('הנחות עבודה'!$B$69:$B$89),$F64&gt;$D$5),0,VLOOKUP($F64,'הספק נוסף נדרש'!$B$8:$AX$28,MATCH(AP$49,'הספק נוסף נדרש'!$B$6:$AX$6,0)+(ROUNDUP((AP$2-$F$2)/COUNTA($F$10:$F$16),0)-1)*COUNTA('הספק נוסף נדרש'!$C$6:$J$6),FALSE))</f>
        <v>0</v>
      </c>
      <c r="AQ64" s="9"/>
      <c r="AR64" s="10">
        <f t="shared" si="313"/>
        <v>2034</v>
      </c>
      <c r="AS64" s="79">
        <f ca="1">HLOOKUP(AS$49,$G$24:$L$45,COUNTA($F$25:$F39)+1,FALSE)*G64*$D$7/$D$8</f>
        <v>0</v>
      </c>
      <c r="AT64" s="138">
        <f ca="1">HLOOKUP(AT$49,$G$24:$L$45,COUNTA($F$25:$F39)+1,FALSE)*H64*$D$7/$D$8</f>
        <v>0</v>
      </c>
      <c r="AU64" s="138">
        <f ca="1">HLOOKUP(AU$49,$G$24:$L$45,COUNTA($F$25:$F39)+1,FALSE)*I64*$D$7/$D$8</f>
        <v>0</v>
      </c>
      <c r="AV64" s="138">
        <f ca="1">HLOOKUP(AV$49,$G$24:$L$45,COUNTA($F$25:$F39)+1,FALSE)*J64*$D$7/$D$8</f>
        <v>0</v>
      </c>
      <c r="AW64" s="138">
        <f ca="1">HLOOKUP(AW$49,$G$24:$L$45,COUNTA($F$25:$F39)+1,FALSE)*K64*$D$7/$D$8</f>
        <v>0</v>
      </c>
      <c r="AX64" s="79">
        <f ca="1">HLOOKUP(AX$49,$G$24:$L$45,COUNTA($F$25:$F39)+1,FALSE)*L64*$D$7/$D$8</f>
        <v>0</v>
      </c>
      <c r="AY64" s="74">
        <f ca="1">HLOOKUP(AY$49,$G$24:$L$45,COUNTA($F$25:$F39)+1,FALSE)*M64*$D$7/$D$8</f>
        <v>0</v>
      </c>
      <c r="AZ64" s="136">
        <f ca="1">HLOOKUP(AZ$49,$G$24:$L$45,COUNTA($F$25:$F39)+1,FALSE)*N64*$D$7/$D$8</f>
        <v>0</v>
      </c>
      <c r="BA64" s="136">
        <f ca="1">HLOOKUP(BA$49,$G$24:$L$45,COUNTA($F$25:$F39)+1,FALSE)*O64*$D$7/$D$8</f>
        <v>0</v>
      </c>
      <c r="BB64" s="136">
        <f ca="1">HLOOKUP(BB$49,$G$24:$L$45,COUNTA($F$25:$F39)+1,FALSE)*P64*$D$7/$D$8</f>
        <v>0</v>
      </c>
      <c r="BC64" s="136">
        <f ca="1">HLOOKUP(BC$49,$G$24:$L$45,COUNTA($F$25:$F39)+1,FALSE)*Q64*$D$7/$D$8</f>
        <v>0</v>
      </c>
      <c r="BD64" s="136">
        <f ca="1">HLOOKUP(BD$49,$G$24:$L$45,COUNTA($F$25:$F39)+1,FALSE)*R64*$D$7/$D$8</f>
        <v>0</v>
      </c>
      <c r="BE64" s="79">
        <f ca="1">HLOOKUP(BE$49,$G$24:$L$45,COUNTA($F$25:$F39)+1,FALSE)*S64*$D$7/$D$8</f>
        <v>0</v>
      </c>
      <c r="BF64" s="138">
        <f ca="1">HLOOKUP(BF$49,$G$24:$L$45,COUNTA($F$25:$F39)+1,FALSE)*T64*$D$7/$D$8</f>
        <v>0</v>
      </c>
      <c r="BG64" s="138">
        <f ca="1">HLOOKUP(BG$49,$G$24:$L$45,COUNTA($F$25:$F39)+1,FALSE)*U64*$D$7/$D$8</f>
        <v>0</v>
      </c>
      <c r="BH64" s="138">
        <f ca="1">HLOOKUP(BH$49,$G$24:$L$45,COUNTA($F$25:$F39)+1,FALSE)*V64*$D$7/$D$8</f>
        <v>0</v>
      </c>
      <c r="BI64" s="138">
        <f ca="1">HLOOKUP(BI$49,$G$24:$L$45,COUNTA($F$25:$F39)+1,FALSE)*W64*$D$7/$D$8</f>
        <v>0</v>
      </c>
      <c r="BJ64" s="79">
        <f ca="1">HLOOKUP(BJ$49,$G$24:$L$45,COUNTA($F$25:$F39)+1,FALSE)*X64*$D$7/$D$8</f>
        <v>0</v>
      </c>
      <c r="BK64" s="74">
        <f ca="1">HLOOKUP(BK$49,$G$24:$L$45,COUNTA($F$25:$F39)+1,FALSE)*Y64*$D$7/$D$8</f>
        <v>0</v>
      </c>
      <c r="BL64" s="136">
        <f ca="1">HLOOKUP(BL$49,$G$24:$L$45,COUNTA($F$25:$F39)+1,FALSE)*Z64*$D$7/$D$8</f>
        <v>0</v>
      </c>
      <c r="BM64" s="136">
        <f ca="1">HLOOKUP(BM$49,$G$24:$L$45,COUNTA($F$25:$F39)+1,FALSE)*AA64*$D$7/$D$8</f>
        <v>0</v>
      </c>
      <c r="BN64" s="136">
        <f ca="1">HLOOKUP(BN$49,$G$24:$L$45,COUNTA($F$25:$F39)+1,FALSE)*AB64*$D$7/$D$8</f>
        <v>0</v>
      </c>
      <c r="BO64" s="136">
        <f ca="1">HLOOKUP(BO$49,$G$24:$L$45,COUNTA($F$25:$F39)+1,FALSE)*AC64*$D$7/$D$8</f>
        <v>0</v>
      </c>
      <c r="BP64" s="136">
        <f ca="1">HLOOKUP(BP$49,$G$24:$L$45,COUNTA($F$25:$F39)+1,FALSE)*AD64*$D$7/$D$8</f>
        <v>0</v>
      </c>
      <c r="BQ64" s="79">
        <f ca="1">HLOOKUP(BQ$49,$G$24:$L$45,COUNTA($F$25:$F39)+1,FALSE)*AE64*$D$7/$D$8</f>
        <v>0</v>
      </c>
      <c r="BR64" s="138">
        <f ca="1">HLOOKUP(BR$49,$G$24:$L$45,COUNTA($F$25:$F39)+1,FALSE)*AF64*$D$7/$D$8</f>
        <v>0</v>
      </c>
      <c r="BS64" s="138">
        <f ca="1">HLOOKUP(BS$49,$G$24:$L$45,COUNTA($F$25:$F39)+1,FALSE)*AG64*$D$7/$D$8</f>
        <v>0</v>
      </c>
      <c r="BT64" s="138">
        <f ca="1">HLOOKUP(BT$49,$G$24:$L$45,COUNTA($F$25:$F39)+1,FALSE)*AH64*$D$7/$D$8</f>
        <v>0</v>
      </c>
      <c r="BU64" s="138">
        <f ca="1">HLOOKUP(BU$49,$G$24:$L$45,COUNTA($F$25:$F39)+1,FALSE)*AI64*$D$7/$D$8</f>
        <v>0</v>
      </c>
      <c r="BV64" s="79">
        <f ca="1">HLOOKUP(BV$49,$G$24:$L$45,COUNTA($F$25:$F39)+1,FALSE)*AJ64*$D$7/$D$8</f>
        <v>0</v>
      </c>
      <c r="BW64" s="74">
        <f ca="1">HLOOKUP(BW$49,$G$24:$L$45,COUNTA($F$25:$F39)+1,FALSE)*AK64*$D$7/$D$8</f>
        <v>0</v>
      </c>
      <c r="BX64" s="136">
        <f ca="1">HLOOKUP(BX$49,$G$24:$L$45,COUNTA($F$25:$F39)+1,FALSE)*AL64*$D$7/$D$8</f>
        <v>0</v>
      </c>
      <c r="BY64" s="136">
        <f ca="1">HLOOKUP(BY$49,$G$24:$L$45,COUNTA($F$25:$F39)+1,FALSE)*AM64*$D$7/$D$8</f>
        <v>0</v>
      </c>
      <c r="BZ64" s="136">
        <f ca="1">HLOOKUP(BZ$49,$G$24:$L$45,COUNTA($F$25:$F39)+1,FALSE)*AN64*$D$7/$D$8</f>
        <v>0</v>
      </c>
      <c r="CA64" s="136">
        <f ca="1">HLOOKUP(CA$49,$G$24:$L$45,COUNTA($F$25:$F39)+1,FALSE)*AO64*$D$7/$D$8</f>
        <v>0</v>
      </c>
      <c r="CB64" s="739">
        <f ca="1">HLOOKUP(CB$49,$G$24:$L$45,COUNTA($F$25:$F39)+1,FALSE)*AP64*$D$7/$D$8</f>
        <v>0</v>
      </c>
      <c r="CD64" s="10">
        <f t="shared" si="314"/>
        <v>2034</v>
      </c>
      <c r="CE64" s="85">
        <f t="shared" ca="1" si="240"/>
        <v>1072.8415146359366</v>
      </c>
      <c r="CF64" s="147">
        <f t="shared" ca="1" si="241"/>
        <v>0</v>
      </c>
      <c r="CG64" s="147">
        <f t="shared" ca="1" si="242"/>
        <v>216.27952515046442</v>
      </c>
      <c r="CH64" s="147">
        <f t="shared" ca="1" si="243"/>
        <v>19.606169426540287</v>
      </c>
      <c r="CI64" s="147">
        <f t="shared" ca="1" si="244"/>
        <v>0</v>
      </c>
      <c r="CJ64" s="85">
        <f t="shared" ca="1" si="245"/>
        <v>0</v>
      </c>
      <c r="CK64" s="151">
        <f t="shared" ca="1" si="246"/>
        <v>0</v>
      </c>
      <c r="CL64" s="102">
        <f t="shared" ca="1" si="247"/>
        <v>1330.100333878547</v>
      </c>
      <c r="CM64" s="102">
        <f t="shared" ca="1" si="248"/>
        <v>216.27952515046442</v>
      </c>
      <c r="CN64" s="102">
        <f t="shared" ca="1" si="249"/>
        <v>19.606169426540287</v>
      </c>
      <c r="CO64" s="102">
        <f t="shared" ca="1" si="250"/>
        <v>0</v>
      </c>
      <c r="CP64" s="151">
        <f t="shared" ca="1" si="251"/>
        <v>0</v>
      </c>
      <c r="CQ64" s="85">
        <f t="shared" ca="1" si="252"/>
        <v>1875.8411079969287</v>
      </c>
      <c r="CR64" s="147">
        <f t="shared" ca="1" si="253"/>
        <v>0</v>
      </c>
      <c r="CS64" s="147">
        <f t="shared" ca="1" si="254"/>
        <v>216.27952515046442</v>
      </c>
      <c r="CT64" s="147">
        <f t="shared" ca="1" si="255"/>
        <v>19.606169426540287</v>
      </c>
      <c r="CU64" s="147">
        <f t="shared" ca="1" si="256"/>
        <v>0</v>
      </c>
      <c r="CV64" s="85">
        <f t="shared" ca="1" si="257"/>
        <v>0</v>
      </c>
      <c r="CW64" s="151">
        <f t="shared" ca="1" si="258"/>
        <v>0</v>
      </c>
      <c r="CX64" s="102">
        <f t="shared" ca="1" si="259"/>
        <v>2329.6222224771814</v>
      </c>
      <c r="CY64" s="102">
        <f t="shared" ca="1" si="260"/>
        <v>216.27952515046442</v>
      </c>
      <c r="CZ64" s="102">
        <f t="shared" ca="1" si="261"/>
        <v>19.606169426540287</v>
      </c>
      <c r="DA64" s="102">
        <f t="shared" ca="1" si="262"/>
        <v>0</v>
      </c>
      <c r="DB64" s="151">
        <f t="shared" ca="1" si="263"/>
        <v>0</v>
      </c>
      <c r="DC64" s="85">
        <f t="shared" ca="1" si="264"/>
        <v>2372.5516075818737</v>
      </c>
      <c r="DD64" s="147">
        <f t="shared" ca="1" si="265"/>
        <v>0</v>
      </c>
      <c r="DE64" s="147">
        <f t="shared" ca="1" si="266"/>
        <v>216.27952515046442</v>
      </c>
      <c r="DF64" s="147">
        <f t="shared" ca="1" si="267"/>
        <v>19.606169426540287</v>
      </c>
      <c r="DG64" s="147">
        <f t="shared" ca="1" si="268"/>
        <v>0</v>
      </c>
      <c r="DH64" s="85">
        <f t="shared" ca="1" si="269"/>
        <v>0</v>
      </c>
      <c r="DI64" s="151">
        <f t="shared" ca="1" si="270"/>
        <v>0</v>
      </c>
      <c r="DJ64" s="102">
        <f t="shared" ca="1" si="271"/>
        <v>2948.2575202218331</v>
      </c>
      <c r="DK64" s="102">
        <f t="shared" ca="1" si="272"/>
        <v>216.27952515046442</v>
      </c>
      <c r="DL64" s="102">
        <f t="shared" ca="1" si="273"/>
        <v>19.606169426540287</v>
      </c>
      <c r="DM64" s="102">
        <f t="shared" ca="1" si="274"/>
        <v>0</v>
      </c>
      <c r="DN64" s="564">
        <f t="shared" ca="1" si="275"/>
        <v>0</v>
      </c>
      <c r="DP64" s="10">
        <f t="shared" si="315"/>
        <v>2034</v>
      </c>
      <c r="DQ64" s="85">
        <f t="shared" ca="1" si="276"/>
        <v>346.43926141557102</v>
      </c>
      <c r="DR64" s="147">
        <f t="shared" ca="1" si="277"/>
        <v>0</v>
      </c>
      <c r="DS64" s="147">
        <f t="shared" ca="1" si="278"/>
        <v>61.350712925538716</v>
      </c>
      <c r="DT64" s="147">
        <f t="shared" ca="1" si="279"/>
        <v>6.4807091118526818</v>
      </c>
      <c r="DU64" s="147">
        <f t="shared" ca="1" si="280"/>
        <v>0</v>
      </c>
      <c r="DV64" s="85">
        <f t="shared" ca="1" si="281"/>
        <v>0</v>
      </c>
      <c r="DW64" s="151">
        <f t="shared" ca="1" si="282"/>
        <v>0</v>
      </c>
      <c r="DX64" s="102">
        <f t="shared" ca="1" si="283"/>
        <v>394.23058597629023</v>
      </c>
      <c r="DY64" s="102">
        <f t="shared" ca="1" si="284"/>
        <v>61.350712925538716</v>
      </c>
      <c r="DZ64" s="102">
        <f t="shared" ca="1" si="285"/>
        <v>6.4807091118526818</v>
      </c>
      <c r="EA64" s="102">
        <f t="shared" ca="1" si="286"/>
        <v>0</v>
      </c>
      <c r="EB64" s="151">
        <f t="shared" ca="1" si="287"/>
        <v>0</v>
      </c>
      <c r="EC64" s="85">
        <f t="shared" ca="1" si="288"/>
        <v>616.2052651814364</v>
      </c>
      <c r="ED64" s="147">
        <f t="shared" ca="1" si="289"/>
        <v>0</v>
      </c>
      <c r="EE64" s="147">
        <f t="shared" ca="1" si="290"/>
        <v>61.350712925538716</v>
      </c>
      <c r="EF64" s="147">
        <f t="shared" ca="1" si="291"/>
        <v>6.4807091118526818</v>
      </c>
      <c r="EG64" s="147">
        <f t="shared" ca="1" si="292"/>
        <v>0</v>
      </c>
      <c r="EH64" s="85">
        <f t="shared" ca="1" si="293"/>
        <v>0</v>
      </c>
      <c r="EI64" s="151">
        <f t="shared" ca="1" si="294"/>
        <v>0</v>
      </c>
      <c r="EJ64" s="102">
        <f t="shared" ca="1" si="295"/>
        <v>701.21083211394455</v>
      </c>
      <c r="EK64" s="102">
        <f t="shared" ca="1" si="296"/>
        <v>61.350712925538716</v>
      </c>
      <c r="EL64" s="102">
        <f t="shared" ca="1" si="297"/>
        <v>6.4807091118526818</v>
      </c>
      <c r="EM64" s="102">
        <f t="shared" ca="1" si="298"/>
        <v>0</v>
      </c>
      <c r="EN64" s="151">
        <f t="shared" ca="1" si="299"/>
        <v>0</v>
      </c>
      <c r="EO64" s="85">
        <f t="shared" ca="1" si="300"/>
        <v>784.54004761148781</v>
      </c>
      <c r="EP64" s="145">
        <f t="shared" ca="1" si="301"/>
        <v>0</v>
      </c>
      <c r="EQ64" s="145">
        <f t="shared" ca="1" si="302"/>
        <v>61.350712925538716</v>
      </c>
      <c r="ER64" s="145">
        <f t="shared" ca="1" si="303"/>
        <v>6.4807091118526818</v>
      </c>
      <c r="ES64" s="145">
        <f t="shared" ca="1" si="304"/>
        <v>0</v>
      </c>
      <c r="ET64" s="85">
        <f t="shared" ca="1" si="305"/>
        <v>0</v>
      </c>
      <c r="EU64" s="102">
        <f t="shared" ca="1" si="306"/>
        <v>0</v>
      </c>
      <c r="EV64" s="102">
        <f t="shared" ca="1" si="307"/>
        <v>892.76741160331449</v>
      </c>
      <c r="EW64" s="102">
        <f t="shared" ca="1" si="308"/>
        <v>61.350712925538716</v>
      </c>
      <c r="EX64" s="102">
        <f t="shared" ca="1" si="309"/>
        <v>6.4807091118526818</v>
      </c>
      <c r="EY64" s="102">
        <f t="shared" ca="1" si="310"/>
        <v>0</v>
      </c>
      <c r="EZ64" s="564">
        <f t="shared" ca="1" si="311"/>
        <v>0</v>
      </c>
      <c r="FB64" s="10">
        <f t="shared" si="316"/>
        <v>2034</v>
      </c>
      <c r="FC64" s="85">
        <f ca="1">HLOOKUP(FC$49,$O$24:$T$45,COUNTA($N$25:$N39)+1,FALSE)*G64*$D$7/$D$8</f>
        <v>0</v>
      </c>
      <c r="FD64" s="147">
        <f ca="1">HLOOKUP(FD$49,$O$24:$T$45,COUNTA($N$25:$N39)+1,FALSE)*H64*$D$7/$D$8</f>
        <v>0</v>
      </c>
      <c r="FE64" s="147">
        <f ca="1">HLOOKUP(FE$49,$O$24:$T$45,COUNTA($N$25:$N39)+1,FALSE)*I64*$D$7/$D$8</f>
        <v>0</v>
      </c>
      <c r="FF64" s="147">
        <f ca="1">HLOOKUP(FF$49,$O$24:$T$45,COUNTA($N$25:$N39)+1,FALSE)*J64*$D$7/$D$8</f>
        <v>0</v>
      </c>
      <c r="FG64" s="147">
        <f ca="1">HLOOKUP(FG$49,$O$24:$T$45,COUNTA($N$25:$N39)+1,FALSE)*K64*$D$7/$D$8</f>
        <v>0</v>
      </c>
      <c r="FH64" s="85">
        <f ca="1">HLOOKUP(FH$49,$O$24:$T$45,COUNTA($N$25:$N39)+1,FALSE)*L64*$D$7/$D$8</f>
        <v>0</v>
      </c>
      <c r="FI64" s="151">
        <f ca="1">HLOOKUP(FI$49,$O$24:$T$45,COUNTA($N$25:$N39)+1,FALSE)*M64*$D$7/$D$8</f>
        <v>0</v>
      </c>
      <c r="FJ64" s="153">
        <f ca="1">HLOOKUP(FJ$49,$O$24:$T$45,COUNTA($N$25:$N39)+1,FALSE)*N64*$D$7/$D$8</f>
        <v>0</v>
      </c>
      <c r="FK64" s="153">
        <f ca="1">HLOOKUP(FK$49,$O$24:$T$45,COUNTA($N$25:$N39)+1,FALSE)*O64*$D$7/$D$8</f>
        <v>0</v>
      </c>
      <c r="FL64" s="153">
        <f ca="1">HLOOKUP(FL$49,$O$24:$T$45,COUNTA($N$25:$N39)+1,FALSE)*P64*$D$7/$D$8</f>
        <v>0</v>
      </c>
      <c r="FM64" s="153">
        <f ca="1">HLOOKUP(FM$49,$O$24:$T$45,COUNTA($N$25:$N39)+1,FALSE)*Q64*$D$7/$D$8</f>
        <v>0</v>
      </c>
      <c r="FN64" s="151">
        <f ca="1">HLOOKUP(FN$49,$O$24:$T$45,COUNTA($N$25:$N39)+1,FALSE)*R64*$D$7/$D$8</f>
        <v>0</v>
      </c>
      <c r="FO64" s="85">
        <f ca="1">HLOOKUP(FO$49,$O$24:$T$45,COUNTA($N$25:$N39)+1,FALSE)*S64*$D$7/$D$8</f>
        <v>0</v>
      </c>
      <c r="FP64" s="147">
        <f ca="1">HLOOKUP(FP$49,$O$24:$T$45,COUNTA($N$25:$N39)+1,FALSE)*T64*$D$7/$D$8</f>
        <v>0</v>
      </c>
      <c r="FQ64" s="147">
        <f ca="1">HLOOKUP(FQ$49,$O$24:$T$45,COUNTA($N$25:$N39)+1,FALSE)*U64*$D$7/$D$8</f>
        <v>0</v>
      </c>
      <c r="FR64" s="147">
        <f ca="1">HLOOKUP(FR$49,$O$24:$T$45,COUNTA($N$25:$N39)+1,FALSE)*V64*$D$7/$D$8</f>
        <v>0</v>
      </c>
      <c r="FS64" s="147">
        <f ca="1">HLOOKUP(FS$49,$O$24:$T$45,COUNTA($N$25:$N39)+1,FALSE)*W64*$D$7/$D$8</f>
        <v>0</v>
      </c>
      <c r="FT64" s="85">
        <f ca="1">HLOOKUP(FT$49,$O$24:$T$45,COUNTA($N$25:$N39)+1,FALSE)*X64*$D$7/$D$8</f>
        <v>0</v>
      </c>
      <c r="FU64" s="151">
        <f ca="1">HLOOKUP(FU$49,$O$24:$T$45,COUNTA($N$25:$N39)+1,FALSE)*Y64*$D$7/$D$8</f>
        <v>0</v>
      </c>
      <c r="FV64" s="153">
        <f ca="1">HLOOKUP(FV$49,$O$24:$T$45,COUNTA($N$25:$N39)+1,FALSE)*Z64*$D$7/$D$8</f>
        <v>0</v>
      </c>
      <c r="FW64" s="153">
        <f ca="1">HLOOKUP(FW$49,$O$24:$T$45,COUNTA($N$25:$N39)+1,FALSE)*AA64*$D$7/$D$8</f>
        <v>0</v>
      </c>
      <c r="FX64" s="153">
        <f ca="1">HLOOKUP(FX$49,$O$24:$T$45,COUNTA($N$25:$N39)+1,FALSE)*AB64*$D$7/$D$8</f>
        <v>0</v>
      </c>
      <c r="FY64" s="153">
        <f ca="1">HLOOKUP(FY$49,$O$24:$T$45,COUNTA($N$25:$N39)+1,FALSE)*AC64*$D$7/$D$8</f>
        <v>0</v>
      </c>
      <c r="FZ64" s="151">
        <f ca="1">HLOOKUP(FZ$49,$O$24:$T$45,COUNTA($N$25:$N39)+1,FALSE)*AD64*$D$7/$D$8</f>
        <v>0</v>
      </c>
      <c r="GA64" s="85">
        <f ca="1">HLOOKUP(GA$49,$O$24:$T$45,COUNTA($N$25:$N39)+1,FALSE)*AE64*$D$7/$D$8</f>
        <v>0</v>
      </c>
      <c r="GB64" s="147">
        <f ca="1">HLOOKUP(GB$49,$O$24:$T$45,COUNTA($N$25:$N39)+1,FALSE)*AF64*$D$7/$D$8</f>
        <v>0</v>
      </c>
      <c r="GC64" s="147">
        <f ca="1">HLOOKUP(GC$49,$O$24:$T$45,COUNTA($N$25:$N39)+1,FALSE)*AG64*$D$7/$D$8</f>
        <v>0</v>
      </c>
      <c r="GD64" s="147">
        <f ca="1">HLOOKUP(GD$49,$O$24:$T$45,COUNTA($N$25:$N39)+1,FALSE)*AH64*$D$7/$D$8</f>
        <v>0</v>
      </c>
      <c r="GE64" s="147">
        <f ca="1">HLOOKUP(GE$49,$O$24:$T$45,COUNTA($N$25:$N39)+1,FALSE)*AI64*$D$7/$D$8</f>
        <v>0</v>
      </c>
      <c r="GF64" s="85">
        <f ca="1">HLOOKUP(GF$49,$O$24:$T$45,COUNTA($N$25:$N39)+1,FALSE)*AJ64*$D$7/$D$8</f>
        <v>0</v>
      </c>
      <c r="GG64" s="151">
        <f ca="1">HLOOKUP(GG$49,$O$24:$T$45,COUNTA($N$25:$N39)+1,FALSE)*AK64*$D$7/$D$8</f>
        <v>0</v>
      </c>
      <c r="GH64" s="153">
        <f ca="1">HLOOKUP(GH$49,$O$24:$T$45,COUNTA($N$25:$N39)+1,FALSE)*AL64*$D$7/$D$8</f>
        <v>0</v>
      </c>
      <c r="GI64" s="153">
        <f ca="1">HLOOKUP(GI$49,$O$24:$T$45,COUNTA($N$25:$N39)+1,FALSE)*AM64*$D$7/$D$8</f>
        <v>0</v>
      </c>
      <c r="GJ64" s="153">
        <f ca="1">HLOOKUP(GJ$49,$O$24:$T$45,COUNTA($N$25:$N39)+1,FALSE)*AN64*$D$7/$D$8</f>
        <v>0</v>
      </c>
      <c r="GK64" s="153">
        <f ca="1">HLOOKUP(GK$49,$O$24:$T$45,COUNTA($N$25:$N39)+1,FALSE)*AO64*$D$7/$D$8</f>
        <v>0</v>
      </c>
      <c r="GL64" s="564">
        <f ca="1">HLOOKUP(GL$49,$O$24:$T$45,COUNTA($N$25:$N39)+1,FALSE)*AP64*$D$7/$D$8</f>
        <v>0</v>
      </c>
    </row>
    <row r="65" spans="6:194">
      <c r="F65" s="10">
        <f t="shared" si="317"/>
        <v>2035</v>
      </c>
      <c r="G65" s="79">
        <f ca="1">IF(OR($F65&gt;MAX('הנחות עבודה'!$B$69:$B$89),$F65&gt;$D$5),0,VLOOKUP($F65,'הספק נוסף נדרש'!$B$8:$AX$28,MATCH(G$49,'הספק נוסף נדרש'!$B$6:$AX$6,0)+(ROUNDUP((G$2-$F$2)/COUNTA($F$10:$F$16),0)-1)*COUNTA('הספק נוסף נדרש'!$C$6:$J$6),FALSE))</f>
        <v>0</v>
      </c>
      <c r="H65" s="138">
        <f ca="1">IF(OR($F65&gt;MAX('הנחות עבודה'!$B$69:$B$89),$F65&gt;$D$5),0,VLOOKUP($F65,'הספק נוסף נדרש'!$B$8:$AX$28,MATCH(H$49,'הספק נוסף נדרש'!$B$6:$AX$6,0)+(ROUNDUP((H$2-$F$2)/COUNTA($F$10:$F$16),0)-1)*COUNTA('הספק נוסף נדרש'!$C$6:$J$6),FALSE))</f>
        <v>0</v>
      </c>
      <c r="I65" s="138">
        <f ca="1">IF(OR($F65&gt;MAX('הנחות עבודה'!$B$69:$B$89),$F65&gt;$D$5),0,VLOOKUP($F65,'הספק נוסף נדרש'!$B$8:$AX$28,MATCH(I$49,'הספק נוסף נדרש'!$B$6:$AX$6,0)+(ROUNDUP((I$2-$F$2)/COUNTA($F$10:$F$16),0)-1)*COUNTA('הספק נוסף נדרש'!$C$6:$J$6),FALSE))</f>
        <v>0</v>
      </c>
      <c r="J65" s="138">
        <f ca="1">IF(OR($F65&gt;MAX('הנחות עבודה'!$B$69:$B$89),$F65&gt;$D$5),0,VLOOKUP($F65,'הספק נוסף נדרש'!$B$8:$AX$28,MATCH(J$49,'הספק נוסף נדרש'!$B$6:$AX$6,0)+(ROUNDUP((J$2-$F$2)/COUNTA($F$10:$F$16),0)-1)*COUNTA('הספק נוסף נדרש'!$C$6:$J$6),FALSE))</f>
        <v>0</v>
      </c>
      <c r="K65" s="138">
        <f ca="1">IF(OR($F65&gt;MAX('הנחות עבודה'!$B$69:$B$89),$F65&gt;$D$5),0,VLOOKUP($F65,'הספק נוסף נדרש'!$B$8:$AX$28,MATCH(K$49,'הספק נוסף נדרש'!$B$6:$AX$6,0)+(ROUNDUP((K$2-$F$2)/COUNTA($F$10:$F$16),0)-1)*COUNTA('הספק נוסף נדרש'!$C$6:$J$6),FALSE))</f>
        <v>0</v>
      </c>
      <c r="L65" s="79">
        <f ca="1">IF(OR($F65&gt;MAX('הנחות עבודה'!$B$69:$B$89),$F65&gt;$D$5),0,VLOOKUP($F65,'הספק נוסף נדרש'!$B$8:$AX$28,MATCH(L$49,'הספק נוסף נדרש'!$B$6:$AX$6,0)+(ROUNDUP((L$2-$F$2)/COUNTA($F$10:$F$16),0)-1)*COUNTA('הספק נוסף נדרש'!$C$6:$J$6),FALSE))</f>
        <v>0</v>
      </c>
      <c r="M65" s="74">
        <f ca="1">IF(OR($F65&gt;MAX('הנחות עבודה'!$B$69:$B$89),$F65&gt;$D$5),0,VLOOKUP($F65,'הספק נוסף נדרש'!$B$8:$AX$28,MATCH(M$49,'הספק נוסף נדרש'!$B$6:$AX$6,0)+(ROUNDUP((M$2-$F$2)/COUNTA($F$10:$F$16),0)-1)*COUNTA('הספק נוסף נדרש'!$C$6:$J$6),FALSE))</f>
        <v>0</v>
      </c>
      <c r="N65" s="136">
        <f ca="1">IF(OR($F65&gt;MAX('הנחות עבודה'!$B$69:$B$89),$F65&gt;$D$5),0,VLOOKUP($F65,'הספק נוסף נדרש'!$B$8:$AX$28,MATCH(N$49,'הספק נוסף נדרש'!$B$6:$AX$6,0)+(ROUNDUP((N$2-$F$2)/COUNTA($F$10:$F$16),0)-1)*COUNTA('הספק נוסף נדרש'!$C$6:$J$6),FALSE))</f>
        <v>0</v>
      </c>
      <c r="O65" s="136">
        <f ca="1">IF(OR($F65&gt;MAX('הנחות עבודה'!$B$69:$B$89),$F65&gt;$D$5),0,VLOOKUP($F65,'הספק נוסף נדרש'!$B$8:$AX$28,MATCH(O$49,'הספק נוסף נדרש'!$B$6:$AX$6,0)+(ROUNDUP((O$2-$F$2)/COUNTA($F$10:$F$16),0)-1)*COUNTA('הספק נוסף נדרש'!$C$6:$J$6),FALSE))</f>
        <v>0</v>
      </c>
      <c r="P65" s="136">
        <f ca="1">IF(OR($F65&gt;MAX('הנחות עבודה'!$B$69:$B$89),$F65&gt;$D$5),0,VLOOKUP($F65,'הספק נוסף נדרש'!$B$8:$AX$28,MATCH(P$49,'הספק נוסף נדרש'!$B$6:$AX$6,0)+(ROUNDUP((P$2-$F$2)/COUNTA($F$10:$F$16),0)-1)*COUNTA('הספק נוסף נדרש'!$C$6:$J$6),FALSE))</f>
        <v>0</v>
      </c>
      <c r="Q65" s="136">
        <f ca="1">IF(OR($F65&gt;MAX('הנחות עבודה'!$B$69:$B$89),$F65&gt;$D$5),0,VLOOKUP($F65,'הספק נוסף נדרש'!$B$8:$AX$28,MATCH(Q$49,'הספק נוסף נדרש'!$B$6:$AX$6,0)+(ROUNDUP((Q$2-$F$2)/COUNTA($F$10:$F$16),0)-1)*COUNTA('הספק נוסף נדרש'!$C$6:$J$6),FALSE))</f>
        <v>0</v>
      </c>
      <c r="R65" s="136">
        <f ca="1">IF(OR($F65&gt;MAX('הנחות עבודה'!$B$69:$B$89),$F65&gt;$D$5),0,VLOOKUP($F65,'הספק נוסף נדרש'!$B$8:$AX$28,MATCH(R$49,'הספק נוסף נדרש'!$B$6:$AX$6,0)+(ROUNDUP((R$2-$F$2)/COUNTA($F$10:$F$16),0)-1)*COUNTA('הספק נוסף נדרש'!$C$6:$J$6),FALSE))</f>
        <v>0</v>
      </c>
      <c r="S65" s="79">
        <f ca="1">IF(OR($F65&gt;MAX('הנחות עבודה'!$B$69:$B$89),$F65&gt;$D$5),0,VLOOKUP($F65,'הספק נוסף נדרש'!$B$8:$AX$28,MATCH(S$49,'הספק נוסף נדרש'!$B$6:$AX$6,0)+(ROUNDUP((S$2-$F$2)/COUNTA($F$10:$F$16),0)-1)*COUNTA('הספק נוסף נדרש'!$C$6:$J$6),FALSE))</f>
        <v>0</v>
      </c>
      <c r="T65" s="138">
        <f ca="1">IF(OR($F65&gt;MAX('הנחות עבודה'!$B$69:$B$89),$F65&gt;$D$5),0,VLOOKUP($F65,'הספק נוסף נדרש'!$B$8:$AX$28,MATCH(T$49,'הספק נוסף נדרש'!$B$6:$AX$6,0)+(ROUNDUP((T$2-$F$2)/COUNTA($F$10:$F$16),0)-1)*COUNTA('הספק נוסף נדרש'!$C$6:$J$6),FALSE))</f>
        <v>0</v>
      </c>
      <c r="U65" s="138">
        <f ca="1">IF(OR($F65&gt;MAX('הנחות עבודה'!$B$69:$B$89),$F65&gt;$D$5),0,VLOOKUP($F65,'הספק נוסף נדרש'!$B$8:$AX$28,MATCH(U$49,'הספק נוסף נדרש'!$B$6:$AX$6,0)+(ROUNDUP((U$2-$F$2)/COUNTA($F$10:$F$16),0)-1)*COUNTA('הספק נוסף נדרש'!$C$6:$J$6),FALSE))</f>
        <v>0</v>
      </c>
      <c r="V65" s="138">
        <f ca="1">IF(OR($F65&gt;MAX('הנחות עבודה'!$B$69:$B$89),$F65&gt;$D$5),0,VLOOKUP($F65,'הספק נוסף נדרש'!$B$8:$AX$28,MATCH(V$49,'הספק נוסף נדרש'!$B$6:$AX$6,0)+(ROUNDUP((V$2-$F$2)/COUNTA($F$10:$F$16),0)-1)*COUNTA('הספק נוסף נדרש'!$C$6:$J$6),FALSE))</f>
        <v>0</v>
      </c>
      <c r="W65" s="138">
        <f ca="1">IF(OR($F65&gt;MAX('הנחות עבודה'!$B$69:$B$89),$F65&gt;$D$5),0,VLOOKUP($F65,'הספק נוסף נדרש'!$B$8:$AX$28,MATCH(W$49,'הספק נוסף נדרש'!$B$6:$AX$6,0)+(ROUNDUP((W$2-$F$2)/COUNTA($F$10:$F$16),0)-1)*COUNTA('הספק נוסף נדרש'!$C$6:$J$6),FALSE))</f>
        <v>0</v>
      </c>
      <c r="X65" s="79">
        <f ca="1">IF(OR($F65&gt;MAX('הנחות עבודה'!$B$69:$B$89),$F65&gt;$D$5),0,VLOOKUP($F65,'הספק נוסף נדרש'!$B$8:$AX$28,MATCH(X$49,'הספק נוסף נדרש'!$B$6:$AX$6,0)+(ROUNDUP((X$2-$F$2)/COUNTA($F$10:$F$16),0)-1)*COUNTA('הספק נוסף נדרש'!$C$6:$J$6),FALSE))</f>
        <v>0</v>
      </c>
      <c r="Y65" s="74">
        <f ca="1">IF(OR($F65&gt;MAX('הנחות עבודה'!$B$69:$B$89),$F65&gt;$D$5),0,VLOOKUP($F65,'הספק נוסף נדרש'!$B$8:$AX$28,MATCH(Y$49,'הספק נוסף נדרש'!$B$6:$AX$6,0)+(ROUNDUP((Y$2-$F$2)/COUNTA($F$10:$F$16),0)-1)*COUNTA('הספק נוסף נדרש'!$C$6:$J$6),FALSE))</f>
        <v>0</v>
      </c>
      <c r="Z65" s="136">
        <f ca="1">IF(OR($F65&gt;MAX('הנחות עבודה'!$B$69:$B$89),$F65&gt;$D$5),0,VLOOKUP($F65,'הספק נוסף נדרש'!$B$8:$AX$28,MATCH(Z$49,'הספק נוסף נדרש'!$B$6:$AX$6,0)+(ROUNDUP((Z$2-$F$2)/COUNTA($F$10:$F$16),0)-1)*COUNTA('הספק נוסף נדרש'!$C$6:$J$6),FALSE))</f>
        <v>0</v>
      </c>
      <c r="AA65" s="136">
        <f ca="1">IF(OR($F65&gt;MAX('הנחות עבודה'!$B$69:$B$89),$F65&gt;$D$5),0,VLOOKUP($F65,'הספק נוסף נדרש'!$B$8:$AX$28,MATCH(AA$49,'הספק נוסף נדרש'!$B$6:$AX$6,0)+(ROUNDUP((AA$2-$F$2)/COUNTA($F$10:$F$16),0)-1)*COUNTA('הספק נוסף נדרש'!$C$6:$J$6),FALSE))</f>
        <v>0</v>
      </c>
      <c r="AB65" s="136">
        <f ca="1">IF(OR($F65&gt;MAX('הנחות עבודה'!$B$69:$B$89),$F65&gt;$D$5),0,VLOOKUP($F65,'הספק נוסף נדרש'!$B$8:$AX$28,MATCH(AB$49,'הספק נוסף נדרש'!$B$6:$AX$6,0)+(ROUNDUP((AB$2-$F$2)/COUNTA($F$10:$F$16),0)-1)*COUNTA('הספק נוסף נדרש'!$C$6:$J$6),FALSE))</f>
        <v>0</v>
      </c>
      <c r="AC65" s="136">
        <f ca="1">IF(OR($F65&gt;MAX('הנחות עבודה'!$B$69:$B$89),$F65&gt;$D$5),0,VLOOKUP($F65,'הספק נוסף נדרש'!$B$8:$AX$28,MATCH(AC$49,'הספק נוסף נדרש'!$B$6:$AX$6,0)+(ROUNDUP((AC$2-$F$2)/COUNTA($F$10:$F$16),0)-1)*COUNTA('הספק נוסף נדרש'!$C$6:$J$6),FALSE))</f>
        <v>0</v>
      </c>
      <c r="AD65" s="136">
        <f ca="1">IF(OR($F65&gt;MAX('הנחות עבודה'!$B$69:$B$89),$F65&gt;$D$5),0,VLOOKUP($F65,'הספק נוסף נדרש'!$B$8:$AX$28,MATCH(AD$49,'הספק נוסף נדרש'!$B$6:$AX$6,0)+(ROUNDUP((AD$2-$F$2)/COUNTA($F$10:$F$16),0)-1)*COUNTA('הספק נוסף נדרש'!$C$6:$J$6),FALSE))</f>
        <v>0</v>
      </c>
      <c r="AE65" s="79">
        <f ca="1">IF(OR($F65&gt;MAX('הנחות עבודה'!$B$69:$B$89),$F65&gt;$D$5),0,VLOOKUP($F65,'הספק נוסף נדרש'!$B$8:$AX$28,MATCH(AE$49,'הספק נוסף נדרש'!$B$6:$AX$6,0)+(ROUNDUP((AE$2-$F$2)/COUNTA($F$10:$F$16),0)-1)*COUNTA('הספק נוסף נדרש'!$C$6:$J$6),FALSE))</f>
        <v>0</v>
      </c>
      <c r="AF65" s="138">
        <f ca="1">IF(OR($F65&gt;MAX('הנחות עבודה'!$B$69:$B$89),$F65&gt;$D$5),0,VLOOKUP($F65,'הספק נוסף נדרש'!$B$8:$AX$28,MATCH(AF$49,'הספק נוסף נדרש'!$B$6:$AX$6,0)+(ROUNDUP((AF$2-$F$2)/COUNTA($F$10:$F$16),0)-1)*COUNTA('הספק נוסף נדרש'!$C$6:$J$6),FALSE))</f>
        <v>0</v>
      </c>
      <c r="AG65" s="138">
        <f ca="1">IF(OR($F65&gt;MAX('הנחות עבודה'!$B$69:$B$89),$F65&gt;$D$5),0,VLOOKUP($F65,'הספק נוסף נדרש'!$B$8:$AX$28,MATCH(AG$49,'הספק נוסף נדרש'!$B$6:$AX$6,0)+(ROUNDUP((AG$2-$F$2)/COUNTA($F$10:$F$16),0)-1)*COUNTA('הספק נוסף נדרש'!$C$6:$J$6),FALSE))</f>
        <v>0</v>
      </c>
      <c r="AH65" s="138">
        <f ca="1">IF(OR($F65&gt;MAX('הנחות עבודה'!$B$69:$B$89),$F65&gt;$D$5),0,VLOOKUP($F65,'הספק נוסף נדרש'!$B$8:$AX$28,MATCH(AH$49,'הספק נוסף נדרש'!$B$6:$AX$6,0)+(ROUNDUP((AH$2-$F$2)/COUNTA($F$10:$F$16),0)-1)*COUNTA('הספק נוסף נדרש'!$C$6:$J$6),FALSE))</f>
        <v>0</v>
      </c>
      <c r="AI65" s="138">
        <f ca="1">IF(OR($F65&gt;MAX('הנחות עבודה'!$B$69:$B$89),$F65&gt;$D$5),0,VLOOKUP($F65,'הספק נוסף נדרש'!$B$8:$AX$28,MATCH(AI$49,'הספק נוסף נדרש'!$B$6:$AX$6,0)+(ROUNDUP((AI$2-$F$2)/COUNTA($F$10:$F$16),0)-1)*COUNTA('הספק נוסף נדרש'!$C$6:$J$6),FALSE))</f>
        <v>0</v>
      </c>
      <c r="AJ65" s="79">
        <f ca="1">IF(OR($F65&gt;MAX('הנחות עבודה'!$B$69:$B$89),$F65&gt;$D$5),0,VLOOKUP($F65,'הספק נוסף נדרש'!$B$8:$AX$28,MATCH(AJ$49,'הספק נוסף נדרש'!$B$6:$AX$6,0)+(ROUNDUP((AJ$2-$F$2)/COUNTA($F$10:$F$16),0)-1)*COUNTA('הספק נוסף נדרש'!$C$6:$J$6),FALSE))</f>
        <v>0</v>
      </c>
      <c r="AK65" s="74">
        <f ca="1">IF(OR($F65&gt;MAX('הנחות עבודה'!$B$69:$B$89),$F65&gt;$D$5),0,VLOOKUP($F65,'הספק נוסף נדרש'!$B$8:$AX$28,MATCH(AK$49,'הספק נוסף נדרש'!$B$6:$AX$6,0)+(ROUNDUP((AK$2-$F$2)/COUNTA($F$10:$F$16),0)-1)*COUNTA('הספק נוסף נדרש'!$C$6:$J$6),FALSE))</f>
        <v>0</v>
      </c>
      <c r="AL65" s="136">
        <f ca="1">IF(OR($F65&gt;MAX('הנחות עבודה'!$B$69:$B$89),$F65&gt;$D$5),0,VLOOKUP($F65,'הספק נוסף נדרש'!$B$8:$AX$28,MATCH(AL$49,'הספק נוסף נדרש'!$B$6:$AX$6,0)+(ROUNDUP((AL$2-$F$2)/COUNTA($F$10:$F$16),0)-1)*COUNTA('הספק נוסף נדרש'!$C$6:$J$6),FALSE))</f>
        <v>0</v>
      </c>
      <c r="AM65" s="136">
        <f ca="1">IF(OR($F65&gt;MAX('הנחות עבודה'!$B$69:$B$89),$F65&gt;$D$5),0,VLOOKUP($F65,'הספק נוסף נדרש'!$B$8:$AX$28,MATCH(AM$49,'הספק נוסף נדרש'!$B$6:$AX$6,0)+(ROUNDUP((AM$2-$F$2)/COUNTA($F$10:$F$16),0)-1)*COUNTA('הספק נוסף נדרש'!$C$6:$J$6),FALSE))</f>
        <v>0</v>
      </c>
      <c r="AN65" s="136">
        <f ca="1">IF(OR($F65&gt;MAX('הנחות עבודה'!$B$69:$B$89),$F65&gt;$D$5),0,VLOOKUP($F65,'הספק נוסף נדרש'!$B$8:$AX$28,MATCH(AN$49,'הספק נוסף נדרש'!$B$6:$AX$6,0)+(ROUNDUP((AN$2-$F$2)/COUNTA($F$10:$F$16),0)-1)*COUNTA('הספק נוסף נדרש'!$C$6:$J$6),FALSE))</f>
        <v>0</v>
      </c>
      <c r="AO65" s="136">
        <f ca="1">IF(OR($F65&gt;MAX('הנחות עבודה'!$B$69:$B$89),$F65&gt;$D$5),0,VLOOKUP($F65,'הספק נוסף נדרש'!$B$8:$AX$28,MATCH(AO$49,'הספק נוסף נדרש'!$B$6:$AX$6,0)+(ROUNDUP((AO$2-$F$2)/COUNTA($F$10:$F$16),0)-1)*COUNTA('הספק נוסף נדרש'!$C$6:$J$6),FALSE))</f>
        <v>0</v>
      </c>
      <c r="AP65" s="136">
        <f ca="1">IF(OR($F65&gt;MAX('הנחות עבודה'!$B$69:$B$89),$F65&gt;$D$5),0,VLOOKUP($F65,'הספק נוסף נדרש'!$B$8:$AX$28,MATCH(AP$49,'הספק נוסף נדרש'!$B$6:$AX$6,0)+(ROUNDUP((AP$2-$F$2)/COUNTA($F$10:$F$16),0)-1)*COUNTA('הספק נוסף נדרש'!$C$6:$J$6),FALSE))</f>
        <v>0</v>
      </c>
      <c r="AQ65" s="9"/>
      <c r="AR65" s="10">
        <f t="shared" si="313"/>
        <v>2035</v>
      </c>
      <c r="AS65" s="79">
        <f ca="1">HLOOKUP(AS$49,$G$24:$L$45,COUNTA($F$25:$F40)+1,FALSE)*G65*$D$7/$D$8</f>
        <v>0</v>
      </c>
      <c r="AT65" s="138">
        <f ca="1">HLOOKUP(AT$49,$G$24:$L$45,COUNTA($F$25:$F40)+1,FALSE)*H65*$D$7/$D$8</f>
        <v>0</v>
      </c>
      <c r="AU65" s="138">
        <f ca="1">HLOOKUP(AU$49,$G$24:$L$45,COUNTA($F$25:$F40)+1,FALSE)*I65*$D$7/$D$8</f>
        <v>0</v>
      </c>
      <c r="AV65" s="138">
        <f ca="1">HLOOKUP(AV$49,$G$24:$L$45,COUNTA($F$25:$F40)+1,FALSE)*J65*$D$7/$D$8</f>
        <v>0</v>
      </c>
      <c r="AW65" s="138">
        <f ca="1">HLOOKUP(AW$49,$G$24:$L$45,COUNTA($F$25:$F40)+1,FALSE)*K65*$D$7/$D$8</f>
        <v>0</v>
      </c>
      <c r="AX65" s="79">
        <f ca="1">HLOOKUP(AX$49,$G$24:$L$45,COUNTA($F$25:$F40)+1,FALSE)*L65*$D$7/$D$8</f>
        <v>0</v>
      </c>
      <c r="AY65" s="74">
        <f ca="1">HLOOKUP(AY$49,$G$24:$L$45,COUNTA($F$25:$F40)+1,FALSE)*M65*$D$7/$D$8</f>
        <v>0</v>
      </c>
      <c r="AZ65" s="136">
        <f ca="1">HLOOKUP(AZ$49,$G$24:$L$45,COUNTA($F$25:$F40)+1,FALSE)*N65*$D$7/$D$8</f>
        <v>0</v>
      </c>
      <c r="BA65" s="136">
        <f ca="1">HLOOKUP(BA$49,$G$24:$L$45,COUNTA($F$25:$F40)+1,FALSE)*O65*$D$7/$D$8</f>
        <v>0</v>
      </c>
      <c r="BB65" s="136">
        <f ca="1">HLOOKUP(BB$49,$G$24:$L$45,COUNTA($F$25:$F40)+1,FALSE)*P65*$D$7/$D$8</f>
        <v>0</v>
      </c>
      <c r="BC65" s="136">
        <f ca="1">HLOOKUP(BC$49,$G$24:$L$45,COUNTA($F$25:$F40)+1,FALSE)*Q65*$D$7/$D$8</f>
        <v>0</v>
      </c>
      <c r="BD65" s="136">
        <f ca="1">HLOOKUP(BD$49,$G$24:$L$45,COUNTA($F$25:$F40)+1,FALSE)*R65*$D$7/$D$8</f>
        <v>0</v>
      </c>
      <c r="BE65" s="79">
        <f ca="1">HLOOKUP(BE$49,$G$24:$L$45,COUNTA($F$25:$F40)+1,FALSE)*S65*$D$7/$D$8</f>
        <v>0</v>
      </c>
      <c r="BF65" s="138">
        <f ca="1">HLOOKUP(BF$49,$G$24:$L$45,COUNTA($F$25:$F40)+1,FALSE)*T65*$D$7/$D$8</f>
        <v>0</v>
      </c>
      <c r="BG65" s="138">
        <f ca="1">HLOOKUP(BG$49,$G$24:$L$45,COUNTA($F$25:$F40)+1,FALSE)*U65*$D$7/$D$8</f>
        <v>0</v>
      </c>
      <c r="BH65" s="138">
        <f ca="1">HLOOKUP(BH$49,$G$24:$L$45,COUNTA($F$25:$F40)+1,FALSE)*V65*$D$7/$D$8</f>
        <v>0</v>
      </c>
      <c r="BI65" s="138">
        <f ca="1">HLOOKUP(BI$49,$G$24:$L$45,COUNTA($F$25:$F40)+1,FALSE)*W65*$D$7/$D$8</f>
        <v>0</v>
      </c>
      <c r="BJ65" s="79">
        <f ca="1">HLOOKUP(BJ$49,$G$24:$L$45,COUNTA($F$25:$F40)+1,FALSE)*X65*$D$7/$D$8</f>
        <v>0</v>
      </c>
      <c r="BK65" s="74">
        <f ca="1">HLOOKUP(BK$49,$G$24:$L$45,COUNTA($F$25:$F40)+1,FALSE)*Y65*$D$7/$D$8</f>
        <v>0</v>
      </c>
      <c r="BL65" s="136">
        <f ca="1">HLOOKUP(BL$49,$G$24:$L$45,COUNTA($F$25:$F40)+1,FALSE)*Z65*$D$7/$D$8</f>
        <v>0</v>
      </c>
      <c r="BM65" s="136">
        <f ca="1">HLOOKUP(BM$49,$G$24:$L$45,COUNTA($F$25:$F40)+1,FALSE)*AA65*$D$7/$D$8</f>
        <v>0</v>
      </c>
      <c r="BN65" s="136">
        <f ca="1">HLOOKUP(BN$49,$G$24:$L$45,COUNTA($F$25:$F40)+1,FALSE)*AB65*$D$7/$D$8</f>
        <v>0</v>
      </c>
      <c r="BO65" s="136">
        <f ca="1">HLOOKUP(BO$49,$G$24:$L$45,COUNTA($F$25:$F40)+1,FALSE)*AC65*$D$7/$D$8</f>
        <v>0</v>
      </c>
      <c r="BP65" s="136">
        <f ca="1">HLOOKUP(BP$49,$G$24:$L$45,COUNTA($F$25:$F40)+1,FALSE)*AD65*$D$7/$D$8</f>
        <v>0</v>
      </c>
      <c r="BQ65" s="79">
        <f ca="1">HLOOKUP(BQ$49,$G$24:$L$45,COUNTA($F$25:$F40)+1,FALSE)*AE65*$D$7/$D$8</f>
        <v>0</v>
      </c>
      <c r="BR65" s="138">
        <f ca="1">HLOOKUP(BR$49,$G$24:$L$45,COUNTA($F$25:$F40)+1,FALSE)*AF65*$D$7/$D$8</f>
        <v>0</v>
      </c>
      <c r="BS65" s="138">
        <f ca="1">HLOOKUP(BS$49,$G$24:$L$45,COUNTA($F$25:$F40)+1,FALSE)*AG65*$D$7/$D$8</f>
        <v>0</v>
      </c>
      <c r="BT65" s="138">
        <f ca="1">HLOOKUP(BT$49,$G$24:$L$45,COUNTA($F$25:$F40)+1,FALSE)*AH65*$D$7/$D$8</f>
        <v>0</v>
      </c>
      <c r="BU65" s="138">
        <f ca="1">HLOOKUP(BU$49,$G$24:$L$45,COUNTA($F$25:$F40)+1,FALSE)*AI65*$D$7/$D$8</f>
        <v>0</v>
      </c>
      <c r="BV65" s="79">
        <f ca="1">HLOOKUP(BV$49,$G$24:$L$45,COUNTA($F$25:$F40)+1,FALSE)*AJ65*$D$7/$D$8</f>
        <v>0</v>
      </c>
      <c r="BW65" s="74">
        <f ca="1">HLOOKUP(BW$49,$G$24:$L$45,COUNTA($F$25:$F40)+1,FALSE)*AK65*$D$7/$D$8</f>
        <v>0</v>
      </c>
      <c r="BX65" s="136">
        <f ca="1">HLOOKUP(BX$49,$G$24:$L$45,COUNTA($F$25:$F40)+1,FALSE)*AL65*$D$7/$D$8</f>
        <v>0</v>
      </c>
      <c r="BY65" s="136">
        <f ca="1">HLOOKUP(BY$49,$G$24:$L$45,COUNTA($F$25:$F40)+1,FALSE)*AM65*$D$7/$D$8</f>
        <v>0</v>
      </c>
      <c r="BZ65" s="136">
        <f ca="1">HLOOKUP(BZ$49,$G$24:$L$45,COUNTA($F$25:$F40)+1,FALSE)*AN65*$D$7/$D$8</f>
        <v>0</v>
      </c>
      <c r="CA65" s="136">
        <f ca="1">HLOOKUP(CA$49,$G$24:$L$45,COUNTA($F$25:$F40)+1,FALSE)*AO65*$D$7/$D$8</f>
        <v>0</v>
      </c>
      <c r="CB65" s="739">
        <f ca="1">HLOOKUP(CB$49,$G$24:$L$45,COUNTA($F$25:$F40)+1,FALSE)*AP65*$D$7/$D$8</f>
        <v>0</v>
      </c>
      <c r="CD65" s="10">
        <f t="shared" si="314"/>
        <v>2035</v>
      </c>
      <c r="CE65" s="85">
        <f t="shared" ca="1" si="240"/>
        <v>1072.8415146359366</v>
      </c>
      <c r="CF65" s="147">
        <f t="shared" ca="1" si="241"/>
        <v>0</v>
      </c>
      <c r="CG65" s="147">
        <f t="shared" ca="1" si="242"/>
        <v>216.27952515046442</v>
      </c>
      <c r="CH65" s="147">
        <f t="shared" ca="1" si="243"/>
        <v>19.606169426540287</v>
      </c>
      <c r="CI65" s="147">
        <f t="shared" ca="1" si="244"/>
        <v>0</v>
      </c>
      <c r="CJ65" s="85">
        <f t="shared" ca="1" si="245"/>
        <v>0</v>
      </c>
      <c r="CK65" s="151">
        <f t="shared" ca="1" si="246"/>
        <v>0</v>
      </c>
      <c r="CL65" s="102">
        <f t="shared" ca="1" si="247"/>
        <v>1330.100333878547</v>
      </c>
      <c r="CM65" s="102">
        <f t="shared" ca="1" si="248"/>
        <v>216.27952515046442</v>
      </c>
      <c r="CN65" s="102">
        <f t="shared" ca="1" si="249"/>
        <v>19.606169426540287</v>
      </c>
      <c r="CO65" s="102">
        <f t="shared" ca="1" si="250"/>
        <v>0</v>
      </c>
      <c r="CP65" s="151">
        <f t="shared" ca="1" si="251"/>
        <v>0</v>
      </c>
      <c r="CQ65" s="85">
        <f t="shared" ca="1" si="252"/>
        <v>1875.8411079969287</v>
      </c>
      <c r="CR65" s="147">
        <f t="shared" ca="1" si="253"/>
        <v>0</v>
      </c>
      <c r="CS65" s="147">
        <f t="shared" ca="1" si="254"/>
        <v>216.27952515046442</v>
      </c>
      <c r="CT65" s="147">
        <f t="shared" ca="1" si="255"/>
        <v>19.606169426540287</v>
      </c>
      <c r="CU65" s="147">
        <f t="shared" ca="1" si="256"/>
        <v>0</v>
      </c>
      <c r="CV65" s="85">
        <f t="shared" ca="1" si="257"/>
        <v>0</v>
      </c>
      <c r="CW65" s="151">
        <f t="shared" ca="1" si="258"/>
        <v>0</v>
      </c>
      <c r="CX65" s="102">
        <f t="shared" ca="1" si="259"/>
        <v>2329.6222224771814</v>
      </c>
      <c r="CY65" s="102">
        <f t="shared" ca="1" si="260"/>
        <v>216.27952515046442</v>
      </c>
      <c r="CZ65" s="102">
        <f t="shared" ca="1" si="261"/>
        <v>19.606169426540287</v>
      </c>
      <c r="DA65" s="102">
        <f t="shared" ca="1" si="262"/>
        <v>0</v>
      </c>
      <c r="DB65" s="151">
        <f t="shared" ca="1" si="263"/>
        <v>0</v>
      </c>
      <c r="DC65" s="85">
        <f t="shared" ca="1" si="264"/>
        <v>2372.5516075818737</v>
      </c>
      <c r="DD65" s="147">
        <f t="shared" ca="1" si="265"/>
        <v>0</v>
      </c>
      <c r="DE65" s="147">
        <f t="shared" ca="1" si="266"/>
        <v>216.27952515046442</v>
      </c>
      <c r="DF65" s="147">
        <f t="shared" ca="1" si="267"/>
        <v>19.606169426540287</v>
      </c>
      <c r="DG65" s="147">
        <f t="shared" ca="1" si="268"/>
        <v>0</v>
      </c>
      <c r="DH65" s="85">
        <f t="shared" ca="1" si="269"/>
        <v>0</v>
      </c>
      <c r="DI65" s="151">
        <f t="shared" ca="1" si="270"/>
        <v>0</v>
      </c>
      <c r="DJ65" s="102">
        <f t="shared" ca="1" si="271"/>
        <v>2948.2575202218331</v>
      </c>
      <c r="DK65" s="102">
        <f t="shared" ca="1" si="272"/>
        <v>216.27952515046442</v>
      </c>
      <c r="DL65" s="102">
        <f t="shared" ca="1" si="273"/>
        <v>19.606169426540287</v>
      </c>
      <c r="DM65" s="102">
        <f t="shared" ca="1" si="274"/>
        <v>0</v>
      </c>
      <c r="DN65" s="564">
        <f t="shared" ca="1" si="275"/>
        <v>0</v>
      </c>
      <c r="DP65" s="10">
        <f t="shared" si="315"/>
        <v>2035</v>
      </c>
      <c r="DQ65" s="85">
        <f t="shared" ca="1" si="276"/>
        <v>346.43926141557102</v>
      </c>
      <c r="DR65" s="147">
        <f t="shared" ca="1" si="277"/>
        <v>0</v>
      </c>
      <c r="DS65" s="147">
        <f t="shared" ca="1" si="278"/>
        <v>61.350712925538716</v>
      </c>
      <c r="DT65" s="147">
        <f t="shared" ca="1" si="279"/>
        <v>6.4807091118526818</v>
      </c>
      <c r="DU65" s="147">
        <f t="shared" ca="1" si="280"/>
        <v>0</v>
      </c>
      <c r="DV65" s="85">
        <f t="shared" ca="1" si="281"/>
        <v>0</v>
      </c>
      <c r="DW65" s="151">
        <f t="shared" ca="1" si="282"/>
        <v>0</v>
      </c>
      <c r="DX65" s="102">
        <f t="shared" ca="1" si="283"/>
        <v>394.23058597629023</v>
      </c>
      <c r="DY65" s="102">
        <f t="shared" ca="1" si="284"/>
        <v>61.350712925538716</v>
      </c>
      <c r="DZ65" s="102">
        <f t="shared" ca="1" si="285"/>
        <v>6.4807091118526818</v>
      </c>
      <c r="EA65" s="102">
        <f t="shared" ca="1" si="286"/>
        <v>0</v>
      </c>
      <c r="EB65" s="151">
        <f t="shared" ca="1" si="287"/>
        <v>0</v>
      </c>
      <c r="EC65" s="85">
        <f t="shared" ca="1" si="288"/>
        <v>616.2052651814364</v>
      </c>
      <c r="ED65" s="147">
        <f t="shared" ca="1" si="289"/>
        <v>0</v>
      </c>
      <c r="EE65" s="147">
        <f t="shared" ca="1" si="290"/>
        <v>61.350712925538716</v>
      </c>
      <c r="EF65" s="147">
        <f t="shared" ca="1" si="291"/>
        <v>6.4807091118526818</v>
      </c>
      <c r="EG65" s="147">
        <f t="shared" ca="1" si="292"/>
        <v>0</v>
      </c>
      <c r="EH65" s="85">
        <f t="shared" ca="1" si="293"/>
        <v>0</v>
      </c>
      <c r="EI65" s="151">
        <f t="shared" ca="1" si="294"/>
        <v>0</v>
      </c>
      <c r="EJ65" s="102">
        <f t="shared" ca="1" si="295"/>
        <v>701.21083211394455</v>
      </c>
      <c r="EK65" s="102">
        <f t="shared" ca="1" si="296"/>
        <v>61.350712925538716</v>
      </c>
      <c r="EL65" s="102">
        <f t="shared" ca="1" si="297"/>
        <v>6.4807091118526818</v>
      </c>
      <c r="EM65" s="102">
        <f t="shared" ca="1" si="298"/>
        <v>0</v>
      </c>
      <c r="EN65" s="151">
        <f t="shared" ca="1" si="299"/>
        <v>0</v>
      </c>
      <c r="EO65" s="85">
        <f t="shared" ca="1" si="300"/>
        <v>784.54004761148781</v>
      </c>
      <c r="EP65" s="145">
        <f t="shared" ca="1" si="301"/>
        <v>0</v>
      </c>
      <c r="EQ65" s="145">
        <f t="shared" ca="1" si="302"/>
        <v>61.350712925538716</v>
      </c>
      <c r="ER65" s="145">
        <f t="shared" ca="1" si="303"/>
        <v>6.4807091118526818</v>
      </c>
      <c r="ES65" s="145">
        <f t="shared" ca="1" si="304"/>
        <v>0</v>
      </c>
      <c r="ET65" s="85">
        <f t="shared" ca="1" si="305"/>
        <v>0</v>
      </c>
      <c r="EU65" s="102">
        <f t="shared" ca="1" si="306"/>
        <v>0</v>
      </c>
      <c r="EV65" s="102">
        <f t="shared" ca="1" si="307"/>
        <v>892.76741160331449</v>
      </c>
      <c r="EW65" s="102">
        <f t="shared" ca="1" si="308"/>
        <v>61.350712925538716</v>
      </c>
      <c r="EX65" s="102">
        <f t="shared" ca="1" si="309"/>
        <v>6.4807091118526818</v>
      </c>
      <c r="EY65" s="102">
        <f t="shared" ca="1" si="310"/>
        <v>0</v>
      </c>
      <c r="EZ65" s="564">
        <f t="shared" ca="1" si="311"/>
        <v>0</v>
      </c>
      <c r="FB65" s="10">
        <f t="shared" si="316"/>
        <v>2035</v>
      </c>
      <c r="FC65" s="85">
        <f ca="1">HLOOKUP(FC$49,$O$24:$T$45,COUNTA($N$25:$N40)+1,FALSE)*G65*$D$7/$D$8</f>
        <v>0</v>
      </c>
      <c r="FD65" s="147">
        <f ca="1">HLOOKUP(FD$49,$O$24:$T$45,COUNTA($N$25:$N40)+1,FALSE)*H65*$D$7/$D$8</f>
        <v>0</v>
      </c>
      <c r="FE65" s="147">
        <f ca="1">HLOOKUP(FE$49,$O$24:$T$45,COUNTA($N$25:$N40)+1,FALSE)*I65*$D$7/$D$8</f>
        <v>0</v>
      </c>
      <c r="FF65" s="147">
        <f ca="1">HLOOKUP(FF$49,$O$24:$T$45,COUNTA($N$25:$N40)+1,FALSE)*J65*$D$7/$D$8</f>
        <v>0</v>
      </c>
      <c r="FG65" s="147">
        <f ca="1">HLOOKUP(FG$49,$O$24:$T$45,COUNTA($N$25:$N40)+1,FALSE)*K65*$D$7/$D$8</f>
        <v>0</v>
      </c>
      <c r="FH65" s="85">
        <f ca="1">HLOOKUP(FH$49,$O$24:$T$45,COUNTA($N$25:$N40)+1,FALSE)*L65*$D$7/$D$8</f>
        <v>0</v>
      </c>
      <c r="FI65" s="151">
        <f ca="1">HLOOKUP(FI$49,$O$24:$T$45,COUNTA($N$25:$N40)+1,FALSE)*M65*$D$7/$D$8</f>
        <v>0</v>
      </c>
      <c r="FJ65" s="153">
        <f ca="1">HLOOKUP(FJ$49,$O$24:$T$45,COUNTA($N$25:$N40)+1,FALSE)*N65*$D$7/$D$8</f>
        <v>0</v>
      </c>
      <c r="FK65" s="153">
        <f ca="1">HLOOKUP(FK$49,$O$24:$T$45,COUNTA($N$25:$N40)+1,FALSE)*O65*$D$7/$D$8</f>
        <v>0</v>
      </c>
      <c r="FL65" s="153">
        <f ca="1">HLOOKUP(FL$49,$O$24:$T$45,COUNTA($N$25:$N40)+1,FALSE)*P65*$D$7/$D$8</f>
        <v>0</v>
      </c>
      <c r="FM65" s="153">
        <f ca="1">HLOOKUP(FM$49,$O$24:$T$45,COUNTA($N$25:$N40)+1,FALSE)*Q65*$D$7/$D$8</f>
        <v>0</v>
      </c>
      <c r="FN65" s="151">
        <f ca="1">HLOOKUP(FN$49,$O$24:$T$45,COUNTA($N$25:$N40)+1,FALSE)*R65*$D$7/$D$8</f>
        <v>0</v>
      </c>
      <c r="FO65" s="85">
        <f ca="1">HLOOKUP(FO$49,$O$24:$T$45,COUNTA($N$25:$N40)+1,FALSE)*S65*$D$7/$D$8</f>
        <v>0</v>
      </c>
      <c r="FP65" s="147">
        <f ca="1">HLOOKUP(FP$49,$O$24:$T$45,COUNTA($N$25:$N40)+1,FALSE)*T65*$D$7/$D$8</f>
        <v>0</v>
      </c>
      <c r="FQ65" s="147">
        <f ca="1">HLOOKUP(FQ$49,$O$24:$T$45,COUNTA($N$25:$N40)+1,FALSE)*U65*$D$7/$D$8</f>
        <v>0</v>
      </c>
      <c r="FR65" s="147">
        <f ca="1">HLOOKUP(FR$49,$O$24:$T$45,COUNTA($N$25:$N40)+1,FALSE)*V65*$D$7/$D$8</f>
        <v>0</v>
      </c>
      <c r="FS65" s="147">
        <f ca="1">HLOOKUP(FS$49,$O$24:$T$45,COUNTA($N$25:$N40)+1,FALSE)*W65*$D$7/$D$8</f>
        <v>0</v>
      </c>
      <c r="FT65" s="85">
        <f ca="1">HLOOKUP(FT$49,$O$24:$T$45,COUNTA($N$25:$N40)+1,FALSE)*X65*$D$7/$D$8</f>
        <v>0</v>
      </c>
      <c r="FU65" s="151">
        <f ca="1">HLOOKUP(FU$49,$O$24:$T$45,COUNTA($N$25:$N40)+1,FALSE)*Y65*$D$7/$D$8</f>
        <v>0</v>
      </c>
      <c r="FV65" s="153">
        <f ca="1">HLOOKUP(FV$49,$O$24:$T$45,COUNTA($N$25:$N40)+1,FALSE)*Z65*$D$7/$D$8</f>
        <v>0</v>
      </c>
      <c r="FW65" s="153">
        <f ca="1">HLOOKUP(FW$49,$O$24:$T$45,COUNTA($N$25:$N40)+1,FALSE)*AA65*$D$7/$D$8</f>
        <v>0</v>
      </c>
      <c r="FX65" s="153">
        <f ca="1">HLOOKUP(FX$49,$O$24:$T$45,COUNTA($N$25:$N40)+1,FALSE)*AB65*$D$7/$D$8</f>
        <v>0</v>
      </c>
      <c r="FY65" s="153">
        <f ca="1">HLOOKUP(FY$49,$O$24:$T$45,COUNTA($N$25:$N40)+1,FALSE)*AC65*$D$7/$D$8</f>
        <v>0</v>
      </c>
      <c r="FZ65" s="151">
        <f ca="1">HLOOKUP(FZ$49,$O$24:$T$45,COUNTA($N$25:$N40)+1,FALSE)*AD65*$D$7/$D$8</f>
        <v>0</v>
      </c>
      <c r="GA65" s="85">
        <f ca="1">HLOOKUP(GA$49,$O$24:$T$45,COUNTA($N$25:$N40)+1,FALSE)*AE65*$D$7/$D$8</f>
        <v>0</v>
      </c>
      <c r="GB65" s="147">
        <f ca="1">HLOOKUP(GB$49,$O$24:$T$45,COUNTA($N$25:$N40)+1,FALSE)*AF65*$D$7/$D$8</f>
        <v>0</v>
      </c>
      <c r="GC65" s="147">
        <f ca="1">HLOOKUP(GC$49,$O$24:$T$45,COUNTA($N$25:$N40)+1,FALSE)*AG65*$D$7/$D$8</f>
        <v>0</v>
      </c>
      <c r="GD65" s="147">
        <f ca="1">HLOOKUP(GD$49,$O$24:$T$45,COUNTA($N$25:$N40)+1,FALSE)*AH65*$D$7/$D$8</f>
        <v>0</v>
      </c>
      <c r="GE65" s="147">
        <f ca="1">HLOOKUP(GE$49,$O$24:$T$45,COUNTA($N$25:$N40)+1,FALSE)*AI65*$D$7/$D$8</f>
        <v>0</v>
      </c>
      <c r="GF65" s="85">
        <f ca="1">HLOOKUP(GF$49,$O$24:$T$45,COUNTA($N$25:$N40)+1,FALSE)*AJ65*$D$7/$D$8</f>
        <v>0</v>
      </c>
      <c r="GG65" s="151">
        <f ca="1">HLOOKUP(GG$49,$O$24:$T$45,COUNTA($N$25:$N40)+1,FALSE)*AK65*$D$7/$D$8</f>
        <v>0</v>
      </c>
      <c r="GH65" s="153">
        <f ca="1">HLOOKUP(GH$49,$O$24:$T$45,COUNTA($N$25:$N40)+1,FALSE)*AL65*$D$7/$D$8</f>
        <v>0</v>
      </c>
      <c r="GI65" s="153">
        <f ca="1">HLOOKUP(GI$49,$O$24:$T$45,COUNTA($N$25:$N40)+1,FALSE)*AM65*$D$7/$D$8</f>
        <v>0</v>
      </c>
      <c r="GJ65" s="153">
        <f ca="1">HLOOKUP(GJ$49,$O$24:$T$45,COUNTA($N$25:$N40)+1,FALSE)*AN65*$D$7/$D$8</f>
        <v>0</v>
      </c>
      <c r="GK65" s="153">
        <f ca="1">HLOOKUP(GK$49,$O$24:$T$45,COUNTA($N$25:$N40)+1,FALSE)*AO65*$D$7/$D$8</f>
        <v>0</v>
      </c>
      <c r="GL65" s="564">
        <f ca="1">HLOOKUP(GL$49,$O$24:$T$45,COUNTA($N$25:$N40)+1,FALSE)*AP65*$D$7/$D$8</f>
        <v>0</v>
      </c>
    </row>
    <row r="66" spans="6:194">
      <c r="F66" s="10">
        <f t="shared" si="317"/>
        <v>2036</v>
      </c>
      <c r="G66" s="79">
        <f ca="1">IF(OR($F66&gt;MAX('הנחות עבודה'!$B$69:$B$89),$F66&gt;$D$5),0,VLOOKUP($F66,'הספק נוסף נדרש'!$B$8:$AX$28,MATCH(G$49,'הספק נוסף נדרש'!$B$6:$AX$6,0)+(ROUNDUP((G$2-$F$2)/COUNTA($F$10:$F$16),0)-1)*COUNTA('הספק נוסף נדרש'!$C$6:$J$6),FALSE))</f>
        <v>0</v>
      </c>
      <c r="H66" s="138">
        <f ca="1">IF(OR($F66&gt;MAX('הנחות עבודה'!$B$69:$B$89),$F66&gt;$D$5),0,VLOOKUP($F66,'הספק נוסף נדרש'!$B$8:$AX$28,MATCH(H$49,'הספק נוסף נדרש'!$B$6:$AX$6,0)+(ROUNDUP((H$2-$F$2)/COUNTA($F$10:$F$16),0)-1)*COUNTA('הספק נוסף נדרש'!$C$6:$J$6),FALSE))</f>
        <v>0</v>
      </c>
      <c r="I66" s="138">
        <f ca="1">IF(OR($F66&gt;MAX('הנחות עבודה'!$B$69:$B$89),$F66&gt;$D$5),0,VLOOKUP($F66,'הספק נוסף נדרש'!$B$8:$AX$28,MATCH(I$49,'הספק נוסף נדרש'!$B$6:$AX$6,0)+(ROUNDUP((I$2-$F$2)/COUNTA($F$10:$F$16),0)-1)*COUNTA('הספק נוסף נדרש'!$C$6:$J$6),FALSE))</f>
        <v>0</v>
      </c>
      <c r="J66" s="138">
        <f ca="1">IF(OR($F66&gt;MAX('הנחות עבודה'!$B$69:$B$89),$F66&gt;$D$5),0,VLOOKUP($F66,'הספק נוסף נדרש'!$B$8:$AX$28,MATCH(J$49,'הספק נוסף נדרש'!$B$6:$AX$6,0)+(ROUNDUP((J$2-$F$2)/COUNTA($F$10:$F$16),0)-1)*COUNTA('הספק נוסף נדרש'!$C$6:$J$6),FALSE))</f>
        <v>0</v>
      </c>
      <c r="K66" s="138">
        <f ca="1">IF(OR($F66&gt;MAX('הנחות עבודה'!$B$69:$B$89),$F66&gt;$D$5),0,VLOOKUP($F66,'הספק נוסף נדרש'!$B$8:$AX$28,MATCH(K$49,'הספק נוסף נדרש'!$B$6:$AX$6,0)+(ROUNDUP((K$2-$F$2)/COUNTA($F$10:$F$16),0)-1)*COUNTA('הספק נוסף נדרש'!$C$6:$J$6),FALSE))</f>
        <v>0</v>
      </c>
      <c r="L66" s="79">
        <f ca="1">IF(OR($F66&gt;MAX('הנחות עבודה'!$B$69:$B$89),$F66&gt;$D$5),0,VLOOKUP($F66,'הספק נוסף נדרש'!$B$8:$AX$28,MATCH(L$49,'הספק נוסף נדרש'!$B$6:$AX$6,0)+(ROUNDUP((L$2-$F$2)/COUNTA($F$10:$F$16),0)-1)*COUNTA('הספק נוסף נדרש'!$C$6:$J$6),FALSE))</f>
        <v>0</v>
      </c>
      <c r="M66" s="74">
        <f ca="1">IF(OR($F66&gt;MAX('הנחות עבודה'!$B$69:$B$89),$F66&gt;$D$5),0,VLOOKUP($F66,'הספק נוסף נדרש'!$B$8:$AX$28,MATCH(M$49,'הספק נוסף נדרש'!$B$6:$AX$6,0)+(ROUNDUP((M$2-$F$2)/COUNTA($F$10:$F$16),0)-1)*COUNTA('הספק נוסף נדרש'!$C$6:$J$6),FALSE))</f>
        <v>0</v>
      </c>
      <c r="N66" s="136">
        <f ca="1">IF(OR($F66&gt;MAX('הנחות עבודה'!$B$69:$B$89),$F66&gt;$D$5),0,VLOOKUP($F66,'הספק נוסף נדרש'!$B$8:$AX$28,MATCH(N$49,'הספק נוסף נדרש'!$B$6:$AX$6,0)+(ROUNDUP((N$2-$F$2)/COUNTA($F$10:$F$16),0)-1)*COUNTA('הספק נוסף נדרש'!$C$6:$J$6),FALSE))</f>
        <v>0</v>
      </c>
      <c r="O66" s="136">
        <f ca="1">IF(OR($F66&gt;MAX('הנחות עבודה'!$B$69:$B$89),$F66&gt;$D$5),0,VLOOKUP($F66,'הספק נוסף נדרש'!$B$8:$AX$28,MATCH(O$49,'הספק נוסף נדרש'!$B$6:$AX$6,0)+(ROUNDUP((O$2-$F$2)/COUNTA($F$10:$F$16),0)-1)*COUNTA('הספק נוסף נדרש'!$C$6:$J$6),FALSE))</f>
        <v>0</v>
      </c>
      <c r="P66" s="136">
        <f ca="1">IF(OR($F66&gt;MAX('הנחות עבודה'!$B$69:$B$89),$F66&gt;$D$5),0,VLOOKUP($F66,'הספק נוסף נדרש'!$B$8:$AX$28,MATCH(P$49,'הספק נוסף נדרש'!$B$6:$AX$6,0)+(ROUNDUP((P$2-$F$2)/COUNTA($F$10:$F$16),0)-1)*COUNTA('הספק נוסף נדרש'!$C$6:$J$6),FALSE))</f>
        <v>0</v>
      </c>
      <c r="Q66" s="136">
        <f ca="1">IF(OR($F66&gt;MAX('הנחות עבודה'!$B$69:$B$89),$F66&gt;$D$5),0,VLOOKUP($F66,'הספק נוסף נדרש'!$B$8:$AX$28,MATCH(Q$49,'הספק נוסף נדרש'!$B$6:$AX$6,0)+(ROUNDUP((Q$2-$F$2)/COUNTA($F$10:$F$16),0)-1)*COUNTA('הספק נוסף נדרש'!$C$6:$J$6),FALSE))</f>
        <v>0</v>
      </c>
      <c r="R66" s="136">
        <f ca="1">IF(OR($F66&gt;MAX('הנחות עבודה'!$B$69:$B$89),$F66&gt;$D$5),0,VLOOKUP($F66,'הספק נוסף נדרש'!$B$8:$AX$28,MATCH(R$49,'הספק נוסף נדרש'!$B$6:$AX$6,0)+(ROUNDUP((R$2-$F$2)/COUNTA($F$10:$F$16),0)-1)*COUNTA('הספק נוסף נדרש'!$C$6:$J$6),FALSE))</f>
        <v>0</v>
      </c>
      <c r="S66" s="79">
        <f ca="1">IF(OR($F66&gt;MAX('הנחות עבודה'!$B$69:$B$89),$F66&gt;$D$5),0,VLOOKUP($F66,'הספק נוסף נדרש'!$B$8:$AX$28,MATCH(S$49,'הספק נוסף נדרש'!$B$6:$AX$6,0)+(ROUNDUP((S$2-$F$2)/COUNTA($F$10:$F$16),0)-1)*COUNTA('הספק נוסף נדרש'!$C$6:$J$6),FALSE))</f>
        <v>0</v>
      </c>
      <c r="T66" s="138">
        <f ca="1">IF(OR($F66&gt;MAX('הנחות עבודה'!$B$69:$B$89),$F66&gt;$D$5),0,VLOOKUP($F66,'הספק נוסף נדרש'!$B$8:$AX$28,MATCH(T$49,'הספק נוסף נדרש'!$B$6:$AX$6,0)+(ROUNDUP((T$2-$F$2)/COUNTA($F$10:$F$16),0)-1)*COUNTA('הספק נוסף נדרש'!$C$6:$J$6),FALSE))</f>
        <v>0</v>
      </c>
      <c r="U66" s="138">
        <f ca="1">IF(OR($F66&gt;MAX('הנחות עבודה'!$B$69:$B$89),$F66&gt;$D$5),0,VLOOKUP($F66,'הספק נוסף נדרש'!$B$8:$AX$28,MATCH(U$49,'הספק נוסף נדרש'!$B$6:$AX$6,0)+(ROUNDUP((U$2-$F$2)/COUNTA($F$10:$F$16),0)-1)*COUNTA('הספק נוסף נדרש'!$C$6:$J$6),FALSE))</f>
        <v>0</v>
      </c>
      <c r="V66" s="138">
        <f ca="1">IF(OR($F66&gt;MAX('הנחות עבודה'!$B$69:$B$89),$F66&gt;$D$5),0,VLOOKUP($F66,'הספק נוסף נדרש'!$B$8:$AX$28,MATCH(V$49,'הספק נוסף נדרש'!$B$6:$AX$6,0)+(ROUNDUP((V$2-$F$2)/COUNTA($F$10:$F$16),0)-1)*COUNTA('הספק נוסף נדרש'!$C$6:$J$6),FALSE))</f>
        <v>0</v>
      </c>
      <c r="W66" s="138">
        <f ca="1">IF(OR($F66&gt;MAX('הנחות עבודה'!$B$69:$B$89),$F66&gt;$D$5),0,VLOOKUP($F66,'הספק נוסף נדרש'!$B$8:$AX$28,MATCH(W$49,'הספק נוסף נדרש'!$B$6:$AX$6,0)+(ROUNDUP((W$2-$F$2)/COUNTA($F$10:$F$16),0)-1)*COUNTA('הספק נוסף נדרש'!$C$6:$J$6),FALSE))</f>
        <v>0</v>
      </c>
      <c r="X66" s="79">
        <f ca="1">IF(OR($F66&gt;MAX('הנחות עבודה'!$B$69:$B$89),$F66&gt;$D$5),0,VLOOKUP($F66,'הספק נוסף נדרש'!$B$8:$AX$28,MATCH(X$49,'הספק נוסף נדרש'!$B$6:$AX$6,0)+(ROUNDUP((X$2-$F$2)/COUNTA($F$10:$F$16),0)-1)*COUNTA('הספק נוסף נדרש'!$C$6:$J$6),FALSE))</f>
        <v>0</v>
      </c>
      <c r="Y66" s="74">
        <f ca="1">IF(OR($F66&gt;MAX('הנחות עבודה'!$B$69:$B$89),$F66&gt;$D$5),0,VLOOKUP($F66,'הספק נוסף נדרש'!$B$8:$AX$28,MATCH(Y$49,'הספק נוסף נדרש'!$B$6:$AX$6,0)+(ROUNDUP((Y$2-$F$2)/COUNTA($F$10:$F$16),0)-1)*COUNTA('הספק נוסף נדרש'!$C$6:$J$6),FALSE))</f>
        <v>0</v>
      </c>
      <c r="Z66" s="136">
        <f ca="1">IF(OR($F66&gt;MAX('הנחות עבודה'!$B$69:$B$89),$F66&gt;$D$5),0,VLOOKUP($F66,'הספק נוסף נדרש'!$B$8:$AX$28,MATCH(Z$49,'הספק נוסף נדרש'!$B$6:$AX$6,0)+(ROUNDUP((Z$2-$F$2)/COUNTA($F$10:$F$16),0)-1)*COUNTA('הספק נוסף נדרש'!$C$6:$J$6),FALSE))</f>
        <v>0</v>
      </c>
      <c r="AA66" s="136">
        <f ca="1">IF(OR($F66&gt;MAX('הנחות עבודה'!$B$69:$B$89),$F66&gt;$D$5),0,VLOOKUP($F66,'הספק נוסף נדרש'!$B$8:$AX$28,MATCH(AA$49,'הספק נוסף נדרש'!$B$6:$AX$6,0)+(ROUNDUP((AA$2-$F$2)/COUNTA($F$10:$F$16),0)-1)*COUNTA('הספק נוסף נדרש'!$C$6:$J$6),FALSE))</f>
        <v>0</v>
      </c>
      <c r="AB66" s="136">
        <f ca="1">IF(OR($F66&gt;MAX('הנחות עבודה'!$B$69:$B$89),$F66&gt;$D$5),0,VLOOKUP($F66,'הספק נוסף נדרש'!$B$8:$AX$28,MATCH(AB$49,'הספק נוסף נדרש'!$B$6:$AX$6,0)+(ROUNDUP((AB$2-$F$2)/COUNTA($F$10:$F$16),0)-1)*COUNTA('הספק נוסף נדרש'!$C$6:$J$6),FALSE))</f>
        <v>0</v>
      </c>
      <c r="AC66" s="136">
        <f ca="1">IF(OR($F66&gt;MAX('הנחות עבודה'!$B$69:$B$89),$F66&gt;$D$5),0,VLOOKUP($F66,'הספק נוסף נדרש'!$B$8:$AX$28,MATCH(AC$49,'הספק נוסף נדרש'!$B$6:$AX$6,0)+(ROUNDUP((AC$2-$F$2)/COUNTA($F$10:$F$16),0)-1)*COUNTA('הספק נוסף נדרש'!$C$6:$J$6),FALSE))</f>
        <v>0</v>
      </c>
      <c r="AD66" s="136">
        <f ca="1">IF(OR($F66&gt;MAX('הנחות עבודה'!$B$69:$B$89),$F66&gt;$D$5),0,VLOOKUP($F66,'הספק נוסף נדרש'!$B$8:$AX$28,MATCH(AD$49,'הספק נוסף נדרש'!$B$6:$AX$6,0)+(ROUNDUP((AD$2-$F$2)/COUNTA($F$10:$F$16),0)-1)*COUNTA('הספק נוסף נדרש'!$C$6:$J$6),FALSE))</f>
        <v>0</v>
      </c>
      <c r="AE66" s="79">
        <f ca="1">IF(OR($F66&gt;MAX('הנחות עבודה'!$B$69:$B$89),$F66&gt;$D$5),0,VLOOKUP($F66,'הספק נוסף נדרש'!$B$8:$AX$28,MATCH(AE$49,'הספק נוסף נדרש'!$B$6:$AX$6,0)+(ROUNDUP((AE$2-$F$2)/COUNTA($F$10:$F$16),0)-1)*COUNTA('הספק נוסף נדרש'!$C$6:$J$6),FALSE))</f>
        <v>0</v>
      </c>
      <c r="AF66" s="138">
        <f ca="1">IF(OR($F66&gt;MAX('הנחות עבודה'!$B$69:$B$89),$F66&gt;$D$5),0,VLOOKUP($F66,'הספק נוסף נדרש'!$B$8:$AX$28,MATCH(AF$49,'הספק נוסף נדרש'!$B$6:$AX$6,0)+(ROUNDUP((AF$2-$F$2)/COUNTA($F$10:$F$16),0)-1)*COUNTA('הספק נוסף נדרש'!$C$6:$J$6),FALSE))</f>
        <v>0</v>
      </c>
      <c r="AG66" s="138">
        <f ca="1">IF(OR($F66&gt;MAX('הנחות עבודה'!$B$69:$B$89),$F66&gt;$D$5),0,VLOOKUP($F66,'הספק נוסף נדרש'!$B$8:$AX$28,MATCH(AG$49,'הספק נוסף נדרש'!$B$6:$AX$6,0)+(ROUNDUP((AG$2-$F$2)/COUNTA($F$10:$F$16),0)-1)*COUNTA('הספק נוסף נדרש'!$C$6:$J$6),FALSE))</f>
        <v>0</v>
      </c>
      <c r="AH66" s="138">
        <f ca="1">IF(OR($F66&gt;MAX('הנחות עבודה'!$B$69:$B$89),$F66&gt;$D$5),0,VLOOKUP($F66,'הספק נוסף נדרש'!$B$8:$AX$28,MATCH(AH$49,'הספק נוסף נדרש'!$B$6:$AX$6,0)+(ROUNDUP((AH$2-$F$2)/COUNTA($F$10:$F$16),0)-1)*COUNTA('הספק נוסף נדרש'!$C$6:$J$6),FALSE))</f>
        <v>0</v>
      </c>
      <c r="AI66" s="138">
        <f ca="1">IF(OR($F66&gt;MAX('הנחות עבודה'!$B$69:$B$89),$F66&gt;$D$5),0,VLOOKUP($F66,'הספק נוסף נדרש'!$B$8:$AX$28,MATCH(AI$49,'הספק נוסף נדרש'!$B$6:$AX$6,0)+(ROUNDUP((AI$2-$F$2)/COUNTA($F$10:$F$16),0)-1)*COUNTA('הספק נוסף נדרש'!$C$6:$J$6),FALSE))</f>
        <v>0</v>
      </c>
      <c r="AJ66" s="79">
        <f ca="1">IF(OR($F66&gt;MAX('הנחות עבודה'!$B$69:$B$89),$F66&gt;$D$5),0,VLOOKUP($F66,'הספק נוסף נדרש'!$B$8:$AX$28,MATCH(AJ$49,'הספק נוסף נדרש'!$B$6:$AX$6,0)+(ROUNDUP((AJ$2-$F$2)/COUNTA($F$10:$F$16),0)-1)*COUNTA('הספק נוסף נדרש'!$C$6:$J$6),FALSE))</f>
        <v>0</v>
      </c>
      <c r="AK66" s="74">
        <f ca="1">IF(OR($F66&gt;MAX('הנחות עבודה'!$B$69:$B$89),$F66&gt;$D$5),0,VLOOKUP($F66,'הספק נוסף נדרש'!$B$8:$AX$28,MATCH(AK$49,'הספק נוסף נדרש'!$B$6:$AX$6,0)+(ROUNDUP((AK$2-$F$2)/COUNTA($F$10:$F$16),0)-1)*COUNTA('הספק נוסף נדרש'!$C$6:$J$6),FALSE))</f>
        <v>0</v>
      </c>
      <c r="AL66" s="136">
        <f ca="1">IF(OR($F66&gt;MAX('הנחות עבודה'!$B$69:$B$89),$F66&gt;$D$5),0,VLOOKUP($F66,'הספק נוסף נדרש'!$B$8:$AX$28,MATCH(AL$49,'הספק נוסף נדרש'!$B$6:$AX$6,0)+(ROUNDUP((AL$2-$F$2)/COUNTA($F$10:$F$16),0)-1)*COUNTA('הספק נוסף נדרש'!$C$6:$J$6),FALSE))</f>
        <v>0</v>
      </c>
      <c r="AM66" s="136">
        <f ca="1">IF(OR($F66&gt;MAX('הנחות עבודה'!$B$69:$B$89),$F66&gt;$D$5),0,VLOOKUP($F66,'הספק נוסף נדרש'!$B$8:$AX$28,MATCH(AM$49,'הספק נוסף נדרש'!$B$6:$AX$6,0)+(ROUNDUP((AM$2-$F$2)/COUNTA($F$10:$F$16),0)-1)*COUNTA('הספק נוסף נדרש'!$C$6:$J$6),FALSE))</f>
        <v>0</v>
      </c>
      <c r="AN66" s="136">
        <f ca="1">IF(OR($F66&gt;MAX('הנחות עבודה'!$B$69:$B$89),$F66&gt;$D$5),0,VLOOKUP($F66,'הספק נוסף נדרש'!$B$8:$AX$28,MATCH(AN$49,'הספק נוסף נדרש'!$B$6:$AX$6,0)+(ROUNDUP((AN$2-$F$2)/COUNTA($F$10:$F$16),0)-1)*COUNTA('הספק נוסף נדרש'!$C$6:$J$6),FALSE))</f>
        <v>0</v>
      </c>
      <c r="AO66" s="136">
        <f ca="1">IF(OR($F66&gt;MAX('הנחות עבודה'!$B$69:$B$89),$F66&gt;$D$5),0,VLOOKUP($F66,'הספק נוסף נדרש'!$B$8:$AX$28,MATCH(AO$49,'הספק נוסף נדרש'!$B$6:$AX$6,0)+(ROUNDUP((AO$2-$F$2)/COUNTA($F$10:$F$16),0)-1)*COUNTA('הספק נוסף נדרש'!$C$6:$J$6),FALSE))</f>
        <v>0</v>
      </c>
      <c r="AP66" s="136">
        <f ca="1">IF(OR($F66&gt;MAX('הנחות עבודה'!$B$69:$B$89),$F66&gt;$D$5),0,VLOOKUP($F66,'הספק נוסף נדרש'!$B$8:$AX$28,MATCH(AP$49,'הספק נוסף נדרש'!$B$6:$AX$6,0)+(ROUNDUP((AP$2-$F$2)/COUNTA($F$10:$F$16),0)-1)*COUNTA('הספק נוסף נדרש'!$C$6:$J$6),FALSE))</f>
        <v>0</v>
      </c>
      <c r="AQ66" s="9"/>
      <c r="AR66" s="10">
        <f t="shared" si="313"/>
        <v>2036</v>
      </c>
      <c r="AS66" s="79">
        <f ca="1">HLOOKUP(AS$49,$G$24:$L$45,COUNTA($F$25:$F41)+1,FALSE)*G66*$D$7/$D$8</f>
        <v>0</v>
      </c>
      <c r="AT66" s="138">
        <f ca="1">HLOOKUP(AT$49,$G$24:$L$45,COUNTA($F$25:$F41)+1,FALSE)*H66*$D$7/$D$8</f>
        <v>0</v>
      </c>
      <c r="AU66" s="138">
        <f ca="1">HLOOKUP(AU$49,$G$24:$L$45,COUNTA($F$25:$F41)+1,FALSE)*I66*$D$7/$D$8</f>
        <v>0</v>
      </c>
      <c r="AV66" s="138">
        <f ca="1">HLOOKUP(AV$49,$G$24:$L$45,COUNTA($F$25:$F41)+1,FALSE)*J66*$D$7/$D$8</f>
        <v>0</v>
      </c>
      <c r="AW66" s="138">
        <f ca="1">HLOOKUP(AW$49,$G$24:$L$45,COUNTA($F$25:$F41)+1,FALSE)*K66*$D$7/$D$8</f>
        <v>0</v>
      </c>
      <c r="AX66" s="79">
        <f ca="1">HLOOKUP(AX$49,$G$24:$L$45,COUNTA($F$25:$F41)+1,FALSE)*L66*$D$7/$D$8</f>
        <v>0</v>
      </c>
      <c r="AY66" s="74">
        <f ca="1">HLOOKUP(AY$49,$G$24:$L$45,COUNTA($F$25:$F41)+1,FALSE)*M66*$D$7/$D$8</f>
        <v>0</v>
      </c>
      <c r="AZ66" s="136">
        <f ca="1">HLOOKUP(AZ$49,$G$24:$L$45,COUNTA($F$25:$F41)+1,FALSE)*N66*$D$7/$D$8</f>
        <v>0</v>
      </c>
      <c r="BA66" s="136">
        <f ca="1">HLOOKUP(BA$49,$G$24:$L$45,COUNTA($F$25:$F41)+1,FALSE)*O66*$D$7/$D$8</f>
        <v>0</v>
      </c>
      <c r="BB66" s="136">
        <f ca="1">HLOOKUP(BB$49,$G$24:$L$45,COUNTA($F$25:$F41)+1,FALSE)*P66*$D$7/$D$8</f>
        <v>0</v>
      </c>
      <c r="BC66" s="136">
        <f ca="1">HLOOKUP(BC$49,$G$24:$L$45,COUNTA($F$25:$F41)+1,FALSE)*Q66*$D$7/$D$8</f>
        <v>0</v>
      </c>
      <c r="BD66" s="136">
        <f ca="1">HLOOKUP(BD$49,$G$24:$L$45,COUNTA($F$25:$F41)+1,FALSE)*R66*$D$7/$D$8</f>
        <v>0</v>
      </c>
      <c r="BE66" s="79">
        <f ca="1">HLOOKUP(BE$49,$G$24:$L$45,COUNTA($F$25:$F41)+1,FALSE)*S66*$D$7/$D$8</f>
        <v>0</v>
      </c>
      <c r="BF66" s="138">
        <f ca="1">HLOOKUP(BF$49,$G$24:$L$45,COUNTA($F$25:$F41)+1,FALSE)*T66*$D$7/$D$8</f>
        <v>0</v>
      </c>
      <c r="BG66" s="138">
        <f ca="1">HLOOKUP(BG$49,$G$24:$L$45,COUNTA($F$25:$F41)+1,FALSE)*U66*$D$7/$D$8</f>
        <v>0</v>
      </c>
      <c r="BH66" s="138">
        <f ca="1">HLOOKUP(BH$49,$G$24:$L$45,COUNTA($F$25:$F41)+1,FALSE)*V66*$D$7/$D$8</f>
        <v>0</v>
      </c>
      <c r="BI66" s="138">
        <f ca="1">HLOOKUP(BI$49,$G$24:$L$45,COUNTA($F$25:$F41)+1,FALSE)*W66*$D$7/$D$8</f>
        <v>0</v>
      </c>
      <c r="BJ66" s="79">
        <f ca="1">HLOOKUP(BJ$49,$G$24:$L$45,COUNTA($F$25:$F41)+1,FALSE)*X66*$D$7/$D$8</f>
        <v>0</v>
      </c>
      <c r="BK66" s="74">
        <f ca="1">HLOOKUP(BK$49,$G$24:$L$45,COUNTA($F$25:$F41)+1,FALSE)*Y66*$D$7/$D$8</f>
        <v>0</v>
      </c>
      <c r="BL66" s="136">
        <f ca="1">HLOOKUP(BL$49,$G$24:$L$45,COUNTA($F$25:$F41)+1,FALSE)*Z66*$D$7/$D$8</f>
        <v>0</v>
      </c>
      <c r="BM66" s="136">
        <f ca="1">HLOOKUP(BM$49,$G$24:$L$45,COUNTA($F$25:$F41)+1,FALSE)*AA66*$D$7/$D$8</f>
        <v>0</v>
      </c>
      <c r="BN66" s="136">
        <f ca="1">HLOOKUP(BN$49,$G$24:$L$45,COUNTA($F$25:$F41)+1,FALSE)*AB66*$D$7/$D$8</f>
        <v>0</v>
      </c>
      <c r="BO66" s="136">
        <f ca="1">HLOOKUP(BO$49,$G$24:$L$45,COUNTA($F$25:$F41)+1,FALSE)*AC66*$D$7/$D$8</f>
        <v>0</v>
      </c>
      <c r="BP66" s="136">
        <f ca="1">HLOOKUP(BP$49,$G$24:$L$45,COUNTA($F$25:$F41)+1,FALSE)*AD66*$D$7/$D$8</f>
        <v>0</v>
      </c>
      <c r="BQ66" s="79">
        <f ca="1">HLOOKUP(BQ$49,$G$24:$L$45,COUNTA($F$25:$F41)+1,FALSE)*AE66*$D$7/$D$8</f>
        <v>0</v>
      </c>
      <c r="BR66" s="138">
        <f ca="1">HLOOKUP(BR$49,$G$24:$L$45,COUNTA($F$25:$F41)+1,FALSE)*AF66*$D$7/$D$8</f>
        <v>0</v>
      </c>
      <c r="BS66" s="138">
        <f ca="1">HLOOKUP(BS$49,$G$24:$L$45,COUNTA($F$25:$F41)+1,FALSE)*AG66*$D$7/$D$8</f>
        <v>0</v>
      </c>
      <c r="BT66" s="138">
        <f ca="1">HLOOKUP(BT$49,$G$24:$L$45,COUNTA($F$25:$F41)+1,FALSE)*AH66*$D$7/$D$8</f>
        <v>0</v>
      </c>
      <c r="BU66" s="138">
        <f ca="1">HLOOKUP(BU$49,$G$24:$L$45,COUNTA($F$25:$F41)+1,FALSE)*AI66*$D$7/$D$8</f>
        <v>0</v>
      </c>
      <c r="BV66" s="79">
        <f ca="1">HLOOKUP(BV$49,$G$24:$L$45,COUNTA($F$25:$F41)+1,FALSE)*AJ66*$D$7/$D$8</f>
        <v>0</v>
      </c>
      <c r="BW66" s="74">
        <f ca="1">HLOOKUP(BW$49,$G$24:$L$45,COUNTA($F$25:$F41)+1,FALSE)*AK66*$D$7/$D$8</f>
        <v>0</v>
      </c>
      <c r="BX66" s="136">
        <f ca="1">HLOOKUP(BX$49,$G$24:$L$45,COUNTA($F$25:$F41)+1,FALSE)*AL66*$D$7/$D$8</f>
        <v>0</v>
      </c>
      <c r="BY66" s="136">
        <f ca="1">HLOOKUP(BY$49,$G$24:$L$45,COUNTA($F$25:$F41)+1,FALSE)*AM66*$D$7/$D$8</f>
        <v>0</v>
      </c>
      <c r="BZ66" s="136">
        <f ca="1">HLOOKUP(BZ$49,$G$24:$L$45,COUNTA($F$25:$F41)+1,FALSE)*AN66*$D$7/$D$8</f>
        <v>0</v>
      </c>
      <c r="CA66" s="136">
        <f ca="1">HLOOKUP(CA$49,$G$24:$L$45,COUNTA($F$25:$F41)+1,FALSE)*AO66*$D$7/$D$8</f>
        <v>0</v>
      </c>
      <c r="CB66" s="739">
        <f ca="1">HLOOKUP(CB$49,$G$24:$L$45,COUNTA($F$25:$F41)+1,FALSE)*AP66*$D$7/$D$8</f>
        <v>0</v>
      </c>
      <c r="CD66" s="10">
        <f t="shared" si="314"/>
        <v>2036</v>
      </c>
      <c r="CE66" s="85">
        <f t="shared" ca="1" si="240"/>
        <v>1072.8415146359366</v>
      </c>
      <c r="CF66" s="147">
        <f t="shared" ca="1" si="241"/>
        <v>0</v>
      </c>
      <c r="CG66" s="147">
        <f t="shared" ca="1" si="242"/>
        <v>216.27952515046442</v>
      </c>
      <c r="CH66" s="147">
        <f t="shared" ca="1" si="243"/>
        <v>19.606169426540287</v>
      </c>
      <c r="CI66" s="147">
        <f t="shared" ca="1" si="244"/>
        <v>0</v>
      </c>
      <c r="CJ66" s="85">
        <f t="shared" ca="1" si="245"/>
        <v>0</v>
      </c>
      <c r="CK66" s="151">
        <f t="shared" ca="1" si="246"/>
        <v>0</v>
      </c>
      <c r="CL66" s="102">
        <f t="shared" ca="1" si="247"/>
        <v>1330.100333878547</v>
      </c>
      <c r="CM66" s="102">
        <f t="shared" ca="1" si="248"/>
        <v>216.27952515046442</v>
      </c>
      <c r="CN66" s="102">
        <f t="shared" ca="1" si="249"/>
        <v>19.606169426540287</v>
      </c>
      <c r="CO66" s="102">
        <f t="shared" ca="1" si="250"/>
        <v>0</v>
      </c>
      <c r="CP66" s="151">
        <f t="shared" ca="1" si="251"/>
        <v>0</v>
      </c>
      <c r="CQ66" s="85">
        <f t="shared" ca="1" si="252"/>
        <v>1875.8411079969287</v>
      </c>
      <c r="CR66" s="147">
        <f t="shared" ca="1" si="253"/>
        <v>0</v>
      </c>
      <c r="CS66" s="147">
        <f t="shared" ca="1" si="254"/>
        <v>216.27952515046442</v>
      </c>
      <c r="CT66" s="147">
        <f t="shared" ca="1" si="255"/>
        <v>19.606169426540287</v>
      </c>
      <c r="CU66" s="147">
        <f t="shared" ca="1" si="256"/>
        <v>0</v>
      </c>
      <c r="CV66" s="85">
        <f t="shared" ca="1" si="257"/>
        <v>0</v>
      </c>
      <c r="CW66" s="151">
        <f t="shared" ca="1" si="258"/>
        <v>0</v>
      </c>
      <c r="CX66" s="102">
        <f t="shared" ca="1" si="259"/>
        <v>2329.6222224771814</v>
      </c>
      <c r="CY66" s="102">
        <f t="shared" ca="1" si="260"/>
        <v>216.27952515046442</v>
      </c>
      <c r="CZ66" s="102">
        <f t="shared" ca="1" si="261"/>
        <v>19.606169426540287</v>
      </c>
      <c r="DA66" s="102">
        <f t="shared" ca="1" si="262"/>
        <v>0</v>
      </c>
      <c r="DB66" s="151">
        <f t="shared" ca="1" si="263"/>
        <v>0</v>
      </c>
      <c r="DC66" s="85">
        <f t="shared" ca="1" si="264"/>
        <v>2372.5516075818737</v>
      </c>
      <c r="DD66" s="147">
        <f t="shared" ca="1" si="265"/>
        <v>0</v>
      </c>
      <c r="DE66" s="147">
        <f t="shared" ca="1" si="266"/>
        <v>216.27952515046442</v>
      </c>
      <c r="DF66" s="147">
        <f t="shared" ca="1" si="267"/>
        <v>19.606169426540287</v>
      </c>
      <c r="DG66" s="147">
        <f t="shared" ca="1" si="268"/>
        <v>0</v>
      </c>
      <c r="DH66" s="85">
        <f t="shared" ca="1" si="269"/>
        <v>0</v>
      </c>
      <c r="DI66" s="151">
        <f t="shared" ca="1" si="270"/>
        <v>0</v>
      </c>
      <c r="DJ66" s="102">
        <f t="shared" ca="1" si="271"/>
        <v>2948.2575202218331</v>
      </c>
      <c r="DK66" s="102">
        <f t="shared" ca="1" si="272"/>
        <v>216.27952515046442</v>
      </c>
      <c r="DL66" s="102">
        <f t="shared" ca="1" si="273"/>
        <v>19.606169426540287</v>
      </c>
      <c r="DM66" s="102">
        <f t="shared" ca="1" si="274"/>
        <v>0</v>
      </c>
      <c r="DN66" s="564">
        <f t="shared" ca="1" si="275"/>
        <v>0</v>
      </c>
      <c r="DP66" s="10">
        <f t="shared" si="315"/>
        <v>2036</v>
      </c>
      <c r="DQ66" s="85">
        <f t="shared" ca="1" si="276"/>
        <v>346.43926141557102</v>
      </c>
      <c r="DR66" s="147">
        <f t="shared" ca="1" si="277"/>
        <v>0</v>
      </c>
      <c r="DS66" s="147">
        <f t="shared" ca="1" si="278"/>
        <v>61.350712925538716</v>
      </c>
      <c r="DT66" s="147">
        <f t="shared" ca="1" si="279"/>
        <v>6.4807091118526818</v>
      </c>
      <c r="DU66" s="147">
        <f t="shared" ca="1" si="280"/>
        <v>0</v>
      </c>
      <c r="DV66" s="85">
        <f t="shared" ca="1" si="281"/>
        <v>0</v>
      </c>
      <c r="DW66" s="151">
        <f t="shared" ca="1" si="282"/>
        <v>0</v>
      </c>
      <c r="DX66" s="102">
        <f t="shared" ca="1" si="283"/>
        <v>394.23058597629023</v>
      </c>
      <c r="DY66" s="102">
        <f t="shared" ca="1" si="284"/>
        <v>61.350712925538716</v>
      </c>
      <c r="DZ66" s="102">
        <f t="shared" ca="1" si="285"/>
        <v>6.4807091118526818</v>
      </c>
      <c r="EA66" s="102">
        <f t="shared" ca="1" si="286"/>
        <v>0</v>
      </c>
      <c r="EB66" s="151">
        <f t="shared" ca="1" si="287"/>
        <v>0</v>
      </c>
      <c r="EC66" s="85">
        <f t="shared" ca="1" si="288"/>
        <v>616.2052651814364</v>
      </c>
      <c r="ED66" s="147">
        <f t="shared" ca="1" si="289"/>
        <v>0</v>
      </c>
      <c r="EE66" s="147">
        <f t="shared" ca="1" si="290"/>
        <v>61.350712925538716</v>
      </c>
      <c r="EF66" s="147">
        <f t="shared" ca="1" si="291"/>
        <v>6.4807091118526818</v>
      </c>
      <c r="EG66" s="147">
        <f t="shared" ca="1" si="292"/>
        <v>0</v>
      </c>
      <c r="EH66" s="85">
        <f t="shared" ca="1" si="293"/>
        <v>0</v>
      </c>
      <c r="EI66" s="151">
        <f t="shared" ca="1" si="294"/>
        <v>0</v>
      </c>
      <c r="EJ66" s="102">
        <f t="shared" ca="1" si="295"/>
        <v>701.21083211394455</v>
      </c>
      <c r="EK66" s="102">
        <f t="shared" ca="1" si="296"/>
        <v>61.350712925538716</v>
      </c>
      <c r="EL66" s="102">
        <f t="shared" ca="1" si="297"/>
        <v>6.4807091118526818</v>
      </c>
      <c r="EM66" s="102">
        <f t="shared" ca="1" si="298"/>
        <v>0</v>
      </c>
      <c r="EN66" s="151">
        <f t="shared" ca="1" si="299"/>
        <v>0</v>
      </c>
      <c r="EO66" s="85">
        <f t="shared" ca="1" si="300"/>
        <v>784.54004761148781</v>
      </c>
      <c r="EP66" s="145">
        <f t="shared" ca="1" si="301"/>
        <v>0</v>
      </c>
      <c r="EQ66" s="145">
        <f t="shared" ca="1" si="302"/>
        <v>61.350712925538716</v>
      </c>
      <c r="ER66" s="145">
        <f t="shared" ca="1" si="303"/>
        <v>6.4807091118526818</v>
      </c>
      <c r="ES66" s="145">
        <f t="shared" ca="1" si="304"/>
        <v>0</v>
      </c>
      <c r="ET66" s="85">
        <f t="shared" ca="1" si="305"/>
        <v>0</v>
      </c>
      <c r="EU66" s="102">
        <f t="shared" ca="1" si="306"/>
        <v>0</v>
      </c>
      <c r="EV66" s="102">
        <f t="shared" ca="1" si="307"/>
        <v>892.76741160331449</v>
      </c>
      <c r="EW66" s="102">
        <f t="shared" ca="1" si="308"/>
        <v>61.350712925538716</v>
      </c>
      <c r="EX66" s="102">
        <f t="shared" ca="1" si="309"/>
        <v>6.4807091118526818</v>
      </c>
      <c r="EY66" s="102">
        <f t="shared" ca="1" si="310"/>
        <v>0</v>
      </c>
      <c r="EZ66" s="564">
        <f t="shared" ca="1" si="311"/>
        <v>0</v>
      </c>
      <c r="FB66" s="10">
        <f t="shared" si="316"/>
        <v>2036</v>
      </c>
      <c r="FC66" s="85">
        <f ca="1">HLOOKUP(FC$49,$O$24:$T$45,COUNTA($N$25:$N41)+1,FALSE)*G66*$D$7/$D$8</f>
        <v>0</v>
      </c>
      <c r="FD66" s="147">
        <f ca="1">HLOOKUP(FD$49,$O$24:$T$45,COUNTA($N$25:$N41)+1,FALSE)*H66*$D$7/$D$8</f>
        <v>0</v>
      </c>
      <c r="FE66" s="147">
        <f ca="1">HLOOKUP(FE$49,$O$24:$T$45,COUNTA($N$25:$N41)+1,FALSE)*I66*$D$7/$D$8</f>
        <v>0</v>
      </c>
      <c r="FF66" s="147">
        <f ca="1">HLOOKUP(FF$49,$O$24:$T$45,COUNTA($N$25:$N41)+1,FALSE)*J66*$D$7/$D$8</f>
        <v>0</v>
      </c>
      <c r="FG66" s="147">
        <f ca="1">HLOOKUP(FG$49,$O$24:$T$45,COUNTA($N$25:$N41)+1,FALSE)*K66*$D$7/$D$8</f>
        <v>0</v>
      </c>
      <c r="FH66" s="85">
        <f ca="1">HLOOKUP(FH$49,$O$24:$T$45,COUNTA($N$25:$N41)+1,FALSE)*L66*$D$7/$D$8</f>
        <v>0</v>
      </c>
      <c r="FI66" s="151">
        <f ca="1">HLOOKUP(FI$49,$O$24:$T$45,COUNTA($N$25:$N41)+1,FALSE)*M66*$D$7/$D$8</f>
        <v>0</v>
      </c>
      <c r="FJ66" s="153">
        <f ca="1">HLOOKUP(FJ$49,$O$24:$T$45,COUNTA($N$25:$N41)+1,FALSE)*N66*$D$7/$D$8</f>
        <v>0</v>
      </c>
      <c r="FK66" s="153">
        <f ca="1">HLOOKUP(FK$49,$O$24:$T$45,COUNTA($N$25:$N41)+1,FALSE)*O66*$D$7/$D$8</f>
        <v>0</v>
      </c>
      <c r="FL66" s="153">
        <f ca="1">HLOOKUP(FL$49,$O$24:$T$45,COUNTA($N$25:$N41)+1,FALSE)*P66*$D$7/$D$8</f>
        <v>0</v>
      </c>
      <c r="FM66" s="153">
        <f ca="1">HLOOKUP(FM$49,$O$24:$T$45,COUNTA($N$25:$N41)+1,FALSE)*Q66*$D$7/$D$8</f>
        <v>0</v>
      </c>
      <c r="FN66" s="151">
        <f ca="1">HLOOKUP(FN$49,$O$24:$T$45,COUNTA($N$25:$N41)+1,FALSE)*R66*$D$7/$D$8</f>
        <v>0</v>
      </c>
      <c r="FO66" s="85">
        <f ca="1">HLOOKUP(FO$49,$O$24:$T$45,COUNTA($N$25:$N41)+1,FALSE)*S66*$D$7/$D$8</f>
        <v>0</v>
      </c>
      <c r="FP66" s="147">
        <f ca="1">HLOOKUP(FP$49,$O$24:$T$45,COUNTA($N$25:$N41)+1,FALSE)*T66*$D$7/$D$8</f>
        <v>0</v>
      </c>
      <c r="FQ66" s="147">
        <f ca="1">HLOOKUP(FQ$49,$O$24:$T$45,COUNTA($N$25:$N41)+1,FALSE)*U66*$D$7/$D$8</f>
        <v>0</v>
      </c>
      <c r="FR66" s="147">
        <f ca="1">HLOOKUP(FR$49,$O$24:$T$45,COUNTA($N$25:$N41)+1,FALSE)*V66*$D$7/$D$8</f>
        <v>0</v>
      </c>
      <c r="FS66" s="147">
        <f ca="1">HLOOKUP(FS$49,$O$24:$T$45,COUNTA($N$25:$N41)+1,FALSE)*W66*$D$7/$D$8</f>
        <v>0</v>
      </c>
      <c r="FT66" s="85">
        <f ca="1">HLOOKUP(FT$49,$O$24:$T$45,COUNTA($N$25:$N41)+1,FALSE)*X66*$D$7/$D$8</f>
        <v>0</v>
      </c>
      <c r="FU66" s="151">
        <f ca="1">HLOOKUP(FU$49,$O$24:$T$45,COUNTA($N$25:$N41)+1,FALSE)*Y66*$D$7/$D$8</f>
        <v>0</v>
      </c>
      <c r="FV66" s="153">
        <f ca="1">HLOOKUP(FV$49,$O$24:$T$45,COUNTA($N$25:$N41)+1,FALSE)*Z66*$D$7/$D$8</f>
        <v>0</v>
      </c>
      <c r="FW66" s="153">
        <f ca="1">HLOOKUP(FW$49,$O$24:$T$45,COUNTA($N$25:$N41)+1,FALSE)*AA66*$D$7/$D$8</f>
        <v>0</v>
      </c>
      <c r="FX66" s="153">
        <f ca="1">HLOOKUP(FX$49,$O$24:$T$45,COUNTA($N$25:$N41)+1,FALSE)*AB66*$D$7/$D$8</f>
        <v>0</v>
      </c>
      <c r="FY66" s="153">
        <f ca="1">HLOOKUP(FY$49,$O$24:$T$45,COUNTA($N$25:$N41)+1,FALSE)*AC66*$D$7/$D$8</f>
        <v>0</v>
      </c>
      <c r="FZ66" s="151">
        <f ca="1">HLOOKUP(FZ$49,$O$24:$T$45,COUNTA($N$25:$N41)+1,FALSE)*AD66*$D$7/$D$8</f>
        <v>0</v>
      </c>
      <c r="GA66" s="85">
        <f ca="1">HLOOKUP(GA$49,$O$24:$T$45,COUNTA($N$25:$N41)+1,FALSE)*AE66*$D$7/$D$8</f>
        <v>0</v>
      </c>
      <c r="GB66" s="147">
        <f ca="1">HLOOKUP(GB$49,$O$24:$T$45,COUNTA($N$25:$N41)+1,FALSE)*AF66*$D$7/$D$8</f>
        <v>0</v>
      </c>
      <c r="GC66" s="147">
        <f ca="1">HLOOKUP(GC$49,$O$24:$T$45,COUNTA($N$25:$N41)+1,FALSE)*AG66*$D$7/$D$8</f>
        <v>0</v>
      </c>
      <c r="GD66" s="147">
        <f ca="1">HLOOKUP(GD$49,$O$24:$T$45,COUNTA($N$25:$N41)+1,FALSE)*AH66*$D$7/$D$8</f>
        <v>0</v>
      </c>
      <c r="GE66" s="147">
        <f ca="1">HLOOKUP(GE$49,$O$24:$T$45,COUNTA($N$25:$N41)+1,FALSE)*AI66*$D$7/$D$8</f>
        <v>0</v>
      </c>
      <c r="GF66" s="85">
        <f ca="1">HLOOKUP(GF$49,$O$24:$T$45,COUNTA($N$25:$N41)+1,FALSE)*AJ66*$D$7/$D$8</f>
        <v>0</v>
      </c>
      <c r="GG66" s="151">
        <f ca="1">HLOOKUP(GG$49,$O$24:$T$45,COUNTA($N$25:$N41)+1,FALSE)*AK66*$D$7/$D$8</f>
        <v>0</v>
      </c>
      <c r="GH66" s="153">
        <f ca="1">HLOOKUP(GH$49,$O$24:$T$45,COUNTA($N$25:$N41)+1,FALSE)*AL66*$D$7/$D$8</f>
        <v>0</v>
      </c>
      <c r="GI66" s="153">
        <f ca="1">HLOOKUP(GI$49,$O$24:$T$45,COUNTA($N$25:$N41)+1,FALSE)*AM66*$D$7/$D$8</f>
        <v>0</v>
      </c>
      <c r="GJ66" s="153">
        <f ca="1">HLOOKUP(GJ$49,$O$24:$T$45,COUNTA($N$25:$N41)+1,FALSE)*AN66*$D$7/$D$8</f>
        <v>0</v>
      </c>
      <c r="GK66" s="153">
        <f ca="1">HLOOKUP(GK$49,$O$24:$T$45,COUNTA($N$25:$N41)+1,FALSE)*AO66*$D$7/$D$8</f>
        <v>0</v>
      </c>
      <c r="GL66" s="564">
        <f ca="1">HLOOKUP(GL$49,$O$24:$T$45,COUNTA($N$25:$N41)+1,FALSE)*AP66*$D$7/$D$8</f>
        <v>0</v>
      </c>
    </row>
    <row r="67" spans="6:194">
      <c r="F67" s="10">
        <f t="shared" si="317"/>
        <v>2037</v>
      </c>
      <c r="G67" s="79">
        <f ca="1">IF(OR($F67&gt;MAX('הנחות עבודה'!$B$69:$B$89),$F67&gt;$D$5),0,VLOOKUP($F67,'הספק נוסף נדרש'!$B$8:$AX$28,MATCH(G$49,'הספק נוסף נדרש'!$B$6:$AX$6,0)+(ROUNDUP((G$2-$F$2)/COUNTA($F$10:$F$16),0)-1)*COUNTA('הספק נוסף נדרש'!$C$6:$J$6),FALSE))</f>
        <v>0</v>
      </c>
      <c r="H67" s="138">
        <f ca="1">IF(OR($F67&gt;MAX('הנחות עבודה'!$B$69:$B$89),$F67&gt;$D$5),0,VLOOKUP($F67,'הספק נוסף נדרש'!$B$8:$AX$28,MATCH(H$49,'הספק נוסף נדרש'!$B$6:$AX$6,0)+(ROUNDUP((H$2-$F$2)/COUNTA($F$10:$F$16),0)-1)*COUNTA('הספק נוסף נדרש'!$C$6:$J$6),FALSE))</f>
        <v>0</v>
      </c>
      <c r="I67" s="138">
        <f ca="1">IF(OR($F67&gt;MAX('הנחות עבודה'!$B$69:$B$89),$F67&gt;$D$5),0,VLOOKUP($F67,'הספק נוסף נדרש'!$B$8:$AX$28,MATCH(I$49,'הספק נוסף נדרש'!$B$6:$AX$6,0)+(ROUNDUP((I$2-$F$2)/COUNTA($F$10:$F$16),0)-1)*COUNTA('הספק נוסף נדרש'!$C$6:$J$6),FALSE))</f>
        <v>0</v>
      </c>
      <c r="J67" s="138">
        <f ca="1">IF(OR($F67&gt;MAX('הנחות עבודה'!$B$69:$B$89),$F67&gt;$D$5),0,VLOOKUP($F67,'הספק נוסף נדרש'!$B$8:$AX$28,MATCH(J$49,'הספק נוסף נדרש'!$B$6:$AX$6,0)+(ROUNDUP((J$2-$F$2)/COUNTA($F$10:$F$16),0)-1)*COUNTA('הספק נוסף נדרש'!$C$6:$J$6),FALSE))</f>
        <v>0</v>
      </c>
      <c r="K67" s="138">
        <f ca="1">IF(OR($F67&gt;MAX('הנחות עבודה'!$B$69:$B$89),$F67&gt;$D$5),0,VLOOKUP($F67,'הספק נוסף נדרש'!$B$8:$AX$28,MATCH(K$49,'הספק נוסף נדרש'!$B$6:$AX$6,0)+(ROUNDUP((K$2-$F$2)/COUNTA($F$10:$F$16),0)-1)*COUNTA('הספק נוסף נדרש'!$C$6:$J$6),FALSE))</f>
        <v>0</v>
      </c>
      <c r="L67" s="79">
        <f ca="1">IF(OR($F67&gt;MAX('הנחות עבודה'!$B$69:$B$89),$F67&gt;$D$5),0,VLOOKUP($F67,'הספק נוסף נדרש'!$B$8:$AX$28,MATCH(L$49,'הספק נוסף נדרש'!$B$6:$AX$6,0)+(ROUNDUP((L$2-$F$2)/COUNTA($F$10:$F$16),0)-1)*COUNTA('הספק נוסף נדרש'!$C$6:$J$6),FALSE))</f>
        <v>0</v>
      </c>
      <c r="M67" s="74">
        <f ca="1">IF(OR($F67&gt;MAX('הנחות עבודה'!$B$69:$B$89),$F67&gt;$D$5),0,VLOOKUP($F67,'הספק נוסף נדרש'!$B$8:$AX$28,MATCH(M$49,'הספק נוסף נדרש'!$B$6:$AX$6,0)+(ROUNDUP((M$2-$F$2)/COUNTA($F$10:$F$16),0)-1)*COUNTA('הספק נוסף נדרש'!$C$6:$J$6),FALSE))</f>
        <v>0</v>
      </c>
      <c r="N67" s="136">
        <f ca="1">IF(OR($F67&gt;MAX('הנחות עבודה'!$B$69:$B$89),$F67&gt;$D$5),0,VLOOKUP($F67,'הספק נוסף נדרש'!$B$8:$AX$28,MATCH(N$49,'הספק נוסף נדרש'!$B$6:$AX$6,0)+(ROUNDUP((N$2-$F$2)/COUNTA($F$10:$F$16),0)-1)*COUNTA('הספק נוסף נדרש'!$C$6:$J$6),FALSE))</f>
        <v>0</v>
      </c>
      <c r="O67" s="136">
        <f ca="1">IF(OR($F67&gt;MAX('הנחות עבודה'!$B$69:$B$89),$F67&gt;$D$5),0,VLOOKUP($F67,'הספק נוסף נדרש'!$B$8:$AX$28,MATCH(O$49,'הספק נוסף נדרש'!$B$6:$AX$6,0)+(ROUNDUP((O$2-$F$2)/COUNTA($F$10:$F$16),0)-1)*COUNTA('הספק נוסף נדרש'!$C$6:$J$6),FALSE))</f>
        <v>0</v>
      </c>
      <c r="P67" s="136">
        <f ca="1">IF(OR($F67&gt;MAX('הנחות עבודה'!$B$69:$B$89),$F67&gt;$D$5),0,VLOOKUP($F67,'הספק נוסף נדרש'!$B$8:$AX$28,MATCH(P$49,'הספק נוסף נדרש'!$B$6:$AX$6,0)+(ROUNDUP((P$2-$F$2)/COUNTA($F$10:$F$16),0)-1)*COUNTA('הספק נוסף נדרש'!$C$6:$J$6),FALSE))</f>
        <v>0</v>
      </c>
      <c r="Q67" s="136">
        <f ca="1">IF(OR($F67&gt;MAX('הנחות עבודה'!$B$69:$B$89),$F67&gt;$D$5),0,VLOOKUP($F67,'הספק נוסף נדרש'!$B$8:$AX$28,MATCH(Q$49,'הספק נוסף נדרש'!$B$6:$AX$6,0)+(ROUNDUP((Q$2-$F$2)/COUNTA($F$10:$F$16),0)-1)*COUNTA('הספק נוסף נדרש'!$C$6:$J$6),FALSE))</f>
        <v>0</v>
      </c>
      <c r="R67" s="136">
        <f ca="1">IF(OR($F67&gt;MAX('הנחות עבודה'!$B$69:$B$89),$F67&gt;$D$5),0,VLOOKUP($F67,'הספק נוסף נדרש'!$B$8:$AX$28,MATCH(R$49,'הספק נוסף נדרש'!$B$6:$AX$6,0)+(ROUNDUP((R$2-$F$2)/COUNTA($F$10:$F$16),0)-1)*COUNTA('הספק נוסף נדרש'!$C$6:$J$6),FALSE))</f>
        <v>0</v>
      </c>
      <c r="S67" s="79">
        <f ca="1">IF(OR($F67&gt;MAX('הנחות עבודה'!$B$69:$B$89),$F67&gt;$D$5),0,VLOOKUP($F67,'הספק נוסף נדרש'!$B$8:$AX$28,MATCH(S$49,'הספק נוסף נדרש'!$B$6:$AX$6,0)+(ROUNDUP((S$2-$F$2)/COUNTA($F$10:$F$16),0)-1)*COUNTA('הספק נוסף נדרש'!$C$6:$J$6),FALSE))</f>
        <v>0</v>
      </c>
      <c r="T67" s="138">
        <f ca="1">IF(OR($F67&gt;MAX('הנחות עבודה'!$B$69:$B$89),$F67&gt;$D$5),0,VLOOKUP($F67,'הספק נוסף נדרש'!$B$8:$AX$28,MATCH(T$49,'הספק נוסף נדרש'!$B$6:$AX$6,0)+(ROUNDUP((T$2-$F$2)/COUNTA($F$10:$F$16),0)-1)*COUNTA('הספק נוסף נדרש'!$C$6:$J$6),FALSE))</f>
        <v>0</v>
      </c>
      <c r="U67" s="138">
        <f ca="1">IF(OR($F67&gt;MAX('הנחות עבודה'!$B$69:$B$89),$F67&gt;$D$5),0,VLOOKUP($F67,'הספק נוסף נדרש'!$B$8:$AX$28,MATCH(U$49,'הספק נוסף נדרש'!$B$6:$AX$6,0)+(ROUNDUP((U$2-$F$2)/COUNTA($F$10:$F$16),0)-1)*COUNTA('הספק נוסף נדרש'!$C$6:$J$6),FALSE))</f>
        <v>0</v>
      </c>
      <c r="V67" s="138">
        <f ca="1">IF(OR($F67&gt;MAX('הנחות עבודה'!$B$69:$B$89),$F67&gt;$D$5),0,VLOOKUP($F67,'הספק נוסף נדרש'!$B$8:$AX$28,MATCH(V$49,'הספק נוסף נדרש'!$B$6:$AX$6,0)+(ROUNDUP((V$2-$F$2)/COUNTA($F$10:$F$16),0)-1)*COUNTA('הספק נוסף נדרש'!$C$6:$J$6),FALSE))</f>
        <v>0</v>
      </c>
      <c r="W67" s="138">
        <f ca="1">IF(OR($F67&gt;MAX('הנחות עבודה'!$B$69:$B$89),$F67&gt;$D$5),0,VLOOKUP($F67,'הספק נוסף נדרש'!$B$8:$AX$28,MATCH(W$49,'הספק נוסף נדרש'!$B$6:$AX$6,0)+(ROUNDUP((W$2-$F$2)/COUNTA($F$10:$F$16),0)-1)*COUNTA('הספק נוסף נדרש'!$C$6:$J$6),FALSE))</f>
        <v>0</v>
      </c>
      <c r="X67" s="79">
        <f ca="1">IF(OR($F67&gt;MAX('הנחות עבודה'!$B$69:$B$89),$F67&gt;$D$5),0,VLOOKUP($F67,'הספק נוסף נדרש'!$B$8:$AX$28,MATCH(X$49,'הספק נוסף נדרש'!$B$6:$AX$6,0)+(ROUNDUP((X$2-$F$2)/COUNTA($F$10:$F$16),0)-1)*COUNTA('הספק נוסף נדרש'!$C$6:$J$6),FALSE))</f>
        <v>0</v>
      </c>
      <c r="Y67" s="74">
        <f ca="1">IF(OR($F67&gt;MAX('הנחות עבודה'!$B$69:$B$89),$F67&gt;$D$5),0,VLOOKUP($F67,'הספק נוסף נדרש'!$B$8:$AX$28,MATCH(Y$49,'הספק נוסף נדרש'!$B$6:$AX$6,0)+(ROUNDUP((Y$2-$F$2)/COUNTA($F$10:$F$16),0)-1)*COUNTA('הספק נוסף נדרש'!$C$6:$J$6),FALSE))</f>
        <v>0</v>
      </c>
      <c r="Z67" s="136">
        <f ca="1">IF(OR($F67&gt;MAX('הנחות עבודה'!$B$69:$B$89),$F67&gt;$D$5),0,VLOOKUP($F67,'הספק נוסף נדרש'!$B$8:$AX$28,MATCH(Z$49,'הספק נוסף נדרש'!$B$6:$AX$6,0)+(ROUNDUP((Z$2-$F$2)/COUNTA($F$10:$F$16),0)-1)*COUNTA('הספק נוסף נדרש'!$C$6:$J$6),FALSE))</f>
        <v>0</v>
      </c>
      <c r="AA67" s="136">
        <f ca="1">IF(OR($F67&gt;MAX('הנחות עבודה'!$B$69:$B$89),$F67&gt;$D$5),0,VLOOKUP($F67,'הספק נוסף נדרש'!$B$8:$AX$28,MATCH(AA$49,'הספק נוסף נדרש'!$B$6:$AX$6,0)+(ROUNDUP((AA$2-$F$2)/COUNTA($F$10:$F$16),0)-1)*COUNTA('הספק נוסף נדרש'!$C$6:$J$6),FALSE))</f>
        <v>0</v>
      </c>
      <c r="AB67" s="136">
        <f ca="1">IF(OR($F67&gt;MAX('הנחות עבודה'!$B$69:$B$89),$F67&gt;$D$5),0,VLOOKUP($F67,'הספק נוסף נדרש'!$B$8:$AX$28,MATCH(AB$49,'הספק נוסף נדרש'!$B$6:$AX$6,0)+(ROUNDUP((AB$2-$F$2)/COUNTA($F$10:$F$16),0)-1)*COUNTA('הספק נוסף נדרש'!$C$6:$J$6),FALSE))</f>
        <v>0</v>
      </c>
      <c r="AC67" s="136">
        <f ca="1">IF(OR($F67&gt;MAX('הנחות עבודה'!$B$69:$B$89),$F67&gt;$D$5),0,VLOOKUP($F67,'הספק נוסף נדרש'!$B$8:$AX$28,MATCH(AC$49,'הספק נוסף נדרש'!$B$6:$AX$6,0)+(ROUNDUP((AC$2-$F$2)/COUNTA($F$10:$F$16),0)-1)*COUNTA('הספק נוסף נדרש'!$C$6:$J$6),FALSE))</f>
        <v>0</v>
      </c>
      <c r="AD67" s="136">
        <f ca="1">IF(OR($F67&gt;MAX('הנחות עבודה'!$B$69:$B$89),$F67&gt;$D$5),0,VLOOKUP($F67,'הספק נוסף נדרש'!$B$8:$AX$28,MATCH(AD$49,'הספק נוסף נדרש'!$B$6:$AX$6,0)+(ROUNDUP((AD$2-$F$2)/COUNTA($F$10:$F$16),0)-1)*COUNTA('הספק נוסף נדרש'!$C$6:$J$6),FALSE))</f>
        <v>0</v>
      </c>
      <c r="AE67" s="79">
        <f ca="1">IF(OR($F67&gt;MAX('הנחות עבודה'!$B$69:$B$89),$F67&gt;$D$5),0,VLOOKUP($F67,'הספק נוסף נדרש'!$B$8:$AX$28,MATCH(AE$49,'הספק נוסף נדרש'!$B$6:$AX$6,0)+(ROUNDUP((AE$2-$F$2)/COUNTA($F$10:$F$16),0)-1)*COUNTA('הספק נוסף נדרש'!$C$6:$J$6),FALSE))</f>
        <v>0</v>
      </c>
      <c r="AF67" s="138">
        <f ca="1">IF(OR($F67&gt;MAX('הנחות עבודה'!$B$69:$B$89),$F67&gt;$D$5),0,VLOOKUP($F67,'הספק נוסף נדרש'!$B$8:$AX$28,MATCH(AF$49,'הספק נוסף נדרש'!$B$6:$AX$6,0)+(ROUNDUP((AF$2-$F$2)/COUNTA($F$10:$F$16),0)-1)*COUNTA('הספק נוסף נדרש'!$C$6:$J$6),FALSE))</f>
        <v>0</v>
      </c>
      <c r="AG67" s="138">
        <f ca="1">IF(OR($F67&gt;MAX('הנחות עבודה'!$B$69:$B$89),$F67&gt;$D$5),0,VLOOKUP($F67,'הספק נוסף נדרש'!$B$8:$AX$28,MATCH(AG$49,'הספק נוסף נדרש'!$B$6:$AX$6,0)+(ROUNDUP((AG$2-$F$2)/COUNTA($F$10:$F$16),0)-1)*COUNTA('הספק נוסף נדרש'!$C$6:$J$6),FALSE))</f>
        <v>0</v>
      </c>
      <c r="AH67" s="138">
        <f ca="1">IF(OR($F67&gt;MAX('הנחות עבודה'!$B$69:$B$89),$F67&gt;$D$5),0,VLOOKUP($F67,'הספק נוסף נדרש'!$B$8:$AX$28,MATCH(AH$49,'הספק נוסף נדרש'!$B$6:$AX$6,0)+(ROUNDUP((AH$2-$F$2)/COUNTA($F$10:$F$16),0)-1)*COUNTA('הספק נוסף נדרש'!$C$6:$J$6),FALSE))</f>
        <v>0</v>
      </c>
      <c r="AI67" s="138">
        <f ca="1">IF(OR($F67&gt;MAX('הנחות עבודה'!$B$69:$B$89),$F67&gt;$D$5),0,VLOOKUP($F67,'הספק נוסף נדרש'!$B$8:$AX$28,MATCH(AI$49,'הספק נוסף נדרש'!$B$6:$AX$6,0)+(ROUNDUP((AI$2-$F$2)/COUNTA($F$10:$F$16),0)-1)*COUNTA('הספק נוסף נדרש'!$C$6:$J$6),FALSE))</f>
        <v>0</v>
      </c>
      <c r="AJ67" s="79">
        <f ca="1">IF(OR($F67&gt;MAX('הנחות עבודה'!$B$69:$B$89),$F67&gt;$D$5),0,VLOOKUP($F67,'הספק נוסף נדרש'!$B$8:$AX$28,MATCH(AJ$49,'הספק נוסף נדרש'!$B$6:$AX$6,0)+(ROUNDUP((AJ$2-$F$2)/COUNTA($F$10:$F$16),0)-1)*COUNTA('הספק נוסף נדרש'!$C$6:$J$6),FALSE))</f>
        <v>0</v>
      </c>
      <c r="AK67" s="74">
        <f ca="1">IF(OR($F67&gt;MAX('הנחות עבודה'!$B$69:$B$89),$F67&gt;$D$5),0,VLOOKUP($F67,'הספק נוסף נדרש'!$B$8:$AX$28,MATCH(AK$49,'הספק נוסף נדרש'!$B$6:$AX$6,0)+(ROUNDUP((AK$2-$F$2)/COUNTA($F$10:$F$16),0)-1)*COUNTA('הספק נוסף נדרש'!$C$6:$J$6),FALSE))</f>
        <v>0</v>
      </c>
      <c r="AL67" s="136">
        <f ca="1">IF(OR($F67&gt;MAX('הנחות עבודה'!$B$69:$B$89),$F67&gt;$D$5),0,VLOOKUP($F67,'הספק נוסף נדרש'!$B$8:$AX$28,MATCH(AL$49,'הספק נוסף נדרש'!$B$6:$AX$6,0)+(ROUNDUP((AL$2-$F$2)/COUNTA($F$10:$F$16),0)-1)*COUNTA('הספק נוסף נדרש'!$C$6:$J$6),FALSE))</f>
        <v>0</v>
      </c>
      <c r="AM67" s="136">
        <f ca="1">IF(OR($F67&gt;MAX('הנחות עבודה'!$B$69:$B$89),$F67&gt;$D$5),0,VLOOKUP($F67,'הספק נוסף נדרש'!$B$8:$AX$28,MATCH(AM$49,'הספק נוסף נדרש'!$B$6:$AX$6,0)+(ROUNDUP((AM$2-$F$2)/COUNTA($F$10:$F$16),0)-1)*COUNTA('הספק נוסף נדרש'!$C$6:$J$6),FALSE))</f>
        <v>0</v>
      </c>
      <c r="AN67" s="136">
        <f ca="1">IF(OR($F67&gt;MAX('הנחות עבודה'!$B$69:$B$89),$F67&gt;$D$5),0,VLOOKUP($F67,'הספק נוסף נדרש'!$B$8:$AX$28,MATCH(AN$49,'הספק נוסף נדרש'!$B$6:$AX$6,0)+(ROUNDUP((AN$2-$F$2)/COUNTA($F$10:$F$16),0)-1)*COUNTA('הספק נוסף נדרש'!$C$6:$J$6),FALSE))</f>
        <v>0</v>
      </c>
      <c r="AO67" s="136">
        <f ca="1">IF(OR($F67&gt;MAX('הנחות עבודה'!$B$69:$B$89),$F67&gt;$D$5),0,VLOOKUP($F67,'הספק נוסף נדרש'!$B$8:$AX$28,MATCH(AO$49,'הספק נוסף נדרש'!$B$6:$AX$6,0)+(ROUNDUP((AO$2-$F$2)/COUNTA($F$10:$F$16),0)-1)*COUNTA('הספק נוסף נדרש'!$C$6:$J$6),FALSE))</f>
        <v>0</v>
      </c>
      <c r="AP67" s="136">
        <f ca="1">IF(OR($F67&gt;MAX('הנחות עבודה'!$B$69:$B$89),$F67&gt;$D$5),0,VLOOKUP($F67,'הספק נוסף נדרש'!$B$8:$AX$28,MATCH(AP$49,'הספק נוסף נדרש'!$B$6:$AX$6,0)+(ROUNDUP((AP$2-$F$2)/COUNTA($F$10:$F$16),0)-1)*COUNTA('הספק נוסף נדרש'!$C$6:$J$6),FALSE))</f>
        <v>0</v>
      </c>
      <c r="AQ67" s="9"/>
      <c r="AR67" s="10">
        <f t="shared" si="313"/>
        <v>2037</v>
      </c>
      <c r="AS67" s="79">
        <f ca="1">HLOOKUP(AS$49,$G$24:$L$45,COUNTA($F$25:$F42)+1,FALSE)*G67*$D$7/$D$8</f>
        <v>0</v>
      </c>
      <c r="AT67" s="138">
        <f ca="1">HLOOKUP(AT$49,$G$24:$L$45,COUNTA($F$25:$F42)+1,FALSE)*H67*$D$7/$D$8</f>
        <v>0</v>
      </c>
      <c r="AU67" s="138">
        <f ca="1">HLOOKUP(AU$49,$G$24:$L$45,COUNTA($F$25:$F42)+1,FALSE)*I67*$D$7/$D$8</f>
        <v>0</v>
      </c>
      <c r="AV67" s="138">
        <f ca="1">HLOOKUP(AV$49,$G$24:$L$45,COUNTA($F$25:$F42)+1,FALSE)*J67*$D$7/$D$8</f>
        <v>0</v>
      </c>
      <c r="AW67" s="138">
        <f ca="1">HLOOKUP(AW$49,$G$24:$L$45,COUNTA($F$25:$F42)+1,FALSE)*K67*$D$7/$D$8</f>
        <v>0</v>
      </c>
      <c r="AX67" s="79">
        <f ca="1">HLOOKUP(AX$49,$G$24:$L$45,COUNTA($F$25:$F42)+1,FALSE)*L67*$D$7/$D$8</f>
        <v>0</v>
      </c>
      <c r="AY67" s="74">
        <f ca="1">HLOOKUP(AY$49,$G$24:$L$45,COUNTA($F$25:$F42)+1,FALSE)*M67*$D$7/$D$8</f>
        <v>0</v>
      </c>
      <c r="AZ67" s="136">
        <f ca="1">HLOOKUP(AZ$49,$G$24:$L$45,COUNTA($F$25:$F42)+1,FALSE)*N67*$D$7/$D$8</f>
        <v>0</v>
      </c>
      <c r="BA67" s="136">
        <f ca="1">HLOOKUP(BA$49,$G$24:$L$45,COUNTA($F$25:$F42)+1,FALSE)*O67*$D$7/$D$8</f>
        <v>0</v>
      </c>
      <c r="BB67" s="136">
        <f ca="1">HLOOKUP(BB$49,$G$24:$L$45,COUNTA($F$25:$F42)+1,FALSE)*P67*$D$7/$D$8</f>
        <v>0</v>
      </c>
      <c r="BC67" s="136">
        <f ca="1">HLOOKUP(BC$49,$G$24:$L$45,COUNTA($F$25:$F42)+1,FALSE)*Q67*$D$7/$D$8</f>
        <v>0</v>
      </c>
      <c r="BD67" s="136">
        <f ca="1">HLOOKUP(BD$49,$G$24:$L$45,COUNTA($F$25:$F42)+1,FALSE)*R67*$D$7/$D$8</f>
        <v>0</v>
      </c>
      <c r="BE67" s="79">
        <f ca="1">HLOOKUP(BE$49,$G$24:$L$45,COUNTA($F$25:$F42)+1,FALSE)*S67*$D$7/$D$8</f>
        <v>0</v>
      </c>
      <c r="BF67" s="138">
        <f ca="1">HLOOKUP(BF$49,$G$24:$L$45,COUNTA($F$25:$F42)+1,FALSE)*T67*$D$7/$D$8</f>
        <v>0</v>
      </c>
      <c r="BG67" s="138">
        <f ca="1">HLOOKUP(BG$49,$G$24:$L$45,COUNTA($F$25:$F42)+1,FALSE)*U67*$D$7/$D$8</f>
        <v>0</v>
      </c>
      <c r="BH67" s="138">
        <f ca="1">HLOOKUP(BH$49,$G$24:$L$45,COUNTA($F$25:$F42)+1,FALSE)*V67*$D$7/$D$8</f>
        <v>0</v>
      </c>
      <c r="BI67" s="138">
        <f ca="1">HLOOKUP(BI$49,$G$24:$L$45,COUNTA($F$25:$F42)+1,FALSE)*W67*$D$7/$D$8</f>
        <v>0</v>
      </c>
      <c r="BJ67" s="79">
        <f ca="1">HLOOKUP(BJ$49,$G$24:$L$45,COUNTA($F$25:$F42)+1,FALSE)*X67*$D$7/$D$8</f>
        <v>0</v>
      </c>
      <c r="BK67" s="74">
        <f ca="1">HLOOKUP(BK$49,$G$24:$L$45,COUNTA($F$25:$F42)+1,FALSE)*Y67*$D$7/$D$8</f>
        <v>0</v>
      </c>
      <c r="BL67" s="136">
        <f ca="1">HLOOKUP(BL$49,$G$24:$L$45,COUNTA($F$25:$F42)+1,FALSE)*Z67*$D$7/$D$8</f>
        <v>0</v>
      </c>
      <c r="BM67" s="136">
        <f ca="1">HLOOKUP(BM$49,$G$24:$L$45,COUNTA($F$25:$F42)+1,FALSE)*AA67*$D$7/$D$8</f>
        <v>0</v>
      </c>
      <c r="BN67" s="136">
        <f ca="1">HLOOKUP(BN$49,$G$24:$L$45,COUNTA($F$25:$F42)+1,FALSE)*AB67*$D$7/$D$8</f>
        <v>0</v>
      </c>
      <c r="BO67" s="136">
        <f ca="1">HLOOKUP(BO$49,$G$24:$L$45,COUNTA($F$25:$F42)+1,FALSE)*AC67*$D$7/$D$8</f>
        <v>0</v>
      </c>
      <c r="BP67" s="136">
        <f ca="1">HLOOKUP(BP$49,$G$24:$L$45,COUNTA($F$25:$F42)+1,FALSE)*AD67*$D$7/$D$8</f>
        <v>0</v>
      </c>
      <c r="BQ67" s="79">
        <f ca="1">HLOOKUP(BQ$49,$G$24:$L$45,COUNTA($F$25:$F42)+1,FALSE)*AE67*$D$7/$D$8</f>
        <v>0</v>
      </c>
      <c r="BR67" s="138">
        <f ca="1">HLOOKUP(BR$49,$G$24:$L$45,COUNTA($F$25:$F42)+1,FALSE)*AF67*$D$7/$D$8</f>
        <v>0</v>
      </c>
      <c r="BS67" s="138">
        <f ca="1">HLOOKUP(BS$49,$G$24:$L$45,COUNTA($F$25:$F42)+1,FALSE)*AG67*$D$7/$D$8</f>
        <v>0</v>
      </c>
      <c r="BT67" s="138">
        <f ca="1">HLOOKUP(BT$49,$G$24:$L$45,COUNTA($F$25:$F42)+1,FALSE)*AH67*$D$7/$D$8</f>
        <v>0</v>
      </c>
      <c r="BU67" s="138">
        <f ca="1">HLOOKUP(BU$49,$G$24:$L$45,COUNTA($F$25:$F42)+1,FALSE)*AI67*$D$7/$D$8</f>
        <v>0</v>
      </c>
      <c r="BV67" s="79">
        <f ca="1">HLOOKUP(BV$49,$G$24:$L$45,COUNTA($F$25:$F42)+1,FALSE)*AJ67*$D$7/$D$8</f>
        <v>0</v>
      </c>
      <c r="BW67" s="74">
        <f ca="1">HLOOKUP(BW$49,$G$24:$L$45,COUNTA($F$25:$F42)+1,FALSE)*AK67*$D$7/$D$8</f>
        <v>0</v>
      </c>
      <c r="BX67" s="136">
        <f ca="1">HLOOKUP(BX$49,$G$24:$L$45,COUNTA($F$25:$F42)+1,FALSE)*AL67*$D$7/$D$8</f>
        <v>0</v>
      </c>
      <c r="BY67" s="136">
        <f ca="1">HLOOKUP(BY$49,$G$24:$L$45,COUNTA($F$25:$F42)+1,FALSE)*AM67*$D$7/$D$8</f>
        <v>0</v>
      </c>
      <c r="BZ67" s="136">
        <f ca="1">HLOOKUP(BZ$49,$G$24:$L$45,COUNTA($F$25:$F42)+1,FALSE)*AN67*$D$7/$D$8</f>
        <v>0</v>
      </c>
      <c r="CA67" s="136">
        <f ca="1">HLOOKUP(CA$49,$G$24:$L$45,COUNTA($F$25:$F42)+1,FALSE)*AO67*$D$7/$D$8</f>
        <v>0</v>
      </c>
      <c r="CB67" s="739">
        <f ca="1">HLOOKUP(CB$49,$G$24:$L$45,COUNTA($F$25:$F42)+1,FALSE)*AP67*$D$7/$D$8</f>
        <v>0</v>
      </c>
      <c r="CD67" s="10">
        <f t="shared" si="314"/>
        <v>2037</v>
      </c>
      <c r="CE67" s="85">
        <f t="shared" ca="1" si="240"/>
        <v>1072.8415146359366</v>
      </c>
      <c r="CF67" s="147">
        <f t="shared" ca="1" si="241"/>
        <v>0</v>
      </c>
      <c r="CG67" s="147">
        <f t="shared" ca="1" si="242"/>
        <v>216.27952515046442</v>
      </c>
      <c r="CH67" s="147">
        <f t="shared" ca="1" si="243"/>
        <v>19.606169426540287</v>
      </c>
      <c r="CI67" s="147">
        <f t="shared" ca="1" si="244"/>
        <v>0</v>
      </c>
      <c r="CJ67" s="85">
        <f t="shared" ca="1" si="245"/>
        <v>0</v>
      </c>
      <c r="CK67" s="151">
        <f t="shared" ca="1" si="246"/>
        <v>0</v>
      </c>
      <c r="CL67" s="102">
        <f t="shared" ca="1" si="247"/>
        <v>1330.100333878547</v>
      </c>
      <c r="CM67" s="102">
        <f t="shared" ca="1" si="248"/>
        <v>216.27952515046442</v>
      </c>
      <c r="CN67" s="102">
        <f t="shared" ca="1" si="249"/>
        <v>19.606169426540287</v>
      </c>
      <c r="CO67" s="102">
        <f t="shared" ca="1" si="250"/>
        <v>0</v>
      </c>
      <c r="CP67" s="151">
        <f t="shared" ca="1" si="251"/>
        <v>0</v>
      </c>
      <c r="CQ67" s="85">
        <f t="shared" ca="1" si="252"/>
        <v>1875.8411079969287</v>
      </c>
      <c r="CR67" s="147">
        <f t="shared" ca="1" si="253"/>
        <v>0</v>
      </c>
      <c r="CS67" s="147">
        <f t="shared" ca="1" si="254"/>
        <v>216.27952515046442</v>
      </c>
      <c r="CT67" s="147">
        <f t="shared" ca="1" si="255"/>
        <v>19.606169426540287</v>
      </c>
      <c r="CU67" s="147">
        <f t="shared" ca="1" si="256"/>
        <v>0</v>
      </c>
      <c r="CV67" s="85">
        <f t="shared" ca="1" si="257"/>
        <v>0</v>
      </c>
      <c r="CW67" s="151">
        <f t="shared" ca="1" si="258"/>
        <v>0</v>
      </c>
      <c r="CX67" s="102">
        <f t="shared" ca="1" si="259"/>
        <v>2329.6222224771814</v>
      </c>
      <c r="CY67" s="102">
        <f t="shared" ca="1" si="260"/>
        <v>216.27952515046442</v>
      </c>
      <c r="CZ67" s="102">
        <f t="shared" ca="1" si="261"/>
        <v>19.606169426540287</v>
      </c>
      <c r="DA67" s="102">
        <f t="shared" ca="1" si="262"/>
        <v>0</v>
      </c>
      <c r="DB67" s="151">
        <f t="shared" ca="1" si="263"/>
        <v>0</v>
      </c>
      <c r="DC67" s="85">
        <f t="shared" ca="1" si="264"/>
        <v>2372.5516075818737</v>
      </c>
      <c r="DD67" s="147">
        <f t="shared" ca="1" si="265"/>
        <v>0</v>
      </c>
      <c r="DE67" s="147">
        <f t="shared" ca="1" si="266"/>
        <v>216.27952515046442</v>
      </c>
      <c r="DF67" s="147">
        <f t="shared" ca="1" si="267"/>
        <v>19.606169426540287</v>
      </c>
      <c r="DG67" s="147">
        <f t="shared" ca="1" si="268"/>
        <v>0</v>
      </c>
      <c r="DH67" s="85">
        <f t="shared" ca="1" si="269"/>
        <v>0</v>
      </c>
      <c r="DI67" s="151">
        <f t="shared" ca="1" si="270"/>
        <v>0</v>
      </c>
      <c r="DJ67" s="102">
        <f t="shared" ca="1" si="271"/>
        <v>2948.2575202218331</v>
      </c>
      <c r="DK67" s="102">
        <f t="shared" ca="1" si="272"/>
        <v>216.27952515046442</v>
      </c>
      <c r="DL67" s="102">
        <f t="shared" ca="1" si="273"/>
        <v>19.606169426540287</v>
      </c>
      <c r="DM67" s="102">
        <f t="shared" ca="1" si="274"/>
        <v>0</v>
      </c>
      <c r="DN67" s="564">
        <f t="shared" ca="1" si="275"/>
        <v>0</v>
      </c>
      <c r="DP67" s="10">
        <f t="shared" si="315"/>
        <v>2037</v>
      </c>
      <c r="DQ67" s="85">
        <f t="shared" ca="1" si="276"/>
        <v>346.43926141557102</v>
      </c>
      <c r="DR67" s="147">
        <f t="shared" ca="1" si="277"/>
        <v>0</v>
      </c>
      <c r="DS67" s="147">
        <f t="shared" ca="1" si="278"/>
        <v>61.350712925538716</v>
      </c>
      <c r="DT67" s="147">
        <f t="shared" ca="1" si="279"/>
        <v>6.4807091118526818</v>
      </c>
      <c r="DU67" s="147">
        <f t="shared" ca="1" si="280"/>
        <v>0</v>
      </c>
      <c r="DV67" s="85">
        <f t="shared" ca="1" si="281"/>
        <v>0</v>
      </c>
      <c r="DW67" s="151">
        <f t="shared" ca="1" si="282"/>
        <v>0</v>
      </c>
      <c r="DX67" s="102">
        <f t="shared" ca="1" si="283"/>
        <v>394.23058597629023</v>
      </c>
      <c r="DY67" s="102">
        <f t="shared" ca="1" si="284"/>
        <v>61.350712925538716</v>
      </c>
      <c r="DZ67" s="102">
        <f t="shared" ca="1" si="285"/>
        <v>6.4807091118526818</v>
      </c>
      <c r="EA67" s="102">
        <f t="shared" ca="1" si="286"/>
        <v>0</v>
      </c>
      <c r="EB67" s="151">
        <f t="shared" ca="1" si="287"/>
        <v>0</v>
      </c>
      <c r="EC67" s="85">
        <f t="shared" ca="1" si="288"/>
        <v>616.2052651814364</v>
      </c>
      <c r="ED67" s="147">
        <f t="shared" ca="1" si="289"/>
        <v>0</v>
      </c>
      <c r="EE67" s="147">
        <f t="shared" ca="1" si="290"/>
        <v>61.350712925538716</v>
      </c>
      <c r="EF67" s="147">
        <f t="shared" ca="1" si="291"/>
        <v>6.4807091118526818</v>
      </c>
      <c r="EG67" s="147">
        <f t="shared" ca="1" si="292"/>
        <v>0</v>
      </c>
      <c r="EH67" s="85">
        <f t="shared" ca="1" si="293"/>
        <v>0</v>
      </c>
      <c r="EI67" s="151">
        <f t="shared" ca="1" si="294"/>
        <v>0</v>
      </c>
      <c r="EJ67" s="102">
        <f t="shared" ca="1" si="295"/>
        <v>701.21083211394455</v>
      </c>
      <c r="EK67" s="102">
        <f t="shared" ca="1" si="296"/>
        <v>61.350712925538716</v>
      </c>
      <c r="EL67" s="102">
        <f t="shared" ca="1" si="297"/>
        <v>6.4807091118526818</v>
      </c>
      <c r="EM67" s="102">
        <f t="shared" ca="1" si="298"/>
        <v>0</v>
      </c>
      <c r="EN67" s="151">
        <f t="shared" ca="1" si="299"/>
        <v>0</v>
      </c>
      <c r="EO67" s="85">
        <f t="shared" ca="1" si="300"/>
        <v>784.54004761148781</v>
      </c>
      <c r="EP67" s="145">
        <f t="shared" ca="1" si="301"/>
        <v>0</v>
      </c>
      <c r="EQ67" s="145">
        <f t="shared" ca="1" si="302"/>
        <v>61.350712925538716</v>
      </c>
      <c r="ER67" s="145">
        <f t="shared" ca="1" si="303"/>
        <v>6.4807091118526818</v>
      </c>
      <c r="ES67" s="145">
        <f t="shared" ca="1" si="304"/>
        <v>0</v>
      </c>
      <c r="ET67" s="85">
        <f t="shared" ca="1" si="305"/>
        <v>0</v>
      </c>
      <c r="EU67" s="102">
        <f t="shared" ca="1" si="306"/>
        <v>0</v>
      </c>
      <c r="EV67" s="102">
        <f t="shared" ca="1" si="307"/>
        <v>892.76741160331449</v>
      </c>
      <c r="EW67" s="102">
        <f t="shared" ca="1" si="308"/>
        <v>61.350712925538716</v>
      </c>
      <c r="EX67" s="102">
        <f t="shared" ca="1" si="309"/>
        <v>6.4807091118526818</v>
      </c>
      <c r="EY67" s="102">
        <f t="shared" ca="1" si="310"/>
        <v>0</v>
      </c>
      <c r="EZ67" s="564">
        <f t="shared" ca="1" si="311"/>
        <v>0</v>
      </c>
      <c r="FB67" s="10">
        <f t="shared" si="316"/>
        <v>2037</v>
      </c>
      <c r="FC67" s="85">
        <f ca="1">HLOOKUP(FC$49,$O$24:$T$45,COUNTA($N$25:$N42)+1,FALSE)*G67*$D$7/$D$8</f>
        <v>0</v>
      </c>
      <c r="FD67" s="147">
        <f ca="1">HLOOKUP(FD$49,$O$24:$T$45,COUNTA($N$25:$N42)+1,FALSE)*H67*$D$7/$D$8</f>
        <v>0</v>
      </c>
      <c r="FE67" s="147">
        <f ca="1">HLOOKUP(FE$49,$O$24:$T$45,COUNTA($N$25:$N42)+1,FALSE)*I67*$D$7/$D$8</f>
        <v>0</v>
      </c>
      <c r="FF67" s="147">
        <f ca="1">HLOOKUP(FF$49,$O$24:$T$45,COUNTA($N$25:$N42)+1,FALSE)*J67*$D$7/$D$8</f>
        <v>0</v>
      </c>
      <c r="FG67" s="147">
        <f ca="1">HLOOKUP(FG$49,$O$24:$T$45,COUNTA($N$25:$N42)+1,FALSE)*K67*$D$7/$D$8</f>
        <v>0</v>
      </c>
      <c r="FH67" s="85">
        <f ca="1">HLOOKUP(FH$49,$O$24:$T$45,COUNTA($N$25:$N42)+1,FALSE)*L67*$D$7/$D$8</f>
        <v>0</v>
      </c>
      <c r="FI67" s="151">
        <f ca="1">HLOOKUP(FI$49,$O$24:$T$45,COUNTA($N$25:$N42)+1,FALSE)*M67*$D$7/$D$8</f>
        <v>0</v>
      </c>
      <c r="FJ67" s="153">
        <f ca="1">HLOOKUP(FJ$49,$O$24:$T$45,COUNTA($N$25:$N42)+1,FALSE)*N67*$D$7/$D$8</f>
        <v>0</v>
      </c>
      <c r="FK67" s="153">
        <f ca="1">HLOOKUP(FK$49,$O$24:$T$45,COUNTA($N$25:$N42)+1,FALSE)*O67*$D$7/$D$8</f>
        <v>0</v>
      </c>
      <c r="FL67" s="153">
        <f ca="1">HLOOKUP(FL$49,$O$24:$T$45,COUNTA($N$25:$N42)+1,FALSE)*P67*$D$7/$D$8</f>
        <v>0</v>
      </c>
      <c r="FM67" s="153">
        <f ca="1">HLOOKUP(FM$49,$O$24:$T$45,COUNTA($N$25:$N42)+1,FALSE)*Q67*$D$7/$D$8</f>
        <v>0</v>
      </c>
      <c r="FN67" s="151">
        <f ca="1">HLOOKUP(FN$49,$O$24:$T$45,COUNTA($N$25:$N42)+1,FALSE)*R67*$D$7/$D$8</f>
        <v>0</v>
      </c>
      <c r="FO67" s="85">
        <f ca="1">HLOOKUP(FO$49,$O$24:$T$45,COUNTA($N$25:$N42)+1,FALSE)*S67*$D$7/$D$8</f>
        <v>0</v>
      </c>
      <c r="FP67" s="147">
        <f ca="1">HLOOKUP(FP$49,$O$24:$T$45,COUNTA($N$25:$N42)+1,FALSE)*T67*$D$7/$D$8</f>
        <v>0</v>
      </c>
      <c r="FQ67" s="147">
        <f ca="1">HLOOKUP(FQ$49,$O$24:$T$45,COUNTA($N$25:$N42)+1,FALSE)*U67*$D$7/$D$8</f>
        <v>0</v>
      </c>
      <c r="FR67" s="147">
        <f ca="1">HLOOKUP(FR$49,$O$24:$T$45,COUNTA($N$25:$N42)+1,FALSE)*V67*$D$7/$D$8</f>
        <v>0</v>
      </c>
      <c r="FS67" s="147">
        <f ca="1">HLOOKUP(FS$49,$O$24:$T$45,COUNTA($N$25:$N42)+1,FALSE)*W67*$D$7/$D$8</f>
        <v>0</v>
      </c>
      <c r="FT67" s="85">
        <f ca="1">HLOOKUP(FT$49,$O$24:$T$45,COUNTA($N$25:$N42)+1,FALSE)*X67*$D$7/$D$8</f>
        <v>0</v>
      </c>
      <c r="FU67" s="151">
        <f ca="1">HLOOKUP(FU$49,$O$24:$T$45,COUNTA($N$25:$N42)+1,FALSE)*Y67*$D$7/$D$8</f>
        <v>0</v>
      </c>
      <c r="FV67" s="153">
        <f ca="1">HLOOKUP(FV$49,$O$24:$T$45,COUNTA($N$25:$N42)+1,FALSE)*Z67*$D$7/$D$8</f>
        <v>0</v>
      </c>
      <c r="FW67" s="153">
        <f ca="1">HLOOKUP(FW$49,$O$24:$T$45,COUNTA($N$25:$N42)+1,FALSE)*AA67*$D$7/$D$8</f>
        <v>0</v>
      </c>
      <c r="FX67" s="153">
        <f ca="1">HLOOKUP(FX$49,$O$24:$T$45,COUNTA($N$25:$N42)+1,FALSE)*AB67*$D$7/$D$8</f>
        <v>0</v>
      </c>
      <c r="FY67" s="153">
        <f ca="1">HLOOKUP(FY$49,$O$24:$T$45,COUNTA($N$25:$N42)+1,FALSE)*AC67*$D$7/$D$8</f>
        <v>0</v>
      </c>
      <c r="FZ67" s="151">
        <f ca="1">HLOOKUP(FZ$49,$O$24:$T$45,COUNTA($N$25:$N42)+1,FALSE)*AD67*$D$7/$D$8</f>
        <v>0</v>
      </c>
      <c r="GA67" s="85">
        <f ca="1">HLOOKUP(GA$49,$O$24:$T$45,COUNTA($N$25:$N42)+1,FALSE)*AE67*$D$7/$D$8</f>
        <v>0</v>
      </c>
      <c r="GB67" s="147">
        <f ca="1">HLOOKUP(GB$49,$O$24:$T$45,COUNTA($N$25:$N42)+1,FALSE)*AF67*$D$7/$D$8</f>
        <v>0</v>
      </c>
      <c r="GC67" s="147">
        <f ca="1">HLOOKUP(GC$49,$O$24:$T$45,COUNTA($N$25:$N42)+1,FALSE)*AG67*$D$7/$D$8</f>
        <v>0</v>
      </c>
      <c r="GD67" s="147">
        <f ca="1">HLOOKUP(GD$49,$O$24:$T$45,COUNTA($N$25:$N42)+1,FALSE)*AH67*$D$7/$D$8</f>
        <v>0</v>
      </c>
      <c r="GE67" s="147">
        <f ca="1">HLOOKUP(GE$49,$O$24:$T$45,COUNTA($N$25:$N42)+1,FALSE)*AI67*$D$7/$D$8</f>
        <v>0</v>
      </c>
      <c r="GF67" s="85">
        <f ca="1">HLOOKUP(GF$49,$O$24:$T$45,COUNTA($N$25:$N42)+1,FALSE)*AJ67*$D$7/$D$8</f>
        <v>0</v>
      </c>
      <c r="GG67" s="151">
        <f ca="1">HLOOKUP(GG$49,$O$24:$T$45,COUNTA($N$25:$N42)+1,FALSE)*AK67*$D$7/$D$8</f>
        <v>0</v>
      </c>
      <c r="GH67" s="153">
        <f ca="1">HLOOKUP(GH$49,$O$24:$T$45,COUNTA($N$25:$N42)+1,FALSE)*AL67*$D$7/$D$8</f>
        <v>0</v>
      </c>
      <c r="GI67" s="153">
        <f ca="1">HLOOKUP(GI$49,$O$24:$T$45,COUNTA($N$25:$N42)+1,FALSE)*AM67*$D$7/$D$8</f>
        <v>0</v>
      </c>
      <c r="GJ67" s="153">
        <f ca="1">HLOOKUP(GJ$49,$O$24:$T$45,COUNTA($N$25:$N42)+1,FALSE)*AN67*$D$7/$D$8</f>
        <v>0</v>
      </c>
      <c r="GK67" s="153">
        <f ca="1">HLOOKUP(GK$49,$O$24:$T$45,COUNTA($N$25:$N42)+1,FALSE)*AO67*$D$7/$D$8</f>
        <v>0</v>
      </c>
      <c r="GL67" s="564">
        <f ca="1">HLOOKUP(GL$49,$O$24:$T$45,COUNTA($N$25:$N42)+1,FALSE)*AP67*$D$7/$D$8</f>
        <v>0</v>
      </c>
    </row>
    <row r="68" spans="6:194">
      <c r="F68" s="10">
        <f t="shared" si="317"/>
        <v>2038</v>
      </c>
      <c r="G68" s="79">
        <f ca="1">IF(OR($F68&gt;MAX('הנחות עבודה'!$B$69:$B$89),$F68&gt;$D$5),0,VLOOKUP($F68,'הספק נוסף נדרש'!$B$8:$AX$28,MATCH(G$49,'הספק נוסף נדרש'!$B$6:$AX$6,0)+(ROUNDUP((G$2-$F$2)/COUNTA($F$10:$F$16),0)-1)*COUNTA('הספק נוסף נדרש'!$C$6:$J$6),FALSE))</f>
        <v>0</v>
      </c>
      <c r="H68" s="138">
        <f ca="1">IF(OR($F68&gt;MAX('הנחות עבודה'!$B$69:$B$89),$F68&gt;$D$5),0,VLOOKUP($F68,'הספק נוסף נדרש'!$B$8:$AX$28,MATCH(H$49,'הספק נוסף נדרש'!$B$6:$AX$6,0)+(ROUNDUP((H$2-$F$2)/COUNTA($F$10:$F$16),0)-1)*COUNTA('הספק נוסף נדרש'!$C$6:$J$6),FALSE))</f>
        <v>0</v>
      </c>
      <c r="I68" s="138">
        <f ca="1">IF(OR($F68&gt;MAX('הנחות עבודה'!$B$69:$B$89),$F68&gt;$D$5),0,VLOOKUP($F68,'הספק נוסף נדרש'!$B$8:$AX$28,MATCH(I$49,'הספק נוסף נדרש'!$B$6:$AX$6,0)+(ROUNDUP((I$2-$F$2)/COUNTA($F$10:$F$16),0)-1)*COUNTA('הספק נוסף נדרש'!$C$6:$J$6),FALSE))</f>
        <v>0</v>
      </c>
      <c r="J68" s="138">
        <f ca="1">IF(OR($F68&gt;MAX('הנחות עבודה'!$B$69:$B$89),$F68&gt;$D$5),0,VLOOKUP($F68,'הספק נוסף נדרש'!$B$8:$AX$28,MATCH(J$49,'הספק נוסף נדרש'!$B$6:$AX$6,0)+(ROUNDUP((J$2-$F$2)/COUNTA($F$10:$F$16),0)-1)*COUNTA('הספק נוסף נדרש'!$C$6:$J$6),FALSE))</f>
        <v>0</v>
      </c>
      <c r="K68" s="138">
        <f ca="1">IF(OR($F68&gt;MAX('הנחות עבודה'!$B$69:$B$89),$F68&gt;$D$5),0,VLOOKUP($F68,'הספק נוסף נדרש'!$B$8:$AX$28,MATCH(K$49,'הספק נוסף נדרש'!$B$6:$AX$6,0)+(ROUNDUP((K$2-$F$2)/COUNTA($F$10:$F$16),0)-1)*COUNTA('הספק נוסף נדרש'!$C$6:$J$6),FALSE))</f>
        <v>0</v>
      </c>
      <c r="L68" s="79">
        <f ca="1">IF(OR($F68&gt;MAX('הנחות עבודה'!$B$69:$B$89),$F68&gt;$D$5),0,VLOOKUP($F68,'הספק נוסף נדרש'!$B$8:$AX$28,MATCH(L$49,'הספק נוסף נדרש'!$B$6:$AX$6,0)+(ROUNDUP((L$2-$F$2)/COUNTA($F$10:$F$16),0)-1)*COUNTA('הספק נוסף נדרש'!$C$6:$J$6),FALSE))</f>
        <v>0</v>
      </c>
      <c r="M68" s="74">
        <f ca="1">IF(OR($F68&gt;MAX('הנחות עבודה'!$B$69:$B$89),$F68&gt;$D$5),0,VLOOKUP($F68,'הספק נוסף נדרש'!$B$8:$AX$28,MATCH(M$49,'הספק נוסף נדרש'!$B$6:$AX$6,0)+(ROUNDUP((M$2-$F$2)/COUNTA($F$10:$F$16),0)-1)*COUNTA('הספק נוסף נדרש'!$C$6:$J$6),FALSE))</f>
        <v>0</v>
      </c>
      <c r="N68" s="136">
        <f ca="1">IF(OR($F68&gt;MAX('הנחות עבודה'!$B$69:$B$89),$F68&gt;$D$5),0,VLOOKUP($F68,'הספק נוסף נדרש'!$B$8:$AX$28,MATCH(N$49,'הספק נוסף נדרש'!$B$6:$AX$6,0)+(ROUNDUP((N$2-$F$2)/COUNTA($F$10:$F$16),0)-1)*COUNTA('הספק נוסף נדרש'!$C$6:$J$6),FALSE))</f>
        <v>0</v>
      </c>
      <c r="O68" s="136">
        <f ca="1">IF(OR($F68&gt;MAX('הנחות עבודה'!$B$69:$B$89),$F68&gt;$D$5),0,VLOOKUP($F68,'הספק נוסף נדרש'!$B$8:$AX$28,MATCH(O$49,'הספק נוסף נדרש'!$B$6:$AX$6,0)+(ROUNDUP((O$2-$F$2)/COUNTA($F$10:$F$16),0)-1)*COUNTA('הספק נוסף נדרש'!$C$6:$J$6),FALSE))</f>
        <v>0</v>
      </c>
      <c r="P68" s="136">
        <f ca="1">IF(OR($F68&gt;MAX('הנחות עבודה'!$B$69:$B$89),$F68&gt;$D$5),0,VLOOKUP($F68,'הספק נוסף נדרש'!$B$8:$AX$28,MATCH(P$49,'הספק נוסף נדרש'!$B$6:$AX$6,0)+(ROUNDUP((P$2-$F$2)/COUNTA($F$10:$F$16),0)-1)*COUNTA('הספק נוסף נדרש'!$C$6:$J$6),FALSE))</f>
        <v>0</v>
      </c>
      <c r="Q68" s="136">
        <f ca="1">IF(OR($F68&gt;MAX('הנחות עבודה'!$B$69:$B$89),$F68&gt;$D$5),0,VLOOKUP($F68,'הספק נוסף נדרש'!$B$8:$AX$28,MATCH(Q$49,'הספק נוסף נדרש'!$B$6:$AX$6,0)+(ROUNDUP((Q$2-$F$2)/COUNTA($F$10:$F$16),0)-1)*COUNTA('הספק נוסף נדרש'!$C$6:$J$6),FALSE))</f>
        <v>0</v>
      </c>
      <c r="R68" s="136">
        <f ca="1">IF(OR($F68&gt;MAX('הנחות עבודה'!$B$69:$B$89),$F68&gt;$D$5),0,VLOOKUP($F68,'הספק נוסף נדרש'!$B$8:$AX$28,MATCH(R$49,'הספק נוסף נדרש'!$B$6:$AX$6,0)+(ROUNDUP((R$2-$F$2)/COUNTA($F$10:$F$16),0)-1)*COUNTA('הספק נוסף נדרש'!$C$6:$J$6),FALSE))</f>
        <v>0</v>
      </c>
      <c r="S68" s="79">
        <f ca="1">IF(OR($F68&gt;MAX('הנחות עבודה'!$B$69:$B$89),$F68&gt;$D$5),0,VLOOKUP($F68,'הספק נוסף נדרש'!$B$8:$AX$28,MATCH(S$49,'הספק נוסף נדרש'!$B$6:$AX$6,0)+(ROUNDUP((S$2-$F$2)/COUNTA($F$10:$F$16),0)-1)*COUNTA('הספק נוסף נדרש'!$C$6:$J$6),FALSE))</f>
        <v>0</v>
      </c>
      <c r="T68" s="138">
        <f ca="1">IF(OR($F68&gt;MAX('הנחות עבודה'!$B$69:$B$89),$F68&gt;$D$5),0,VLOOKUP($F68,'הספק נוסף נדרש'!$B$8:$AX$28,MATCH(T$49,'הספק נוסף נדרש'!$B$6:$AX$6,0)+(ROUNDUP((T$2-$F$2)/COUNTA($F$10:$F$16),0)-1)*COUNTA('הספק נוסף נדרש'!$C$6:$J$6),FALSE))</f>
        <v>0</v>
      </c>
      <c r="U68" s="138">
        <f ca="1">IF(OR($F68&gt;MAX('הנחות עבודה'!$B$69:$B$89),$F68&gt;$D$5),0,VLOOKUP($F68,'הספק נוסף נדרש'!$B$8:$AX$28,MATCH(U$49,'הספק נוסף נדרש'!$B$6:$AX$6,0)+(ROUNDUP((U$2-$F$2)/COUNTA($F$10:$F$16),0)-1)*COUNTA('הספק נוסף נדרש'!$C$6:$J$6),FALSE))</f>
        <v>0</v>
      </c>
      <c r="V68" s="138">
        <f ca="1">IF(OR($F68&gt;MAX('הנחות עבודה'!$B$69:$B$89),$F68&gt;$D$5),0,VLOOKUP($F68,'הספק נוסף נדרש'!$B$8:$AX$28,MATCH(V$49,'הספק נוסף נדרש'!$B$6:$AX$6,0)+(ROUNDUP((V$2-$F$2)/COUNTA($F$10:$F$16),0)-1)*COUNTA('הספק נוסף נדרש'!$C$6:$J$6),FALSE))</f>
        <v>0</v>
      </c>
      <c r="W68" s="138">
        <f ca="1">IF(OR($F68&gt;MAX('הנחות עבודה'!$B$69:$B$89),$F68&gt;$D$5),0,VLOOKUP($F68,'הספק נוסף נדרש'!$B$8:$AX$28,MATCH(W$49,'הספק נוסף נדרש'!$B$6:$AX$6,0)+(ROUNDUP((W$2-$F$2)/COUNTA($F$10:$F$16),0)-1)*COUNTA('הספק נוסף נדרש'!$C$6:$J$6),FALSE))</f>
        <v>0</v>
      </c>
      <c r="X68" s="79">
        <f ca="1">IF(OR($F68&gt;MAX('הנחות עבודה'!$B$69:$B$89),$F68&gt;$D$5),0,VLOOKUP($F68,'הספק נוסף נדרש'!$B$8:$AX$28,MATCH(X$49,'הספק נוסף נדרש'!$B$6:$AX$6,0)+(ROUNDUP((X$2-$F$2)/COUNTA($F$10:$F$16),0)-1)*COUNTA('הספק נוסף נדרש'!$C$6:$J$6),FALSE))</f>
        <v>0</v>
      </c>
      <c r="Y68" s="74">
        <f ca="1">IF(OR($F68&gt;MAX('הנחות עבודה'!$B$69:$B$89),$F68&gt;$D$5),0,VLOOKUP($F68,'הספק נוסף נדרש'!$B$8:$AX$28,MATCH(Y$49,'הספק נוסף נדרש'!$B$6:$AX$6,0)+(ROUNDUP((Y$2-$F$2)/COUNTA($F$10:$F$16),0)-1)*COUNTA('הספק נוסף נדרש'!$C$6:$J$6),FALSE))</f>
        <v>0</v>
      </c>
      <c r="Z68" s="136">
        <f ca="1">IF(OR($F68&gt;MAX('הנחות עבודה'!$B$69:$B$89),$F68&gt;$D$5),0,VLOOKUP($F68,'הספק נוסף נדרש'!$B$8:$AX$28,MATCH(Z$49,'הספק נוסף נדרש'!$B$6:$AX$6,0)+(ROUNDUP((Z$2-$F$2)/COUNTA($F$10:$F$16),0)-1)*COUNTA('הספק נוסף נדרש'!$C$6:$J$6),FALSE))</f>
        <v>0</v>
      </c>
      <c r="AA68" s="136">
        <f ca="1">IF(OR($F68&gt;MAX('הנחות עבודה'!$B$69:$B$89),$F68&gt;$D$5),0,VLOOKUP($F68,'הספק נוסף נדרש'!$B$8:$AX$28,MATCH(AA$49,'הספק נוסף נדרש'!$B$6:$AX$6,0)+(ROUNDUP((AA$2-$F$2)/COUNTA($F$10:$F$16),0)-1)*COUNTA('הספק נוסף נדרש'!$C$6:$J$6),FALSE))</f>
        <v>0</v>
      </c>
      <c r="AB68" s="136">
        <f ca="1">IF(OR($F68&gt;MAX('הנחות עבודה'!$B$69:$B$89),$F68&gt;$D$5),0,VLOOKUP($F68,'הספק נוסף נדרש'!$B$8:$AX$28,MATCH(AB$49,'הספק נוסף נדרש'!$B$6:$AX$6,0)+(ROUNDUP((AB$2-$F$2)/COUNTA($F$10:$F$16),0)-1)*COUNTA('הספק נוסף נדרש'!$C$6:$J$6),FALSE))</f>
        <v>0</v>
      </c>
      <c r="AC68" s="136">
        <f ca="1">IF(OR($F68&gt;MAX('הנחות עבודה'!$B$69:$B$89),$F68&gt;$D$5),0,VLOOKUP($F68,'הספק נוסף נדרש'!$B$8:$AX$28,MATCH(AC$49,'הספק נוסף נדרש'!$B$6:$AX$6,0)+(ROUNDUP((AC$2-$F$2)/COUNTA($F$10:$F$16),0)-1)*COUNTA('הספק נוסף נדרש'!$C$6:$J$6),FALSE))</f>
        <v>0</v>
      </c>
      <c r="AD68" s="136">
        <f ca="1">IF(OR($F68&gt;MAX('הנחות עבודה'!$B$69:$B$89),$F68&gt;$D$5),0,VLOOKUP($F68,'הספק נוסף נדרש'!$B$8:$AX$28,MATCH(AD$49,'הספק נוסף נדרש'!$B$6:$AX$6,0)+(ROUNDUP((AD$2-$F$2)/COUNTA($F$10:$F$16),0)-1)*COUNTA('הספק נוסף נדרש'!$C$6:$J$6),FALSE))</f>
        <v>0</v>
      </c>
      <c r="AE68" s="79">
        <f ca="1">IF(OR($F68&gt;MAX('הנחות עבודה'!$B$69:$B$89),$F68&gt;$D$5),0,VLOOKUP($F68,'הספק נוסף נדרש'!$B$8:$AX$28,MATCH(AE$49,'הספק נוסף נדרש'!$B$6:$AX$6,0)+(ROUNDUP((AE$2-$F$2)/COUNTA($F$10:$F$16),0)-1)*COUNTA('הספק נוסף נדרש'!$C$6:$J$6),FALSE))</f>
        <v>0</v>
      </c>
      <c r="AF68" s="138">
        <f ca="1">IF(OR($F68&gt;MAX('הנחות עבודה'!$B$69:$B$89),$F68&gt;$D$5),0,VLOOKUP($F68,'הספק נוסף נדרש'!$B$8:$AX$28,MATCH(AF$49,'הספק נוסף נדרש'!$B$6:$AX$6,0)+(ROUNDUP((AF$2-$F$2)/COUNTA($F$10:$F$16),0)-1)*COUNTA('הספק נוסף נדרש'!$C$6:$J$6),FALSE))</f>
        <v>0</v>
      </c>
      <c r="AG68" s="138">
        <f ca="1">IF(OR($F68&gt;MAX('הנחות עבודה'!$B$69:$B$89),$F68&gt;$D$5),0,VLOOKUP($F68,'הספק נוסף נדרש'!$B$8:$AX$28,MATCH(AG$49,'הספק נוסף נדרש'!$B$6:$AX$6,0)+(ROUNDUP((AG$2-$F$2)/COUNTA($F$10:$F$16),0)-1)*COUNTA('הספק נוסף נדרש'!$C$6:$J$6),FALSE))</f>
        <v>0</v>
      </c>
      <c r="AH68" s="138">
        <f ca="1">IF(OR($F68&gt;MAX('הנחות עבודה'!$B$69:$B$89),$F68&gt;$D$5),0,VLOOKUP($F68,'הספק נוסף נדרש'!$B$8:$AX$28,MATCH(AH$49,'הספק נוסף נדרש'!$B$6:$AX$6,0)+(ROUNDUP((AH$2-$F$2)/COUNTA($F$10:$F$16),0)-1)*COUNTA('הספק נוסף נדרש'!$C$6:$J$6),FALSE))</f>
        <v>0</v>
      </c>
      <c r="AI68" s="138">
        <f ca="1">IF(OR($F68&gt;MAX('הנחות עבודה'!$B$69:$B$89),$F68&gt;$D$5),0,VLOOKUP($F68,'הספק נוסף נדרש'!$B$8:$AX$28,MATCH(AI$49,'הספק נוסף נדרש'!$B$6:$AX$6,0)+(ROUNDUP((AI$2-$F$2)/COUNTA($F$10:$F$16),0)-1)*COUNTA('הספק נוסף נדרש'!$C$6:$J$6),FALSE))</f>
        <v>0</v>
      </c>
      <c r="AJ68" s="79">
        <f ca="1">IF(OR($F68&gt;MAX('הנחות עבודה'!$B$69:$B$89),$F68&gt;$D$5),0,VLOOKUP($F68,'הספק נוסף נדרש'!$B$8:$AX$28,MATCH(AJ$49,'הספק נוסף נדרש'!$B$6:$AX$6,0)+(ROUNDUP((AJ$2-$F$2)/COUNTA($F$10:$F$16),0)-1)*COUNTA('הספק נוסף נדרש'!$C$6:$J$6),FALSE))</f>
        <v>0</v>
      </c>
      <c r="AK68" s="74">
        <f ca="1">IF(OR($F68&gt;MAX('הנחות עבודה'!$B$69:$B$89),$F68&gt;$D$5),0,VLOOKUP($F68,'הספק נוסף נדרש'!$B$8:$AX$28,MATCH(AK$49,'הספק נוסף נדרש'!$B$6:$AX$6,0)+(ROUNDUP((AK$2-$F$2)/COUNTA($F$10:$F$16),0)-1)*COUNTA('הספק נוסף נדרש'!$C$6:$J$6),FALSE))</f>
        <v>0</v>
      </c>
      <c r="AL68" s="136">
        <f ca="1">IF(OR($F68&gt;MAX('הנחות עבודה'!$B$69:$B$89),$F68&gt;$D$5),0,VLOOKUP($F68,'הספק נוסף נדרש'!$B$8:$AX$28,MATCH(AL$49,'הספק נוסף נדרש'!$B$6:$AX$6,0)+(ROUNDUP((AL$2-$F$2)/COUNTA($F$10:$F$16),0)-1)*COUNTA('הספק נוסף נדרש'!$C$6:$J$6),FALSE))</f>
        <v>0</v>
      </c>
      <c r="AM68" s="136">
        <f ca="1">IF(OR($F68&gt;MAX('הנחות עבודה'!$B$69:$B$89),$F68&gt;$D$5),0,VLOOKUP($F68,'הספק נוסף נדרש'!$B$8:$AX$28,MATCH(AM$49,'הספק נוסף נדרש'!$B$6:$AX$6,0)+(ROUNDUP((AM$2-$F$2)/COUNTA($F$10:$F$16),0)-1)*COUNTA('הספק נוסף נדרש'!$C$6:$J$6),FALSE))</f>
        <v>0</v>
      </c>
      <c r="AN68" s="136">
        <f ca="1">IF(OR($F68&gt;MAX('הנחות עבודה'!$B$69:$B$89),$F68&gt;$D$5),0,VLOOKUP($F68,'הספק נוסף נדרש'!$B$8:$AX$28,MATCH(AN$49,'הספק נוסף נדרש'!$B$6:$AX$6,0)+(ROUNDUP((AN$2-$F$2)/COUNTA($F$10:$F$16),0)-1)*COUNTA('הספק נוסף נדרש'!$C$6:$J$6),FALSE))</f>
        <v>0</v>
      </c>
      <c r="AO68" s="136">
        <f ca="1">IF(OR($F68&gt;MAX('הנחות עבודה'!$B$69:$B$89),$F68&gt;$D$5),0,VLOOKUP($F68,'הספק נוסף נדרש'!$B$8:$AX$28,MATCH(AO$49,'הספק נוסף נדרש'!$B$6:$AX$6,0)+(ROUNDUP((AO$2-$F$2)/COUNTA($F$10:$F$16),0)-1)*COUNTA('הספק נוסף נדרש'!$C$6:$J$6),FALSE))</f>
        <v>0</v>
      </c>
      <c r="AP68" s="136">
        <f ca="1">IF(OR($F68&gt;MAX('הנחות עבודה'!$B$69:$B$89),$F68&gt;$D$5),0,VLOOKUP($F68,'הספק נוסף נדרש'!$B$8:$AX$28,MATCH(AP$49,'הספק נוסף נדרש'!$B$6:$AX$6,0)+(ROUNDUP((AP$2-$F$2)/COUNTA($F$10:$F$16),0)-1)*COUNTA('הספק נוסף נדרש'!$C$6:$J$6),FALSE))</f>
        <v>0</v>
      </c>
      <c r="AQ68" s="9"/>
      <c r="AR68" s="10">
        <f t="shared" si="313"/>
        <v>2038</v>
      </c>
      <c r="AS68" s="79">
        <f ca="1">HLOOKUP(AS$49,$G$24:$L$45,COUNTA($F$25:$F43)+1,FALSE)*G68*$D$7/$D$8</f>
        <v>0</v>
      </c>
      <c r="AT68" s="138">
        <f ca="1">HLOOKUP(AT$49,$G$24:$L$45,COUNTA($F$25:$F43)+1,FALSE)*H68*$D$7/$D$8</f>
        <v>0</v>
      </c>
      <c r="AU68" s="138">
        <f ca="1">HLOOKUP(AU$49,$G$24:$L$45,COUNTA($F$25:$F43)+1,FALSE)*I68*$D$7/$D$8</f>
        <v>0</v>
      </c>
      <c r="AV68" s="138">
        <f ca="1">HLOOKUP(AV$49,$G$24:$L$45,COUNTA($F$25:$F43)+1,FALSE)*J68*$D$7/$D$8</f>
        <v>0</v>
      </c>
      <c r="AW68" s="138">
        <f ca="1">HLOOKUP(AW$49,$G$24:$L$45,COUNTA($F$25:$F43)+1,FALSE)*K68*$D$7/$D$8</f>
        <v>0</v>
      </c>
      <c r="AX68" s="79">
        <f ca="1">HLOOKUP(AX$49,$G$24:$L$45,COUNTA($F$25:$F43)+1,FALSE)*L68*$D$7/$D$8</f>
        <v>0</v>
      </c>
      <c r="AY68" s="74">
        <f ca="1">HLOOKUP(AY$49,$G$24:$L$45,COUNTA($F$25:$F43)+1,FALSE)*M68*$D$7/$D$8</f>
        <v>0</v>
      </c>
      <c r="AZ68" s="136">
        <f ca="1">HLOOKUP(AZ$49,$G$24:$L$45,COUNTA($F$25:$F43)+1,FALSE)*N68*$D$7/$D$8</f>
        <v>0</v>
      </c>
      <c r="BA68" s="136">
        <f ca="1">HLOOKUP(BA$49,$G$24:$L$45,COUNTA($F$25:$F43)+1,FALSE)*O68*$D$7/$D$8</f>
        <v>0</v>
      </c>
      <c r="BB68" s="136">
        <f ca="1">HLOOKUP(BB$49,$G$24:$L$45,COUNTA($F$25:$F43)+1,FALSE)*P68*$D$7/$D$8</f>
        <v>0</v>
      </c>
      <c r="BC68" s="136">
        <f ca="1">HLOOKUP(BC$49,$G$24:$L$45,COUNTA($F$25:$F43)+1,FALSE)*Q68*$D$7/$D$8</f>
        <v>0</v>
      </c>
      <c r="BD68" s="136">
        <f ca="1">HLOOKUP(BD$49,$G$24:$L$45,COUNTA($F$25:$F43)+1,FALSE)*R68*$D$7/$D$8</f>
        <v>0</v>
      </c>
      <c r="BE68" s="79">
        <f ca="1">HLOOKUP(BE$49,$G$24:$L$45,COUNTA($F$25:$F43)+1,FALSE)*S68*$D$7/$D$8</f>
        <v>0</v>
      </c>
      <c r="BF68" s="138">
        <f ca="1">HLOOKUP(BF$49,$G$24:$L$45,COUNTA($F$25:$F43)+1,FALSE)*T68*$D$7/$D$8</f>
        <v>0</v>
      </c>
      <c r="BG68" s="138">
        <f ca="1">HLOOKUP(BG$49,$G$24:$L$45,COUNTA($F$25:$F43)+1,FALSE)*U68*$D$7/$D$8</f>
        <v>0</v>
      </c>
      <c r="BH68" s="138">
        <f ca="1">HLOOKUP(BH$49,$G$24:$L$45,COUNTA($F$25:$F43)+1,FALSE)*V68*$D$7/$D$8</f>
        <v>0</v>
      </c>
      <c r="BI68" s="138">
        <f ca="1">HLOOKUP(BI$49,$G$24:$L$45,COUNTA($F$25:$F43)+1,FALSE)*W68*$D$7/$D$8</f>
        <v>0</v>
      </c>
      <c r="BJ68" s="79">
        <f ca="1">HLOOKUP(BJ$49,$G$24:$L$45,COUNTA($F$25:$F43)+1,FALSE)*X68*$D$7/$D$8</f>
        <v>0</v>
      </c>
      <c r="BK68" s="74">
        <f ca="1">HLOOKUP(BK$49,$G$24:$L$45,COUNTA($F$25:$F43)+1,FALSE)*Y68*$D$7/$D$8</f>
        <v>0</v>
      </c>
      <c r="BL68" s="136">
        <f ca="1">HLOOKUP(BL$49,$G$24:$L$45,COUNTA($F$25:$F43)+1,FALSE)*Z68*$D$7/$D$8</f>
        <v>0</v>
      </c>
      <c r="BM68" s="136">
        <f ca="1">HLOOKUP(BM$49,$G$24:$L$45,COUNTA($F$25:$F43)+1,FALSE)*AA68*$D$7/$D$8</f>
        <v>0</v>
      </c>
      <c r="BN68" s="136">
        <f ca="1">HLOOKUP(BN$49,$G$24:$L$45,COUNTA($F$25:$F43)+1,FALSE)*AB68*$D$7/$D$8</f>
        <v>0</v>
      </c>
      <c r="BO68" s="136">
        <f ca="1">HLOOKUP(BO$49,$G$24:$L$45,COUNTA($F$25:$F43)+1,FALSE)*AC68*$D$7/$D$8</f>
        <v>0</v>
      </c>
      <c r="BP68" s="136">
        <f ca="1">HLOOKUP(BP$49,$G$24:$L$45,COUNTA($F$25:$F43)+1,FALSE)*AD68*$D$7/$D$8</f>
        <v>0</v>
      </c>
      <c r="BQ68" s="79">
        <f ca="1">HLOOKUP(BQ$49,$G$24:$L$45,COUNTA($F$25:$F43)+1,FALSE)*AE68*$D$7/$D$8</f>
        <v>0</v>
      </c>
      <c r="BR68" s="138">
        <f ca="1">HLOOKUP(BR$49,$G$24:$L$45,COUNTA($F$25:$F43)+1,FALSE)*AF68*$D$7/$D$8</f>
        <v>0</v>
      </c>
      <c r="BS68" s="138">
        <f ca="1">HLOOKUP(BS$49,$G$24:$L$45,COUNTA($F$25:$F43)+1,FALSE)*AG68*$D$7/$D$8</f>
        <v>0</v>
      </c>
      <c r="BT68" s="138">
        <f ca="1">HLOOKUP(BT$49,$G$24:$L$45,COUNTA($F$25:$F43)+1,FALSE)*AH68*$D$7/$D$8</f>
        <v>0</v>
      </c>
      <c r="BU68" s="138">
        <f ca="1">HLOOKUP(BU$49,$G$24:$L$45,COUNTA($F$25:$F43)+1,FALSE)*AI68*$D$7/$D$8</f>
        <v>0</v>
      </c>
      <c r="BV68" s="79">
        <f ca="1">HLOOKUP(BV$49,$G$24:$L$45,COUNTA($F$25:$F43)+1,FALSE)*AJ68*$D$7/$D$8</f>
        <v>0</v>
      </c>
      <c r="BW68" s="74">
        <f ca="1">HLOOKUP(BW$49,$G$24:$L$45,COUNTA($F$25:$F43)+1,FALSE)*AK68*$D$7/$D$8</f>
        <v>0</v>
      </c>
      <c r="BX68" s="136">
        <f ca="1">HLOOKUP(BX$49,$G$24:$L$45,COUNTA($F$25:$F43)+1,FALSE)*AL68*$D$7/$D$8</f>
        <v>0</v>
      </c>
      <c r="BY68" s="136">
        <f ca="1">HLOOKUP(BY$49,$G$24:$L$45,COUNTA($F$25:$F43)+1,FALSE)*AM68*$D$7/$D$8</f>
        <v>0</v>
      </c>
      <c r="BZ68" s="136">
        <f ca="1">HLOOKUP(BZ$49,$G$24:$L$45,COUNTA($F$25:$F43)+1,FALSE)*AN68*$D$7/$D$8</f>
        <v>0</v>
      </c>
      <c r="CA68" s="136">
        <f ca="1">HLOOKUP(CA$49,$G$24:$L$45,COUNTA($F$25:$F43)+1,FALSE)*AO68*$D$7/$D$8</f>
        <v>0</v>
      </c>
      <c r="CB68" s="739">
        <f ca="1">HLOOKUP(CB$49,$G$24:$L$45,COUNTA($F$25:$F43)+1,FALSE)*AP68*$D$7/$D$8</f>
        <v>0</v>
      </c>
      <c r="CD68" s="10">
        <f t="shared" si="314"/>
        <v>2038</v>
      </c>
      <c r="CE68" s="85">
        <f t="shared" ca="1" si="240"/>
        <v>1072.8415146359366</v>
      </c>
      <c r="CF68" s="147">
        <f t="shared" ca="1" si="241"/>
        <v>0</v>
      </c>
      <c r="CG68" s="147">
        <f t="shared" ca="1" si="242"/>
        <v>216.27952515046442</v>
      </c>
      <c r="CH68" s="147">
        <f t="shared" ca="1" si="243"/>
        <v>19.606169426540287</v>
      </c>
      <c r="CI68" s="147">
        <f t="shared" ca="1" si="244"/>
        <v>0</v>
      </c>
      <c r="CJ68" s="85">
        <f t="shared" ca="1" si="245"/>
        <v>0</v>
      </c>
      <c r="CK68" s="151">
        <f t="shared" ca="1" si="246"/>
        <v>0</v>
      </c>
      <c r="CL68" s="102">
        <f t="shared" ca="1" si="247"/>
        <v>1330.100333878547</v>
      </c>
      <c r="CM68" s="102">
        <f t="shared" ca="1" si="248"/>
        <v>216.27952515046442</v>
      </c>
      <c r="CN68" s="102">
        <f t="shared" ca="1" si="249"/>
        <v>19.606169426540287</v>
      </c>
      <c r="CO68" s="102">
        <f t="shared" ca="1" si="250"/>
        <v>0</v>
      </c>
      <c r="CP68" s="151">
        <f t="shared" ca="1" si="251"/>
        <v>0</v>
      </c>
      <c r="CQ68" s="85">
        <f t="shared" ca="1" si="252"/>
        <v>1875.8411079969287</v>
      </c>
      <c r="CR68" s="147">
        <f t="shared" ca="1" si="253"/>
        <v>0</v>
      </c>
      <c r="CS68" s="147">
        <f t="shared" ca="1" si="254"/>
        <v>216.27952515046442</v>
      </c>
      <c r="CT68" s="147">
        <f t="shared" ca="1" si="255"/>
        <v>19.606169426540287</v>
      </c>
      <c r="CU68" s="147">
        <f t="shared" ca="1" si="256"/>
        <v>0</v>
      </c>
      <c r="CV68" s="85">
        <f t="shared" ca="1" si="257"/>
        <v>0</v>
      </c>
      <c r="CW68" s="151">
        <f t="shared" ca="1" si="258"/>
        <v>0</v>
      </c>
      <c r="CX68" s="102">
        <f t="shared" ca="1" si="259"/>
        <v>2329.6222224771814</v>
      </c>
      <c r="CY68" s="102">
        <f t="shared" ca="1" si="260"/>
        <v>216.27952515046442</v>
      </c>
      <c r="CZ68" s="102">
        <f t="shared" ca="1" si="261"/>
        <v>19.606169426540287</v>
      </c>
      <c r="DA68" s="102">
        <f t="shared" ca="1" si="262"/>
        <v>0</v>
      </c>
      <c r="DB68" s="151">
        <f t="shared" ca="1" si="263"/>
        <v>0</v>
      </c>
      <c r="DC68" s="85">
        <f t="shared" ca="1" si="264"/>
        <v>2372.5516075818737</v>
      </c>
      <c r="DD68" s="147">
        <f t="shared" ca="1" si="265"/>
        <v>0</v>
      </c>
      <c r="DE68" s="147">
        <f t="shared" ca="1" si="266"/>
        <v>216.27952515046442</v>
      </c>
      <c r="DF68" s="147">
        <f t="shared" ca="1" si="267"/>
        <v>19.606169426540287</v>
      </c>
      <c r="DG68" s="147">
        <f t="shared" ca="1" si="268"/>
        <v>0</v>
      </c>
      <c r="DH68" s="85">
        <f t="shared" ca="1" si="269"/>
        <v>0</v>
      </c>
      <c r="DI68" s="151">
        <f t="shared" ca="1" si="270"/>
        <v>0</v>
      </c>
      <c r="DJ68" s="102">
        <f t="shared" ca="1" si="271"/>
        <v>2948.2575202218331</v>
      </c>
      <c r="DK68" s="102">
        <f t="shared" ca="1" si="272"/>
        <v>216.27952515046442</v>
      </c>
      <c r="DL68" s="102">
        <f t="shared" ca="1" si="273"/>
        <v>19.606169426540287</v>
      </c>
      <c r="DM68" s="102">
        <f t="shared" ca="1" si="274"/>
        <v>0</v>
      </c>
      <c r="DN68" s="564">
        <f t="shared" ca="1" si="275"/>
        <v>0</v>
      </c>
      <c r="DP68" s="10">
        <f t="shared" si="315"/>
        <v>2038</v>
      </c>
      <c r="DQ68" s="85">
        <f t="shared" ca="1" si="276"/>
        <v>346.43926141557102</v>
      </c>
      <c r="DR68" s="147">
        <f t="shared" ca="1" si="277"/>
        <v>0</v>
      </c>
      <c r="DS68" s="147">
        <f t="shared" ca="1" si="278"/>
        <v>61.350712925538716</v>
      </c>
      <c r="DT68" s="147">
        <f t="shared" ca="1" si="279"/>
        <v>6.4807091118526818</v>
      </c>
      <c r="DU68" s="147">
        <f t="shared" ca="1" si="280"/>
        <v>0</v>
      </c>
      <c r="DV68" s="85">
        <f t="shared" ca="1" si="281"/>
        <v>0</v>
      </c>
      <c r="DW68" s="151">
        <f t="shared" ca="1" si="282"/>
        <v>0</v>
      </c>
      <c r="DX68" s="102">
        <f t="shared" ca="1" si="283"/>
        <v>394.23058597629023</v>
      </c>
      <c r="DY68" s="102">
        <f t="shared" ca="1" si="284"/>
        <v>61.350712925538716</v>
      </c>
      <c r="DZ68" s="102">
        <f t="shared" ca="1" si="285"/>
        <v>6.4807091118526818</v>
      </c>
      <c r="EA68" s="102">
        <f t="shared" ca="1" si="286"/>
        <v>0</v>
      </c>
      <c r="EB68" s="151">
        <f t="shared" ca="1" si="287"/>
        <v>0</v>
      </c>
      <c r="EC68" s="85">
        <f t="shared" ca="1" si="288"/>
        <v>616.2052651814364</v>
      </c>
      <c r="ED68" s="147">
        <f t="shared" ca="1" si="289"/>
        <v>0</v>
      </c>
      <c r="EE68" s="147">
        <f t="shared" ca="1" si="290"/>
        <v>61.350712925538716</v>
      </c>
      <c r="EF68" s="147">
        <f t="shared" ca="1" si="291"/>
        <v>6.4807091118526818</v>
      </c>
      <c r="EG68" s="147">
        <f t="shared" ca="1" si="292"/>
        <v>0</v>
      </c>
      <c r="EH68" s="85">
        <f t="shared" ca="1" si="293"/>
        <v>0</v>
      </c>
      <c r="EI68" s="151">
        <f t="shared" ca="1" si="294"/>
        <v>0</v>
      </c>
      <c r="EJ68" s="102">
        <f t="shared" ca="1" si="295"/>
        <v>701.21083211394455</v>
      </c>
      <c r="EK68" s="102">
        <f t="shared" ca="1" si="296"/>
        <v>61.350712925538716</v>
      </c>
      <c r="EL68" s="102">
        <f t="shared" ca="1" si="297"/>
        <v>6.4807091118526818</v>
      </c>
      <c r="EM68" s="102">
        <f t="shared" ca="1" si="298"/>
        <v>0</v>
      </c>
      <c r="EN68" s="151">
        <f t="shared" ca="1" si="299"/>
        <v>0</v>
      </c>
      <c r="EO68" s="85">
        <f t="shared" ca="1" si="300"/>
        <v>784.54004761148781</v>
      </c>
      <c r="EP68" s="145">
        <f t="shared" ca="1" si="301"/>
        <v>0</v>
      </c>
      <c r="EQ68" s="145">
        <f t="shared" ca="1" si="302"/>
        <v>61.350712925538716</v>
      </c>
      <c r="ER68" s="145">
        <f t="shared" ca="1" si="303"/>
        <v>6.4807091118526818</v>
      </c>
      <c r="ES68" s="145">
        <f t="shared" ca="1" si="304"/>
        <v>0</v>
      </c>
      <c r="ET68" s="85">
        <f t="shared" ca="1" si="305"/>
        <v>0</v>
      </c>
      <c r="EU68" s="102">
        <f t="shared" ca="1" si="306"/>
        <v>0</v>
      </c>
      <c r="EV68" s="102">
        <f t="shared" ca="1" si="307"/>
        <v>892.76741160331449</v>
      </c>
      <c r="EW68" s="102">
        <f t="shared" ca="1" si="308"/>
        <v>61.350712925538716</v>
      </c>
      <c r="EX68" s="102">
        <f t="shared" ca="1" si="309"/>
        <v>6.4807091118526818</v>
      </c>
      <c r="EY68" s="102">
        <f t="shared" ca="1" si="310"/>
        <v>0</v>
      </c>
      <c r="EZ68" s="564">
        <f t="shared" ca="1" si="311"/>
        <v>0</v>
      </c>
      <c r="FB68" s="10">
        <f t="shared" si="316"/>
        <v>2038</v>
      </c>
      <c r="FC68" s="85">
        <f ca="1">HLOOKUP(FC$49,$O$24:$T$45,COUNTA($N$25:$N43)+1,FALSE)*G68*$D$7/$D$8</f>
        <v>0</v>
      </c>
      <c r="FD68" s="147">
        <f ca="1">HLOOKUP(FD$49,$O$24:$T$45,COUNTA($N$25:$N43)+1,FALSE)*H68*$D$7/$D$8</f>
        <v>0</v>
      </c>
      <c r="FE68" s="147">
        <f ca="1">HLOOKUP(FE$49,$O$24:$T$45,COUNTA($N$25:$N43)+1,FALSE)*I68*$D$7/$D$8</f>
        <v>0</v>
      </c>
      <c r="FF68" s="147">
        <f ca="1">HLOOKUP(FF$49,$O$24:$T$45,COUNTA($N$25:$N43)+1,FALSE)*J68*$D$7/$D$8</f>
        <v>0</v>
      </c>
      <c r="FG68" s="147">
        <f ca="1">HLOOKUP(FG$49,$O$24:$T$45,COUNTA($N$25:$N43)+1,FALSE)*K68*$D$7/$D$8</f>
        <v>0</v>
      </c>
      <c r="FH68" s="85">
        <f ca="1">HLOOKUP(FH$49,$O$24:$T$45,COUNTA($N$25:$N43)+1,FALSE)*L68*$D$7/$D$8</f>
        <v>0</v>
      </c>
      <c r="FI68" s="151">
        <f ca="1">HLOOKUP(FI$49,$O$24:$T$45,COUNTA($N$25:$N43)+1,FALSE)*M68*$D$7/$D$8</f>
        <v>0</v>
      </c>
      <c r="FJ68" s="153">
        <f ca="1">HLOOKUP(FJ$49,$O$24:$T$45,COUNTA($N$25:$N43)+1,FALSE)*N68*$D$7/$D$8</f>
        <v>0</v>
      </c>
      <c r="FK68" s="153">
        <f ca="1">HLOOKUP(FK$49,$O$24:$T$45,COUNTA($N$25:$N43)+1,FALSE)*O68*$D$7/$D$8</f>
        <v>0</v>
      </c>
      <c r="FL68" s="153">
        <f ca="1">HLOOKUP(FL$49,$O$24:$T$45,COUNTA($N$25:$N43)+1,FALSE)*P68*$D$7/$D$8</f>
        <v>0</v>
      </c>
      <c r="FM68" s="153">
        <f ca="1">HLOOKUP(FM$49,$O$24:$T$45,COUNTA($N$25:$N43)+1,FALSE)*Q68*$D$7/$D$8</f>
        <v>0</v>
      </c>
      <c r="FN68" s="151">
        <f ca="1">HLOOKUP(FN$49,$O$24:$T$45,COUNTA($N$25:$N43)+1,FALSE)*R68*$D$7/$D$8</f>
        <v>0</v>
      </c>
      <c r="FO68" s="85">
        <f ca="1">HLOOKUP(FO$49,$O$24:$T$45,COUNTA($N$25:$N43)+1,FALSE)*S68*$D$7/$D$8</f>
        <v>0</v>
      </c>
      <c r="FP68" s="147">
        <f ca="1">HLOOKUP(FP$49,$O$24:$T$45,COUNTA($N$25:$N43)+1,FALSE)*T68*$D$7/$D$8</f>
        <v>0</v>
      </c>
      <c r="FQ68" s="147">
        <f ca="1">HLOOKUP(FQ$49,$O$24:$T$45,COUNTA($N$25:$N43)+1,FALSE)*U68*$D$7/$D$8</f>
        <v>0</v>
      </c>
      <c r="FR68" s="147">
        <f ca="1">HLOOKUP(FR$49,$O$24:$T$45,COUNTA($N$25:$N43)+1,FALSE)*V68*$D$7/$D$8</f>
        <v>0</v>
      </c>
      <c r="FS68" s="147">
        <f ca="1">HLOOKUP(FS$49,$O$24:$T$45,COUNTA($N$25:$N43)+1,FALSE)*W68*$D$7/$D$8</f>
        <v>0</v>
      </c>
      <c r="FT68" s="85">
        <f ca="1">HLOOKUP(FT$49,$O$24:$T$45,COUNTA($N$25:$N43)+1,FALSE)*X68*$D$7/$D$8</f>
        <v>0</v>
      </c>
      <c r="FU68" s="151">
        <f ca="1">HLOOKUP(FU$49,$O$24:$T$45,COUNTA($N$25:$N43)+1,FALSE)*Y68*$D$7/$D$8</f>
        <v>0</v>
      </c>
      <c r="FV68" s="153">
        <f ca="1">HLOOKUP(FV$49,$O$24:$T$45,COUNTA($N$25:$N43)+1,FALSE)*Z68*$D$7/$D$8</f>
        <v>0</v>
      </c>
      <c r="FW68" s="153">
        <f ca="1">HLOOKUP(FW$49,$O$24:$T$45,COUNTA($N$25:$N43)+1,FALSE)*AA68*$D$7/$D$8</f>
        <v>0</v>
      </c>
      <c r="FX68" s="153">
        <f ca="1">HLOOKUP(FX$49,$O$24:$T$45,COUNTA($N$25:$N43)+1,FALSE)*AB68*$D$7/$D$8</f>
        <v>0</v>
      </c>
      <c r="FY68" s="153">
        <f ca="1">HLOOKUP(FY$49,$O$24:$T$45,COUNTA($N$25:$N43)+1,FALSE)*AC68*$D$7/$D$8</f>
        <v>0</v>
      </c>
      <c r="FZ68" s="151">
        <f ca="1">HLOOKUP(FZ$49,$O$24:$T$45,COUNTA($N$25:$N43)+1,FALSE)*AD68*$D$7/$D$8</f>
        <v>0</v>
      </c>
      <c r="GA68" s="85">
        <f ca="1">HLOOKUP(GA$49,$O$24:$T$45,COUNTA($N$25:$N43)+1,FALSE)*AE68*$D$7/$D$8</f>
        <v>0</v>
      </c>
      <c r="GB68" s="147">
        <f ca="1">HLOOKUP(GB$49,$O$24:$T$45,COUNTA($N$25:$N43)+1,FALSE)*AF68*$D$7/$D$8</f>
        <v>0</v>
      </c>
      <c r="GC68" s="147">
        <f ca="1">HLOOKUP(GC$49,$O$24:$T$45,COUNTA($N$25:$N43)+1,FALSE)*AG68*$D$7/$D$8</f>
        <v>0</v>
      </c>
      <c r="GD68" s="147">
        <f ca="1">HLOOKUP(GD$49,$O$24:$T$45,COUNTA($N$25:$N43)+1,FALSE)*AH68*$D$7/$D$8</f>
        <v>0</v>
      </c>
      <c r="GE68" s="147">
        <f ca="1">HLOOKUP(GE$49,$O$24:$T$45,COUNTA($N$25:$N43)+1,FALSE)*AI68*$D$7/$D$8</f>
        <v>0</v>
      </c>
      <c r="GF68" s="85">
        <f ca="1">HLOOKUP(GF$49,$O$24:$T$45,COUNTA($N$25:$N43)+1,FALSE)*AJ68*$D$7/$D$8</f>
        <v>0</v>
      </c>
      <c r="GG68" s="151">
        <f ca="1">HLOOKUP(GG$49,$O$24:$T$45,COUNTA($N$25:$N43)+1,FALSE)*AK68*$D$7/$D$8</f>
        <v>0</v>
      </c>
      <c r="GH68" s="153">
        <f ca="1">HLOOKUP(GH$49,$O$24:$T$45,COUNTA($N$25:$N43)+1,FALSE)*AL68*$D$7/$D$8</f>
        <v>0</v>
      </c>
      <c r="GI68" s="153">
        <f ca="1">HLOOKUP(GI$49,$O$24:$T$45,COUNTA($N$25:$N43)+1,FALSE)*AM68*$D$7/$D$8</f>
        <v>0</v>
      </c>
      <c r="GJ68" s="153">
        <f ca="1">HLOOKUP(GJ$49,$O$24:$T$45,COUNTA($N$25:$N43)+1,FALSE)*AN68*$D$7/$D$8</f>
        <v>0</v>
      </c>
      <c r="GK68" s="153">
        <f ca="1">HLOOKUP(GK$49,$O$24:$T$45,COUNTA($N$25:$N43)+1,FALSE)*AO68*$D$7/$D$8</f>
        <v>0</v>
      </c>
      <c r="GL68" s="564">
        <f ca="1">HLOOKUP(GL$49,$O$24:$T$45,COUNTA($N$25:$N43)+1,FALSE)*AP68*$D$7/$D$8</f>
        <v>0</v>
      </c>
    </row>
    <row r="69" spans="6:194">
      <c r="F69" s="10">
        <f t="shared" si="317"/>
        <v>2039</v>
      </c>
      <c r="G69" s="79">
        <f ca="1">IF(OR($F69&gt;MAX('הנחות עבודה'!$B$69:$B$89),$F69&gt;$D$5),0,VLOOKUP($F69,'הספק נוסף נדרש'!$B$8:$AX$28,MATCH(G$49,'הספק נוסף נדרש'!$B$6:$AX$6,0)+(ROUNDUP((G$2-$F$2)/COUNTA($F$10:$F$16),0)-1)*COUNTA('הספק נוסף נדרש'!$C$6:$J$6),FALSE))</f>
        <v>0</v>
      </c>
      <c r="H69" s="138">
        <f ca="1">IF(OR($F69&gt;MAX('הנחות עבודה'!$B$69:$B$89),$F69&gt;$D$5),0,VLOOKUP($F69,'הספק נוסף נדרש'!$B$8:$AX$28,MATCH(H$49,'הספק נוסף נדרש'!$B$6:$AX$6,0)+(ROUNDUP((H$2-$F$2)/COUNTA($F$10:$F$16),0)-1)*COUNTA('הספק נוסף נדרש'!$C$6:$J$6),FALSE))</f>
        <v>0</v>
      </c>
      <c r="I69" s="138">
        <f ca="1">IF(OR($F69&gt;MAX('הנחות עבודה'!$B$69:$B$89),$F69&gt;$D$5),0,VLOOKUP($F69,'הספק נוסף נדרש'!$B$8:$AX$28,MATCH(I$49,'הספק נוסף נדרש'!$B$6:$AX$6,0)+(ROUNDUP((I$2-$F$2)/COUNTA($F$10:$F$16),0)-1)*COUNTA('הספק נוסף נדרש'!$C$6:$J$6),FALSE))</f>
        <v>0</v>
      </c>
      <c r="J69" s="138">
        <f ca="1">IF(OR($F69&gt;MAX('הנחות עבודה'!$B$69:$B$89),$F69&gt;$D$5),0,VLOOKUP($F69,'הספק נוסף נדרש'!$B$8:$AX$28,MATCH(J$49,'הספק נוסף נדרש'!$B$6:$AX$6,0)+(ROUNDUP((J$2-$F$2)/COUNTA($F$10:$F$16),0)-1)*COUNTA('הספק נוסף נדרש'!$C$6:$J$6),FALSE))</f>
        <v>0</v>
      </c>
      <c r="K69" s="138">
        <f ca="1">IF(OR($F69&gt;MAX('הנחות עבודה'!$B$69:$B$89),$F69&gt;$D$5),0,VLOOKUP($F69,'הספק נוסף נדרש'!$B$8:$AX$28,MATCH(K$49,'הספק נוסף נדרש'!$B$6:$AX$6,0)+(ROUNDUP((K$2-$F$2)/COUNTA($F$10:$F$16),0)-1)*COUNTA('הספק נוסף נדרש'!$C$6:$J$6),FALSE))</f>
        <v>0</v>
      </c>
      <c r="L69" s="79">
        <f ca="1">IF(OR($F69&gt;MAX('הנחות עבודה'!$B$69:$B$89),$F69&gt;$D$5),0,VLOOKUP($F69,'הספק נוסף נדרש'!$B$8:$AX$28,MATCH(L$49,'הספק נוסף נדרש'!$B$6:$AX$6,0)+(ROUNDUP((L$2-$F$2)/COUNTA($F$10:$F$16),0)-1)*COUNTA('הספק נוסף נדרש'!$C$6:$J$6),FALSE))</f>
        <v>0</v>
      </c>
      <c r="M69" s="74">
        <f ca="1">IF(OR($F69&gt;MAX('הנחות עבודה'!$B$69:$B$89),$F69&gt;$D$5),0,VLOOKUP($F69,'הספק נוסף נדרש'!$B$8:$AX$28,MATCH(M$49,'הספק נוסף נדרש'!$B$6:$AX$6,0)+(ROUNDUP((M$2-$F$2)/COUNTA($F$10:$F$16),0)-1)*COUNTA('הספק נוסף נדרש'!$C$6:$J$6),FALSE))</f>
        <v>0</v>
      </c>
      <c r="N69" s="136">
        <f ca="1">IF(OR($F69&gt;MAX('הנחות עבודה'!$B$69:$B$89),$F69&gt;$D$5),0,VLOOKUP($F69,'הספק נוסף נדרש'!$B$8:$AX$28,MATCH(N$49,'הספק נוסף נדרש'!$B$6:$AX$6,0)+(ROUNDUP((N$2-$F$2)/COUNTA($F$10:$F$16),0)-1)*COUNTA('הספק נוסף נדרש'!$C$6:$J$6),FALSE))</f>
        <v>0</v>
      </c>
      <c r="O69" s="136">
        <f ca="1">IF(OR($F69&gt;MAX('הנחות עבודה'!$B$69:$B$89),$F69&gt;$D$5),0,VLOOKUP($F69,'הספק נוסף נדרש'!$B$8:$AX$28,MATCH(O$49,'הספק נוסף נדרש'!$B$6:$AX$6,0)+(ROUNDUP((O$2-$F$2)/COUNTA($F$10:$F$16),0)-1)*COUNTA('הספק נוסף נדרש'!$C$6:$J$6),FALSE))</f>
        <v>0</v>
      </c>
      <c r="P69" s="136">
        <f ca="1">IF(OR($F69&gt;MAX('הנחות עבודה'!$B$69:$B$89),$F69&gt;$D$5),0,VLOOKUP($F69,'הספק נוסף נדרש'!$B$8:$AX$28,MATCH(P$49,'הספק נוסף נדרש'!$B$6:$AX$6,0)+(ROUNDUP((P$2-$F$2)/COUNTA($F$10:$F$16),0)-1)*COUNTA('הספק נוסף נדרש'!$C$6:$J$6),FALSE))</f>
        <v>0</v>
      </c>
      <c r="Q69" s="136">
        <f ca="1">IF(OR($F69&gt;MAX('הנחות עבודה'!$B$69:$B$89),$F69&gt;$D$5),0,VLOOKUP($F69,'הספק נוסף נדרש'!$B$8:$AX$28,MATCH(Q$49,'הספק נוסף נדרש'!$B$6:$AX$6,0)+(ROUNDUP((Q$2-$F$2)/COUNTA($F$10:$F$16),0)-1)*COUNTA('הספק נוסף נדרש'!$C$6:$J$6),FALSE))</f>
        <v>0</v>
      </c>
      <c r="R69" s="136">
        <f ca="1">IF(OR($F69&gt;MAX('הנחות עבודה'!$B$69:$B$89),$F69&gt;$D$5),0,VLOOKUP($F69,'הספק נוסף נדרש'!$B$8:$AX$28,MATCH(R$49,'הספק נוסף נדרש'!$B$6:$AX$6,0)+(ROUNDUP((R$2-$F$2)/COUNTA($F$10:$F$16),0)-1)*COUNTA('הספק נוסף נדרש'!$C$6:$J$6),FALSE))</f>
        <v>0</v>
      </c>
      <c r="S69" s="79">
        <f ca="1">IF(OR($F69&gt;MAX('הנחות עבודה'!$B$69:$B$89),$F69&gt;$D$5),0,VLOOKUP($F69,'הספק נוסף נדרש'!$B$8:$AX$28,MATCH(S$49,'הספק נוסף נדרש'!$B$6:$AX$6,0)+(ROUNDUP((S$2-$F$2)/COUNTA($F$10:$F$16),0)-1)*COUNTA('הספק נוסף נדרש'!$C$6:$J$6),FALSE))</f>
        <v>0</v>
      </c>
      <c r="T69" s="138">
        <f ca="1">IF(OR($F69&gt;MAX('הנחות עבודה'!$B$69:$B$89),$F69&gt;$D$5),0,VLOOKUP($F69,'הספק נוסף נדרש'!$B$8:$AX$28,MATCH(T$49,'הספק נוסף נדרש'!$B$6:$AX$6,0)+(ROUNDUP((T$2-$F$2)/COUNTA($F$10:$F$16),0)-1)*COUNTA('הספק נוסף נדרש'!$C$6:$J$6),FALSE))</f>
        <v>0</v>
      </c>
      <c r="U69" s="138">
        <f ca="1">IF(OR($F69&gt;MAX('הנחות עבודה'!$B$69:$B$89),$F69&gt;$D$5),0,VLOOKUP($F69,'הספק נוסף נדרש'!$B$8:$AX$28,MATCH(U$49,'הספק נוסף נדרש'!$B$6:$AX$6,0)+(ROUNDUP((U$2-$F$2)/COUNTA($F$10:$F$16),0)-1)*COUNTA('הספק נוסף נדרש'!$C$6:$J$6),FALSE))</f>
        <v>0</v>
      </c>
      <c r="V69" s="138">
        <f ca="1">IF(OR($F69&gt;MAX('הנחות עבודה'!$B$69:$B$89),$F69&gt;$D$5),0,VLOOKUP($F69,'הספק נוסף נדרש'!$B$8:$AX$28,MATCH(V$49,'הספק נוסף נדרש'!$B$6:$AX$6,0)+(ROUNDUP((V$2-$F$2)/COUNTA($F$10:$F$16),0)-1)*COUNTA('הספק נוסף נדרש'!$C$6:$J$6),FALSE))</f>
        <v>0</v>
      </c>
      <c r="W69" s="138">
        <f ca="1">IF(OR($F69&gt;MAX('הנחות עבודה'!$B$69:$B$89),$F69&gt;$D$5),0,VLOOKUP($F69,'הספק נוסף נדרש'!$B$8:$AX$28,MATCH(W$49,'הספק נוסף נדרש'!$B$6:$AX$6,0)+(ROUNDUP((W$2-$F$2)/COUNTA($F$10:$F$16),0)-1)*COUNTA('הספק נוסף נדרש'!$C$6:$J$6),FALSE))</f>
        <v>0</v>
      </c>
      <c r="X69" s="79">
        <f ca="1">IF(OR($F69&gt;MAX('הנחות עבודה'!$B$69:$B$89),$F69&gt;$D$5),0,VLOOKUP($F69,'הספק נוסף נדרש'!$B$8:$AX$28,MATCH(X$49,'הספק נוסף נדרש'!$B$6:$AX$6,0)+(ROUNDUP((X$2-$F$2)/COUNTA($F$10:$F$16),0)-1)*COUNTA('הספק נוסף נדרש'!$C$6:$J$6),FALSE))</f>
        <v>0</v>
      </c>
      <c r="Y69" s="74">
        <f ca="1">IF(OR($F69&gt;MAX('הנחות עבודה'!$B$69:$B$89),$F69&gt;$D$5),0,VLOOKUP($F69,'הספק נוסף נדרש'!$B$8:$AX$28,MATCH(Y$49,'הספק נוסף נדרש'!$B$6:$AX$6,0)+(ROUNDUP((Y$2-$F$2)/COUNTA($F$10:$F$16),0)-1)*COUNTA('הספק נוסף נדרש'!$C$6:$J$6),FALSE))</f>
        <v>0</v>
      </c>
      <c r="Z69" s="136">
        <f ca="1">IF(OR($F69&gt;MAX('הנחות עבודה'!$B$69:$B$89),$F69&gt;$D$5),0,VLOOKUP($F69,'הספק נוסף נדרש'!$B$8:$AX$28,MATCH(Z$49,'הספק נוסף נדרש'!$B$6:$AX$6,0)+(ROUNDUP((Z$2-$F$2)/COUNTA($F$10:$F$16),0)-1)*COUNTA('הספק נוסף נדרש'!$C$6:$J$6),FALSE))</f>
        <v>0</v>
      </c>
      <c r="AA69" s="136">
        <f ca="1">IF(OR($F69&gt;MAX('הנחות עבודה'!$B$69:$B$89),$F69&gt;$D$5),0,VLOOKUP($F69,'הספק נוסף נדרש'!$B$8:$AX$28,MATCH(AA$49,'הספק נוסף נדרש'!$B$6:$AX$6,0)+(ROUNDUP((AA$2-$F$2)/COUNTA($F$10:$F$16),0)-1)*COUNTA('הספק נוסף נדרש'!$C$6:$J$6),FALSE))</f>
        <v>0</v>
      </c>
      <c r="AB69" s="136">
        <f ca="1">IF(OR($F69&gt;MAX('הנחות עבודה'!$B$69:$B$89),$F69&gt;$D$5),0,VLOOKUP($F69,'הספק נוסף נדרש'!$B$8:$AX$28,MATCH(AB$49,'הספק נוסף נדרש'!$B$6:$AX$6,0)+(ROUNDUP((AB$2-$F$2)/COUNTA($F$10:$F$16),0)-1)*COUNTA('הספק נוסף נדרש'!$C$6:$J$6),FALSE))</f>
        <v>0</v>
      </c>
      <c r="AC69" s="136">
        <f ca="1">IF(OR($F69&gt;MAX('הנחות עבודה'!$B$69:$B$89),$F69&gt;$D$5),0,VLOOKUP($F69,'הספק נוסף נדרש'!$B$8:$AX$28,MATCH(AC$49,'הספק נוסף נדרש'!$B$6:$AX$6,0)+(ROUNDUP((AC$2-$F$2)/COUNTA($F$10:$F$16),0)-1)*COUNTA('הספק נוסף נדרש'!$C$6:$J$6),FALSE))</f>
        <v>0</v>
      </c>
      <c r="AD69" s="136">
        <f ca="1">IF(OR($F69&gt;MAX('הנחות עבודה'!$B$69:$B$89),$F69&gt;$D$5),0,VLOOKUP($F69,'הספק נוסף נדרש'!$B$8:$AX$28,MATCH(AD$49,'הספק נוסף נדרש'!$B$6:$AX$6,0)+(ROUNDUP((AD$2-$F$2)/COUNTA($F$10:$F$16),0)-1)*COUNTA('הספק נוסף נדרש'!$C$6:$J$6),FALSE))</f>
        <v>0</v>
      </c>
      <c r="AE69" s="79">
        <f ca="1">IF(OR($F69&gt;MAX('הנחות עבודה'!$B$69:$B$89),$F69&gt;$D$5),0,VLOOKUP($F69,'הספק נוסף נדרש'!$B$8:$AX$28,MATCH(AE$49,'הספק נוסף נדרש'!$B$6:$AX$6,0)+(ROUNDUP((AE$2-$F$2)/COUNTA($F$10:$F$16),0)-1)*COUNTA('הספק נוסף נדרש'!$C$6:$J$6),FALSE))</f>
        <v>0</v>
      </c>
      <c r="AF69" s="138">
        <f ca="1">IF(OR($F69&gt;MAX('הנחות עבודה'!$B$69:$B$89),$F69&gt;$D$5),0,VLOOKUP($F69,'הספק נוסף נדרש'!$B$8:$AX$28,MATCH(AF$49,'הספק נוסף נדרש'!$B$6:$AX$6,0)+(ROUNDUP((AF$2-$F$2)/COUNTA($F$10:$F$16),0)-1)*COUNTA('הספק נוסף נדרש'!$C$6:$J$6),FALSE))</f>
        <v>0</v>
      </c>
      <c r="AG69" s="138">
        <f ca="1">IF(OR($F69&gt;MAX('הנחות עבודה'!$B$69:$B$89),$F69&gt;$D$5),0,VLOOKUP($F69,'הספק נוסף נדרש'!$B$8:$AX$28,MATCH(AG$49,'הספק נוסף נדרש'!$B$6:$AX$6,0)+(ROUNDUP((AG$2-$F$2)/COUNTA($F$10:$F$16),0)-1)*COUNTA('הספק נוסף נדרש'!$C$6:$J$6),FALSE))</f>
        <v>0</v>
      </c>
      <c r="AH69" s="138">
        <f ca="1">IF(OR($F69&gt;MAX('הנחות עבודה'!$B$69:$B$89),$F69&gt;$D$5),0,VLOOKUP($F69,'הספק נוסף נדרש'!$B$8:$AX$28,MATCH(AH$49,'הספק נוסף נדרש'!$B$6:$AX$6,0)+(ROUNDUP((AH$2-$F$2)/COUNTA($F$10:$F$16),0)-1)*COUNTA('הספק נוסף נדרש'!$C$6:$J$6),FALSE))</f>
        <v>0</v>
      </c>
      <c r="AI69" s="138">
        <f ca="1">IF(OR($F69&gt;MAX('הנחות עבודה'!$B$69:$B$89),$F69&gt;$D$5),0,VLOOKUP($F69,'הספק נוסף נדרש'!$B$8:$AX$28,MATCH(AI$49,'הספק נוסף נדרש'!$B$6:$AX$6,0)+(ROUNDUP((AI$2-$F$2)/COUNTA($F$10:$F$16),0)-1)*COUNTA('הספק נוסף נדרש'!$C$6:$J$6),FALSE))</f>
        <v>0</v>
      </c>
      <c r="AJ69" s="79">
        <f ca="1">IF(OR($F69&gt;MAX('הנחות עבודה'!$B$69:$B$89),$F69&gt;$D$5),0,VLOOKUP($F69,'הספק נוסף נדרש'!$B$8:$AX$28,MATCH(AJ$49,'הספק נוסף נדרש'!$B$6:$AX$6,0)+(ROUNDUP((AJ$2-$F$2)/COUNTA($F$10:$F$16),0)-1)*COUNTA('הספק נוסף נדרש'!$C$6:$J$6),FALSE))</f>
        <v>0</v>
      </c>
      <c r="AK69" s="74">
        <f ca="1">IF(OR($F69&gt;MAX('הנחות עבודה'!$B$69:$B$89),$F69&gt;$D$5),0,VLOOKUP($F69,'הספק נוסף נדרש'!$B$8:$AX$28,MATCH(AK$49,'הספק נוסף נדרש'!$B$6:$AX$6,0)+(ROUNDUP((AK$2-$F$2)/COUNTA($F$10:$F$16),0)-1)*COUNTA('הספק נוסף נדרש'!$C$6:$J$6),FALSE))</f>
        <v>0</v>
      </c>
      <c r="AL69" s="136">
        <f ca="1">IF(OR($F69&gt;MAX('הנחות עבודה'!$B$69:$B$89),$F69&gt;$D$5),0,VLOOKUP($F69,'הספק נוסף נדרש'!$B$8:$AX$28,MATCH(AL$49,'הספק נוסף נדרש'!$B$6:$AX$6,0)+(ROUNDUP((AL$2-$F$2)/COUNTA($F$10:$F$16),0)-1)*COUNTA('הספק נוסף נדרש'!$C$6:$J$6),FALSE))</f>
        <v>0</v>
      </c>
      <c r="AM69" s="136">
        <f ca="1">IF(OR($F69&gt;MAX('הנחות עבודה'!$B$69:$B$89),$F69&gt;$D$5),0,VLOOKUP($F69,'הספק נוסף נדרש'!$B$8:$AX$28,MATCH(AM$49,'הספק נוסף נדרש'!$B$6:$AX$6,0)+(ROUNDUP((AM$2-$F$2)/COUNTA($F$10:$F$16),0)-1)*COUNTA('הספק נוסף נדרש'!$C$6:$J$6),FALSE))</f>
        <v>0</v>
      </c>
      <c r="AN69" s="136">
        <f ca="1">IF(OR($F69&gt;MAX('הנחות עבודה'!$B$69:$B$89),$F69&gt;$D$5),0,VLOOKUP($F69,'הספק נוסף נדרש'!$B$8:$AX$28,MATCH(AN$49,'הספק נוסף נדרש'!$B$6:$AX$6,0)+(ROUNDUP((AN$2-$F$2)/COUNTA($F$10:$F$16),0)-1)*COUNTA('הספק נוסף נדרש'!$C$6:$J$6),FALSE))</f>
        <v>0</v>
      </c>
      <c r="AO69" s="136">
        <f ca="1">IF(OR($F69&gt;MAX('הנחות עבודה'!$B$69:$B$89),$F69&gt;$D$5),0,VLOOKUP($F69,'הספק נוסף נדרש'!$B$8:$AX$28,MATCH(AO$49,'הספק נוסף נדרש'!$B$6:$AX$6,0)+(ROUNDUP((AO$2-$F$2)/COUNTA($F$10:$F$16),0)-1)*COUNTA('הספק נוסף נדרש'!$C$6:$J$6),FALSE))</f>
        <v>0</v>
      </c>
      <c r="AP69" s="136">
        <f ca="1">IF(OR($F69&gt;MAX('הנחות עבודה'!$B$69:$B$89),$F69&gt;$D$5),0,VLOOKUP($F69,'הספק נוסף נדרש'!$B$8:$AX$28,MATCH(AP$49,'הספק נוסף נדרש'!$B$6:$AX$6,0)+(ROUNDUP((AP$2-$F$2)/COUNTA($F$10:$F$16),0)-1)*COUNTA('הספק נוסף נדרש'!$C$6:$J$6),FALSE))</f>
        <v>0</v>
      </c>
      <c r="AQ69" s="9"/>
      <c r="AR69" s="10">
        <f t="shared" si="313"/>
        <v>2039</v>
      </c>
      <c r="AS69" s="79">
        <f ca="1">HLOOKUP(AS$49,$G$24:$L$45,COUNTA($F$25:$F44)+1,FALSE)*G69*$D$7/$D$8</f>
        <v>0</v>
      </c>
      <c r="AT69" s="138">
        <f ca="1">HLOOKUP(AT$49,$G$24:$L$45,COUNTA($F$25:$F44)+1,FALSE)*H69*$D$7/$D$8</f>
        <v>0</v>
      </c>
      <c r="AU69" s="138">
        <f ca="1">HLOOKUP(AU$49,$G$24:$L$45,COUNTA($F$25:$F44)+1,FALSE)*I69*$D$7/$D$8</f>
        <v>0</v>
      </c>
      <c r="AV69" s="138">
        <f ca="1">HLOOKUP(AV$49,$G$24:$L$45,COUNTA($F$25:$F44)+1,FALSE)*J69*$D$7/$D$8</f>
        <v>0</v>
      </c>
      <c r="AW69" s="138">
        <f ca="1">HLOOKUP(AW$49,$G$24:$L$45,COUNTA($F$25:$F44)+1,FALSE)*K69*$D$7/$D$8</f>
        <v>0</v>
      </c>
      <c r="AX69" s="79">
        <f ca="1">HLOOKUP(AX$49,$G$24:$L$45,COUNTA($F$25:$F44)+1,FALSE)*L69*$D$7/$D$8</f>
        <v>0</v>
      </c>
      <c r="AY69" s="74">
        <f ca="1">HLOOKUP(AY$49,$G$24:$L$45,COUNTA($F$25:$F44)+1,FALSE)*M69*$D$7/$D$8</f>
        <v>0</v>
      </c>
      <c r="AZ69" s="136">
        <f ca="1">HLOOKUP(AZ$49,$G$24:$L$45,COUNTA($F$25:$F44)+1,FALSE)*N69*$D$7/$D$8</f>
        <v>0</v>
      </c>
      <c r="BA69" s="136">
        <f ca="1">HLOOKUP(BA$49,$G$24:$L$45,COUNTA($F$25:$F44)+1,FALSE)*O69*$D$7/$D$8</f>
        <v>0</v>
      </c>
      <c r="BB69" s="136">
        <f ca="1">HLOOKUP(BB$49,$G$24:$L$45,COUNTA($F$25:$F44)+1,FALSE)*P69*$D$7/$D$8</f>
        <v>0</v>
      </c>
      <c r="BC69" s="136">
        <f ca="1">HLOOKUP(BC$49,$G$24:$L$45,COUNTA($F$25:$F44)+1,FALSE)*Q69*$D$7/$D$8</f>
        <v>0</v>
      </c>
      <c r="BD69" s="136">
        <f ca="1">HLOOKUP(BD$49,$G$24:$L$45,COUNTA($F$25:$F44)+1,FALSE)*R69*$D$7/$D$8</f>
        <v>0</v>
      </c>
      <c r="BE69" s="79">
        <f ca="1">HLOOKUP(BE$49,$G$24:$L$45,COUNTA($F$25:$F44)+1,FALSE)*S69*$D$7/$D$8</f>
        <v>0</v>
      </c>
      <c r="BF69" s="138">
        <f ca="1">HLOOKUP(BF$49,$G$24:$L$45,COUNTA($F$25:$F44)+1,FALSE)*T69*$D$7/$D$8</f>
        <v>0</v>
      </c>
      <c r="BG69" s="138">
        <f ca="1">HLOOKUP(BG$49,$G$24:$L$45,COUNTA($F$25:$F44)+1,FALSE)*U69*$D$7/$D$8</f>
        <v>0</v>
      </c>
      <c r="BH69" s="138">
        <f ca="1">HLOOKUP(BH$49,$G$24:$L$45,COUNTA($F$25:$F44)+1,FALSE)*V69*$D$7/$D$8</f>
        <v>0</v>
      </c>
      <c r="BI69" s="138">
        <f ca="1">HLOOKUP(BI$49,$G$24:$L$45,COUNTA($F$25:$F44)+1,FALSE)*W69*$D$7/$D$8</f>
        <v>0</v>
      </c>
      <c r="BJ69" s="79">
        <f ca="1">HLOOKUP(BJ$49,$G$24:$L$45,COUNTA($F$25:$F44)+1,FALSE)*X69*$D$7/$D$8</f>
        <v>0</v>
      </c>
      <c r="BK69" s="74">
        <f ca="1">HLOOKUP(BK$49,$G$24:$L$45,COUNTA($F$25:$F44)+1,FALSE)*Y69*$D$7/$D$8</f>
        <v>0</v>
      </c>
      <c r="BL69" s="136">
        <f ca="1">HLOOKUP(BL$49,$G$24:$L$45,COUNTA($F$25:$F44)+1,FALSE)*Z69*$D$7/$D$8</f>
        <v>0</v>
      </c>
      <c r="BM69" s="136">
        <f ca="1">HLOOKUP(BM$49,$G$24:$L$45,COUNTA($F$25:$F44)+1,FALSE)*AA69*$D$7/$D$8</f>
        <v>0</v>
      </c>
      <c r="BN69" s="136">
        <f ca="1">HLOOKUP(BN$49,$G$24:$L$45,COUNTA($F$25:$F44)+1,FALSE)*AB69*$D$7/$D$8</f>
        <v>0</v>
      </c>
      <c r="BO69" s="136">
        <f ca="1">HLOOKUP(BO$49,$G$24:$L$45,COUNTA($F$25:$F44)+1,FALSE)*AC69*$D$7/$D$8</f>
        <v>0</v>
      </c>
      <c r="BP69" s="136">
        <f ca="1">HLOOKUP(BP$49,$G$24:$L$45,COUNTA($F$25:$F44)+1,FALSE)*AD69*$D$7/$D$8</f>
        <v>0</v>
      </c>
      <c r="BQ69" s="79">
        <f ca="1">HLOOKUP(BQ$49,$G$24:$L$45,COUNTA($F$25:$F44)+1,FALSE)*AE69*$D$7/$D$8</f>
        <v>0</v>
      </c>
      <c r="BR69" s="138">
        <f ca="1">HLOOKUP(BR$49,$G$24:$L$45,COUNTA($F$25:$F44)+1,FALSE)*AF69*$D$7/$D$8</f>
        <v>0</v>
      </c>
      <c r="BS69" s="138">
        <f ca="1">HLOOKUP(BS$49,$G$24:$L$45,COUNTA($F$25:$F44)+1,FALSE)*AG69*$D$7/$D$8</f>
        <v>0</v>
      </c>
      <c r="BT69" s="138">
        <f ca="1">HLOOKUP(BT$49,$G$24:$L$45,COUNTA($F$25:$F44)+1,FALSE)*AH69*$D$7/$D$8</f>
        <v>0</v>
      </c>
      <c r="BU69" s="138">
        <f ca="1">HLOOKUP(BU$49,$G$24:$L$45,COUNTA($F$25:$F44)+1,FALSE)*AI69*$D$7/$D$8</f>
        <v>0</v>
      </c>
      <c r="BV69" s="79">
        <f ca="1">HLOOKUP(BV$49,$G$24:$L$45,COUNTA($F$25:$F44)+1,FALSE)*AJ69*$D$7/$D$8</f>
        <v>0</v>
      </c>
      <c r="BW69" s="74">
        <f ca="1">HLOOKUP(BW$49,$G$24:$L$45,COUNTA($F$25:$F44)+1,FALSE)*AK69*$D$7/$D$8</f>
        <v>0</v>
      </c>
      <c r="BX69" s="136">
        <f ca="1">HLOOKUP(BX$49,$G$24:$L$45,COUNTA($F$25:$F44)+1,FALSE)*AL69*$D$7/$D$8</f>
        <v>0</v>
      </c>
      <c r="BY69" s="136">
        <f ca="1">HLOOKUP(BY$49,$G$24:$L$45,COUNTA($F$25:$F44)+1,FALSE)*AM69*$D$7/$D$8</f>
        <v>0</v>
      </c>
      <c r="BZ69" s="136">
        <f ca="1">HLOOKUP(BZ$49,$G$24:$L$45,COUNTA($F$25:$F44)+1,FALSE)*AN69*$D$7/$D$8</f>
        <v>0</v>
      </c>
      <c r="CA69" s="136">
        <f ca="1">HLOOKUP(CA$49,$G$24:$L$45,COUNTA($F$25:$F44)+1,FALSE)*AO69*$D$7/$D$8</f>
        <v>0</v>
      </c>
      <c r="CB69" s="739">
        <f ca="1">HLOOKUP(CB$49,$G$24:$L$45,COUNTA($F$25:$F44)+1,FALSE)*AP69*$D$7/$D$8</f>
        <v>0</v>
      </c>
      <c r="CD69" s="10">
        <f t="shared" si="314"/>
        <v>2039</v>
      </c>
      <c r="CE69" s="85">
        <f t="shared" ca="1" si="240"/>
        <v>1072.8415146359366</v>
      </c>
      <c r="CF69" s="147">
        <f t="shared" ca="1" si="241"/>
        <v>0</v>
      </c>
      <c r="CG69" s="147">
        <f t="shared" ca="1" si="242"/>
        <v>216.27952515046442</v>
      </c>
      <c r="CH69" s="147">
        <f t="shared" ca="1" si="243"/>
        <v>19.606169426540287</v>
      </c>
      <c r="CI69" s="147">
        <f t="shared" ca="1" si="244"/>
        <v>0</v>
      </c>
      <c r="CJ69" s="85">
        <f t="shared" ca="1" si="245"/>
        <v>0</v>
      </c>
      <c r="CK69" s="151">
        <f t="shared" ca="1" si="246"/>
        <v>0</v>
      </c>
      <c r="CL69" s="102">
        <f t="shared" ca="1" si="247"/>
        <v>1330.100333878547</v>
      </c>
      <c r="CM69" s="102">
        <f t="shared" ca="1" si="248"/>
        <v>216.27952515046442</v>
      </c>
      <c r="CN69" s="102">
        <f t="shared" ca="1" si="249"/>
        <v>19.606169426540287</v>
      </c>
      <c r="CO69" s="102">
        <f t="shared" ca="1" si="250"/>
        <v>0</v>
      </c>
      <c r="CP69" s="151">
        <f t="shared" ca="1" si="251"/>
        <v>0</v>
      </c>
      <c r="CQ69" s="85">
        <f t="shared" ca="1" si="252"/>
        <v>1875.8411079969287</v>
      </c>
      <c r="CR69" s="147">
        <f t="shared" ca="1" si="253"/>
        <v>0</v>
      </c>
      <c r="CS69" s="147">
        <f t="shared" ca="1" si="254"/>
        <v>216.27952515046442</v>
      </c>
      <c r="CT69" s="147">
        <f t="shared" ca="1" si="255"/>
        <v>19.606169426540287</v>
      </c>
      <c r="CU69" s="147">
        <f t="shared" ca="1" si="256"/>
        <v>0</v>
      </c>
      <c r="CV69" s="85">
        <f t="shared" ca="1" si="257"/>
        <v>0</v>
      </c>
      <c r="CW69" s="151">
        <f t="shared" ca="1" si="258"/>
        <v>0</v>
      </c>
      <c r="CX69" s="102">
        <f t="shared" ca="1" si="259"/>
        <v>2329.6222224771814</v>
      </c>
      <c r="CY69" s="102">
        <f t="shared" ca="1" si="260"/>
        <v>216.27952515046442</v>
      </c>
      <c r="CZ69" s="102">
        <f t="shared" ca="1" si="261"/>
        <v>19.606169426540287</v>
      </c>
      <c r="DA69" s="102">
        <f t="shared" ca="1" si="262"/>
        <v>0</v>
      </c>
      <c r="DB69" s="151">
        <f t="shared" ca="1" si="263"/>
        <v>0</v>
      </c>
      <c r="DC69" s="85">
        <f t="shared" ca="1" si="264"/>
        <v>2372.5516075818737</v>
      </c>
      <c r="DD69" s="147">
        <f t="shared" ca="1" si="265"/>
        <v>0</v>
      </c>
      <c r="DE69" s="147">
        <f t="shared" ca="1" si="266"/>
        <v>216.27952515046442</v>
      </c>
      <c r="DF69" s="147">
        <f t="shared" ca="1" si="267"/>
        <v>19.606169426540287</v>
      </c>
      <c r="DG69" s="147">
        <f t="shared" ca="1" si="268"/>
        <v>0</v>
      </c>
      <c r="DH69" s="85">
        <f t="shared" ca="1" si="269"/>
        <v>0</v>
      </c>
      <c r="DI69" s="151">
        <f t="shared" ca="1" si="270"/>
        <v>0</v>
      </c>
      <c r="DJ69" s="102">
        <f t="shared" ca="1" si="271"/>
        <v>2948.2575202218331</v>
      </c>
      <c r="DK69" s="102">
        <f t="shared" ca="1" si="272"/>
        <v>216.27952515046442</v>
      </c>
      <c r="DL69" s="102">
        <f t="shared" ca="1" si="273"/>
        <v>19.606169426540287</v>
      </c>
      <c r="DM69" s="102">
        <f t="shared" ca="1" si="274"/>
        <v>0</v>
      </c>
      <c r="DN69" s="564">
        <f t="shared" ca="1" si="275"/>
        <v>0</v>
      </c>
      <c r="DP69" s="10">
        <f t="shared" si="315"/>
        <v>2039</v>
      </c>
      <c r="DQ69" s="85">
        <f t="shared" ca="1" si="276"/>
        <v>346.43926141557102</v>
      </c>
      <c r="DR69" s="147">
        <f t="shared" ca="1" si="277"/>
        <v>0</v>
      </c>
      <c r="DS69" s="147">
        <f t="shared" ca="1" si="278"/>
        <v>61.350712925538716</v>
      </c>
      <c r="DT69" s="147">
        <f t="shared" ca="1" si="279"/>
        <v>6.4807091118526818</v>
      </c>
      <c r="DU69" s="147">
        <f t="shared" ca="1" si="280"/>
        <v>0</v>
      </c>
      <c r="DV69" s="85">
        <f t="shared" ca="1" si="281"/>
        <v>0</v>
      </c>
      <c r="DW69" s="151">
        <f t="shared" ca="1" si="282"/>
        <v>0</v>
      </c>
      <c r="DX69" s="102">
        <f t="shared" ca="1" si="283"/>
        <v>394.23058597629023</v>
      </c>
      <c r="DY69" s="102">
        <f t="shared" ca="1" si="284"/>
        <v>61.350712925538716</v>
      </c>
      <c r="DZ69" s="102">
        <f t="shared" ca="1" si="285"/>
        <v>6.4807091118526818</v>
      </c>
      <c r="EA69" s="102">
        <f t="shared" ca="1" si="286"/>
        <v>0</v>
      </c>
      <c r="EB69" s="151">
        <f t="shared" ca="1" si="287"/>
        <v>0</v>
      </c>
      <c r="EC69" s="85">
        <f t="shared" ca="1" si="288"/>
        <v>616.2052651814364</v>
      </c>
      <c r="ED69" s="147">
        <f t="shared" ca="1" si="289"/>
        <v>0</v>
      </c>
      <c r="EE69" s="147">
        <f t="shared" ca="1" si="290"/>
        <v>61.350712925538716</v>
      </c>
      <c r="EF69" s="147">
        <f t="shared" ca="1" si="291"/>
        <v>6.4807091118526818</v>
      </c>
      <c r="EG69" s="147">
        <f t="shared" ca="1" si="292"/>
        <v>0</v>
      </c>
      <c r="EH69" s="85">
        <f t="shared" ca="1" si="293"/>
        <v>0</v>
      </c>
      <c r="EI69" s="151">
        <f t="shared" ca="1" si="294"/>
        <v>0</v>
      </c>
      <c r="EJ69" s="102">
        <f t="shared" ca="1" si="295"/>
        <v>701.21083211394455</v>
      </c>
      <c r="EK69" s="102">
        <f t="shared" ca="1" si="296"/>
        <v>61.350712925538716</v>
      </c>
      <c r="EL69" s="102">
        <f t="shared" ca="1" si="297"/>
        <v>6.4807091118526818</v>
      </c>
      <c r="EM69" s="102">
        <f t="shared" ca="1" si="298"/>
        <v>0</v>
      </c>
      <c r="EN69" s="151">
        <f t="shared" ca="1" si="299"/>
        <v>0</v>
      </c>
      <c r="EO69" s="85">
        <f t="shared" ca="1" si="300"/>
        <v>784.54004761148781</v>
      </c>
      <c r="EP69" s="145">
        <f t="shared" ca="1" si="301"/>
        <v>0</v>
      </c>
      <c r="EQ69" s="145">
        <f t="shared" ca="1" si="302"/>
        <v>61.350712925538716</v>
      </c>
      <c r="ER69" s="145">
        <f t="shared" ca="1" si="303"/>
        <v>6.4807091118526818</v>
      </c>
      <c r="ES69" s="145">
        <f t="shared" ca="1" si="304"/>
        <v>0</v>
      </c>
      <c r="ET69" s="85">
        <f t="shared" ca="1" si="305"/>
        <v>0</v>
      </c>
      <c r="EU69" s="102">
        <f t="shared" ca="1" si="306"/>
        <v>0</v>
      </c>
      <c r="EV69" s="102">
        <f t="shared" ca="1" si="307"/>
        <v>892.76741160331449</v>
      </c>
      <c r="EW69" s="102">
        <f t="shared" ca="1" si="308"/>
        <v>61.350712925538716</v>
      </c>
      <c r="EX69" s="102">
        <f t="shared" ca="1" si="309"/>
        <v>6.4807091118526818</v>
      </c>
      <c r="EY69" s="102">
        <f t="shared" ca="1" si="310"/>
        <v>0</v>
      </c>
      <c r="EZ69" s="564">
        <f t="shared" ca="1" si="311"/>
        <v>0</v>
      </c>
      <c r="FB69" s="10">
        <f t="shared" si="316"/>
        <v>2039</v>
      </c>
      <c r="FC69" s="85">
        <f ca="1">HLOOKUP(FC$49,$O$24:$T$45,COUNTA($N$25:$N44)+1,FALSE)*G69*$D$7/$D$8</f>
        <v>0</v>
      </c>
      <c r="FD69" s="147">
        <f ca="1">HLOOKUP(FD$49,$O$24:$T$45,COUNTA($N$25:$N44)+1,FALSE)*H69*$D$7/$D$8</f>
        <v>0</v>
      </c>
      <c r="FE69" s="147">
        <f ca="1">HLOOKUP(FE$49,$O$24:$T$45,COUNTA($N$25:$N44)+1,FALSE)*I69*$D$7/$D$8</f>
        <v>0</v>
      </c>
      <c r="FF69" s="147">
        <f ca="1">HLOOKUP(FF$49,$O$24:$T$45,COUNTA($N$25:$N44)+1,FALSE)*J69*$D$7/$D$8</f>
        <v>0</v>
      </c>
      <c r="FG69" s="147">
        <f ca="1">HLOOKUP(FG$49,$O$24:$T$45,COUNTA($N$25:$N44)+1,FALSE)*K69*$D$7/$D$8</f>
        <v>0</v>
      </c>
      <c r="FH69" s="85">
        <f ca="1">HLOOKUP(FH$49,$O$24:$T$45,COUNTA($N$25:$N44)+1,FALSE)*L69*$D$7/$D$8</f>
        <v>0</v>
      </c>
      <c r="FI69" s="151">
        <f ca="1">HLOOKUP(FI$49,$O$24:$T$45,COUNTA($N$25:$N44)+1,FALSE)*M69*$D$7/$D$8</f>
        <v>0</v>
      </c>
      <c r="FJ69" s="153">
        <f ca="1">HLOOKUP(FJ$49,$O$24:$T$45,COUNTA($N$25:$N44)+1,FALSE)*N69*$D$7/$D$8</f>
        <v>0</v>
      </c>
      <c r="FK69" s="153">
        <f ca="1">HLOOKUP(FK$49,$O$24:$T$45,COUNTA($N$25:$N44)+1,FALSE)*O69*$D$7/$D$8</f>
        <v>0</v>
      </c>
      <c r="FL69" s="153">
        <f ca="1">HLOOKUP(FL$49,$O$24:$T$45,COUNTA($N$25:$N44)+1,FALSE)*P69*$D$7/$D$8</f>
        <v>0</v>
      </c>
      <c r="FM69" s="153">
        <f ca="1">HLOOKUP(FM$49,$O$24:$T$45,COUNTA($N$25:$N44)+1,FALSE)*Q69*$D$7/$D$8</f>
        <v>0</v>
      </c>
      <c r="FN69" s="151">
        <f ca="1">HLOOKUP(FN$49,$O$24:$T$45,COUNTA($N$25:$N44)+1,FALSE)*R69*$D$7/$D$8</f>
        <v>0</v>
      </c>
      <c r="FO69" s="85">
        <f ca="1">HLOOKUP(FO$49,$O$24:$T$45,COUNTA($N$25:$N44)+1,FALSE)*S69*$D$7/$D$8</f>
        <v>0</v>
      </c>
      <c r="FP69" s="147">
        <f ca="1">HLOOKUP(FP$49,$O$24:$T$45,COUNTA($N$25:$N44)+1,FALSE)*T69*$D$7/$D$8</f>
        <v>0</v>
      </c>
      <c r="FQ69" s="147">
        <f ca="1">HLOOKUP(FQ$49,$O$24:$T$45,COUNTA($N$25:$N44)+1,FALSE)*U69*$D$7/$D$8</f>
        <v>0</v>
      </c>
      <c r="FR69" s="147">
        <f ca="1">HLOOKUP(FR$49,$O$24:$T$45,COUNTA($N$25:$N44)+1,FALSE)*V69*$D$7/$D$8</f>
        <v>0</v>
      </c>
      <c r="FS69" s="147">
        <f ca="1">HLOOKUP(FS$49,$O$24:$T$45,COUNTA($N$25:$N44)+1,FALSE)*W69*$D$7/$D$8</f>
        <v>0</v>
      </c>
      <c r="FT69" s="85">
        <f ca="1">HLOOKUP(FT$49,$O$24:$T$45,COUNTA($N$25:$N44)+1,FALSE)*X69*$D$7/$D$8</f>
        <v>0</v>
      </c>
      <c r="FU69" s="151">
        <f ca="1">HLOOKUP(FU$49,$O$24:$T$45,COUNTA($N$25:$N44)+1,FALSE)*Y69*$D$7/$D$8</f>
        <v>0</v>
      </c>
      <c r="FV69" s="153">
        <f ca="1">HLOOKUP(FV$49,$O$24:$T$45,COUNTA($N$25:$N44)+1,FALSE)*Z69*$D$7/$D$8</f>
        <v>0</v>
      </c>
      <c r="FW69" s="153">
        <f ca="1">HLOOKUP(FW$49,$O$24:$T$45,COUNTA($N$25:$N44)+1,FALSE)*AA69*$D$7/$D$8</f>
        <v>0</v>
      </c>
      <c r="FX69" s="153">
        <f ca="1">HLOOKUP(FX$49,$O$24:$T$45,COUNTA($N$25:$N44)+1,FALSE)*AB69*$D$7/$D$8</f>
        <v>0</v>
      </c>
      <c r="FY69" s="153">
        <f ca="1">HLOOKUP(FY$49,$O$24:$T$45,COUNTA($N$25:$N44)+1,FALSE)*AC69*$D$7/$D$8</f>
        <v>0</v>
      </c>
      <c r="FZ69" s="151">
        <f ca="1">HLOOKUP(FZ$49,$O$24:$T$45,COUNTA($N$25:$N44)+1,FALSE)*AD69*$D$7/$D$8</f>
        <v>0</v>
      </c>
      <c r="GA69" s="85">
        <f ca="1">HLOOKUP(GA$49,$O$24:$T$45,COUNTA($N$25:$N44)+1,FALSE)*AE69*$D$7/$D$8</f>
        <v>0</v>
      </c>
      <c r="GB69" s="147">
        <f ca="1">HLOOKUP(GB$49,$O$24:$T$45,COUNTA($N$25:$N44)+1,FALSE)*AF69*$D$7/$D$8</f>
        <v>0</v>
      </c>
      <c r="GC69" s="147">
        <f ca="1">HLOOKUP(GC$49,$O$24:$T$45,COUNTA($N$25:$N44)+1,FALSE)*AG69*$D$7/$D$8</f>
        <v>0</v>
      </c>
      <c r="GD69" s="147">
        <f ca="1">HLOOKUP(GD$49,$O$24:$T$45,COUNTA($N$25:$N44)+1,FALSE)*AH69*$D$7/$D$8</f>
        <v>0</v>
      </c>
      <c r="GE69" s="147">
        <f ca="1">HLOOKUP(GE$49,$O$24:$T$45,COUNTA($N$25:$N44)+1,FALSE)*AI69*$D$7/$D$8</f>
        <v>0</v>
      </c>
      <c r="GF69" s="85">
        <f ca="1">HLOOKUP(GF$49,$O$24:$T$45,COUNTA($N$25:$N44)+1,FALSE)*AJ69*$D$7/$D$8</f>
        <v>0</v>
      </c>
      <c r="GG69" s="151">
        <f ca="1">HLOOKUP(GG$49,$O$24:$T$45,COUNTA($N$25:$N44)+1,FALSE)*AK69*$D$7/$D$8</f>
        <v>0</v>
      </c>
      <c r="GH69" s="153">
        <f ca="1">HLOOKUP(GH$49,$O$24:$T$45,COUNTA($N$25:$N44)+1,FALSE)*AL69*$D$7/$D$8</f>
        <v>0</v>
      </c>
      <c r="GI69" s="153">
        <f ca="1">HLOOKUP(GI$49,$O$24:$T$45,COUNTA($N$25:$N44)+1,FALSE)*AM69*$D$7/$D$8</f>
        <v>0</v>
      </c>
      <c r="GJ69" s="153">
        <f ca="1">HLOOKUP(GJ$49,$O$24:$T$45,COUNTA($N$25:$N44)+1,FALSE)*AN69*$D$7/$D$8</f>
        <v>0</v>
      </c>
      <c r="GK69" s="153">
        <f ca="1">HLOOKUP(GK$49,$O$24:$T$45,COUNTA($N$25:$N44)+1,FALSE)*AO69*$D$7/$D$8</f>
        <v>0</v>
      </c>
      <c r="GL69" s="564">
        <f ca="1">HLOOKUP(GL$49,$O$24:$T$45,COUNTA($N$25:$N44)+1,FALSE)*AP69*$D$7/$D$8</f>
        <v>0</v>
      </c>
    </row>
    <row r="70" spans="6:194" ht="16.5" thickBot="1">
      <c r="F70" s="11">
        <f t="shared" si="317"/>
        <v>2040</v>
      </c>
      <c r="G70" s="80">
        <f ca="1">IF(OR($F70&gt;MAX('הנחות עבודה'!$B$69:$B$89),$F70&gt;$D$5),0,VLOOKUP($F70,'הספק נוסף נדרש'!$B$8:$AX$28,MATCH(G$49,'הספק נוסף נדרש'!$B$6:$AX$6,0)+(ROUNDUP((G$2-$F$2)/COUNTA($F$10:$F$16),0)-1)*COUNTA('הספק נוסף נדרש'!$C$6:$J$6),FALSE))</f>
        <v>0</v>
      </c>
      <c r="H70" s="140">
        <f ca="1">IF(OR($F70&gt;MAX('הנחות עבודה'!$B$69:$B$89),$F70&gt;$D$5),0,VLOOKUP($F70,'הספק נוסף נדרש'!$B$8:$AX$28,MATCH(H$49,'הספק נוסף נדרש'!$B$6:$AX$6,0)+(ROUNDUP((H$2-$F$2)/COUNTA($F$10:$F$16),0)-1)*COUNTA('הספק נוסף נדרש'!$C$6:$J$6),FALSE))</f>
        <v>0</v>
      </c>
      <c r="I70" s="140">
        <f ca="1">IF(OR($F70&gt;MAX('הנחות עבודה'!$B$69:$B$89),$F70&gt;$D$5),0,VLOOKUP($F70,'הספק נוסף נדרש'!$B$8:$AX$28,MATCH(I$49,'הספק נוסף נדרש'!$B$6:$AX$6,0)+(ROUNDUP((I$2-$F$2)/COUNTA($F$10:$F$16),0)-1)*COUNTA('הספק נוסף נדרש'!$C$6:$J$6),FALSE))</f>
        <v>0</v>
      </c>
      <c r="J70" s="140">
        <f ca="1">IF(OR($F70&gt;MAX('הנחות עבודה'!$B$69:$B$89),$F70&gt;$D$5),0,VLOOKUP($F70,'הספק נוסף נדרש'!$B$8:$AX$28,MATCH(J$49,'הספק נוסף נדרש'!$B$6:$AX$6,0)+(ROUNDUP((J$2-$F$2)/COUNTA($F$10:$F$16),0)-1)*COUNTA('הספק נוסף נדרש'!$C$6:$J$6),FALSE))</f>
        <v>0</v>
      </c>
      <c r="K70" s="140">
        <f ca="1">IF(OR($F70&gt;MAX('הנחות עבודה'!$B$69:$B$89),$F70&gt;$D$5),0,VLOOKUP($F70,'הספק נוסף נדרש'!$B$8:$AX$28,MATCH(K$49,'הספק נוסף נדרש'!$B$6:$AX$6,0)+(ROUNDUP((K$2-$F$2)/COUNTA($F$10:$F$16),0)-1)*COUNTA('הספק נוסף נדרש'!$C$6:$J$6),FALSE))</f>
        <v>0</v>
      </c>
      <c r="L70" s="80">
        <f ca="1">IF(OR($F70&gt;MAX('הנחות עבודה'!$B$69:$B$89),$F70&gt;$D$5),0,VLOOKUP($F70,'הספק נוסף נדרש'!$B$8:$AX$28,MATCH(L$49,'הספק נוסף נדרש'!$B$6:$AX$6,0)+(ROUNDUP((L$2-$F$2)/COUNTA($F$10:$F$16),0)-1)*COUNTA('הספק נוסף נדרש'!$C$6:$J$6),FALSE))</f>
        <v>0</v>
      </c>
      <c r="M70" s="75">
        <f ca="1">IF(OR($F70&gt;MAX('הנחות עבודה'!$B$69:$B$89),$F70&gt;$D$5),0,VLOOKUP($F70,'הספק נוסף נדרש'!$B$8:$AX$28,MATCH(M$49,'הספק נוסף נדרש'!$B$6:$AX$6,0)+(ROUNDUP((M$2-$F$2)/COUNTA($F$10:$F$16),0)-1)*COUNTA('הספק נוסף נדרש'!$C$6:$J$6),FALSE))</f>
        <v>0</v>
      </c>
      <c r="N70" s="137">
        <f ca="1">IF(OR($F70&gt;MAX('הנחות עבודה'!$B$69:$B$89),$F70&gt;$D$5),0,VLOOKUP($F70,'הספק נוסף נדרש'!$B$8:$AX$28,MATCH(N$49,'הספק נוסף נדרש'!$B$6:$AX$6,0)+(ROUNDUP((N$2-$F$2)/COUNTA($F$10:$F$16),0)-1)*COUNTA('הספק נוסף נדרש'!$C$6:$J$6),FALSE))</f>
        <v>0</v>
      </c>
      <c r="O70" s="137">
        <f ca="1">IF(OR($F70&gt;MAX('הנחות עבודה'!$B$69:$B$89),$F70&gt;$D$5),0,VLOOKUP($F70,'הספק נוסף נדרש'!$B$8:$AX$28,MATCH(O$49,'הספק נוסף נדרש'!$B$6:$AX$6,0)+(ROUNDUP((O$2-$F$2)/COUNTA($F$10:$F$16),0)-1)*COUNTA('הספק נוסף נדרש'!$C$6:$J$6),FALSE))</f>
        <v>0</v>
      </c>
      <c r="P70" s="137">
        <f ca="1">IF(OR($F70&gt;MAX('הנחות עבודה'!$B$69:$B$89),$F70&gt;$D$5),0,VLOOKUP($F70,'הספק נוסף נדרש'!$B$8:$AX$28,MATCH(P$49,'הספק נוסף נדרש'!$B$6:$AX$6,0)+(ROUNDUP((P$2-$F$2)/COUNTA($F$10:$F$16),0)-1)*COUNTA('הספק נוסף נדרש'!$C$6:$J$6),FALSE))</f>
        <v>0</v>
      </c>
      <c r="Q70" s="137">
        <f ca="1">IF(OR($F70&gt;MAX('הנחות עבודה'!$B$69:$B$89),$F70&gt;$D$5),0,VLOOKUP($F70,'הספק נוסף נדרש'!$B$8:$AX$28,MATCH(Q$49,'הספק נוסף נדרש'!$B$6:$AX$6,0)+(ROUNDUP((Q$2-$F$2)/COUNTA($F$10:$F$16),0)-1)*COUNTA('הספק נוסף נדרש'!$C$6:$J$6),FALSE))</f>
        <v>0</v>
      </c>
      <c r="R70" s="137">
        <f ca="1">IF(OR($F70&gt;MAX('הנחות עבודה'!$B$69:$B$89),$F70&gt;$D$5),0,VLOOKUP($F70,'הספק נוסף נדרש'!$B$8:$AX$28,MATCH(R$49,'הספק נוסף נדרש'!$B$6:$AX$6,0)+(ROUNDUP((R$2-$F$2)/COUNTA($F$10:$F$16),0)-1)*COUNTA('הספק נוסף נדרש'!$C$6:$J$6),FALSE))</f>
        <v>0</v>
      </c>
      <c r="S70" s="80">
        <f ca="1">IF(OR($F70&gt;MAX('הנחות עבודה'!$B$69:$B$89),$F70&gt;$D$5),0,VLOOKUP($F70,'הספק נוסף נדרש'!$B$8:$AX$28,MATCH(S$49,'הספק נוסף נדרש'!$B$6:$AX$6,0)+(ROUNDUP((S$2-$F$2)/COUNTA($F$10:$F$16),0)-1)*COUNTA('הספק נוסף נדרש'!$C$6:$J$6),FALSE))</f>
        <v>0</v>
      </c>
      <c r="T70" s="140">
        <f ca="1">IF(OR($F70&gt;MAX('הנחות עבודה'!$B$69:$B$89),$F70&gt;$D$5),0,VLOOKUP($F70,'הספק נוסף נדרש'!$B$8:$AX$28,MATCH(T$49,'הספק נוסף נדרש'!$B$6:$AX$6,0)+(ROUNDUP((T$2-$F$2)/COUNTA($F$10:$F$16),0)-1)*COUNTA('הספק נוסף נדרש'!$C$6:$J$6),FALSE))</f>
        <v>0</v>
      </c>
      <c r="U70" s="140">
        <f ca="1">IF(OR($F70&gt;MAX('הנחות עבודה'!$B$69:$B$89),$F70&gt;$D$5),0,VLOOKUP($F70,'הספק נוסף נדרש'!$B$8:$AX$28,MATCH(U$49,'הספק נוסף נדרש'!$B$6:$AX$6,0)+(ROUNDUP((U$2-$F$2)/COUNTA($F$10:$F$16),0)-1)*COUNTA('הספק נוסף נדרש'!$C$6:$J$6),FALSE))</f>
        <v>0</v>
      </c>
      <c r="V70" s="140">
        <f ca="1">IF(OR($F70&gt;MAX('הנחות עבודה'!$B$69:$B$89),$F70&gt;$D$5),0,VLOOKUP($F70,'הספק נוסף נדרש'!$B$8:$AX$28,MATCH(V$49,'הספק נוסף נדרש'!$B$6:$AX$6,0)+(ROUNDUP((V$2-$F$2)/COUNTA($F$10:$F$16),0)-1)*COUNTA('הספק נוסף נדרש'!$C$6:$J$6),FALSE))</f>
        <v>0</v>
      </c>
      <c r="W70" s="140">
        <f ca="1">IF(OR($F70&gt;MAX('הנחות עבודה'!$B$69:$B$89),$F70&gt;$D$5),0,VLOOKUP($F70,'הספק נוסף נדרש'!$B$8:$AX$28,MATCH(W$49,'הספק נוסף נדרש'!$B$6:$AX$6,0)+(ROUNDUP((W$2-$F$2)/COUNTA($F$10:$F$16),0)-1)*COUNTA('הספק נוסף נדרש'!$C$6:$J$6),FALSE))</f>
        <v>0</v>
      </c>
      <c r="X70" s="80">
        <f ca="1">IF(OR($F70&gt;MAX('הנחות עבודה'!$B$69:$B$89),$F70&gt;$D$5),0,VLOOKUP($F70,'הספק נוסף נדרש'!$B$8:$AX$28,MATCH(X$49,'הספק נוסף נדרש'!$B$6:$AX$6,0)+(ROUNDUP((X$2-$F$2)/COUNTA($F$10:$F$16),0)-1)*COUNTA('הספק נוסף נדרש'!$C$6:$J$6),FALSE))</f>
        <v>0</v>
      </c>
      <c r="Y70" s="75">
        <f ca="1">IF(OR($F70&gt;MAX('הנחות עבודה'!$B$69:$B$89),$F70&gt;$D$5),0,VLOOKUP($F70,'הספק נוסף נדרש'!$B$8:$AX$28,MATCH(Y$49,'הספק נוסף נדרש'!$B$6:$AX$6,0)+(ROUNDUP((Y$2-$F$2)/COUNTA($F$10:$F$16),0)-1)*COUNTA('הספק נוסף נדרש'!$C$6:$J$6),FALSE))</f>
        <v>0</v>
      </c>
      <c r="Z70" s="137">
        <f ca="1">IF(OR($F70&gt;MAX('הנחות עבודה'!$B$69:$B$89),$F70&gt;$D$5),0,VLOOKUP($F70,'הספק נוסף נדרש'!$B$8:$AX$28,MATCH(Z$49,'הספק נוסף נדרש'!$B$6:$AX$6,0)+(ROUNDUP((Z$2-$F$2)/COUNTA($F$10:$F$16),0)-1)*COUNTA('הספק נוסף נדרש'!$C$6:$J$6),FALSE))</f>
        <v>0</v>
      </c>
      <c r="AA70" s="137">
        <f ca="1">IF(OR($F70&gt;MAX('הנחות עבודה'!$B$69:$B$89),$F70&gt;$D$5),0,VLOOKUP($F70,'הספק נוסף נדרש'!$B$8:$AX$28,MATCH(AA$49,'הספק נוסף נדרש'!$B$6:$AX$6,0)+(ROUNDUP((AA$2-$F$2)/COUNTA($F$10:$F$16),0)-1)*COUNTA('הספק נוסף נדרש'!$C$6:$J$6),FALSE))</f>
        <v>0</v>
      </c>
      <c r="AB70" s="137">
        <f ca="1">IF(OR($F70&gt;MAX('הנחות עבודה'!$B$69:$B$89),$F70&gt;$D$5),0,VLOOKUP($F70,'הספק נוסף נדרש'!$B$8:$AX$28,MATCH(AB$49,'הספק נוסף נדרש'!$B$6:$AX$6,0)+(ROUNDUP((AB$2-$F$2)/COUNTA($F$10:$F$16),0)-1)*COUNTA('הספק נוסף נדרש'!$C$6:$J$6),FALSE))</f>
        <v>0</v>
      </c>
      <c r="AC70" s="137">
        <f ca="1">IF(OR($F70&gt;MAX('הנחות עבודה'!$B$69:$B$89),$F70&gt;$D$5),0,VLOOKUP($F70,'הספק נוסף נדרש'!$B$8:$AX$28,MATCH(AC$49,'הספק נוסף נדרש'!$B$6:$AX$6,0)+(ROUNDUP((AC$2-$F$2)/COUNTA($F$10:$F$16),0)-1)*COUNTA('הספק נוסף נדרש'!$C$6:$J$6),FALSE))</f>
        <v>0</v>
      </c>
      <c r="AD70" s="137">
        <f ca="1">IF(OR($F70&gt;MAX('הנחות עבודה'!$B$69:$B$89),$F70&gt;$D$5),0,VLOOKUP($F70,'הספק נוסף נדרש'!$B$8:$AX$28,MATCH(AD$49,'הספק נוסף נדרש'!$B$6:$AX$6,0)+(ROUNDUP((AD$2-$F$2)/COUNTA($F$10:$F$16),0)-1)*COUNTA('הספק נוסף נדרש'!$C$6:$J$6),FALSE))</f>
        <v>0</v>
      </c>
      <c r="AE70" s="80">
        <f ca="1">IF(OR($F70&gt;MAX('הנחות עבודה'!$B$69:$B$89),$F70&gt;$D$5),0,VLOOKUP($F70,'הספק נוסף נדרש'!$B$8:$AX$28,MATCH(AE$49,'הספק נוסף נדרש'!$B$6:$AX$6,0)+(ROUNDUP((AE$2-$F$2)/COUNTA($F$10:$F$16),0)-1)*COUNTA('הספק נוסף נדרש'!$C$6:$J$6),FALSE))</f>
        <v>0</v>
      </c>
      <c r="AF70" s="140">
        <f ca="1">IF(OR($F70&gt;MAX('הנחות עבודה'!$B$69:$B$89),$F70&gt;$D$5),0,VLOOKUP($F70,'הספק נוסף נדרש'!$B$8:$AX$28,MATCH(AF$49,'הספק נוסף נדרש'!$B$6:$AX$6,0)+(ROUNDUP((AF$2-$F$2)/COUNTA($F$10:$F$16),0)-1)*COUNTA('הספק נוסף נדרש'!$C$6:$J$6),FALSE))</f>
        <v>0</v>
      </c>
      <c r="AG70" s="140">
        <f ca="1">IF(OR($F70&gt;MAX('הנחות עבודה'!$B$69:$B$89),$F70&gt;$D$5),0,VLOOKUP($F70,'הספק נוסף נדרש'!$B$8:$AX$28,MATCH(AG$49,'הספק נוסף נדרש'!$B$6:$AX$6,0)+(ROUNDUP((AG$2-$F$2)/COUNTA($F$10:$F$16),0)-1)*COUNTA('הספק נוסף נדרש'!$C$6:$J$6),FALSE))</f>
        <v>0</v>
      </c>
      <c r="AH70" s="140">
        <f ca="1">IF(OR($F70&gt;MAX('הנחות עבודה'!$B$69:$B$89),$F70&gt;$D$5),0,VLOOKUP($F70,'הספק נוסף נדרש'!$B$8:$AX$28,MATCH(AH$49,'הספק נוסף נדרש'!$B$6:$AX$6,0)+(ROUNDUP((AH$2-$F$2)/COUNTA($F$10:$F$16),0)-1)*COUNTA('הספק נוסף נדרש'!$C$6:$J$6),FALSE))</f>
        <v>0</v>
      </c>
      <c r="AI70" s="140">
        <f ca="1">IF(OR($F70&gt;MAX('הנחות עבודה'!$B$69:$B$89),$F70&gt;$D$5),0,VLOOKUP($F70,'הספק נוסף נדרש'!$B$8:$AX$28,MATCH(AI$49,'הספק נוסף נדרש'!$B$6:$AX$6,0)+(ROUNDUP((AI$2-$F$2)/COUNTA($F$10:$F$16),0)-1)*COUNTA('הספק נוסף נדרש'!$C$6:$J$6),FALSE))</f>
        <v>0</v>
      </c>
      <c r="AJ70" s="80">
        <f ca="1">IF(OR($F70&gt;MAX('הנחות עבודה'!$B$69:$B$89),$F70&gt;$D$5),0,VLOOKUP($F70,'הספק נוסף נדרש'!$B$8:$AX$28,MATCH(AJ$49,'הספק נוסף נדרש'!$B$6:$AX$6,0)+(ROUNDUP((AJ$2-$F$2)/COUNTA($F$10:$F$16),0)-1)*COUNTA('הספק נוסף נדרש'!$C$6:$J$6),FALSE))</f>
        <v>0</v>
      </c>
      <c r="AK70" s="75">
        <f ca="1">IF(OR($F70&gt;MAX('הנחות עבודה'!$B$69:$B$89),$F70&gt;$D$5),0,VLOOKUP($F70,'הספק נוסף נדרש'!$B$8:$AX$28,MATCH(AK$49,'הספק נוסף נדרש'!$B$6:$AX$6,0)+(ROUNDUP((AK$2-$F$2)/COUNTA($F$10:$F$16),0)-1)*COUNTA('הספק נוסף נדרש'!$C$6:$J$6),FALSE))</f>
        <v>0</v>
      </c>
      <c r="AL70" s="137">
        <f ca="1">IF(OR($F70&gt;MAX('הנחות עבודה'!$B$69:$B$89),$F70&gt;$D$5),0,VLOOKUP($F70,'הספק נוסף נדרש'!$B$8:$AX$28,MATCH(AL$49,'הספק נוסף נדרש'!$B$6:$AX$6,0)+(ROUNDUP((AL$2-$F$2)/COUNTA($F$10:$F$16),0)-1)*COUNTA('הספק נוסף נדרש'!$C$6:$J$6),FALSE))</f>
        <v>0</v>
      </c>
      <c r="AM70" s="137">
        <f ca="1">IF(OR($F70&gt;MAX('הנחות עבודה'!$B$69:$B$89),$F70&gt;$D$5),0,VLOOKUP($F70,'הספק נוסף נדרש'!$B$8:$AX$28,MATCH(AM$49,'הספק נוסף נדרש'!$B$6:$AX$6,0)+(ROUNDUP((AM$2-$F$2)/COUNTA($F$10:$F$16),0)-1)*COUNTA('הספק נוסף נדרש'!$C$6:$J$6),FALSE))</f>
        <v>0</v>
      </c>
      <c r="AN70" s="137">
        <f ca="1">IF(OR($F70&gt;MAX('הנחות עבודה'!$B$69:$B$89),$F70&gt;$D$5),0,VLOOKUP($F70,'הספק נוסף נדרש'!$B$8:$AX$28,MATCH(AN$49,'הספק נוסף נדרש'!$B$6:$AX$6,0)+(ROUNDUP((AN$2-$F$2)/COUNTA($F$10:$F$16),0)-1)*COUNTA('הספק נוסף נדרש'!$C$6:$J$6),FALSE))</f>
        <v>0</v>
      </c>
      <c r="AO70" s="137">
        <f ca="1">IF(OR($F70&gt;MAX('הנחות עבודה'!$B$69:$B$89),$F70&gt;$D$5),0,VLOOKUP($F70,'הספק נוסף נדרש'!$B$8:$AX$28,MATCH(AO$49,'הספק נוסף נדרש'!$B$6:$AX$6,0)+(ROUNDUP((AO$2-$F$2)/COUNTA($F$10:$F$16),0)-1)*COUNTA('הספק נוסף נדרש'!$C$6:$J$6),FALSE))</f>
        <v>0</v>
      </c>
      <c r="AP70" s="137">
        <f ca="1">IF(OR($F70&gt;MAX('הנחות עבודה'!$B$69:$B$89),$F70&gt;$D$5),0,VLOOKUP($F70,'הספק נוסף נדרש'!$B$8:$AX$28,MATCH(AP$49,'הספק נוסף נדרש'!$B$6:$AX$6,0)+(ROUNDUP((AP$2-$F$2)/COUNTA($F$10:$F$16),0)-1)*COUNTA('הספק נוסף נדרש'!$C$6:$J$6),FALSE))</f>
        <v>0</v>
      </c>
      <c r="AQ70" s="9"/>
      <c r="AR70" s="11">
        <f t="shared" si="313"/>
        <v>2040</v>
      </c>
      <c r="AS70" s="80">
        <f ca="1">HLOOKUP(AS$49,$G$24:$L$45,COUNTA($F$25:$F45)+1,FALSE)*G70*$D$7/$D$8</f>
        <v>0</v>
      </c>
      <c r="AT70" s="140">
        <f ca="1">HLOOKUP(AT$49,$G$24:$L$45,COUNTA($F$25:$F45)+1,FALSE)*H70*$D$7/$D$8</f>
        <v>0</v>
      </c>
      <c r="AU70" s="140">
        <f ca="1">HLOOKUP(AU$49,$G$24:$L$45,COUNTA($F$25:$F45)+1,FALSE)*I70*$D$7/$D$8</f>
        <v>0</v>
      </c>
      <c r="AV70" s="140">
        <f ca="1">HLOOKUP(AV$49,$G$24:$L$45,COUNTA($F$25:$F45)+1,FALSE)*J70*$D$7/$D$8</f>
        <v>0</v>
      </c>
      <c r="AW70" s="140">
        <f ca="1">HLOOKUP(AW$49,$G$24:$L$45,COUNTA($F$25:$F45)+1,FALSE)*K70*$D$7/$D$8</f>
        <v>0</v>
      </c>
      <c r="AX70" s="80">
        <f ca="1">HLOOKUP(AX$49,$G$24:$L$45,COUNTA($F$25:$F45)+1,FALSE)*L70*$D$7/$D$8</f>
        <v>0</v>
      </c>
      <c r="AY70" s="75">
        <f ca="1">HLOOKUP(AY$49,$G$24:$L$45,COUNTA($F$25:$F45)+1,FALSE)*M70*$D$7/$D$8</f>
        <v>0</v>
      </c>
      <c r="AZ70" s="137">
        <f ca="1">HLOOKUP(AZ$49,$G$24:$L$45,COUNTA($F$25:$F45)+1,FALSE)*N70*$D$7/$D$8</f>
        <v>0</v>
      </c>
      <c r="BA70" s="137">
        <f ca="1">HLOOKUP(BA$49,$G$24:$L$45,COUNTA($F$25:$F45)+1,FALSE)*O70*$D$7/$D$8</f>
        <v>0</v>
      </c>
      <c r="BB70" s="137">
        <f ca="1">HLOOKUP(BB$49,$G$24:$L$45,COUNTA($F$25:$F45)+1,FALSE)*P70*$D$7/$D$8</f>
        <v>0</v>
      </c>
      <c r="BC70" s="137">
        <f ca="1">HLOOKUP(BC$49,$G$24:$L$45,COUNTA($F$25:$F45)+1,FALSE)*Q70*$D$7/$D$8</f>
        <v>0</v>
      </c>
      <c r="BD70" s="137">
        <f ca="1">HLOOKUP(BD$49,$G$24:$L$45,COUNTA($F$25:$F45)+1,FALSE)*R70*$D$7/$D$8</f>
        <v>0</v>
      </c>
      <c r="BE70" s="80">
        <f ca="1">HLOOKUP(BE$49,$G$24:$L$45,COUNTA($F$25:$F45)+1,FALSE)*S70*$D$7/$D$8</f>
        <v>0</v>
      </c>
      <c r="BF70" s="140">
        <f ca="1">HLOOKUP(BF$49,$G$24:$L$45,COUNTA($F$25:$F45)+1,FALSE)*T70*$D$7/$D$8</f>
        <v>0</v>
      </c>
      <c r="BG70" s="140">
        <f ca="1">HLOOKUP(BG$49,$G$24:$L$45,COUNTA($F$25:$F45)+1,FALSE)*U70*$D$7/$D$8</f>
        <v>0</v>
      </c>
      <c r="BH70" s="140">
        <f ca="1">HLOOKUP(BH$49,$G$24:$L$45,COUNTA($F$25:$F45)+1,FALSE)*V70*$D$7/$D$8</f>
        <v>0</v>
      </c>
      <c r="BI70" s="140">
        <f ca="1">HLOOKUP(BI$49,$G$24:$L$45,COUNTA($F$25:$F45)+1,FALSE)*W70*$D$7/$D$8</f>
        <v>0</v>
      </c>
      <c r="BJ70" s="80">
        <f ca="1">HLOOKUP(BJ$49,$G$24:$L$45,COUNTA($F$25:$F45)+1,FALSE)*X70*$D$7/$D$8</f>
        <v>0</v>
      </c>
      <c r="BK70" s="75">
        <f ca="1">HLOOKUP(BK$49,$G$24:$L$45,COUNTA($F$25:$F45)+1,FALSE)*Y70*$D$7/$D$8</f>
        <v>0</v>
      </c>
      <c r="BL70" s="137">
        <f ca="1">HLOOKUP(BL$49,$G$24:$L$45,COUNTA($F$25:$F45)+1,FALSE)*Z70*$D$7/$D$8</f>
        <v>0</v>
      </c>
      <c r="BM70" s="137">
        <f ca="1">HLOOKUP(BM$49,$G$24:$L$45,COUNTA($F$25:$F45)+1,FALSE)*AA70*$D$7/$D$8</f>
        <v>0</v>
      </c>
      <c r="BN70" s="137">
        <f ca="1">HLOOKUP(BN$49,$G$24:$L$45,COUNTA($F$25:$F45)+1,FALSE)*AB70*$D$7/$D$8</f>
        <v>0</v>
      </c>
      <c r="BO70" s="137">
        <f ca="1">HLOOKUP(BO$49,$G$24:$L$45,COUNTA($F$25:$F45)+1,FALSE)*AC70*$D$7/$D$8</f>
        <v>0</v>
      </c>
      <c r="BP70" s="137">
        <f ca="1">HLOOKUP(BP$49,$G$24:$L$45,COUNTA($F$25:$F45)+1,FALSE)*AD70*$D$7/$D$8</f>
        <v>0</v>
      </c>
      <c r="BQ70" s="80">
        <f ca="1">HLOOKUP(BQ$49,$G$24:$L$45,COUNTA($F$25:$F45)+1,FALSE)*AE70*$D$7/$D$8</f>
        <v>0</v>
      </c>
      <c r="BR70" s="140">
        <f ca="1">HLOOKUP(BR$49,$G$24:$L$45,COUNTA($F$25:$F45)+1,FALSE)*AF70*$D$7/$D$8</f>
        <v>0</v>
      </c>
      <c r="BS70" s="140">
        <f ca="1">HLOOKUP(BS$49,$G$24:$L$45,COUNTA($F$25:$F45)+1,FALSE)*AG70*$D$7/$D$8</f>
        <v>0</v>
      </c>
      <c r="BT70" s="140">
        <f ca="1">HLOOKUP(BT$49,$G$24:$L$45,COUNTA($F$25:$F45)+1,FALSE)*AH70*$D$7/$D$8</f>
        <v>0</v>
      </c>
      <c r="BU70" s="140">
        <f ca="1">HLOOKUP(BU$49,$G$24:$L$45,COUNTA($F$25:$F45)+1,FALSE)*AI70*$D$7/$D$8</f>
        <v>0</v>
      </c>
      <c r="BV70" s="80">
        <f ca="1">HLOOKUP(BV$49,$G$24:$L$45,COUNTA($F$25:$F45)+1,FALSE)*AJ70*$D$7/$D$8</f>
        <v>0</v>
      </c>
      <c r="BW70" s="75">
        <f ca="1">HLOOKUP(BW$49,$G$24:$L$45,COUNTA($F$25:$F45)+1,FALSE)*AK70*$D$7/$D$8</f>
        <v>0</v>
      </c>
      <c r="BX70" s="137">
        <f ca="1">HLOOKUP(BX$49,$G$24:$L$45,COUNTA($F$25:$F45)+1,FALSE)*AL70*$D$7/$D$8</f>
        <v>0</v>
      </c>
      <c r="BY70" s="137">
        <f ca="1">HLOOKUP(BY$49,$G$24:$L$45,COUNTA($F$25:$F45)+1,FALSE)*AM70*$D$7/$D$8</f>
        <v>0</v>
      </c>
      <c r="BZ70" s="137">
        <f ca="1">HLOOKUP(BZ$49,$G$24:$L$45,COUNTA($F$25:$F45)+1,FALSE)*AN70*$D$7/$D$8</f>
        <v>0</v>
      </c>
      <c r="CA70" s="137">
        <f ca="1">HLOOKUP(CA$49,$G$24:$L$45,COUNTA($F$25:$F45)+1,FALSE)*AO70*$D$7/$D$8</f>
        <v>0</v>
      </c>
      <c r="CB70" s="740">
        <f ca="1">HLOOKUP(CB$49,$G$24:$L$45,COUNTA($F$25:$F45)+1,FALSE)*AP70*$D$7/$D$8</f>
        <v>0</v>
      </c>
      <c r="CD70" s="10">
        <f t="shared" si="314"/>
        <v>2040</v>
      </c>
      <c r="CE70" s="85">
        <f t="shared" ca="1" si="240"/>
        <v>1072.8415146359366</v>
      </c>
      <c r="CF70" s="147">
        <f t="shared" ca="1" si="241"/>
        <v>0</v>
      </c>
      <c r="CG70" s="147">
        <f t="shared" ca="1" si="242"/>
        <v>213.3611632424527</v>
      </c>
      <c r="CH70" s="147">
        <f t="shared" ca="1" si="243"/>
        <v>19.606169426540287</v>
      </c>
      <c r="CI70" s="147">
        <f t="shared" ca="1" si="244"/>
        <v>0</v>
      </c>
      <c r="CJ70" s="85">
        <f t="shared" ca="1" si="245"/>
        <v>0</v>
      </c>
      <c r="CK70" s="151">
        <f t="shared" ca="1" si="246"/>
        <v>0</v>
      </c>
      <c r="CL70" s="102">
        <f t="shared" ca="1" si="247"/>
        <v>849.89762775706049</v>
      </c>
      <c r="CM70" s="102">
        <f t="shared" ca="1" si="248"/>
        <v>213.3611632424527</v>
      </c>
      <c r="CN70" s="102">
        <f t="shared" ca="1" si="249"/>
        <v>19.606169426540287</v>
      </c>
      <c r="CO70" s="102">
        <f t="shared" ca="1" si="250"/>
        <v>0</v>
      </c>
      <c r="CP70" s="151">
        <f t="shared" ca="1" si="251"/>
        <v>0</v>
      </c>
      <c r="CQ70" s="85">
        <f t="shared" ca="1" si="252"/>
        <v>1875.8411079969287</v>
      </c>
      <c r="CR70" s="147">
        <f t="shared" ca="1" si="253"/>
        <v>0</v>
      </c>
      <c r="CS70" s="147">
        <f t="shared" ca="1" si="254"/>
        <v>213.3611632424527</v>
      </c>
      <c r="CT70" s="147">
        <f t="shared" ca="1" si="255"/>
        <v>19.606169426540287</v>
      </c>
      <c r="CU70" s="147">
        <f t="shared" ca="1" si="256"/>
        <v>0</v>
      </c>
      <c r="CV70" s="85">
        <f t="shared" ca="1" si="257"/>
        <v>0</v>
      </c>
      <c r="CW70" s="151">
        <f t="shared" ca="1" si="258"/>
        <v>0</v>
      </c>
      <c r="CX70" s="102">
        <f t="shared" ca="1" si="259"/>
        <v>1849.4195163556947</v>
      </c>
      <c r="CY70" s="102">
        <f t="shared" ca="1" si="260"/>
        <v>213.3611632424527</v>
      </c>
      <c r="CZ70" s="102">
        <f t="shared" ca="1" si="261"/>
        <v>19.606169426540287</v>
      </c>
      <c r="DA70" s="102">
        <f t="shared" ca="1" si="262"/>
        <v>0</v>
      </c>
      <c r="DB70" s="151">
        <f t="shared" ca="1" si="263"/>
        <v>0</v>
      </c>
      <c r="DC70" s="85">
        <f t="shared" ca="1" si="264"/>
        <v>2372.5516075818737</v>
      </c>
      <c r="DD70" s="147">
        <f t="shared" ca="1" si="265"/>
        <v>0</v>
      </c>
      <c r="DE70" s="147">
        <f t="shared" ca="1" si="266"/>
        <v>213.3611632424527</v>
      </c>
      <c r="DF70" s="147">
        <f t="shared" ca="1" si="267"/>
        <v>19.606169426540287</v>
      </c>
      <c r="DG70" s="147">
        <f t="shared" ca="1" si="268"/>
        <v>0</v>
      </c>
      <c r="DH70" s="85">
        <f t="shared" ca="1" si="269"/>
        <v>0</v>
      </c>
      <c r="DI70" s="151">
        <f t="shared" ca="1" si="270"/>
        <v>0</v>
      </c>
      <c r="DJ70" s="102">
        <f t="shared" ca="1" si="271"/>
        <v>2468.054814100346</v>
      </c>
      <c r="DK70" s="102">
        <f t="shared" ca="1" si="272"/>
        <v>213.3611632424527</v>
      </c>
      <c r="DL70" s="102">
        <f t="shared" ca="1" si="273"/>
        <v>19.606169426540287</v>
      </c>
      <c r="DM70" s="102">
        <f t="shared" ca="1" si="274"/>
        <v>0</v>
      </c>
      <c r="DN70" s="564">
        <f t="shared" ca="1" si="275"/>
        <v>0</v>
      </c>
      <c r="DP70" s="10">
        <f t="shared" si="315"/>
        <v>2040</v>
      </c>
      <c r="DQ70" s="85">
        <f t="shared" ca="1" si="276"/>
        <v>346.43926141557102</v>
      </c>
      <c r="DR70" s="147">
        <f t="shared" ca="1" si="277"/>
        <v>0</v>
      </c>
      <c r="DS70" s="147">
        <f t="shared" ca="1" si="278"/>
        <v>60.659437286941099</v>
      </c>
      <c r="DT70" s="147">
        <f t="shared" ca="1" si="279"/>
        <v>6.4807091118526818</v>
      </c>
      <c r="DU70" s="147">
        <f t="shared" ca="1" si="280"/>
        <v>0</v>
      </c>
      <c r="DV70" s="85">
        <f t="shared" ca="1" si="281"/>
        <v>0</v>
      </c>
      <c r="DW70" s="151">
        <f t="shared" ca="1" si="282"/>
        <v>0</v>
      </c>
      <c r="DX70" s="102">
        <f t="shared" ca="1" si="283"/>
        <v>271.76362178771473</v>
      </c>
      <c r="DY70" s="102">
        <f t="shared" ca="1" si="284"/>
        <v>60.659437286941099</v>
      </c>
      <c r="DZ70" s="102">
        <f t="shared" ca="1" si="285"/>
        <v>6.4807091118526818</v>
      </c>
      <c r="EA70" s="102">
        <f t="shared" ca="1" si="286"/>
        <v>0</v>
      </c>
      <c r="EB70" s="151">
        <f t="shared" ca="1" si="287"/>
        <v>0</v>
      </c>
      <c r="EC70" s="85">
        <f t="shared" ca="1" si="288"/>
        <v>616.2052651814364</v>
      </c>
      <c r="ED70" s="147">
        <f t="shared" ca="1" si="289"/>
        <v>0</v>
      </c>
      <c r="EE70" s="147">
        <f t="shared" ca="1" si="290"/>
        <v>60.659437286941099</v>
      </c>
      <c r="EF70" s="147">
        <f t="shared" ca="1" si="291"/>
        <v>6.4807091118526818</v>
      </c>
      <c r="EG70" s="147">
        <f t="shared" ca="1" si="292"/>
        <v>0</v>
      </c>
      <c r="EH70" s="85">
        <f t="shared" ca="1" si="293"/>
        <v>0</v>
      </c>
      <c r="EI70" s="151">
        <f t="shared" ca="1" si="294"/>
        <v>0</v>
      </c>
      <c r="EJ70" s="102">
        <f t="shared" ca="1" si="295"/>
        <v>578.74386792536916</v>
      </c>
      <c r="EK70" s="102">
        <f t="shared" ca="1" si="296"/>
        <v>60.659437286941099</v>
      </c>
      <c r="EL70" s="102">
        <f t="shared" ca="1" si="297"/>
        <v>6.4807091118526818</v>
      </c>
      <c r="EM70" s="102">
        <f t="shared" ca="1" si="298"/>
        <v>0</v>
      </c>
      <c r="EN70" s="151">
        <f t="shared" ca="1" si="299"/>
        <v>0</v>
      </c>
      <c r="EO70" s="85">
        <f t="shared" ca="1" si="300"/>
        <v>784.54004761148781</v>
      </c>
      <c r="EP70" s="145">
        <f t="shared" ca="1" si="301"/>
        <v>0</v>
      </c>
      <c r="EQ70" s="145">
        <f t="shared" ca="1" si="302"/>
        <v>60.659437286941099</v>
      </c>
      <c r="ER70" s="145">
        <f t="shared" ca="1" si="303"/>
        <v>6.4807091118526818</v>
      </c>
      <c r="ES70" s="145">
        <f t="shared" ca="1" si="304"/>
        <v>0</v>
      </c>
      <c r="ET70" s="85">
        <f t="shared" ca="1" si="305"/>
        <v>0</v>
      </c>
      <c r="EU70" s="102">
        <f t="shared" ca="1" si="306"/>
        <v>0</v>
      </c>
      <c r="EV70" s="102">
        <f t="shared" ca="1" si="307"/>
        <v>770.30044741473921</v>
      </c>
      <c r="EW70" s="102">
        <f t="shared" ca="1" si="308"/>
        <v>60.659437286941099</v>
      </c>
      <c r="EX70" s="102">
        <f t="shared" ca="1" si="309"/>
        <v>6.4807091118526818</v>
      </c>
      <c r="EY70" s="102">
        <f t="shared" ca="1" si="310"/>
        <v>0</v>
      </c>
      <c r="EZ70" s="564">
        <f t="shared" ca="1" si="311"/>
        <v>0</v>
      </c>
      <c r="FB70" s="11">
        <f t="shared" si="316"/>
        <v>2040</v>
      </c>
      <c r="FC70" s="87">
        <f ca="1">HLOOKUP(FC$49,$O$24:$T$45,COUNTA($N$25:$N45)+1,FALSE)*G70*$D$7/$D$8</f>
        <v>0</v>
      </c>
      <c r="FD70" s="149">
        <f ca="1">HLOOKUP(FD$49,$O$24:$T$45,COUNTA($N$25:$N45)+1,FALSE)*H70*$D$7/$D$8</f>
        <v>0</v>
      </c>
      <c r="FE70" s="149">
        <f ca="1">HLOOKUP(FE$49,$O$24:$T$45,COUNTA($N$25:$N45)+1,FALSE)*I70*$D$7/$D$8</f>
        <v>0</v>
      </c>
      <c r="FF70" s="149">
        <f ca="1">HLOOKUP(FF$49,$O$24:$T$45,COUNTA($N$25:$N45)+1,FALSE)*J70*$D$7/$D$8</f>
        <v>0</v>
      </c>
      <c r="FG70" s="149">
        <f ca="1">HLOOKUP(FG$49,$O$24:$T$45,COUNTA($N$25:$N45)+1,FALSE)*K70*$D$7/$D$8</f>
        <v>0</v>
      </c>
      <c r="FH70" s="87">
        <f ca="1">HLOOKUP(FH$49,$O$24:$T$45,COUNTA($N$25:$N45)+1,FALSE)*L70*$D$7/$D$8</f>
        <v>0</v>
      </c>
      <c r="FI70" s="152">
        <f ca="1">HLOOKUP(FI$49,$O$24:$T$45,COUNTA($N$25:$N45)+1,FALSE)*M70*$D$7/$D$8</f>
        <v>0</v>
      </c>
      <c r="FJ70" s="155">
        <f ca="1">HLOOKUP(FJ$49,$O$24:$T$45,COUNTA($N$25:$N45)+1,FALSE)*N70*$D$7/$D$8</f>
        <v>0</v>
      </c>
      <c r="FK70" s="155">
        <f ca="1">HLOOKUP(FK$49,$O$24:$T$45,COUNTA($N$25:$N45)+1,FALSE)*O70*$D$7/$D$8</f>
        <v>0</v>
      </c>
      <c r="FL70" s="155">
        <f ca="1">HLOOKUP(FL$49,$O$24:$T$45,COUNTA($N$25:$N45)+1,FALSE)*P70*$D$7/$D$8</f>
        <v>0</v>
      </c>
      <c r="FM70" s="155">
        <f ca="1">HLOOKUP(FM$49,$O$24:$T$45,COUNTA($N$25:$N45)+1,FALSE)*Q70*$D$7/$D$8</f>
        <v>0</v>
      </c>
      <c r="FN70" s="152">
        <f ca="1">HLOOKUP(FN$49,$O$24:$T$45,COUNTA($N$25:$N45)+1,FALSE)*R70*$D$7/$D$8</f>
        <v>0</v>
      </c>
      <c r="FO70" s="87">
        <f ca="1">HLOOKUP(FO$49,$O$24:$T$45,COUNTA($N$25:$N45)+1,FALSE)*S70*$D$7/$D$8</f>
        <v>0</v>
      </c>
      <c r="FP70" s="149">
        <f ca="1">HLOOKUP(FP$49,$O$24:$T$45,COUNTA($N$25:$N45)+1,FALSE)*T70*$D$7/$D$8</f>
        <v>0</v>
      </c>
      <c r="FQ70" s="149">
        <f ca="1">HLOOKUP(FQ$49,$O$24:$T$45,COUNTA($N$25:$N45)+1,FALSE)*U70*$D$7/$D$8</f>
        <v>0</v>
      </c>
      <c r="FR70" s="149">
        <f ca="1">HLOOKUP(FR$49,$O$24:$T$45,COUNTA($N$25:$N45)+1,FALSE)*V70*$D$7/$D$8</f>
        <v>0</v>
      </c>
      <c r="FS70" s="149">
        <f ca="1">HLOOKUP(FS$49,$O$24:$T$45,COUNTA($N$25:$N45)+1,FALSE)*W70*$D$7/$D$8</f>
        <v>0</v>
      </c>
      <c r="FT70" s="87">
        <f ca="1">HLOOKUP(FT$49,$O$24:$T$45,COUNTA($N$25:$N45)+1,FALSE)*X70*$D$7/$D$8</f>
        <v>0</v>
      </c>
      <c r="FU70" s="152">
        <f ca="1">HLOOKUP(FU$49,$O$24:$T$45,COUNTA($N$25:$N45)+1,FALSE)*Y70*$D$7/$D$8</f>
        <v>0</v>
      </c>
      <c r="FV70" s="155">
        <f ca="1">HLOOKUP(FV$49,$O$24:$T$45,COUNTA($N$25:$N45)+1,FALSE)*Z70*$D$7/$D$8</f>
        <v>0</v>
      </c>
      <c r="FW70" s="155">
        <f ca="1">HLOOKUP(FW$49,$O$24:$T$45,COUNTA($N$25:$N45)+1,FALSE)*AA70*$D$7/$D$8</f>
        <v>0</v>
      </c>
      <c r="FX70" s="155">
        <f ca="1">HLOOKUP(FX$49,$O$24:$T$45,COUNTA($N$25:$N45)+1,FALSE)*AB70*$D$7/$D$8</f>
        <v>0</v>
      </c>
      <c r="FY70" s="155">
        <f ca="1">HLOOKUP(FY$49,$O$24:$T$45,COUNTA($N$25:$N45)+1,FALSE)*AC70*$D$7/$D$8</f>
        <v>0</v>
      </c>
      <c r="FZ70" s="152">
        <f ca="1">HLOOKUP(FZ$49,$O$24:$T$45,COUNTA($N$25:$N45)+1,FALSE)*AD70*$D$7/$D$8</f>
        <v>0</v>
      </c>
      <c r="GA70" s="87">
        <f ca="1">HLOOKUP(GA$49,$O$24:$T$45,COUNTA($N$25:$N45)+1,FALSE)*AE70*$D$7/$D$8</f>
        <v>0</v>
      </c>
      <c r="GB70" s="149">
        <f ca="1">HLOOKUP(GB$49,$O$24:$T$45,COUNTA($N$25:$N45)+1,FALSE)*AF70*$D$7/$D$8</f>
        <v>0</v>
      </c>
      <c r="GC70" s="149">
        <f ca="1">HLOOKUP(GC$49,$O$24:$T$45,COUNTA($N$25:$N45)+1,FALSE)*AG70*$D$7/$D$8</f>
        <v>0</v>
      </c>
      <c r="GD70" s="149">
        <f ca="1">HLOOKUP(GD$49,$O$24:$T$45,COUNTA($N$25:$N45)+1,FALSE)*AH70*$D$7/$D$8</f>
        <v>0</v>
      </c>
      <c r="GE70" s="149">
        <f ca="1">HLOOKUP(GE$49,$O$24:$T$45,COUNTA($N$25:$N45)+1,FALSE)*AI70*$D$7/$D$8</f>
        <v>0</v>
      </c>
      <c r="GF70" s="87">
        <f ca="1">HLOOKUP(GF$49,$O$24:$T$45,COUNTA($N$25:$N45)+1,FALSE)*AJ70*$D$7/$D$8</f>
        <v>0</v>
      </c>
      <c r="GG70" s="152">
        <f ca="1">HLOOKUP(GG$49,$O$24:$T$45,COUNTA($N$25:$N45)+1,FALSE)*AK70*$D$7/$D$8</f>
        <v>0</v>
      </c>
      <c r="GH70" s="155">
        <f ca="1">HLOOKUP(GH$49,$O$24:$T$45,COUNTA($N$25:$N45)+1,FALSE)*AL70*$D$7/$D$8</f>
        <v>0</v>
      </c>
      <c r="GI70" s="155">
        <f ca="1">HLOOKUP(GI$49,$O$24:$T$45,COUNTA($N$25:$N45)+1,FALSE)*AM70*$D$7/$D$8</f>
        <v>0</v>
      </c>
      <c r="GJ70" s="155">
        <f ca="1">HLOOKUP(GJ$49,$O$24:$T$45,COUNTA($N$25:$N45)+1,FALSE)*AN70*$D$7/$D$8</f>
        <v>0</v>
      </c>
      <c r="GK70" s="155">
        <f ca="1">HLOOKUP(GK$49,$O$24:$T$45,COUNTA($N$25:$N45)+1,FALSE)*AO70*$D$7/$D$8</f>
        <v>0</v>
      </c>
      <c r="GL70" s="565">
        <f ca="1">HLOOKUP(GL$49,$O$24:$T$45,COUNTA($N$25:$N45)+1,FALSE)*AP70*$D$7/$D$8</f>
        <v>0</v>
      </c>
    </row>
    <row r="71" spans="6:194" ht="16.5" thickBot="1">
      <c r="F71" s="286" t="s">
        <v>27</v>
      </c>
      <c r="G71" s="65">
        <f ca="1">SUBTOTAL(9,G50:G70)</f>
        <v>6240.7224464453247</v>
      </c>
      <c r="H71" s="65">
        <f t="shared" ref="H71:AP71" ca="1" si="318">SUBTOTAL(9,H50:H70)</f>
        <v>0</v>
      </c>
      <c r="I71" s="65">
        <f t="shared" ca="1" si="318"/>
        <v>710</v>
      </c>
      <c r="J71" s="65">
        <f t="shared" ca="1" si="318"/>
        <v>75</v>
      </c>
      <c r="K71" s="65">
        <f t="shared" ca="1" si="318"/>
        <v>0</v>
      </c>
      <c r="L71" s="65">
        <f t="shared" ca="1" si="318"/>
        <v>500</v>
      </c>
      <c r="M71" s="76">
        <f t="shared" ca="1" si="318"/>
        <v>0</v>
      </c>
      <c r="N71" s="76">
        <f t="shared" ca="1" si="318"/>
        <v>6240.7224464453247</v>
      </c>
      <c r="O71" s="76">
        <f t="shared" ca="1" si="318"/>
        <v>710</v>
      </c>
      <c r="P71" s="76">
        <f t="shared" ca="1" si="318"/>
        <v>75</v>
      </c>
      <c r="Q71" s="76">
        <f t="shared" ca="1" si="318"/>
        <v>0</v>
      </c>
      <c r="R71" s="76">
        <f t="shared" ca="1" si="318"/>
        <v>500</v>
      </c>
      <c r="S71" s="65">
        <f t="shared" ref="S71:AD71" ca="1" si="319">SUBTOTAL(9,S50:S70)</f>
        <v>11100.260444853671</v>
      </c>
      <c r="T71" s="65">
        <f t="shared" ca="1" si="319"/>
        <v>0</v>
      </c>
      <c r="U71" s="65">
        <f t="shared" ca="1" si="319"/>
        <v>710</v>
      </c>
      <c r="V71" s="65">
        <f t="shared" ca="1" si="319"/>
        <v>75</v>
      </c>
      <c r="W71" s="65">
        <f t="shared" ca="1" si="319"/>
        <v>0</v>
      </c>
      <c r="X71" s="65">
        <f t="shared" ca="1" si="319"/>
        <v>500</v>
      </c>
      <c r="Y71" s="76">
        <f t="shared" ca="1" si="319"/>
        <v>0</v>
      </c>
      <c r="Z71" s="76">
        <f t="shared" ca="1" si="319"/>
        <v>11100.260444853671</v>
      </c>
      <c r="AA71" s="76">
        <f t="shared" ca="1" si="319"/>
        <v>710</v>
      </c>
      <c r="AB71" s="76">
        <f t="shared" ca="1" si="319"/>
        <v>75</v>
      </c>
      <c r="AC71" s="76">
        <f t="shared" ca="1" si="319"/>
        <v>0</v>
      </c>
      <c r="AD71" s="76">
        <f t="shared" ca="1" si="319"/>
        <v>500</v>
      </c>
      <c r="AE71" s="65">
        <f t="shared" ca="1" si="318"/>
        <v>14132.626496369259</v>
      </c>
      <c r="AF71" s="65">
        <f t="shared" ca="1" si="318"/>
        <v>0</v>
      </c>
      <c r="AG71" s="65">
        <f t="shared" ca="1" si="318"/>
        <v>710</v>
      </c>
      <c r="AH71" s="65">
        <f t="shared" ca="1" si="318"/>
        <v>75</v>
      </c>
      <c r="AI71" s="65">
        <f t="shared" ca="1" si="318"/>
        <v>0</v>
      </c>
      <c r="AJ71" s="65">
        <f t="shared" ca="1" si="318"/>
        <v>500</v>
      </c>
      <c r="AK71" s="76">
        <f t="shared" ca="1" si="318"/>
        <v>0</v>
      </c>
      <c r="AL71" s="76">
        <f t="shared" ca="1" si="318"/>
        <v>14132.626496369259</v>
      </c>
      <c r="AM71" s="76">
        <f t="shared" ca="1" si="318"/>
        <v>710</v>
      </c>
      <c r="AN71" s="76">
        <f t="shared" ca="1" si="318"/>
        <v>75</v>
      </c>
      <c r="AO71" s="76">
        <f t="shared" ca="1" si="318"/>
        <v>0</v>
      </c>
      <c r="AP71" s="76">
        <f t="shared" ca="1" si="318"/>
        <v>500</v>
      </c>
      <c r="AR71" s="286" t="s">
        <v>27</v>
      </c>
      <c r="AS71" s="65">
        <f t="shared" ref="AS71:CB71" ca="1" si="320">SUBTOTAL(9,AS50:AS70)</f>
        <v>17323.628633406319</v>
      </c>
      <c r="AT71" s="65">
        <f t="shared" ca="1" si="320"/>
        <v>0</v>
      </c>
      <c r="AU71" s="65">
        <f t="shared" ca="1" si="320"/>
        <v>3013.5513079430239</v>
      </c>
      <c r="AV71" s="65">
        <f t="shared" ca="1" si="320"/>
        <v>315.55889381253644</v>
      </c>
      <c r="AW71" s="65">
        <f t="shared" ca="1" si="320"/>
        <v>0</v>
      </c>
      <c r="AX71" s="65">
        <f t="shared" ca="1" si="320"/>
        <v>0</v>
      </c>
      <c r="AY71" s="76">
        <f t="shared" ca="1" si="320"/>
        <v>0</v>
      </c>
      <c r="AZ71" s="76">
        <f t="shared" ca="1" si="320"/>
        <v>19386.637270262076</v>
      </c>
      <c r="BA71" s="76">
        <f t="shared" ca="1" si="320"/>
        <v>3013.5513079430239</v>
      </c>
      <c r="BB71" s="76">
        <f t="shared" ca="1" si="320"/>
        <v>315.55889381253644</v>
      </c>
      <c r="BC71" s="76">
        <f t="shared" ca="1" si="320"/>
        <v>0</v>
      </c>
      <c r="BD71" s="76">
        <f t="shared" ca="1" si="320"/>
        <v>0</v>
      </c>
      <c r="BE71" s="65">
        <f t="shared" ref="BE71:BP71" ca="1" si="321">SUBTOTAL(9,BE50:BE70)</f>
        <v>30290.004895311784</v>
      </c>
      <c r="BF71" s="65">
        <f t="shared" ca="1" si="321"/>
        <v>0</v>
      </c>
      <c r="BG71" s="65">
        <f t="shared" ca="1" si="321"/>
        <v>3013.5513079430239</v>
      </c>
      <c r="BH71" s="65">
        <f t="shared" ca="1" si="321"/>
        <v>315.55889381253644</v>
      </c>
      <c r="BI71" s="65">
        <f t="shared" ca="1" si="321"/>
        <v>0</v>
      </c>
      <c r="BJ71" s="65">
        <f t="shared" ca="1" si="321"/>
        <v>0</v>
      </c>
      <c r="BK71" s="76">
        <f t="shared" ca="1" si="321"/>
        <v>0</v>
      </c>
      <c r="BL71" s="76">
        <f t="shared" ca="1" si="321"/>
        <v>33954.988096432455</v>
      </c>
      <c r="BM71" s="76">
        <f t="shared" ca="1" si="321"/>
        <v>3013.5513079430239</v>
      </c>
      <c r="BN71" s="76">
        <f t="shared" ca="1" si="321"/>
        <v>315.55889381253644</v>
      </c>
      <c r="BO71" s="76">
        <f t="shared" ca="1" si="321"/>
        <v>0</v>
      </c>
      <c r="BP71" s="76">
        <f t="shared" ca="1" si="321"/>
        <v>0</v>
      </c>
      <c r="BQ71" s="65">
        <f t="shared" ca="1" si="320"/>
        <v>38310.600776189225</v>
      </c>
      <c r="BR71" s="65">
        <f t="shared" ca="1" si="320"/>
        <v>0</v>
      </c>
      <c r="BS71" s="65">
        <f t="shared" ca="1" si="320"/>
        <v>3013.5513079430239</v>
      </c>
      <c r="BT71" s="65">
        <f t="shared" ca="1" si="320"/>
        <v>315.55889381253644</v>
      </c>
      <c r="BU71" s="65">
        <f t="shared" ca="1" si="320"/>
        <v>0</v>
      </c>
      <c r="BV71" s="65">
        <f t="shared" ca="1" si="320"/>
        <v>0</v>
      </c>
      <c r="BW71" s="76">
        <f t="shared" ca="1" si="320"/>
        <v>0</v>
      </c>
      <c r="BX71" s="76">
        <f t="shared" ca="1" si="320"/>
        <v>42971.795185702213</v>
      </c>
      <c r="BY71" s="76">
        <f t="shared" ca="1" si="320"/>
        <v>3013.5513079430239</v>
      </c>
      <c r="BZ71" s="76">
        <f t="shared" ca="1" si="320"/>
        <v>315.55889381253644</v>
      </c>
      <c r="CA71" s="76">
        <f t="shared" ca="1" si="320"/>
        <v>0</v>
      </c>
      <c r="CB71" s="76">
        <f t="shared" ca="1" si="320"/>
        <v>0</v>
      </c>
      <c r="CD71" s="10">
        <f t="shared" si="314"/>
        <v>2041</v>
      </c>
      <c r="CE71" s="85">
        <f t="shared" si="240"/>
        <v>0</v>
      </c>
      <c r="CF71" s="147">
        <f t="shared" si="241"/>
        <v>0</v>
      </c>
      <c r="CG71" s="147">
        <f t="shared" si="242"/>
        <v>0</v>
      </c>
      <c r="CH71" s="147">
        <f t="shared" si="243"/>
        <v>0</v>
      </c>
      <c r="CI71" s="147">
        <f t="shared" si="244"/>
        <v>0</v>
      </c>
      <c r="CJ71" s="85">
        <f t="shared" si="245"/>
        <v>0</v>
      </c>
      <c r="CK71" s="151">
        <f t="shared" si="246"/>
        <v>0</v>
      </c>
      <c r="CL71" s="102">
        <f t="shared" si="247"/>
        <v>0</v>
      </c>
      <c r="CM71" s="102">
        <f t="shared" si="248"/>
        <v>0</v>
      </c>
      <c r="CN71" s="102">
        <f t="shared" si="249"/>
        <v>0</v>
      </c>
      <c r="CO71" s="102">
        <f t="shared" si="250"/>
        <v>0</v>
      </c>
      <c r="CP71" s="151">
        <f t="shared" si="251"/>
        <v>0</v>
      </c>
      <c r="CQ71" s="85">
        <f t="shared" si="252"/>
        <v>0</v>
      </c>
      <c r="CR71" s="147">
        <f t="shared" si="253"/>
        <v>0</v>
      </c>
      <c r="CS71" s="147">
        <f t="shared" si="254"/>
        <v>0</v>
      </c>
      <c r="CT71" s="147">
        <f t="shared" si="255"/>
        <v>0</v>
      </c>
      <c r="CU71" s="147">
        <f t="shared" si="256"/>
        <v>0</v>
      </c>
      <c r="CV71" s="85">
        <f t="shared" si="257"/>
        <v>0</v>
      </c>
      <c r="CW71" s="151">
        <f t="shared" si="258"/>
        <v>0</v>
      </c>
      <c r="CX71" s="102">
        <f t="shared" si="259"/>
        <v>0</v>
      </c>
      <c r="CY71" s="102">
        <f t="shared" si="260"/>
        <v>0</v>
      </c>
      <c r="CZ71" s="102">
        <f t="shared" si="261"/>
        <v>0</v>
      </c>
      <c r="DA71" s="102">
        <f t="shared" si="262"/>
        <v>0</v>
      </c>
      <c r="DB71" s="151">
        <f t="shared" si="263"/>
        <v>0</v>
      </c>
      <c r="DC71" s="85">
        <f t="shared" si="264"/>
        <v>0</v>
      </c>
      <c r="DD71" s="147">
        <f t="shared" si="265"/>
        <v>0</v>
      </c>
      <c r="DE71" s="147">
        <f t="shared" si="266"/>
        <v>0</v>
      </c>
      <c r="DF71" s="147">
        <f t="shared" si="267"/>
        <v>0</v>
      </c>
      <c r="DG71" s="147">
        <f t="shared" si="268"/>
        <v>0</v>
      </c>
      <c r="DH71" s="85">
        <f t="shared" si="269"/>
        <v>0</v>
      </c>
      <c r="DI71" s="151">
        <f t="shared" si="270"/>
        <v>0</v>
      </c>
      <c r="DJ71" s="102">
        <f t="shared" si="271"/>
        <v>0</v>
      </c>
      <c r="DK71" s="102">
        <f t="shared" si="272"/>
        <v>0</v>
      </c>
      <c r="DL71" s="102">
        <f t="shared" si="273"/>
        <v>0</v>
      </c>
      <c r="DM71" s="102">
        <f t="shared" si="274"/>
        <v>0</v>
      </c>
      <c r="DN71" s="564">
        <f t="shared" si="275"/>
        <v>0</v>
      </c>
      <c r="DP71" s="10">
        <f t="shared" si="315"/>
        <v>2041</v>
      </c>
      <c r="DQ71" s="85">
        <f t="shared" si="276"/>
        <v>0</v>
      </c>
      <c r="DR71" s="147">
        <f t="shared" si="277"/>
        <v>0</v>
      </c>
      <c r="DS71" s="147">
        <f t="shared" si="278"/>
        <v>0</v>
      </c>
      <c r="DT71" s="147">
        <f t="shared" si="279"/>
        <v>0</v>
      </c>
      <c r="DU71" s="147">
        <f t="shared" si="280"/>
        <v>0</v>
      </c>
      <c r="DV71" s="85">
        <f t="shared" si="281"/>
        <v>0</v>
      </c>
      <c r="DW71" s="151">
        <f t="shared" si="282"/>
        <v>0</v>
      </c>
      <c r="DX71" s="102">
        <f t="shared" si="283"/>
        <v>0</v>
      </c>
      <c r="DY71" s="102">
        <f t="shared" si="284"/>
        <v>0</v>
      </c>
      <c r="DZ71" s="102">
        <f t="shared" si="285"/>
        <v>0</v>
      </c>
      <c r="EA71" s="102">
        <f t="shared" si="286"/>
        <v>0</v>
      </c>
      <c r="EB71" s="151">
        <f t="shared" si="287"/>
        <v>0</v>
      </c>
      <c r="EC71" s="85">
        <f t="shared" si="288"/>
        <v>0</v>
      </c>
      <c r="ED71" s="147">
        <f t="shared" si="289"/>
        <v>0</v>
      </c>
      <c r="EE71" s="147">
        <f t="shared" si="290"/>
        <v>0</v>
      </c>
      <c r="EF71" s="147">
        <f t="shared" si="291"/>
        <v>0</v>
      </c>
      <c r="EG71" s="147">
        <f t="shared" si="292"/>
        <v>0</v>
      </c>
      <c r="EH71" s="85">
        <f t="shared" si="293"/>
        <v>0</v>
      </c>
      <c r="EI71" s="151">
        <f t="shared" si="294"/>
        <v>0</v>
      </c>
      <c r="EJ71" s="102">
        <f t="shared" si="295"/>
        <v>0</v>
      </c>
      <c r="EK71" s="102">
        <f t="shared" si="296"/>
        <v>0</v>
      </c>
      <c r="EL71" s="102">
        <f t="shared" si="297"/>
        <v>0</v>
      </c>
      <c r="EM71" s="102">
        <f t="shared" si="298"/>
        <v>0</v>
      </c>
      <c r="EN71" s="151">
        <f t="shared" si="299"/>
        <v>0</v>
      </c>
      <c r="EO71" s="85">
        <f t="shared" si="300"/>
        <v>0</v>
      </c>
      <c r="EP71" s="145">
        <f t="shared" si="301"/>
        <v>0</v>
      </c>
      <c r="EQ71" s="145">
        <f t="shared" si="302"/>
        <v>0</v>
      </c>
      <c r="ER71" s="145">
        <f t="shared" si="303"/>
        <v>0</v>
      </c>
      <c r="ES71" s="145">
        <f t="shared" si="304"/>
        <v>0</v>
      </c>
      <c r="ET71" s="85">
        <f t="shared" si="305"/>
        <v>0</v>
      </c>
      <c r="EU71" s="102">
        <f t="shared" si="306"/>
        <v>0</v>
      </c>
      <c r="EV71" s="102">
        <f t="shared" si="307"/>
        <v>0</v>
      </c>
      <c r="EW71" s="102">
        <f t="shared" si="308"/>
        <v>0</v>
      </c>
      <c r="EX71" s="102">
        <f t="shared" si="309"/>
        <v>0</v>
      </c>
      <c r="EY71" s="102">
        <f t="shared" si="310"/>
        <v>0</v>
      </c>
      <c r="EZ71" s="564">
        <f t="shared" si="311"/>
        <v>0</v>
      </c>
      <c r="FB71" s="566"/>
      <c r="FC71" s="89">
        <f t="shared" ref="FC71:GL71" ca="1" si="322">SUBTOTAL(9,FC50:FC70)</f>
        <v>346.43926141557102</v>
      </c>
      <c r="FD71" s="89">
        <f t="shared" ca="1" si="322"/>
        <v>0</v>
      </c>
      <c r="FE71" s="89">
        <f t="shared" ca="1" si="322"/>
        <v>61.350712925538716</v>
      </c>
      <c r="FF71" s="89">
        <f t="shared" ca="1" si="322"/>
        <v>6.4807091118526818</v>
      </c>
      <c r="FG71" s="89">
        <f t="shared" ca="1" si="322"/>
        <v>0</v>
      </c>
      <c r="FH71" s="89">
        <f t="shared" ca="1" si="322"/>
        <v>0</v>
      </c>
      <c r="FI71" s="97">
        <f t="shared" ca="1" si="322"/>
        <v>0</v>
      </c>
      <c r="FJ71" s="97">
        <f t="shared" ca="1" si="322"/>
        <v>394.23058597629023</v>
      </c>
      <c r="FK71" s="97">
        <f t="shared" ca="1" si="322"/>
        <v>61.350712925538716</v>
      </c>
      <c r="FL71" s="97">
        <f t="shared" ca="1" si="322"/>
        <v>6.4807091118526818</v>
      </c>
      <c r="FM71" s="97">
        <f t="shared" ca="1" si="322"/>
        <v>0</v>
      </c>
      <c r="FN71" s="97">
        <f t="shared" ca="1" si="322"/>
        <v>0</v>
      </c>
      <c r="FO71" s="89">
        <f t="shared" ref="FO71:FZ71" ca="1" si="323">SUBTOTAL(9,FO50:FO70)</f>
        <v>616.2052651814364</v>
      </c>
      <c r="FP71" s="89">
        <f t="shared" ca="1" si="323"/>
        <v>0</v>
      </c>
      <c r="FQ71" s="89">
        <f t="shared" ca="1" si="323"/>
        <v>61.350712925538716</v>
      </c>
      <c r="FR71" s="89">
        <f t="shared" ca="1" si="323"/>
        <v>6.4807091118526818</v>
      </c>
      <c r="FS71" s="89">
        <f t="shared" ca="1" si="323"/>
        <v>0</v>
      </c>
      <c r="FT71" s="89">
        <f t="shared" ca="1" si="323"/>
        <v>0</v>
      </c>
      <c r="FU71" s="97">
        <f t="shared" ca="1" si="323"/>
        <v>0</v>
      </c>
      <c r="FV71" s="97">
        <f t="shared" ca="1" si="323"/>
        <v>701.21083211394455</v>
      </c>
      <c r="FW71" s="97">
        <f t="shared" ca="1" si="323"/>
        <v>61.350712925538716</v>
      </c>
      <c r="FX71" s="97">
        <f t="shared" ca="1" si="323"/>
        <v>6.4807091118526818</v>
      </c>
      <c r="FY71" s="97">
        <f t="shared" ca="1" si="323"/>
        <v>0</v>
      </c>
      <c r="FZ71" s="97">
        <f t="shared" ca="1" si="323"/>
        <v>0</v>
      </c>
      <c r="GA71" s="89">
        <f t="shared" ca="1" si="322"/>
        <v>784.54004761148781</v>
      </c>
      <c r="GB71" s="89">
        <f t="shared" ca="1" si="322"/>
        <v>0</v>
      </c>
      <c r="GC71" s="89">
        <f t="shared" ca="1" si="322"/>
        <v>61.350712925538716</v>
      </c>
      <c r="GD71" s="89">
        <f t="shared" ca="1" si="322"/>
        <v>6.4807091118526818</v>
      </c>
      <c r="GE71" s="89">
        <f t="shared" ca="1" si="322"/>
        <v>0</v>
      </c>
      <c r="GF71" s="89">
        <f t="shared" ca="1" si="322"/>
        <v>0</v>
      </c>
      <c r="GG71" s="97">
        <f t="shared" ca="1" si="322"/>
        <v>0</v>
      </c>
      <c r="GH71" s="97">
        <f t="shared" ca="1" si="322"/>
        <v>892.76741160331449</v>
      </c>
      <c r="GI71" s="97">
        <f t="shared" ca="1" si="322"/>
        <v>61.350712925538716</v>
      </c>
      <c r="GJ71" s="97">
        <f t="shared" ca="1" si="322"/>
        <v>6.4807091118526818</v>
      </c>
      <c r="GK71" s="97">
        <f t="shared" ca="1" si="322"/>
        <v>0</v>
      </c>
      <c r="GL71" s="97">
        <f t="shared" ca="1" si="322"/>
        <v>0</v>
      </c>
    </row>
    <row r="72" spans="6:194" ht="16.5" thickBot="1">
      <c r="G72" s="1309">
        <f ca="1">SUM(G71:L71)</f>
        <v>7525.7224464453247</v>
      </c>
      <c r="H72" s="1310"/>
      <c r="I72" s="1310"/>
      <c r="J72" s="1310"/>
      <c r="K72" s="1310"/>
      <c r="L72" s="1310"/>
      <c r="M72" s="1309">
        <f ca="1">SUM(M71:R71)</f>
        <v>7525.7224464453247</v>
      </c>
      <c r="N72" s="1310"/>
      <c r="O72" s="1310"/>
      <c r="P72" s="1310"/>
      <c r="Q72" s="1310"/>
      <c r="R72" s="1310"/>
      <c r="S72" s="1309">
        <f t="shared" ref="S72" ca="1" si="324">SUM(S71:X71)</f>
        <v>12385.260444853671</v>
      </c>
      <c r="T72" s="1310"/>
      <c r="U72" s="1310"/>
      <c r="V72" s="1310"/>
      <c r="W72" s="1310"/>
      <c r="X72" s="1310"/>
      <c r="Y72" s="1309">
        <f t="shared" ref="Y72" ca="1" si="325">SUM(Y71:AD71)</f>
        <v>12385.260444853671</v>
      </c>
      <c r="Z72" s="1310"/>
      <c r="AA72" s="1310"/>
      <c r="AB72" s="1310"/>
      <c r="AC72" s="1310"/>
      <c r="AD72" s="1310"/>
      <c r="AE72" s="1309">
        <f ca="1">SUM(AE71:AJ71)</f>
        <v>15417.626496369259</v>
      </c>
      <c r="AF72" s="1310"/>
      <c r="AG72" s="1310"/>
      <c r="AH72" s="1310"/>
      <c r="AI72" s="1310"/>
      <c r="AJ72" s="1310"/>
      <c r="AK72" s="1309">
        <f ca="1">SUM(AK71:AP71)</f>
        <v>15417.626496369259</v>
      </c>
      <c r="AL72" s="1310"/>
      <c r="AM72" s="1310"/>
      <c r="AN72" s="1310"/>
      <c r="AO72" s="1310"/>
      <c r="AP72" s="1311"/>
      <c r="AS72" s="1309">
        <f ca="1">SUM(AS71:AX71)</f>
        <v>20652.738835161879</v>
      </c>
      <c r="AT72" s="1310"/>
      <c r="AU72" s="1310"/>
      <c r="AV72" s="1310"/>
      <c r="AW72" s="1310"/>
      <c r="AX72" s="1310"/>
      <c r="AY72" s="1309">
        <f ca="1">SUM(AY71:BD71)</f>
        <v>22715.747472017636</v>
      </c>
      <c r="AZ72" s="1310"/>
      <c r="BA72" s="1310"/>
      <c r="BB72" s="1310"/>
      <c r="BC72" s="1310"/>
      <c r="BD72" s="1310"/>
      <c r="BE72" s="1309">
        <f t="shared" ref="BE72" ca="1" si="326">SUM(BE71:BJ71)</f>
        <v>33619.115097067341</v>
      </c>
      <c r="BF72" s="1310"/>
      <c r="BG72" s="1310"/>
      <c r="BH72" s="1310"/>
      <c r="BI72" s="1310"/>
      <c r="BJ72" s="1310"/>
      <c r="BK72" s="1309">
        <f t="shared" ref="BK72" ca="1" si="327">SUM(BK71:BP71)</f>
        <v>37284.098298188015</v>
      </c>
      <c r="BL72" s="1310"/>
      <c r="BM72" s="1310"/>
      <c r="BN72" s="1310"/>
      <c r="BO72" s="1310"/>
      <c r="BP72" s="1310"/>
      <c r="BQ72" s="1309">
        <f ca="1">SUM(BQ71:BV71)</f>
        <v>41639.710977944786</v>
      </c>
      <c r="BR72" s="1310"/>
      <c r="BS72" s="1310"/>
      <c r="BT72" s="1310"/>
      <c r="BU72" s="1310"/>
      <c r="BV72" s="1310"/>
      <c r="BW72" s="1309">
        <f ca="1">SUM(BW71:CB71)</f>
        <v>46300.905387457773</v>
      </c>
      <c r="BX72" s="1310"/>
      <c r="BY72" s="1310"/>
      <c r="BZ72" s="1310"/>
      <c r="CA72" s="1310"/>
      <c r="CB72" s="1311"/>
      <c r="CD72" s="10">
        <f t="shared" si="314"/>
        <v>2042</v>
      </c>
      <c r="CE72" s="85">
        <f t="shared" si="240"/>
        <v>0</v>
      </c>
      <c r="CF72" s="147">
        <f t="shared" si="241"/>
        <v>0</v>
      </c>
      <c r="CG72" s="147">
        <f t="shared" si="242"/>
        <v>0</v>
      </c>
      <c r="CH72" s="147">
        <f t="shared" si="243"/>
        <v>0</v>
      </c>
      <c r="CI72" s="147">
        <f t="shared" si="244"/>
        <v>0</v>
      </c>
      <c r="CJ72" s="85">
        <f t="shared" si="245"/>
        <v>0</v>
      </c>
      <c r="CK72" s="151">
        <f t="shared" si="246"/>
        <v>0</v>
      </c>
      <c r="CL72" s="102">
        <f t="shared" si="247"/>
        <v>0</v>
      </c>
      <c r="CM72" s="102">
        <f t="shared" si="248"/>
        <v>0</v>
      </c>
      <c r="CN72" s="102">
        <f t="shared" si="249"/>
        <v>0</v>
      </c>
      <c r="CO72" s="102">
        <f t="shared" si="250"/>
        <v>0</v>
      </c>
      <c r="CP72" s="151">
        <f t="shared" si="251"/>
        <v>0</v>
      </c>
      <c r="CQ72" s="85">
        <f t="shared" si="252"/>
        <v>0</v>
      </c>
      <c r="CR72" s="147">
        <f t="shared" si="253"/>
        <v>0</v>
      </c>
      <c r="CS72" s="147">
        <f t="shared" si="254"/>
        <v>0</v>
      </c>
      <c r="CT72" s="147">
        <f t="shared" si="255"/>
        <v>0</v>
      </c>
      <c r="CU72" s="147">
        <f t="shared" si="256"/>
        <v>0</v>
      </c>
      <c r="CV72" s="85">
        <f t="shared" si="257"/>
        <v>0</v>
      </c>
      <c r="CW72" s="151">
        <f t="shared" si="258"/>
        <v>0</v>
      </c>
      <c r="CX72" s="102">
        <f t="shared" si="259"/>
        <v>0</v>
      </c>
      <c r="CY72" s="102">
        <f t="shared" si="260"/>
        <v>0</v>
      </c>
      <c r="CZ72" s="102">
        <f t="shared" si="261"/>
        <v>0</v>
      </c>
      <c r="DA72" s="102">
        <f t="shared" si="262"/>
        <v>0</v>
      </c>
      <c r="DB72" s="151">
        <f t="shared" si="263"/>
        <v>0</v>
      </c>
      <c r="DC72" s="85">
        <f t="shared" si="264"/>
        <v>0</v>
      </c>
      <c r="DD72" s="147">
        <f t="shared" si="265"/>
        <v>0</v>
      </c>
      <c r="DE72" s="147">
        <f t="shared" si="266"/>
        <v>0</v>
      </c>
      <c r="DF72" s="147">
        <f t="shared" si="267"/>
        <v>0</v>
      </c>
      <c r="DG72" s="147">
        <f t="shared" si="268"/>
        <v>0</v>
      </c>
      <c r="DH72" s="85">
        <f t="shared" si="269"/>
        <v>0</v>
      </c>
      <c r="DI72" s="151">
        <f t="shared" si="270"/>
        <v>0</v>
      </c>
      <c r="DJ72" s="102">
        <f t="shared" si="271"/>
        <v>0</v>
      </c>
      <c r="DK72" s="102">
        <f t="shared" si="272"/>
        <v>0</v>
      </c>
      <c r="DL72" s="102">
        <f t="shared" si="273"/>
        <v>0</v>
      </c>
      <c r="DM72" s="102">
        <f t="shared" si="274"/>
        <v>0</v>
      </c>
      <c r="DN72" s="564">
        <f t="shared" si="275"/>
        <v>0</v>
      </c>
      <c r="DP72" s="10">
        <f t="shared" si="315"/>
        <v>2042</v>
      </c>
      <c r="DQ72" s="85">
        <f t="shared" si="276"/>
        <v>0</v>
      </c>
      <c r="DR72" s="147">
        <f t="shared" si="277"/>
        <v>0</v>
      </c>
      <c r="DS72" s="147">
        <f t="shared" si="278"/>
        <v>0</v>
      </c>
      <c r="DT72" s="147">
        <f t="shared" si="279"/>
        <v>0</v>
      </c>
      <c r="DU72" s="147">
        <f t="shared" si="280"/>
        <v>0</v>
      </c>
      <c r="DV72" s="85">
        <f t="shared" si="281"/>
        <v>0</v>
      </c>
      <c r="DW72" s="151">
        <f t="shared" si="282"/>
        <v>0</v>
      </c>
      <c r="DX72" s="102">
        <f t="shared" si="283"/>
        <v>0</v>
      </c>
      <c r="DY72" s="102">
        <f t="shared" si="284"/>
        <v>0</v>
      </c>
      <c r="DZ72" s="102">
        <f t="shared" si="285"/>
        <v>0</v>
      </c>
      <c r="EA72" s="102">
        <f t="shared" si="286"/>
        <v>0</v>
      </c>
      <c r="EB72" s="151">
        <f t="shared" si="287"/>
        <v>0</v>
      </c>
      <c r="EC72" s="85">
        <f t="shared" si="288"/>
        <v>0</v>
      </c>
      <c r="ED72" s="147">
        <f t="shared" si="289"/>
        <v>0</v>
      </c>
      <c r="EE72" s="147">
        <f t="shared" si="290"/>
        <v>0</v>
      </c>
      <c r="EF72" s="147">
        <f t="shared" si="291"/>
        <v>0</v>
      </c>
      <c r="EG72" s="147">
        <f t="shared" si="292"/>
        <v>0</v>
      </c>
      <c r="EH72" s="85">
        <f t="shared" si="293"/>
        <v>0</v>
      </c>
      <c r="EI72" s="151">
        <f t="shared" si="294"/>
        <v>0</v>
      </c>
      <c r="EJ72" s="102">
        <f t="shared" si="295"/>
        <v>0</v>
      </c>
      <c r="EK72" s="102">
        <f t="shared" si="296"/>
        <v>0</v>
      </c>
      <c r="EL72" s="102">
        <f t="shared" si="297"/>
        <v>0</v>
      </c>
      <c r="EM72" s="102">
        <f t="shared" si="298"/>
        <v>0</v>
      </c>
      <c r="EN72" s="151">
        <f t="shared" si="299"/>
        <v>0</v>
      </c>
      <c r="EO72" s="85">
        <f t="shared" si="300"/>
        <v>0</v>
      </c>
      <c r="EP72" s="145">
        <f t="shared" si="301"/>
        <v>0</v>
      </c>
      <c r="EQ72" s="145">
        <f t="shared" si="302"/>
        <v>0</v>
      </c>
      <c r="ER72" s="145">
        <f t="shared" si="303"/>
        <v>0</v>
      </c>
      <c r="ES72" s="145">
        <f t="shared" si="304"/>
        <v>0</v>
      </c>
      <c r="ET72" s="85">
        <f t="shared" si="305"/>
        <v>0</v>
      </c>
      <c r="EU72" s="102">
        <f t="shared" si="306"/>
        <v>0</v>
      </c>
      <c r="EV72" s="102">
        <f t="shared" si="307"/>
        <v>0</v>
      </c>
      <c r="EW72" s="102">
        <f t="shared" si="308"/>
        <v>0</v>
      </c>
      <c r="EX72" s="102">
        <f t="shared" si="309"/>
        <v>0</v>
      </c>
      <c r="EY72" s="102">
        <f t="shared" si="310"/>
        <v>0</v>
      </c>
      <c r="EZ72" s="564">
        <f t="shared" si="311"/>
        <v>0</v>
      </c>
    </row>
    <row r="73" spans="6:194">
      <c r="CD73" s="10">
        <f t="shared" si="314"/>
        <v>2043</v>
      </c>
      <c r="CE73" s="85">
        <f t="shared" si="240"/>
        <v>0</v>
      </c>
      <c r="CF73" s="147">
        <f t="shared" si="241"/>
        <v>0</v>
      </c>
      <c r="CG73" s="147">
        <f t="shared" si="242"/>
        <v>0</v>
      </c>
      <c r="CH73" s="147">
        <f t="shared" si="243"/>
        <v>0</v>
      </c>
      <c r="CI73" s="147">
        <f t="shared" si="244"/>
        <v>0</v>
      </c>
      <c r="CJ73" s="85">
        <f t="shared" si="245"/>
        <v>0</v>
      </c>
      <c r="CK73" s="151">
        <f t="shared" si="246"/>
        <v>0</v>
      </c>
      <c r="CL73" s="102">
        <f t="shared" si="247"/>
        <v>0</v>
      </c>
      <c r="CM73" s="102">
        <f t="shared" si="248"/>
        <v>0</v>
      </c>
      <c r="CN73" s="102">
        <f t="shared" si="249"/>
        <v>0</v>
      </c>
      <c r="CO73" s="102">
        <f t="shared" si="250"/>
        <v>0</v>
      </c>
      <c r="CP73" s="151">
        <f t="shared" si="251"/>
        <v>0</v>
      </c>
      <c r="CQ73" s="85">
        <f t="shared" si="252"/>
        <v>0</v>
      </c>
      <c r="CR73" s="147">
        <f t="shared" si="253"/>
        <v>0</v>
      </c>
      <c r="CS73" s="147">
        <f t="shared" si="254"/>
        <v>0</v>
      </c>
      <c r="CT73" s="147">
        <f t="shared" si="255"/>
        <v>0</v>
      </c>
      <c r="CU73" s="147">
        <f t="shared" si="256"/>
        <v>0</v>
      </c>
      <c r="CV73" s="85">
        <f t="shared" si="257"/>
        <v>0</v>
      </c>
      <c r="CW73" s="151">
        <f t="shared" si="258"/>
        <v>0</v>
      </c>
      <c r="CX73" s="102">
        <f t="shared" si="259"/>
        <v>0</v>
      </c>
      <c r="CY73" s="102">
        <f t="shared" si="260"/>
        <v>0</v>
      </c>
      <c r="CZ73" s="102">
        <f t="shared" si="261"/>
        <v>0</v>
      </c>
      <c r="DA73" s="102">
        <f t="shared" si="262"/>
        <v>0</v>
      </c>
      <c r="DB73" s="151">
        <f t="shared" si="263"/>
        <v>0</v>
      </c>
      <c r="DC73" s="85">
        <f t="shared" si="264"/>
        <v>0</v>
      </c>
      <c r="DD73" s="147">
        <f t="shared" si="265"/>
        <v>0</v>
      </c>
      <c r="DE73" s="147">
        <f t="shared" si="266"/>
        <v>0</v>
      </c>
      <c r="DF73" s="147">
        <f t="shared" si="267"/>
        <v>0</v>
      </c>
      <c r="DG73" s="147">
        <f t="shared" si="268"/>
        <v>0</v>
      </c>
      <c r="DH73" s="85">
        <f t="shared" si="269"/>
        <v>0</v>
      </c>
      <c r="DI73" s="151">
        <f t="shared" si="270"/>
        <v>0</v>
      </c>
      <c r="DJ73" s="102">
        <f t="shared" si="271"/>
        <v>0</v>
      </c>
      <c r="DK73" s="102">
        <f t="shared" si="272"/>
        <v>0</v>
      </c>
      <c r="DL73" s="102">
        <f t="shared" si="273"/>
        <v>0</v>
      </c>
      <c r="DM73" s="102">
        <f t="shared" si="274"/>
        <v>0</v>
      </c>
      <c r="DN73" s="564">
        <f t="shared" si="275"/>
        <v>0</v>
      </c>
      <c r="DP73" s="10">
        <f t="shared" si="315"/>
        <v>2043</v>
      </c>
      <c r="DQ73" s="85">
        <f t="shared" si="276"/>
        <v>0</v>
      </c>
      <c r="DR73" s="147">
        <f t="shared" si="277"/>
        <v>0</v>
      </c>
      <c r="DS73" s="147">
        <f t="shared" si="278"/>
        <v>0</v>
      </c>
      <c r="DT73" s="147">
        <f t="shared" si="279"/>
        <v>0</v>
      </c>
      <c r="DU73" s="147">
        <f t="shared" si="280"/>
        <v>0</v>
      </c>
      <c r="DV73" s="85">
        <f t="shared" si="281"/>
        <v>0</v>
      </c>
      <c r="DW73" s="151">
        <f t="shared" si="282"/>
        <v>0</v>
      </c>
      <c r="DX73" s="102">
        <f t="shared" si="283"/>
        <v>0</v>
      </c>
      <c r="DY73" s="102">
        <f t="shared" si="284"/>
        <v>0</v>
      </c>
      <c r="DZ73" s="102">
        <f t="shared" si="285"/>
        <v>0</v>
      </c>
      <c r="EA73" s="102">
        <f t="shared" si="286"/>
        <v>0</v>
      </c>
      <c r="EB73" s="151">
        <f t="shared" si="287"/>
        <v>0</v>
      </c>
      <c r="EC73" s="85">
        <f t="shared" si="288"/>
        <v>0</v>
      </c>
      <c r="ED73" s="147">
        <f t="shared" si="289"/>
        <v>0</v>
      </c>
      <c r="EE73" s="147">
        <f t="shared" si="290"/>
        <v>0</v>
      </c>
      <c r="EF73" s="147">
        <f t="shared" si="291"/>
        <v>0</v>
      </c>
      <c r="EG73" s="147">
        <f t="shared" si="292"/>
        <v>0</v>
      </c>
      <c r="EH73" s="85">
        <f t="shared" si="293"/>
        <v>0</v>
      </c>
      <c r="EI73" s="151">
        <f t="shared" si="294"/>
        <v>0</v>
      </c>
      <c r="EJ73" s="102">
        <f t="shared" si="295"/>
        <v>0</v>
      </c>
      <c r="EK73" s="102">
        <f t="shared" si="296"/>
        <v>0</v>
      </c>
      <c r="EL73" s="102">
        <f t="shared" si="297"/>
        <v>0</v>
      </c>
      <c r="EM73" s="102">
        <f t="shared" si="298"/>
        <v>0</v>
      </c>
      <c r="EN73" s="151">
        <f t="shared" si="299"/>
        <v>0</v>
      </c>
      <c r="EO73" s="85">
        <f t="shared" si="300"/>
        <v>0</v>
      </c>
      <c r="EP73" s="145">
        <f t="shared" si="301"/>
        <v>0</v>
      </c>
      <c r="EQ73" s="145">
        <f t="shared" si="302"/>
        <v>0</v>
      </c>
      <c r="ER73" s="145">
        <f t="shared" si="303"/>
        <v>0</v>
      </c>
      <c r="ES73" s="145">
        <f t="shared" si="304"/>
        <v>0</v>
      </c>
      <c r="ET73" s="85">
        <f t="shared" si="305"/>
        <v>0</v>
      </c>
      <c r="EU73" s="102">
        <f t="shared" si="306"/>
        <v>0</v>
      </c>
      <c r="EV73" s="102">
        <f t="shared" si="307"/>
        <v>0</v>
      </c>
      <c r="EW73" s="102">
        <f t="shared" si="308"/>
        <v>0</v>
      </c>
      <c r="EX73" s="102">
        <f t="shared" si="309"/>
        <v>0</v>
      </c>
      <c r="EY73" s="102">
        <f t="shared" si="310"/>
        <v>0</v>
      </c>
      <c r="EZ73" s="564">
        <f t="shared" si="311"/>
        <v>0</v>
      </c>
    </row>
    <row r="74" spans="6:194">
      <c r="CD74" s="10">
        <f t="shared" si="314"/>
        <v>2044</v>
      </c>
      <c r="CE74" s="85">
        <f t="shared" si="240"/>
        <v>0</v>
      </c>
      <c r="CF74" s="147">
        <f t="shared" si="241"/>
        <v>0</v>
      </c>
      <c r="CG74" s="147">
        <f t="shared" si="242"/>
        <v>0</v>
      </c>
      <c r="CH74" s="147">
        <f t="shared" si="243"/>
        <v>0</v>
      </c>
      <c r="CI74" s="147">
        <f t="shared" si="244"/>
        <v>0</v>
      </c>
      <c r="CJ74" s="85">
        <f t="shared" si="245"/>
        <v>0</v>
      </c>
      <c r="CK74" s="151">
        <f t="shared" si="246"/>
        <v>0</v>
      </c>
      <c r="CL74" s="102">
        <f t="shared" si="247"/>
        <v>0</v>
      </c>
      <c r="CM74" s="102">
        <f t="shared" si="248"/>
        <v>0</v>
      </c>
      <c r="CN74" s="102">
        <f t="shared" si="249"/>
        <v>0</v>
      </c>
      <c r="CO74" s="102">
        <f t="shared" si="250"/>
        <v>0</v>
      </c>
      <c r="CP74" s="151">
        <f t="shared" si="251"/>
        <v>0</v>
      </c>
      <c r="CQ74" s="85">
        <f t="shared" si="252"/>
        <v>0</v>
      </c>
      <c r="CR74" s="147">
        <f t="shared" si="253"/>
        <v>0</v>
      </c>
      <c r="CS74" s="147">
        <f t="shared" si="254"/>
        <v>0</v>
      </c>
      <c r="CT74" s="147">
        <f t="shared" si="255"/>
        <v>0</v>
      </c>
      <c r="CU74" s="147">
        <f t="shared" si="256"/>
        <v>0</v>
      </c>
      <c r="CV74" s="85">
        <f t="shared" si="257"/>
        <v>0</v>
      </c>
      <c r="CW74" s="151">
        <f t="shared" si="258"/>
        <v>0</v>
      </c>
      <c r="CX74" s="102">
        <f t="shared" si="259"/>
        <v>0</v>
      </c>
      <c r="CY74" s="102">
        <f t="shared" si="260"/>
        <v>0</v>
      </c>
      <c r="CZ74" s="102">
        <f t="shared" si="261"/>
        <v>0</v>
      </c>
      <c r="DA74" s="102">
        <f t="shared" si="262"/>
        <v>0</v>
      </c>
      <c r="DB74" s="151">
        <f t="shared" si="263"/>
        <v>0</v>
      </c>
      <c r="DC74" s="85">
        <f t="shared" si="264"/>
        <v>0</v>
      </c>
      <c r="DD74" s="147">
        <f t="shared" si="265"/>
        <v>0</v>
      </c>
      <c r="DE74" s="147">
        <f t="shared" si="266"/>
        <v>0</v>
      </c>
      <c r="DF74" s="147">
        <f t="shared" si="267"/>
        <v>0</v>
      </c>
      <c r="DG74" s="147">
        <f t="shared" si="268"/>
        <v>0</v>
      </c>
      <c r="DH74" s="85">
        <f t="shared" si="269"/>
        <v>0</v>
      </c>
      <c r="DI74" s="151">
        <f t="shared" si="270"/>
        <v>0</v>
      </c>
      <c r="DJ74" s="102">
        <f t="shared" si="271"/>
        <v>0</v>
      </c>
      <c r="DK74" s="102">
        <f t="shared" si="272"/>
        <v>0</v>
      </c>
      <c r="DL74" s="102">
        <f t="shared" si="273"/>
        <v>0</v>
      </c>
      <c r="DM74" s="102">
        <f t="shared" si="274"/>
        <v>0</v>
      </c>
      <c r="DN74" s="564">
        <f t="shared" si="275"/>
        <v>0</v>
      </c>
      <c r="DP74" s="10">
        <f t="shared" si="315"/>
        <v>2044</v>
      </c>
      <c r="DQ74" s="85">
        <f t="shared" si="276"/>
        <v>0</v>
      </c>
      <c r="DR74" s="147">
        <f t="shared" si="277"/>
        <v>0</v>
      </c>
      <c r="DS74" s="147">
        <f t="shared" si="278"/>
        <v>0</v>
      </c>
      <c r="DT74" s="147">
        <f t="shared" si="279"/>
        <v>0</v>
      </c>
      <c r="DU74" s="147">
        <f t="shared" si="280"/>
        <v>0</v>
      </c>
      <c r="DV74" s="85">
        <f t="shared" si="281"/>
        <v>0</v>
      </c>
      <c r="DW74" s="151">
        <f t="shared" si="282"/>
        <v>0</v>
      </c>
      <c r="DX74" s="102">
        <f t="shared" si="283"/>
        <v>0</v>
      </c>
      <c r="DY74" s="102">
        <f t="shared" si="284"/>
        <v>0</v>
      </c>
      <c r="DZ74" s="102">
        <f t="shared" si="285"/>
        <v>0</v>
      </c>
      <c r="EA74" s="102">
        <f t="shared" si="286"/>
        <v>0</v>
      </c>
      <c r="EB74" s="151">
        <f t="shared" si="287"/>
        <v>0</v>
      </c>
      <c r="EC74" s="85">
        <f t="shared" si="288"/>
        <v>0</v>
      </c>
      <c r="ED74" s="147">
        <f t="shared" si="289"/>
        <v>0</v>
      </c>
      <c r="EE74" s="147">
        <f t="shared" si="290"/>
        <v>0</v>
      </c>
      <c r="EF74" s="147">
        <f t="shared" si="291"/>
        <v>0</v>
      </c>
      <c r="EG74" s="147">
        <f t="shared" si="292"/>
        <v>0</v>
      </c>
      <c r="EH74" s="85">
        <f t="shared" si="293"/>
        <v>0</v>
      </c>
      <c r="EI74" s="151">
        <f t="shared" si="294"/>
        <v>0</v>
      </c>
      <c r="EJ74" s="102">
        <f t="shared" si="295"/>
        <v>0</v>
      </c>
      <c r="EK74" s="102">
        <f t="shared" si="296"/>
        <v>0</v>
      </c>
      <c r="EL74" s="102">
        <f t="shared" si="297"/>
        <v>0</v>
      </c>
      <c r="EM74" s="102">
        <f t="shared" si="298"/>
        <v>0</v>
      </c>
      <c r="EN74" s="151">
        <f t="shared" si="299"/>
        <v>0</v>
      </c>
      <c r="EO74" s="85">
        <f t="shared" si="300"/>
        <v>0</v>
      </c>
      <c r="EP74" s="145">
        <f t="shared" si="301"/>
        <v>0</v>
      </c>
      <c r="EQ74" s="145">
        <f t="shared" si="302"/>
        <v>0</v>
      </c>
      <c r="ER74" s="145">
        <f t="shared" si="303"/>
        <v>0</v>
      </c>
      <c r="ES74" s="145">
        <f t="shared" si="304"/>
        <v>0</v>
      </c>
      <c r="ET74" s="85">
        <f t="shared" si="305"/>
        <v>0</v>
      </c>
      <c r="EU74" s="102">
        <f t="shared" si="306"/>
        <v>0</v>
      </c>
      <c r="EV74" s="102">
        <f t="shared" si="307"/>
        <v>0</v>
      </c>
      <c r="EW74" s="102">
        <f t="shared" si="308"/>
        <v>0</v>
      </c>
      <c r="EX74" s="102">
        <f t="shared" si="309"/>
        <v>0</v>
      </c>
      <c r="EY74" s="102">
        <f t="shared" si="310"/>
        <v>0</v>
      </c>
      <c r="EZ74" s="564">
        <f t="shared" si="311"/>
        <v>0</v>
      </c>
    </row>
    <row r="75" spans="6:194">
      <c r="M75" s="124"/>
      <c r="N75" s="124"/>
      <c r="O75" s="124"/>
      <c r="P75" s="124"/>
      <c r="Q75" s="124"/>
      <c r="R75" s="124"/>
      <c r="S75" s="124"/>
      <c r="T75" s="124"/>
      <c r="U75" s="124"/>
      <c r="V75" s="124"/>
      <c r="W75" s="124"/>
      <c r="X75" s="124"/>
      <c r="Y75" s="124"/>
      <c r="Z75" s="124"/>
      <c r="AA75" s="124"/>
      <c r="AB75" s="124"/>
      <c r="AC75" s="124"/>
      <c r="AD75" s="124"/>
      <c r="CD75" s="10">
        <f t="shared" si="314"/>
        <v>2045</v>
      </c>
      <c r="CE75" s="85">
        <f t="shared" si="240"/>
        <v>0</v>
      </c>
      <c r="CF75" s="147">
        <f t="shared" si="241"/>
        <v>0</v>
      </c>
      <c r="CG75" s="147">
        <f t="shared" si="242"/>
        <v>0</v>
      </c>
      <c r="CH75" s="147">
        <f t="shared" si="243"/>
        <v>0</v>
      </c>
      <c r="CI75" s="147">
        <f t="shared" si="244"/>
        <v>0</v>
      </c>
      <c r="CJ75" s="85">
        <f t="shared" si="245"/>
        <v>0</v>
      </c>
      <c r="CK75" s="151">
        <f t="shared" si="246"/>
        <v>0</v>
      </c>
      <c r="CL75" s="102">
        <f t="shared" si="247"/>
        <v>0</v>
      </c>
      <c r="CM75" s="102">
        <f t="shared" si="248"/>
        <v>0</v>
      </c>
      <c r="CN75" s="102">
        <f t="shared" si="249"/>
        <v>0</v>
      </c>
      <c r="CO75" s="102">
        <f t="shared" si="250"/>
        <v>0</v>
      </c>
      <c r="CP75" s="151">
        <f t="shared" si="251"/>
        <v>0</v>
      </c>
      <c r="CQ75" s="85">
        <f t="shared" si="252"/>
        <v>0</v>
      </c>
      <c r="CR75" s="147">
        <f t="shared" si="253"/>
        <v>0</v>
      </c>
      <c r="CS75" s="147">
        <f t="shared" si="254"/>
        <v>0</v>
      </c>
      <c r="CT75" s="147">
        <f t="shared" si="255"/>
        <v>0</v>
      </c>
      <c r="CU75" s="147">
        <f t="shared" si="256"/>
        <v>0</v>
      </c>
      <c r="CV75" s="85">
        <f t="shared" si="257"/>
        <v>0</v>
      </c>
      <c r="CW75" s="151">
        <f t="shared" si="258"/>
        <v>0</v>
      </c>
      <c r="CX75" s="102">
        <f t="shared" si="259"/>
        <v>0</v>
      </c>
      <c r="CY75" s="102">
        <f t="shared" si="260"/>
        <v>0</v>
      </c>
      <c r="CZ75" s="102">
        <f t="shared" si="261"/>
        <v>0</v>
      </c>
      <c r="DA75" s="102">
        <f t="shared" si="262"/>
        <v>0</v>
      </c>
      <c r="DB75" s="151">
        <f t="shared" si="263"/>
        <v>0</v>
      </c>
      <c r="DC75" s="85">
        <f t="shared" si="264"/>
        <v>0</v>
      </c>
      <c r="DD75" s="147">
        <f t="shared" si="265"/>
        <v>0</v>
      </c>
      <c r="DE75" s="147">
        <f t="shared" si="266"/>
        <v>0</v>
      </c>
      <c r="DF75" s="147">
        <f t="shared" si="267"/>
        <v>0</v>
      </c>
      <c r="DG75" s="147">
        <f t="shared" si="268"/>
        <v>0</v>
      </c>
      <c r="DH75" s="85">
        <f t="shared" si="269"/>
        <v>0</v>
      </c>
      <c r="DI75" s="151">
        <f t="shared" si="270"/>
        <v>0</v>
      </c>
      <c r="DJ75" s="102">
        <f t="shared" si="271"/>
        <v>0</v>
      </c>
      <c r="DK75" s="102">
        <f t="shared" si="272"/>
        <v>0</v>
      </c>
      <c r="DL75" s="102">
        <f t="shared" si="273"/>
        <v>0</v>
      </c>
      <c r="DM75" s="102">
        <f t="shared" si="274"/>
        <v>0</v>
      </c>
      <c r="DN75" s="564">
        <f t="shared" si="275"/>
        <v>0</v>
      </c>
      <c r="DP75" s="10">
        <f t="shared" si="315"/>
        <v>2045</v>
      </c>
      <c r="DQ75" s="85">
        <f t="shared" si="276"/>
        <v>0</v>
      </c>
      <c r="DR75" s="147">
        <f t="shared" si="277"/>
        <v>0</v>
      </c>
      <c r="DS75" s="147">
        <f t="shared" si="278"/>
        <v>0</v>
      </c>
      <c r="DT75" s="147">
        <f t="shared" si="279"/>
        <v>0</v>
      </c>
      <c r="DU75" s="147">
        <f t="shared" si="280"/>
        <v>0</v>
      </c>
      <c r="DV75" s="85">
        <f t="shared" si="281"/>
        <v>0</v>
      </c>
      <c r="DW75" s="151">
        <f t="shared" si="282"/>
        <v>0</v>
      </c>
      <c r="DX75" s="102">
        <f t="shared" si="283"/>
        <v>0</v>
      </c>
      <c r="DY75" s="102">
        <f t="shared" si="284"/>
        <v>0</v>
      </c>
      <c r="DZ75" s="102">
        <f t="shared" si="285"/>
        <v>0</v>
      </c>
      <c r="EA75" s="102">
        <f t="shared" si="286"/>
        <v>0</v>
      </c>
      <c r="EB75" s="151">
        <f t="shared" si="287"/>
        <v>0</v>
      </c>
      <c r="EC75" s="85">
        <f t="shared" si="288"/>
        <v>0</v>
      </c>
      <c r="ED75" s="147">
        <f t="shared" si="289"/>
        <v>0</v>
      </c>
      <c r="EE75" s="147">
        <f t="shared" si="290"/>
        <v>0</v>
      </c>
      <c r="EF75" s="147">
        <f t="shared" si="291"/>
        <v>0</v>
      </c>
      <c r="EG75" s="147">
        <f t="shared" si="292"/>
        <v>0</v>
      </c>
      <c r="EH75" s="85">
        <f t="shared" si="293"/>
        <v>0</v>
      </c>
      <c r="EI75" s="151">
        <f t="shared" si="294"/>
        <v>0</v>
      </c>
      <c r="EJ75" s="102">
        <f t="shared" si="295"/>
        <v>0</v>
      </c>
      <c r="EK75" s="102">
        <f t="shared" si="296"/>
        <v>0</v>
      </c>
      <c r="EL75" s="102">
        <f t="shared" si="297"/>
        <v>0</v>
      </c>
      <c r="EM75" s="102">
        <f t="shared" si="298"/>
        <v>0</v>
      </c>
      <c r="EN75" s="151">
        <f t="shared" si="299"/>
        <v>0</v>
      </c>
      <c r="EO75" s="85">
        <f t="shared" si="300"/>
        <v>0</v>
      </c>
      <c r="EP75" s="145">
        <f t="shared" si="301"/>
        <v>0</v>
      </c>
      <c r="EQ75" s="145">
        <f t="shared" si="302"/>
        <v>0</v>
      </c>
      <c r="ER75" s="145">
        <f t="shared" si="303"/>
        <v>0</v>
      </c>
      <c r="ES75" s="145">
        <f t="shared" si="304"/>
        <v>0</v>
      </c>
      <c r="ET75" s="85">
        <f t="shared" si="305"/>
        <v>0</v>
      </c>
      <c r="EU75" s="102">
        <f t="shared" si="306"/>
        <v>0</v>
      </c>
      <c r="EV75" s="102">
        <f t="shared" si="307"/>
        <v>0</v>
      </c>
      <c r="EW75" s="102">
        <f t="shared" si="308"/>
        <v>0</v>
      </c>
      <c r="EX75" s="102">
        <f t="shared" si="309"/>
        <v>0</v>
      </c>
      <c r="EY75" s="102">
        <f t="shared" si="310"/>
        <v>0</v>
      </c>
      <c r="EZ75" s="564">
        <f t="shared" si="311"/>
        <v>0</v>
      </c>
    </row>
    <row r="76" spans="6:194">
      <c r="M76" s="125"/>
      <c r="N76" s="125"/>
      <c r="O76" s="125"/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5"/>
      <c r="AA76" s="125"/>
      <c r="AB76" s="125"/>
      <c r="AC76" s="125"/>
      <c r="AD76" s="125"/>
      <c r="CD76" s="10">
        <f t="shared" si="314"/>
        <v>2046</v>
      </c>
      <c r="CE76" s="85">
        <f t="shared" si="240"/>
        <v>0</v>
      </c>
      <c r="CF76" s="147">
        <f t="shared" si="241"/>
        <v>0</v>
      </c>
      <c r="CG76" s="147">
        <f t="shared" si="242"/>
        <v>0</v>
      </c>
      <c r="CH76" s="147">
        <f t="shared" si="243"/>
        <v>0</v>
      </c>
      <c r="CI76" s="147">
        <f t="shared" si="244"/>
        <v>0</v>
      </c>
      <c r="CJ76" s="85">
        <f t="shared" si="245"/>
        <v>0</v>
      </c>
      <c r="CK76" s="151">
        <f t="shared" si="246"/>
        <v>0</v>
      </c>
      <c r="CL76" s="102">
        <f t="shared" si="247"/>
        <v>0</v>
      </c>
      <c r="CM76" s="102">
        <f t="shared" si="248"/>
        <v>0</v>
      </c>
      <c r="CN76" s="102">
        <f t="shared" si="249"/>
        <v>0</v>
      </c>
      <c r="CO76" s="102">
        <f t="shared" si="250"/>
        <v>0</v>
      </c>
      <c r="CP76" s="151">
        <f t="shared" si="251"/>
        <v>0</v>
      </c>
      <c r="CQ76" s="85">
        <f t="shared" si="252"/>
        <v>0</v>
      </c>
      <c r="CR76" s="147">
        <f t="shared" si="253"/>
        <v>0</v>
      </c>
      <c r="CS76" s="147">
        <f t="shared" si="254"/>
        <v>0</v>
      </c>
      <c r="CT76" s="147">
        <f t="shared" si="255"/>
        <v>0</v>
      </c>
      <c r="CU76" s="147">
        <f t="shared" si="256"/>
        <v>0</v>
      </c>
      <c r="CV76" s="85">
        <f t="shared" si="257"/>
        <v>0</v>
      </c>
      <c r="CW76" s="151">
        <f t="shared" si="258"/>
        <v>0</v>
      </c>
      <c r="CX76" s="102">
        <f t="shared" si="259"/>
        <v>0</v>
      </c>
      <c r="CY76" s="102">
        <f t="shared" si="260"/>
        <v>0</v>
      </c>
      <c r="CZ76" s="102">
        <f t="shared" si="261"/>
        <v>0</v>
      </c>
      <c r="DA76" s="102">
        <f t="shared" si="262"/>
        <v>0</v>
      </c>
      <c r="DB76" s="151">
        <f t="shared" si="263"/>
        <v>0</v>
      </c>
      <c r="DC76" s="85">
        <f t="shared" si="264"/>
        <v>0</v>
      </c>
      <c r="DD76" s="147">
        <f t="shared" si="265"/>
        <v>0</v>
      </c>
      <c r="DE76" s="147">
        <f t="shared" si="266"/>
        <v>0</v>
      </c>
      <c r="DF76" s="147">
        <f t="shared" si="267"/>
        <v>0</v>
      </c>
      <c r="DG76" s="147">
        <f t="shared" si="268"/>
        <v>0</v>
      </c>
      <c r="DH76" s="85">
        <f t="shared" si="269"/>
        <v>0</v>
      </c>
      <c r="DI76" s="151">
        <f t="shared" si="270"/>
        <v>0</v>
      </c>
      <c r="DJ76" s="102">
        <f t="shared" si="271"/>
        <v>0</v>
      </c>
      <c r="DK76" s="102">
        <f t="shared" si="272"/>
        <v>0</v>
      </c>
      <c r="DL76" s="102">
        <f t="shared" si="273"/>
        <v>0</v>
      </c>
      <c r="DM76" s="102">
        <f t="shared" si="274"/>
        <v>0</v>
      </c>
      <c r="DN76" s="564">
        <f t="shared" si="275"/>
        <v>0</v>
      </c>
      <c r="DP76" s="10">
        <f t="shared" si="315"/>
        <v>2046</v>
      </c>
      <c r="DQ76" s="85">
        <f t="shared" si="276"/>
        <v>0</v>
      </c>
      <c r="DR76" s="147">
        <f t="shared" si="277"/>
        <v>0</v>
      </c>
      <c r="DS76" s="147">
        <f t="shared" si="278"/>
        <v>0</v>
      </c>
      <c r="DT76" s="147">
        <f t="shared" si="279"/>
        <v>0</v>
      </c>
      <c r="DU76" s="147">
        <f t="shared" si="280"/>
        <v>0</v>
      </c>
      <c r="DV76" s="85">
        <f t="shared" si="281"/>
        <v>0</v>
      </c>
      <c r="DW76" s="151">
        <f t="shared" si="282"/>
        <v>0</v>
      </c>
      <c r="DX76" s="102">
        <f t="shared" si="283"/>
        <v>0</v>
      </c>
      <c r="DY76" s="102">
        <f t="shared" si="284"/>
        <v>0</v>
      </c>
      <c r="DZ76" s="102">
        <f t="shared" si="285"/>
        <v>0</v>
      </c>
      <c r="EA76" s="102">
        <f t="shared" si="286"/>
        <v>0</v>
      </c>
      <c r="EB76" s="151">
        <f t="shared" si="287"/>
        <v>0</v>
      </c>
      <c r="EC76" s="85">
        <f t="shared" si="288"/>
        <v>0</v>
      </c>
      <c r="ED76" s="147">
        <f t="shared" si="289"/>
        <v>0</v>
      </c>
      <c r="EE76" s="147">
        <f t="shared" si="290"/>
        <v>0</v>
      </c>
      <c r="EF76" s="147">
        <f t="shared" si="291"/>
        <v>0</v>
      </c>
      <c r="EG76" s="147">
        <f t="shared" si="292"/>
        <v>0</v>
      </c>
      <c r="EH76" s="85">
        <f t="shared" si="293"/>
        <v>0</v>
      </c>
      <c r="EI76" s="151">
        <f t="shared" si="294"/>
        <v>0</v>
      </c>
      <c r="EJ76" s="102">
        <f t="shared" si="295"/>
        <v>0</v>
      </c>
      <c r="EK76" s="102">
        <f t="shared" si="296"/>
        <v>0</v>
      </c>
      <c r="EL76" s="102">
        <f t="shared" si="297"/>
        <v>0</v>
      </c>
      <c r="EM76" s="102">
        <f t="shared" si="298"/>
        <v>0</v>
      </c>
      <c r="EN76" s="151">
        <f t="shared" si="299"/>
        <v>0</v>
      </c>
      <c r="EO76" s="85">
        <f t="shared" si="300"/>
        <v>0</v>
      </c>
      <c r="EP76" s="145">
        <f t="shared" si="301"/>
        <v>0</v>
      </c>
      <c r="EQ76" s="145">
        <f t="shared" si="302"/>
        <v>0</v>
      </c>
      <c r="ER76" s="145">
        <f t="shared" si="303"/>
        <v>0</v>
      </c>
      <c r="ES76" s="145">
        <f t="shared" si="304"/>
        <v>0</v>
      </c>
      <c r="ET76" s="85">
        <f t="shared" si="305"/>
        <v>0</v>
      </c>
      <c r="EU76" s="102">
        <f t="shared" si="306"/>
        <v>0</v>
      </c>
      <c r="EV76" s="102">
        <f t="shared" si="307"/>
        <v>0</v>
      </c>
      <c r="EW76" s="102">
        <f t="shared" si="308"/>
        <v>0</v>
      </c>
      <c r="EX76" s="102">
        <f t="shared" si="309"/>
        <v>0</v>
      </c>
      <c r="EY76" s="102">
        <f t="shared" si="310"/>
        <v>0</v>
      </c>
      <c r="EZ76" s="564">
        <f t="shared" si="311"/>
        <v>0</v>
      </c>
    </row>
    <row r="77" spans="6:194">
      <c r="CD77" s="10">
        <f t="shared" si="314"/>
        <v>2047</v>
      </c>
      <c r="CE77" s="85">
        <f t="shared" si="240"/>
        <v>0</v>
      </c>
      <c r="CF77" s="147">
        <f t="shared" si="241"/>
        <v>0</v>
      </c>
      <c r="CG77" s="147">
        <f t="shared" si="242"/>
        <v>0</v>
      </c>
      <c r="CH77" s="147">
        <f t="shared" si="243"/>
        <v>0</v>
      </c>
      <c r="CI77" s="147">
        <f t="shared" si="244"/>
        <v>0</v>
      </c>
      <c r="CJ77" s="85">
        <f t="shared" si="245"/>
        <v>0</v>
      </c>
      <c r="CK77" s="151">
        <f t="shared" si="246"/>
        <v>0</v>
      </c>
      <c r="CL77" s="102">
        <f t="shared" si="247"/>
        <v>0</v>
      </c>
      <c r="CM77" s="102">
        <f t="shared" si="248"/>
        <v>0</v>
      </c>
      <c r="CN77" s="102">
        <f t="shared" si="249"/>
        <v>0</v>
      </c>
      <c r="CO77" s="102">
        <f t="shared" si="250"/>
        <v>0</v>
      </c>
      <c r="CP77" s="151">
        <f t="shared" si="251"/>
        <v>0</v>
      </c>
      <c r="CQ77" s="85">
        <f t="shared" si="252"/>
        <v>0</v>
      </c>
      <c r="CR77" s="147">
        <f t="shared" si="253"/>
        <v>0</v>
      </c>
      <c r="CS77" s="147">
        <f t="shared" si="254"/>
        <v>0</v>
      </c>
      <c r="CT77" s="147">
        <f t="shared" si="255"/>
        <v>0</v>
      </c>
      <c r="CU77" s="147">
        <f t="shared" si="256"/>
        <v>0</v>
      </c>
      <c r="CV77" s="85">
        <f t="shared" si="257"/>
        <v>0</v>
      </c>
      <c r="CW77" s="151">
        <f t="shared" si="258"/>
        <v>0</v>
      </c>
      <c r="CX77" s="102">
        <f t="shared" si="259"/>
        <v>0</v>
      </c>
      <c r="CY77" s="102">
        <f t="shared" si="260"/>
        <v>0</v>
      </c>
      <c r="CZ77" s="102">
        <f t="shared" si="261"/>
        <v>0</v>
      </c>
      <c r="DA77" s="102">
        <f t="shared" si="262"/>
        <v>0</v>
      </c>
      <c r="DB77" s="151">
        <f t="shared" si="263"/>
        <v>0</v>
      </c>
      <c r="DC77" s="85">
        <f t="shared" si="264"/>
        <v>0</v>
      </c>
      <c r="DD77" s="147">
        <f t="shared" si="265"/>
        <v>0</v>
      </c>
      <c r="DE77" s="147">
        <f t="shared" si="266"/>
        <v>0</v>
      </c>
      <c r="DF77" s="147">
        <f t="shared" si="267"/>
        <v>0</v>
      </c>
      <c r="DG77" s="147">
        <f t="shared" si="268"/>
        <v>0</v>
      </c>
      <c r="DH77" s="85">
        <f t="shared" si="269"/>
        <v>0</v>
      </c>
      <c r="DI77" s="151">
        <f t="shared" si="270"/>
        <v>0</v>
      </c>
      <c r="DJ77" s="102">
        <f t="shared" si="271"/>
        <v>0</v>
      </c>
      <c r="DK77" s="102">
        <f t="shared" si="272"/>
        <v>0</v>
      </c>
      <c r="DL77" s="102">
        <f t="shared" si="273"/>
        <v>0</v>
      </c>
      <c r="DM77" s="102">
        <f t="shared" si="274"/>
        <v>0</v>
      </c>
      <c r="DN77" s="564">
        <f t="shared" si="275"/>
        <v>0</v>
      </c>
      <c r="DP77" s="10">
        <f t="shared" si="315"/>
        <v>2047</v>
      </c>
      <c r="DQ77" s="85">
        <f t="shared" si="276"/>
        <v>0</v>
      </c>
      <c r="DR77" s="147">
        <f t="shared" si="277"/>
        <v>0</v>
      </c>
      <c r="DS77" s="147">
        <f t="shared" si="278"/>
        <v>0</v>
      </c>
      <c r="DT77" s="147">
        <f t="shared" si="279"/>
        <v>0</v>
      </c>
      <c r="DU77" s="147">
        <f t="shared" si="280"/>
        <v>0</v>
      </c>
      <c r="DV77" s="85">
        <f t="shared" si="281"/>
        <v>0</v>
      </c>
      <c r="DW77" s="151">
        <f t="shared" si="282"/>
        <v>0</v>
      </c>
      <c r="DX77" s="102">
        <f t="shared" si="283"/>
        <v>0</v>
      </c>
      <c r="DY77" s="102">
        <f t="shared" si="284"/>
        <v>0</v>
      </c>
      <c r="DZ77" s="102">
        <f t="shared" si="285"/>
        <v>0</v>
      </c>
      <c r="EA77" s="102">
        <f t="shared" si="286"/>
        <v>0</v>
      </c>
      <c r="EB77" s="151">
        <f t="shared" si="287"/>
        <v>0</v>
      </c>
      <c r="EC77" s="85">
        <f t="shared" si="288"/>
        <v>0</v>
      </c>
      <c r="ED77" s="147">
        <f t="shared" si="289"/>
        <v>0</v>
      </c>
      <c r="EE77" s="147">
        <f t="shared" si="290"/>
        <v>0</v>
      </c>
      <c r="EF77" s="147">
        <f t="shared" si="291"/>
        <v>0</v>
      </c>
      <c r="EG77" s="147">
        <f t="shared" si="292"/>
        <v>0</v>
      </c>
      <c r="EH77" s="85">
        <f t="shared" si="293"/>
        <v>0</v>
      </c>
      <c r="EI77" s="151">
        <f t="shared" si="294"/>
        <v>0</v>
      </c>
      <c r="EJ77" s="102">
        <f t="shared" si="295"/>
        <v>0</v>
      </c>
      <c r="EK77" s="102">
        <f t="shared" si="296"/>
        <v>0</v>
      </c>
      <c r="EL77" s="102">
        <f t="shared" si="297"/>
        <v>0</v>
      </c>
      <c r="EM77" s="102">
        <f t="shared" si="298"/>
        <v>0</v>
      </c>
      <c r="EN77" s="151">
        <f t="shared" si="299"/>
        <v>0</v>
      </c>
      <c r="EO77" s="85">
        <f t="shared" si="300"/>
        <v>0</v>
      </c>
      <c r="EP77" s="145">
        <f t="shared" si="301"/>
        <v>0</v>
      </c>
      <c r="EQ77" s="145">
        <f t="shared" si="302"/>
        <v>0</v>
      </c>
      <c r="ER77" s="145">
        <f t="shared" si="303"/>
        <v>0</v>
      </c>
      <c r="ES77" s="145">
        <f t="shared" si="304"/>
        <v>0</v>
      </c>
      <c r="ET77" s="85">
        <f t="shared" si="305"/>
        <v>0</v>
      </c>
      <c r="EU77" s="102">
        <f t="shared" si="306"/>
        <v>0</v>
      </c>
      <c r="EV77" s="102">
        <f t="shared" si="307"/>
        <v>0</v>
      </c>
      <c r="EW77" s="102">
        <f t="shared" si="308"/>
        <v>0</v>
      </c>
      <c r="EX77" s="102">
        <f t="shared" si="309"/>
        <v>0</v>
      </c>
      <c r="EY77" s="102">
        <f t="shared" si="310"/>
        <v>0</v>
      </c>
      <c r="EZ77" s="564">
        <f t="shared" si="311"/>
        <v>0</v>
      </c>
    </row>
    <row r="78" spans="6:194">
      <c r="CD78" s="10">
        <f t="shared" si="314"/>
        <v>2048</v>
      </c>
      <c r="CE78" s="85">
        <f t="shared" si="240"/>
        <v>0</v>
      </c>
      <c r="CF78" s="147">
        <f t="shared" si="241"/>
        <v>0</v>
      </c>
      <c r="CG78" s="147">
        <f t="shared" si="242"/>
        <v>0</v>
      </c>
      <c r="CH78" s="147">
        <f t="shared" si="243"/>
        <v>0</v>
      </c>
      <c r="CI78" s="147">
        <f t="shared" si="244"/>
        <v>0</v>
      </c>
      <c r="CJ78" s="85">
        <f t="shared" si="245"/>
        <v>0</v>
      </c>
      <c r="CK78" s="151">
        <f t="shared" si="246"/>
        <v>0</v>
      </c>
      <c r="CL78" s="102">
        <f t="shared" si="247"/>
        <v>0</v>
      </c>
      <c r="CM78" s="102">
        <f t="shared" si="248"/>
        <v>0</v>
      </c>
      <c r="CN78" s="102">
        <f t="shared" si="249"/>
        <v>0</v>
      </c>
      <c r="CO78" s="102">
        <f t="shared" si="250"/>
        <v>0</v>
      </c>
      <c r="CP78" s="151">
        <f t="shared" si="251"/>
        <v>0</v>
      </c>
      <c r="CQ78" s="85">
        <f t="shared" si="252"/>
        <v>0</v>
      </c>
      <c r="CR78" s="147">
        <f t="shared" si="253"/>
        <v>0</v>
      </c>
      <c r="CS78" s="147">
        <f t="shared" si="254"/>
        <v>0</v>
      </c>
      <c r="CT78" s="147">
        <f t="shared" si="255"/>
        <v>0</v>
      </c>
      <c r="CU78" s="147">
        <f t="shared" si="256"/>
        <v>0</v>
      </c>
      <c r="CV78" s="85">
        <f t="shared" si="257"/>
        <v>0</v>
      </c>
      <c r="CW78" s="151">
        <f t="shared" si="258"/>
        <v>0</v>
      </c>
      <c r="CX78" s="102">
        <f t="shared" si="259"/>
        <v>0</v>
      </c>
      <c r="CY78" s="102">
        <f t="shared" si="260"/>
        <v>0</v>
      </c>
      <c r="CZ78" s="102">
        <f t="shared" si="261"/>
        <v>0</v>
      </c>
      <c r="DA78" s="102">
        <f t="shared" si="262"/>
        <v>0</v>
      </c>
      <c r="DB78" s="151">
        <f t="shared" si="263"/>
        <v>0</v>
      </c>
      <c r="DC78" s="85">
        <f t="shared" si="264"/>
        <v>0</v>
      </c>
      <c r="DD78" s="147">
        <f t="shared" si="265"/>
        <v>0</v>
      </c>
      <c r="DE78" s="147">
        <f t="shared" si="266"/>
        <v>0</v>
      </c>
      <c r="DF78" s="147">
        <f t="shared" si="267"/>
        <v>0</v>
      </c>
      <c r="DG78" s="147">
        <f t="shared" si="268"/>
        <v>0</v>
      </c>
      <c r="DH78" s="85">
        <f t="shared" si="269"/>
        <v>0</v>
      </c>
      <c r="DI78" s="151">
        <f t="shared" si="270"/>
        <v>0</v>
      </c>
      <c r="DJ78" s="102">
        <f t="shared" si="271"/>
        <v>0</v>
      </c>
      <c r="DK78" s="102">
        <f t="shared" si="272"/>
        <v>0</v>
      </c>
      <c r="DL78" s="102">
        <f t="shared" si="273"/>
        <v>0</v>
      </c>
      <c r="DM78" s="102">
        <f t="shared" si="274"/>
        <v>0</v>
      </c>
      <c r="DN78" s="564">
        <f t="shared" si="275"/>
        <v>0</v>
      </c>
      <c r="DP78" s="10">
        <f t="shared" si="315"/>
        <v>2048</v>
      </c>
      <c r="DQ78" s="85">
        <f t="shared" si="276"/>
        <v>0</v>
      </c>
      <c r="DR78" s="147">
        <f t="shared" si="277"/>
        <v>0</v>
      </c>
      <c r="DS78" s="147">
        <f t="shared" si="278"/>
        <v>0</v>
      </c>
      <c r="DT78" s="147">
        <f t="shared" si="279"/>
        <v>0</v>
      </c>
      <c r="DU78" s="147">
        <f t="shared" si="280"/>
        <v>0</v>
      </c>
      <c r="DV78" s="85">
        <f t="shared" si="281"/>
        <v>0</v>
      </c>
      <c r="DW78" s="151">
        <f t="shared" si="282"/>
        <v>0</v>
      </c>
      <c r="DX78" s="102">
        <f t="shared" si="283"/>
        <v>0</v>
      </c>
      <c r="DY78" s="102">
        <f t="shared" si="284"/>
        <v>0</v>
      </c>
      <c r="DZ78" s="102">
        <f t="shared" si="285"/>
        <v>0</v>
      </c>
      <c r="EA78" s="102">
        <f t="shared" si="286"/>
        <v>0</v>
      </c>
      <c r="EB78" s="151">
        <f t="shared" si="287"/>
        <v>0</v>
      </c>
      <c r="EC78" s="85">
        <f t="shared" si="288"/>
        <v>0</v>
      </c>
      <c r="ED78" s="147">
        <f t="shared" si="289"/>
        <v>0</v>
      </c>
      <c r="EE78" s="147">
        <f t="shared" si="290"/>
        <v>0</v>
      </c>
      <c r="EF78" s="147">
        <f t="shared" si="291"/>
        <v>0</v>
      </c>
      <c r="EG78" s="147">
        <f t="shared" si="292"/>
        <v>0</v>
      </c>
      <c r="EH78" s="85">
        <f t="shared" si="293"/>
        <v>0</v>
      </c>
      <c r="EI78" s="151">
        <f t="shared" si="294"/>
        <v>0</v>
      </c>
      <c r="EJ78" s="102">
        <f t="shared" si="295"/>
        <v>0</v>
      </c>
      <c r="EK78" s="102">
        <f t="shared" si="296"/>
        <v>0</v>
      </c>
      <c r="EL78" s="102">
        <f t="shared" si="297"/>
        <v>0</v>
      </c>
      <c r="EM78" s="102">
        <f t="shared" si="298"/>
        <v>0</v>
      </c>
      <c r="EN78" s="151">
        <f t="shared" si="299"/>
        <v>0</v>
      </c>
      <c r="EO78" s="85">
        <f t="shared" si="300"/>
        <v>0</v>
      </c>
      <c r="EP78" s="145">
        <f t="shared" si="301"/>
        <v>0</v>
      </c>
      <c r="EQ78" s="145">
        <f t="shared" si="302"/>
        <v>0</v>
      </c>
      <c r="ER78" s="145">
        <f t="shared" si="303"/>
        <v>0</v>
      </c>
      <c r="ES78" s="145">
        <f t="shared" si="304"/>
        <v>0</v>
      </c>
      <c r="ET78" s="85">
        <f t="shared" si="305"/>
        <v>0</v>
      </c>
      <c r="EU78" s="102">
        <f t="shared" si="306"/>
        <v>0</v>
      </c>
      <c r="EV78" s="102">
        <f t="shared" si="307"/>
        <v>0</v>
      </c>
      <c r="EW78" s="102">
        <f t="shared" si="308"/>
        <v>0</v>
      </c>
      <c r="EX78" s="102">
        <f t="shared" si="309"/>
        <v>0</v>
      </c>
      <c r="EY78" s="102">
        <f t="shared" si="310"/>
        <v>0</v>
      </c>
      <c r="EZ78" s="564">
        <f t="shared" si="311"/>
        <v>0</v>
      </c>
    </row>
    <row r="79" spans="6:194"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BD79" s="1114"/>
      <c r="BJ79" s="1114"/>
      <c r="BV79" s="1114"/>
      <c r="CD79" s="10">
        <f t="shared" si="314"/>
        <v>2049</v>
      </c>
      <c r="CE79" s="85">
        <f t="shared" si="240"/>
        <v>0</v>
      </c>
      <c r="CF79" s="147">
        <f t="shared" si="241"/>
        <v>0</v>
      </c>
      <c r="CG79" s="147">
        <f t="shared" si="242"/>
        <v>0</v>
      </c>
      <c r="CH79" s="147">
        <f t="shared" si="243"/>
        <v>0</v>
      </c>
      <c r="CI79" s="147">
        <f t="shared" si="244"/>
        <v>0</v>
      </c>
      <c r="CJ79" s="85">
        <f t="shared" si="245"/>
        <v>0</v>
      </c>
      <c r="CK79" s="151">
        <f t="shared" si="246"/>
        <v>0</v>
      </c>
      <c r="CL79" s="102">
        <f t="shared" si="247"/>
        <v>0</v>
      </c>
      <c r="CM79" s="102">
        <f t="shared" si="248"/>
        <v>0</v>
      </c>
      <c r="CN79" s="102">
        <f t="shared" si="249"/>
        <v>0</v>
      </c>
      <c r="CO79" s="102">
        <f t="shared" si="250"/>
        <v>0</v>
      </c>
      <c r="CP79" s="151">
        <f t="shared" si="251"/>
        <v>0</v>
      </c>
      <c r="CQ79" s="85">
        <f t="shared" si="252"/>
        <v>0</v>
      </c>
      <c r="CR79" s="147">
        <f t="shared" si="253"/>
        <v>0</v>
      </c>
      <c r="CS79" s="147">
        <f t="shared" si="254"/>
        <v>0</v>
      </c>
      <c r="CT79" s="147">
        <f t="shared" si="255"/>
        <v>0</v>
      </c>
      <c r="CU79" s="147">
        <f t="shared" si="256"/>
        <v>0</v>
      </c>
      <c r="CV79" s="85">
        <f t="shared" si="257"/>
        <v>0</v>
      </c>
      <c r="CW79" s="151">
        <f t="shared" si="258"/>
        <v>0</v>
      </c>
      <c r="CX79" s="102">
        <f t="shared" si="259"/>
        <v>0</v>
      </c>
      <c r="CY79" s="102">
        <f t="shared" si="260"/>
        <v>0</v>
      </c>
      <c r="CZ79" s="102">
        <f t="shared" si="261"/>
        <v>0</v>
      </c>
      <c r="DA79" s="102">
        <f t="shared" si="262"/>
        <v>0</v>
      </c>
      <c r="DB79" s="151">
        <f t="shared" si="263"/>
        <v>0</v>
      </c>
      <c r="DC79" s="85">
        <f t="shared" si="264"/>
        <v>0</v>
      </c>
      <c r="DD79" s="147">
        <f t="shared" si="265"/>
        <v>0</v>
      </c>
      <c r="DE79" s="147">
        <f t="shared" si="266"/>
        <v>0</v>
      </c>
      <c r="DF79" s="147">
        <f t="shared" si="267"/>
        <v>0</v>
      </c>
      <c r="DG79" s="147">
        <f t="shared" si="268"/>
        <v>0</v>
      </c>
      <c r="DH79" s="85">
        <f t="shared" si="269"/>
        <v>0</v>
      </c>
      <c r="DI79" s="151">
        <f t="shared" si="270"/>
        <v>0</v>
      </c>
      <c r="DJ79" s="102">
        <f t="shared" si="271"/>
        <v>0</v>
      </c>
      <c r="DK79" s="102">
        <f t="shared" si="272"/>
        <v>0</v>
      </c>
      <c r="DL79" s="102">
        <f t="shared" si="273"/>
        <v>0</v>
      </c>
      <c r="DM79" s="102">
        <f t="shared" si="274"/>
        <v>0</v>
      </c>
      <c r="DN79" s="564">
        <f t="shared" si="275"/>
        <v>0</v>
      </c>
      <c r="DP79" s="10">
        <f t="shared" si="315"/>
        <v>2049</v>
      </c>
      <c r="DQ79" s="85">
        <f t="shared" si="276"/>
        <v>0</v>
      </c>
      <c r="DR79" s="147">
        <f t="shared" si="277"/>
        <v>0</v>
      </c>
      <c r="DS79" s="147">
        <f t="shared" si="278"/>
        <v>0</v>
      </c>
      <c r="DT79" s="147">
        <f t="shared" si="279"/>
        <v>0</v>
      </c>
      <c r="DU79" s="147">
        <f t="shared" si="280"/>
        <v>0</v>
      </c>
      <c r="DV79" s="85">
        <f t="shared" si="281"/>
        <v>0</v>
      </c>
      <c r="DW79" s="151">
        <f t="shared" si="282"/>
        <v>0</v>
      </c>
      <c r="DX79" s="102">
        <f t="shared" si="283"/>
        <v>0</v>
      </c>
      <c r="DY79" s="102">
        <f t="shared" si="284"/>
        <v>0</v>
      </c>
      <c r="DZ79" s="102">
        <f t="shared" si="285"/>
        <v>0</v>
      </c>
      <c r="EA79" s="102">
        <f t="shared" si="286"/>
        <v>0</v>
      </c>
      <c r="EB79" s="151">
        <f t="shared" si="287"/>
        <v>0</v>
      </c>
      <c r="EC79" s="85">
        <f t="shared" si="288"/>
        <v>0</v>
      </c>
      <c r="ED79" s="147">
        <f t="shared" si="289"/>
        <v>0</v>
      </c>
      <c r="EE79" s="147">
        <f t="shared" si="290"/>
        <v>0</v>
      </c>
      <c r="EF79" s="147">
        <f t="shared" si="291"/>
        <v>0</v>
      </c>
      <c r="EG79" s="147">
        <f t="shared" si="292"/>
        <v>0</v>
      </c>
      <c r="EH79" s="85">
        <f t="shared" si="293"/>
        <v>0</v>
      </c>
      <c r="EI79" s="151">
        <f t="shared" si="294"/>
        <v>0</v>
      </c>
      <c r="EJ79" s="102">
        <f t="shared" si="295"/>
        <v>0</v>
      </c>
      <c r="EK79" s="102">
        <f t="shared" si="296"/>
        <v>0</v>
      </c>
      <c r="EL79" s="102">
        <f t="shared" si="297"/>
        <v>0</v>
      </c>
      <c r="EM79" s="102">
        <f t="shared" si="298"/>
        <v>0</v>
      </c>
      <c r="EN79" s="151">
        <f t="shared" si="299"/>
        <v>0</v>
      </c>
      <c r="EO79" s="85">
        <f t="shared" si="300"/>
        <v>0</v>
      </c>
      <c r="EP79" s="145">
        <f t="shared" si="301"/>
        <v>0</v>
      </c>
      <c r="EQ79" s="145">
        <f t="shared" si="302"/>
        <v>0</v>
      </c>
      <c r="ER79" s="145">
        <f t="shared" si="303"/>
        <v>0</v>
      </c>
      <c r="ES79" s="145">
        <f t="shared" si="304"/>
        <v>0</v>
      </c>
      <c r="ET79" s="85">
        <f t="shared" si="305"/>
        <v>0</v>
      </c>
      <c r="EU79" s="102">
        <f t="shared" si="306"/>
        <v>0</v>
      </c>
      <c r="EV79" s="102">
        <f t="shared" si="307"/>
        <v>0</v>
      </c>
      <c r="EW79" s="102">
        <f t="shared" si="308"/>
        <v>0</v>
      </c>
      <c r="EX79" s="102">
        <f t="shared" si="309"/>
        <v>0</v>
      </c>
      <c r="EY79" s="102">
        <f t="shared" si="310"/>
        <v>0</v>
      </c>
      <c r="EZ79" s="564">
        <f t="shared" si="311"/>
        <v>0</v>
      </c>
    </row>
    <row r="80" spans="6:194">
      <c r="CD80" s="10">
        <f t="shared" si="314"/>
        <v>2050</v>
      </c>
      <c r="CE80" s="85">
        <f t="shared" si="240"/>
        <v>0</v>
      </c>
      <c r="CF80" s="147">
        <f t="shared" si="241"/>
        <v>0</v>
      </c>
      <c r="CG80" s="147">
        <f t="shared" si="242"/>
        <v>0</v>
      </c>
      <c r="CH80" s="147">
        <f t="shared" si="243"/>
        <v>0</v>
      </c>
      <c r="CI80" s="147">
        <f t="shared" si="244"/>
        <v>0</v>
      </c>
      <c r="CJ80" s="85">
        <f t="shared" si="245"/>
        <v>0</v>
      </c>
      <c r="CK80" s="151">
        <f t="shared" si="246"/>
        <v>0</v>
      </c>
      <c r="CL80" s="102">
        <f t="shared" si="247"/>
        <v>0</v>
      </c>
      <c r="CM80" s="102">
        <f t="shared" si="248"/>
        <v>0</v>
      </c>
      <c r="CN80" s="102">
        <f t="shared" si="249"/>
        <v>0</v>
      </c>
      <c r="CO80" s="102">
        <f t="shared" si="250"/>
        <v>0</v>
      </c>
      <c r="CP80" s="151">
        <f t="shared" si="251"/>
        <v>0</v>
      </c>
      <c r="CQ80" s="85">
        <f t="shared" si="252"/>
        <v>0</v>
      </c>
      <c r="CR80" s="147">
        <f t="shared" si="253"/>
        <v>0</v>
      </c>
      <c r="CS80" s="147">
        <f t="shared" si="254"/>
        <v>0</v>
      </c>
      <c r="CT80" s="147">
        <f t="shared" si="255"/>
        <v>0</v>
      </c>
      <c r="CU80" s="147">
        <f t="shared" si="256"/>
        <v>0</v>
      </c>
      <c r="CV80" s="85">
        <f t="shared" si="257"/>
        <v>0</v>
      </c>
      <c r="CW80" s="151">
        <f t="shared" si="258"/>
        <v>0</v>
      </c>
      <c r="CX80" s="102">
        <f t="shared" si="259"/>
        <v>0</v>
      </c>
      <c r="CY80" s="102">
        <f t="shared" si="260"/>
        <v>0</v>
      </c>
      <c r="CZ80" s="102">
        <f t="shared" si="261"/>
        <v>0</v>
      </c>
      <c r="DA80" s="102">
        <f t="shared" si="262"/>
        <v>0</v>
      </c>
      <c r="DB80" s="151">
        <f t="shared" si="263"/>
        <v>0</v>
      </c>
      <c r="DC80" s="85">
        <f t="shared" si="264"/>
        <v>0</v>
      </c>
      <c r="DD80" s="147">
        <f t="shared" si="265"/>
        <v>0</v>
      </c>
      <c r="DE80" s="147">
        <f t="shared" si="266"/>
        <v>0</v>
      </c>
      <c r="DF80" s="147">
        <f t="shared" si="267"/>
        <v>0</v>
      </c>
      <c r="DG80" s="147">
        <f t="shared" si="268"/>
        <v>0</v>
      </c>
      <c r="DH80" s="85">
        <f t="shared" si="269"/>
        <v>0</v>
      </c>
      <c r="DI80" s="151">
        <f t="shared" si="270"/>
        <v>0</v>
      </c>
      <c r="DJ80" s="102">
        <f t="shared" si="271"/>
        <v>0</v>
      </c>
      <c r="DK80" s="102">
        <f t="shared" si="272"/>
        <v>0</v>
      </c>
      <c r="DL80" s="102">
        <f t="shared" si="273"/>
        <v>0</v>
      </c>
      <c r="DM80" s="102">
        <f t="shared" si="274"/>
        <v>0</v>
      </c>
      <c r="DN80" s="564">
        <f t="shared" si="275"/>
        <v>0</v>
      </c>
      <c r="DP80" s="10">
        <f t="shared" si="315"/>
        <v>2050</v>
      </c>
      <c r="DQ80" s="85">
        <f t="shared" si="276"/>
        <v>0</v>
      </c>
      <c r="DR80" s="147">
        <f t="shared" si="277"/>
        <v>0</v>
      </c>
      <c r="DS80" s="147">
        <f t="shared" si="278"/>
        <v>0</v>
      </c>
      <c r="DT80" s="147">
        <f t="shared" si="279"/>
        <v>0</v>
      </c>
      <c r="DU80" s="147">
        <f t="shared" si="280"/>
        <v>0</v>
      </c>
      <c r="DV80" s="85">
        <f t="shared" si="281"/>
        <v>0</v>
      </c>
      <c r="DW80" s="151">
        <f t="shared" si="282"/>
        <v>0</v>
      </c>
      <c r="DX80" s="102">
        <f t="shared" si="283"/>
        <v>0</v>
      </c>
      <c r="DY80" s="102">
        <f t="shared" si="284"/>
        <v>0</v>
      </c>
      <c r="DZ80" s="102">
        <f t="shared" si="285"/>
        <v>0</v>
      </c>
      <c r="EA80" s="102">
        <f t="shared" si="286"/>
        <v>0</v>
      </c>
      <c r="EB80" s="151">
        <f t="shared" si="287"/>
        <v>0</v>
      </c>
      <c r="EC80" s="85">
        <f t="shared" si="288"/>
        <v>0</v>
      </c>
      <c r="ED80" s="147">
        <f t="shared" si="289"/>
        <v>0</v>
      </c>
      <c r="EE80" s="147">
        <f t="shared" si="290"/>
        <v>0</v>
      </c>
      <c r="EF80" s="147">
        <f t="shared" si="291"/>
        <v>0</v>
      </c>
      <c r="EG80" s="147">
        <f t="shared" si="292"/>
        <v>0</v>
      </c>
      <c r="EH80" s="85">
        <f t="shared" si="293"/>
        <v>0</v>
      </c>
      <c r="EI80" s="151">
        <f t="shared" si="294"/>
        <v>0</v>
      </c>
      <c r="EJ80" s="102">
        <f t="shared" si="295"/>
        <v>0</v>
      </c>
      <c r="EK80" s="102">
        <f t="shared" si="296"/>
        <v>0</v>
      </c>
      <c r="EL80" s="102">
        <f t="shared" si="297"/>
        <v>0</v>
      </c>
      <c r="EM80" s="102">
        <f t="shared" si="298"/>
        <v>0</v>
      </c>
      <c r="EN80" s="151">
        <f t="shared" si="299"/>
        <v>0</v>
      </c>
      <c r="EO80" s="85">
        <f t="shared" si="300"/>
        <v>0</v>
      </c>
      <c r="EP80" s="145">
        <f t="shared" si="301"/>
        <v>0</v>
      </c>
      <c r="EQ80" s="145">
        <f t="shared" si="302"/>
        <v>0</v>
      </c>
      <c r="ER80" s="145">
        <f t="shared" si="303"/>
        <v>0</v>
      </c>
      <c r="ES80" s="145">
        <f t="shared" si="304"/>
        <v>0</v>
      </c>
      <c r="ET80" s="85">
        <f t="shared" si="305"/>
        <v>0</v>
      </c>
      <c r="EU80" s="102">
        <f t="shared" si="306"/>
        <v>0</v>
      </c>
      <c r="EV80" s="102">
        <f t="shared" si="307"/>
        <v>0</v>
      </c>
      <c r="EW80" s="102">
        <f t="shared" si="308"/>
        <v>0</v>
      </c>
      <c r="EX80" s="102">
        <f t="shared" si="309"/>
        <v>0</v>
      </c>
      <c r="EY80" s="102">
        <f t="shared" si="310"/>
        <v>0</v>
      </c>
      <c r="EZ80" s="564">
        <f t="shared" si="311"/>
        <v>0</v>
      </c>
    </row>
    <row r="81" spans="7:156"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CD81" s="10">
        <f t="shared" si="314"/>
        <v>2051</v>
      </c>
      <c r="CE81" s="85">
        <f t="shared" si="240"/>
        <v>0</v>
      </c>
      <c r="CF81" s="147">
        <f t="shared" si="241"/>
        <v>0</v>
      </c>
      <c r="CG81" s="147">
        <f t="shared" si="242"/>
        <v>0</v>
      </c>
      <c r="CH81" s="147">
        <f t="shared" si="243"/>
        <v>0</v>
      </c>
      <c r="CI81" s="147">
        <f t="shared" si="244"/>
        <v>0</v>
      </c>
      <c r="CJ81" s="85">
        <f t="shared" si="245"/>
        <v>0</v>
      </c>
      <c r="CK81" s="151">
        <f t="shared" si="246"/>
        <v>0</v>
      </c>
      <c r="CL81" s="102">
        <f t="shared" si="247"/>
        <v>0</v>
      </c>
      <c r="CM81" s="102">
        <f t="shared" si="248"/>
        <v>0</v>
      </c>
      <c r="CN81" s="102">
        <f t="shared" si="249"/>
        <v>0</v>
      </c>
      <c r="CO81" s="102">
        <f t="shared" si="250"/>
        <v>0</v>
      </c>
      <c r="CP81" s="151">
        <f t="shared" si="251"/>
        <v>0</v>
      </c>
      <c r="CQ81" s="85">
        <f t="shared" si="252"/>
        <v>0</v>
      </c>
      <c r="CR81" s="147">
        <f t="shared" si="253"/>
        <v>0</v>
      </c>
      <c r="CS81" s="147">
        <f t="shared" si="254"/>
        <v>0</v>
      </c>
      <c r="CT81" s="147">
        <f t="shared" si="255"/>
        <v>0</v>
      </c>
      <c r="CU81" s="147">
        <f t="shared" si="256"/>
        <v>0</v>
      </c>
      <c r="CV81" s="85">
        <f t="shared" si="257"/>
        <v>0</v>
      </c>
      <c r="CW81" s="151">
        <f t="shared" si="258"/>
        <v>0</v>
      </c>
      <c r="CX81" s="102">
        <f t="shared" si="259"/>
        <v>0</v>
      </c>
      <c r="CY81" s="102">
        <f t="shared" si="260"/>
        <v>0</v>
      </c>
      <c r="CZ81" s="102">
        <f t="shared" si="261"/>
        <v>0</v>
      </c>
      <c r="DA81" s="102">
        <f t="shared" si="262"/>
        <v>0</v>
      </c>
      <c r="DB81" s="151">
        <f t="shared" si="263"/>
        <v>0</v>
      </c>
      <c r="DC81" s="85">
        <f t="shared" si="264"/>
        <v>0</v>
      </c>
      <c r="DD81" s="147">
        <f t="shared" si="265"/>
        <v>0</v>
      </c>
      <c r="DE81" s="147">
        <f t="shared" si="266"/>
        <v>0</v>
      </c>
      <c r="DF81" s="147">
        <f t="shared" si="267"/>
        <v>0</v>
      </c>
      <c r="DG81" s="147">
        <f t="shared" si="268"/>
        <v>0</v>
      </c>
      <c r="DH81" s="85">
        <f t="shared" si="269"/>
        <v>0</v>
      </c>
      <c r="DI81" s="151">
        <f t="shared" si="270"/>
        <v>0</v>
      </c>
      <c r="DJ81" s="102">
        <f t="shared" si="271"/>
        <v>0</v>
      </c>
      <c r="DK81" s="102">
        <f t="shared" si="272"/>
        <v>0</v>
      </c>
      <c r="DL81" s="102">
        <f t="shared" si="273"/>
        <v>0</v>
      </c>
      <c r="DM81" s="102">
        <f t="shared" si="274"/>
        <v>0</v>
      </c>
      <c r="DN81" s="564">
        <f t="shared" si="275"/>
        <v>0</v>
      </c>
      <c r="DP81" s="10">
        <f t="shared" si="315"/>
        <v>2051</v>
      </c>
      <c r="DQ81" s="85">
        <f t="shared" si="276"/>
        <v>0</v>
      </c>
      <c r="DR81" s="147">
        <f t="shared" si="277"/>
        <v>0</v>
      </c>
      <c r="DS81" s="147">
        <f t="shared" si="278"/>
        <v>0</v>
      </c>
      <c r="DT81" s="147">
        <f t="shared" si="279"/>
        <v>0</v>
      </c>
      <c r="DU81" s="147">
        <f t="shared" si="280"/>
        <v>0</v>
      </c>
      <c r="DV81" s="85">
        <f t="shared" si="281"/>
        <v>0</v>
      </c>
      <c r="DW81" s="151">
        <f t="shared" si="282"/>
        <v>0</v>
      </c>
      <c r="DX81" s="102">
        <f t="shared" si="283"/>
        <v>0</v>
      </c>
      <c r="DY81" s="102">
        <f t="shared" si="284"/>
        <v>0</v>
      </c>
      <c r="DZ81" s="102">
        <f t="shared" si="285"/>
        <v>0</v>
      </c>
      <c r="EA81" s="102">
        <f t="shared" si="286"/>
        <v>0</v>
      </c>
      <c r="EB81" s="151">
        <f t="shared" si="287"/>
        <v>0</v>
      </c>
      <c r="EC81" s="85">
        <f t="shared" si="288"/>
        <v>0</v>
      </c>
      <c r="ED81" s="147">
        <f t="shared" si="289"/>
        <v>0</v>
      </c>
      <c r="EE81" s="147">
        <f t="shared" si="290"/>
        <v>0</v>
      </c>
      <c r="EF81" s="147">
        <f t="shared" si="291"/>
        <v>0</v>
      </c>
      <c r="EG81" s="147">
        <f t="shared" si="292"/>
        <v>0</v>
      </c>
      <c r="EH81" s="85">
        <f t="shared" si="293"/>
        <v>0</v>
      </c>
      <c r="EI81" s="151">
        <f t="shared" si="294"/>
        <v>0</v>
      </c>
      <c r="EJ81" s="102">
        <f t="shared" si="295"/>
        <v>0</v>
      </c>
      <c r="EK81" s="102">
        <f t="shared" si="296"/>
        <v>0</v>
      </c>
      <c r="EL81" s="102">
        <f t="shared" si="297"/>
        <v>0</v>
      </c>
      <c r="EM81" s="102">
        <f t="shared" si="298"/>
        <v>0</v>
      </c>
      <c r="EN81" s="151">
        <f t="shared" si="299"/>
        <v>0</v>
      </c>
      <c r="EO81" s="85">
        <f t="shared" si="300"/>
        <v>0</v>
      </c>
      <c r="EP81" s="145">
        <f t="shared" si="301"/>
        <v>0</v>
      </c>
      <c r="EQ81" s="145">
        <f t="shared" si="302"/>
        <v>0</v>
      </c>
      <c r="ER81" s="145">
        <f t="shared" si="303"/>
        <v>0</v>
      </c>
      <c r="ES81" s="145">
        <f t="shared" si="304"/>
        <v>0</v>
      </c>
      <c r="ET81" s="85">
        <f t="shared" si="305"/>
        <v>0</v>
      </c>
      <c r="EU81" s="102">
        <f t="shared" si="306"/>
        <v>0</v>
      </c>
      <c r="EV81" s="102">
        <f t="shared" si="307"/>
        <v>0</v>
      </c>
      <c r="EW81" s="102">
        <f t="shared" si="308"/>
        <v>0</v>
      </c>
      <c r="EX81" s="102">
        <f t="shared" si="309"/>
        <v>0</v>
      </c>
      <c r="EY81" s="102">
        <f t="shared" si="310"/>
        <v>0</v>
      </c>
      <c r="EZ81" s="564">
        <f t="shared" si="311"/>
        <v>0</v>
      </c>
    </row>
    <row r="82" spans="7:156"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CD82" s="10">
        <f t="shared" si="314"/>
        <v>2052</v>
      </c>
      <c r="CE82" s="85">
        <f t="shared" ref="CE82:CE113" si="328">IF($CD82&gt;$D$5,0,-PMT(VLOOKUP(CE$49,$C$9:$D$14,2,FALSE),VLOOKUP(CE$49,$C$15:$D$20,2,FALSE),SUMIFS(AS$50:AS$70,$AR$50:$AR$70,"&gt;"&amp;($CD82-VLOOKUP(CE$49,$C$15:$D$20,2,FALSE)),$AR$50:$AR$70,"&lt;="&amp;($CD82))))</f>
        <v>0</v>
      </c>
      <c r="CF82" s="147">
        <f t="shared" ref="CF82:CF113" si="329">IF($CD82&gt;$D$5,0,-PMT(VLOOKUP(CF$49,$C$9:$D$14,2,FALSE),VLOOKUP(CF$49,$C$15:$D$20,2,FALSE),SUMIFS(AT$50:AT$70,$AR$50:$AR$70,"&gt;"&amp;($CD82-VLOOKUP(CF$49,$C$15:$D$20,2,FALSE)),$AR$50:$AR$70,"&lt;="&amp;($CD82))))</f>
        <v>0</v>
      </c>
      <c r="CG82" s="147">
        <f t="shared" ref="CG82:CG113" si="330">IF($CD82&gt;$D$5,0,-PMT(VLOOKUP(CG$49,$C$9:$D$14,2,FALSE),VLOOKUP(CG$49,$C$15:$D$20,2,FALSE),SUMIFS(AU$50:AU$70,$AR$50:$AR$70,"&gt;"&amp;($CD82-VLOOKUP(CG$49,$C$15:$D$20,2,FALSE)),$AR$50:$AR$70,"&lt;="&amp;($CD82))))</f>
        <v>0</v>
      </c>
      <c r="CH82" s="147">
        <f t="shared" ref="CH82:CH113" si="331">IF($CD82&gt;$D$5,0,-PMT(VLOOKUP(CH$49,$C$9:$D$14,2,FALSE),VLOOKUP(CH$49,$C$15:$D$20,2,FALSE),SUMIFS(AV$50:AV$70,$AR$50:$AR$70,"&gt;"&amp;($CD82-VLOOKUP(CH$49,$C$15:$D$20,2,FALSE)),$AR$50:$AR$70,"&lt;="&amp;($CD82))))</f>
        <v>0</v>
      </c>
      <c r="CI82" s="147">
        <f t="shared" ref="CI82:CI113" si="332">IF($CD82&gt;$D$5,0,-PMT(VLOOKUP(CI$49,$C$9:$D$14,2,FALSE),VLOOKUP(CI$49,$C$15:$D$20,2,FALSE),SUMIFS(AW$50:AW$70,$AR$50:$AR$70,"&gt;"&amp;($CD82-VLOOKUP(CI$49,$C$15:$D$20,2,FALSE)),$AR$50:$AR$70,"&lt;="&amp;($CD82))))</f>
        <v>0</v>
      </c>
      <c r="CJ82" s="85">
        <f t="shared" ref="CJ82:CJ113" si="333">IF($CD82&gt;$D$5,0,-PMT(VLOOKUP(CJ$49,$C$9:$D$14,2,FALSE),VLOOKUP(CJ$49,$C$15:$D$20,2,FALSE),SUMIFS(AX$50:AX$70,$AR$50:$AR$70,"&gt;"&amp;($CD82-VLOOKUP(CJ$49,$C$15:$D$20,2,FALSE)),$AR$50:$AR$70,"&lt;="&amp;($CD82))))</f>
        <v>0</v>
      </c>
      <c r="CK82" s="151">
        <f t="shared" ref="CK82:CK113" si="334">IF($CD82&gt;$D$5,0,-PMT(VLOOKUP(CK$49,$C$9:$D$14,2,FALSE),VLOOKUP(CK$49,$C$15:$D$20,2,FALSE),SUMIFS(AY$50:AY$70,$AR$50:$AR$70,"&gt;"&amp;($CD82-VLOOKUP(CK$49,$C$15:$D$20,2,FALSE)),$AR$50:$AR$70,"&lt;="&amp;($CD82))))</f>
        <v>0</v>
      </c>
      <c r="CL82" s="102">
        <f t="shared" ref="CL82:CL113" si="335">IF($CD82&gt;$D$5,0,-PMT(VLOOKUP(CL$49,$C$9:$D$14,2,FALSE),VLOOKUP(CL$49,$C$15:$D$20,2,FALSE),SUMIFS(AZ$50:AZ$70,$AR$50:$AR$70,"&gt;"&amp;($CD82-VLOOKUP(CL$49,$C$15:$D$20,2,FALSE)),$AR$50:$AR$70,"&lt;="&amp;($CD82))))</f>
        <v>0</v>
      </c>
      <c r="CM82" s="102">
        <f t="shared" ref="CM82:CM113" si="336">IF($CD82&gt;$D$5,0,-PMT(VLOOKUP(CM$49,$C$9:$D$14,2,FALSE),VLOOKUP(CM$49,$C$15:$D$20,2,FALSE),SUMIFS(BA$50:BA$70,$AR$50:$AR$70,"&gt;"&amp;($CD82-VLOOKUP(CM$49,$C$15:$D$20,2,FALSE)),$AR$50:$AR$70,"&lt;="&amp;($CD82))))</f>
        <v>0</v>
      </c>
      <c r="CN82" s="102">
        <f t="shared" ref="CN82:CN113" si="337">IF($CD82&gt;$D$5,0,-PMT(VLOOKUP(CN$49,$C$9:$D$14,2,FALSE),VLOOKUP(CN$49,$C$15:$D$20,2,FALSE),SUMIFS(BB$50:BB$70,$AR$50:$AR$70,"&gt;"&amp;($CD82-VLOOKUP(CN$49,$C$15:$D$20,2,FALSE)),$AR$50:$AR$70,"&lt;="&amp;($CD82))))</f>
        <v>0</v>
      </c>
      <c r="CO82" s="102">
        <f t="shared" ref="CO82:CO113" si="338">IF($CD82&gt;$D$5,0,-PMT(VLOOKUP(CO$49,$C$9:$D$14,2,FALSE),VLOOKUP(CO$49,$C$15:$D$20,2,FALSE),SUMIFS(BC$50:BC$70,$AR$50:$AR$70,"&gt;"&amp;($CD82-VLOOKUP(CO$49,$C$15:$D$20,2,FALSE)),$AR$50:$AR$70,"&lt;="&amp;($CD82))))</f>
        <v>0</v>
      </c>
      <c r="CP82" s="151">
        <f t="shared" ref="CP82:CP113" si="339">IF($CD82&gt;$D$5,0,-PMT(VLOOKUP(CP$49,$C$9:$D$14,2,FALSE),VLOOKUP(CP$49,$C$15:$D$20,2,FALSE),SUMIFS(BD$50:BD$70,$AR$50:$AR$70,"&gt;"&amp;($CD82-VLOOKUP(CP$49,$C$15:$D$20,2,FALSE)),$AR$50:$AR$70,"&lt;="&amp;($CD82))))</f>
        <v>0</v>
      </c>
      <c r="CQ82" s="85">
        <f t="shared" ref="CQ82:CQ113" si="340">IF($CD82&gt;$D$5,0,-PMT(VLOOKUP(CQ$49,$C$9:$D$14,2,FALSE),VLOOKUP(CQ$49,$C$15:$D$20,2,FALSE),SUMIFS(BE$50:BE$70,$AR$50:$AR$70,"&gt;"&amp;($CD82-VLOOKUP(CQ$49,$C$15:$D$20,2,FALSE)),$AR$50:$AR$70,"&lt;="&amp;($CD82))))</f>
        <v>0</v>
      </c>
      <c r="CR82" s="147">
        <f t="shared" ref="CR82:CR113" si="341">IF($CD82&gt;$D$5,0,-PMT(VLOOKUP(CR$49,$C$9:$D$14,2,FALSE),VLOOKUP(CR$49,$C$15:$D$20,2,FALSE),SUMIFS(BF$50:BF$70,$AR$50:$AR$70,"&gt;"&amp;($CD82-VLOOKUP(CR$49,$C$15:$D$20,2,FALSE)),$AR$50:$AR$70,"&lt;="&amp;($CD82))))</f>
        <v>0</v>
      </c>
      <c r="CS82" s="147">
        <f t="shared" ref="CS82:CS113" si="342">IF($CD82&gt;$D$5,0,-PMT(VLOOKUP(CS$49,$C$9:$D$14,2,FALSE),VLOOKUP(CS$49,$C$15:$D$20,2,FALSE),SUMIFS(BG$50:BG$70,$AR$50:$AR$70,"&gt;"&amp;($CD82-VLOOKUP(CS$49,$C$15:$D$20,2,FALSE)),$AR$50:$AR$70,"&lt;="&amp;($CD82))))</f>
        <v>0</v>
      </c>
      <c r="CT82" s="147">
        <f t="shared" ref="CT82:CT113" si="343">IF($CD82&gt;$D$5,0,-PMT(VLOOKUP(CT$49,$C$9:$D$14,2,FALSE),VLOOKUP(CT$49,$C$15:$D$20,2,FALSE),SUMIFS(BH$50:BH$70,$AR$50:$AR$70,"&gt;"&amp;($CD82-VLOOKUP(CT$49,$C$15:$D$20,2,FALSE)),$AR$50:$AR$70,"&lt;="&amp;($CD82))))</f>
        <v>0</v>
      </c>
      <c r="CU82" s="147">
        <f t="shared" ref="CU82:CU113" si="344">IF($CD82&gt;$D$5,0,-PMT(VLOOKUP(CU$49,$C$9:$D$14,2,FALSE),VLOOKUP(CU$49,$C$15:$D$20,2,FALSE),SUMIFS(BI$50:BI$70,$AR$50:$AR$70,"&gt;"&amp;($CD82-VLOOKUP(CU$49,$C$15:$D$20,2,FALSE)),$AR$50:$AR$70,"&lt;="&amp;($CD82))))</f>
        <v>0</v>
      </c>
      <c r="CV82" s="85">
        <f t="shared" ref="CV82:CV113" si="345">IF($CD82&gt;$D$5,0,-PMT(VLOOKUP(CV$49,$C$9:$D$14,2,FALSE),VLOOKUP(CV$49,$C$15:$D$20,2,FALSE),SUMIFS(BJ$50:BJ$70,$AR$50:$AR$70,"&gt;"&amp;($CD82-VLOOKUP(CV$49,$C$15:$D$20,2,FALSE)),$AR$50:$AR$70,"&lt;="&amp;($CD82))))</f>
        <v>0</v>
      </c>
      <c r="CW82" s="151">
        <f t="shared" ref="CW82:CW113" si="346">IF($CD82&gt;$D$5,0,-PMT(VLOOKUP(CW$49,$C$9:$D$14,2,FALSE),VLOOKUP(CW$49,$C$15:$D$20,2,FALSE),SUMIFS(BK$50:BK$70,$AR$50:$AR$70,"&gt;"&amp;($CD82-VLOOKUP(CW$49,$C$15:$D$20,2,FALSE)),$AR$50:$AR$70,"&lt;="&amp;($CD82))))</f>
        <v>0</v>
      </c>
      <c r="CX82" s="102">
        <f t="shared" ref="CX82:CX113" si="347">IF($CD82&gt;$D$5,0,-PMT(VLOOKUP(CX$49,$C$9:$D$14,2,FALSE),VLOOKUP(CX$49,$C$15:$D$20,2,FALSE),SUMIFS(BL$50:BL$70,$AR$50:$AR$70,"&gt;"&amp;($CD82-VLOOKUP(CX$49,$C$15:$D$20,2,FALSE)),$AR$50:$AR$70,"&lt;="&amp;($CD82))))</f>
        <v>0</v>
      </c>
      <c r="CY82" s="102">
        <f t="shared" ref="CY82:CY113" si="348">IF($CD82&gt;$D$5,0,-PMT(VLOOKUP(CY$49,$C$9:$D$14,2,FALSE),VLOOKUP(CY$49,$C$15:$D$20,2,FALSE),SUMIFS(BM$50:BM$70,$AR$50:$AR$70,"&gt;"&amp;($CD82-VLOOKUP(CY$49,$C$15:$D$20,2,FALSE)),$AR$50:$AR$70,"&lt;="&amp;($CD82))))</f>
        <v>0</v>
      </c>
      <c r="CZ82" s="102">
        <f t="shared" ref="CZ82:CZ113" si="349">IF($CD82&gt;$D$5,0,-PMT(VLOOKUP(CZ$49,$C$9:$D$14,2,FALSE),VLOOKUP(CZ$49,$C$15:$D$20,2,FALSE),SUMIFS(BN$50:BN$70,$AR$50:$AR$70,"&gt;"&amp;($CD82-VLOOKUP(CZ$49,$C$15:$D$20,2,FALSE)),$AR$50:$AR$70,"&lt;="&amp;($CD82))))</f>
        <v>0</v>
      </c>
      <c r="DA82" s="102">
        <f t="shared" ref="DA82:DA113" si="350">IF($CD82&gt;$D$5,0,-PMT(VLOOKUP(DA$49,$C$9:$D$14,2,FALSE),VLOOKUP(DA$49,$C$15:$D$20,2,FALSE),SUMIFS(BO$50:BO$70,$AR$50:$AR$70,"&gt;"&amp;($CD82-VLOOKUP(DA$49,$C$15:$D$20,2,FALSE)),$AR$50:$AR$70,"&lt;="&amp;($CD82))))</f>
        <v>0</v>
      </c>
      <c r="DB82" s="151">
        <f t="shared" ref="DB82:DB113" si="351">IF($CD82&gt;$D$5,0,-PMT(VLOOKUP(DB$49,$C$9:$D$14,2,FALSE),VLOOKUP(DB$49,$C$15:$D$20,2,FALSE),SUMIFS(BP$50:BP$70,$AR$50:$AR$70,"&gt;"&amp;($CD82-VLOOKUP(DB$49,$C$15:$D$20,2,FALSE)),$AR$50:$AR$70,"&lt;="&amp;($CD82))))</f>
        <v>0</v>
      </c>
      <c r="DC82" s="85">
        <f t="shared" ref="DC82:DC113" si="352">IF($CD82&gt;$D$5,0,-PMT(VLOOKUP(DC$49,$C$9:$D$14,2,FALSE),VLOOKUP(DC$49,$C$15:$D$20,2,FALSE),SUMIFS(BQ$50:BQ$70,$AR$50:$AR$70,"&gt;"&amp;($CD82-VLOOKUP(DC$49,$C$15:$D$20,2,FALSE)),$AR$50:$AR$70,"&lt;="&amp;($CD82))))</f>
        <v>0</v>
      </c>
      <c r="DD82" s="147">
        <f t="shared" ref="DD82:DD113" si="353">IF($CD82&gt;$D$5,0,-PMT(VLOOKUP(DD$49,$C$9:$D$14,2,FALSE),VLOOKUP(DD$49,$C$15:$D$20,2,FALSE),SUMIFS(BR$50:BR$70,$AR$50:$AR$70,"&gt;"&amp;($CD82-VLOOKUP(DD$49,$C$15:$D$20,2,FALSE)),$AR$50:$AR$70,"&lt;="&amp;($CD82))))</f>
        <v>0</v>
      </c>
      <c r="DE82" s="147">
        <f t="shared" ref="DE82:DE113" si="354">IF($CD82&gt;$D$5,0,-PMT(VLOOKUP(DE$49,$C$9:$D$14,2,FALSE),VLOOKUP(DE$49,$C$15:$D$20,2,FALSE),SUMIFS(BS$50:BS$70,$AR$50:$AR$70,"&gt;"&amp;($CD82-VLOOKUP(DE$49,$C$15:$D$20,2,FALSE)),$AR$50:$AR$70,"&lt;="&amp;($CD82))))</f>
        <v>0</v>
      </c>
      <c r="DF82" s="147">
        <f t="shared" ref="DF82:DF113" si="355">IF($CD82&gt;$D$5,0,-PMT(VLOOKUP(DF$49,$C$9:$D$14,2,FALSE),VLOOKUP(DF$49,$C$15:$D$20,2,FALSE),SUMIFS(BT$50:BT$70,$AR$50:$AR$70,"&gt;"&amp;($CD82-VLOOKUP(DF$49,$C$15:$D$20,2,FALSE)),$AR$50:$AR$70,"&lt;="&amp;($CD82))))</f>
        <v>0</v>
      </c>
      <c r="DG82" s="147">
        <f t="shared" ref="DG82:DG113" si="356">IF($CD82&gt;$D$5,0,-PMT(VLOOKUP(DG$49,$C$9:$D$14,2,FALSE),VLOOKUP(DG$49,$C$15:$D$20,2,FALSE),SUMIFS(BU$50:BU$70,$AR$50:$AR$70,"&gt;"&amp;($CD82-VLOOKUP(DG$49,$C$15:$D$20,2,FALSE)),$AR$50:$AR$70,"&lt;="&amp;($CD82))))</f>
        <v>0</v>
      </c>
      <c r="DH82" s="85">
        <f t="shared" ref="DH82:DH113" si="357">IF($CD82&gt;$D$5,0,-PMT(VLOOKUP(DH$49,$C$9:$D$14,2,FALSE),VLOOKUP(DH$49,$C$15:$D$20,2,FALSE),SUMIFS(BV$50:BV$70,$AR$50:$AR$70,"&gt;"&amp;($CD82-VLOOKUP(DH$49,$C$15:$D$20,2,FALSE)),$AR$50:$AR$70,"&lt;="&amp;($CD82))))</f>
        <v>0</v>
      </c>
      <c r="DI82" s="151">
        <f t="shared" ref="DI82:DI113" si="358">IF($CD82&gt;$D$5,0,-PMT(VLOOKUP(DI$49,$C$9:$D$14,2,FALSE),VLOOKUP(DI$49,$C$15:$D$20,2,FALSE),SUMIFS(BW$50:BW$70,$AR$50:$AR$70,"&gt;"&amp;($CD82-VLOOKUP(DI$49,$C$15:$D$20,2,FALSE)),$AR$50:$AR$70,"&lt;="&amp;($CD82))))</f>
        <v>0</v>
      </c>
      <c r="DJ82" s="102">
        <f t="shared" ref="DJ82:DJ113" si="359">IF($CD82&gt;$D$5,0,-PMT(VLOOKUP(DJ$49,$C$9:$D$14,2,FALSE),VLOOKUP(DJ$49,$C$15:$D$20,2,FALSE),SUMIFS(BX$50:BX$70,$AR$50:$AR$70,"&gt;"&amp;($CD82-VLOOKUP(DJ$49,$C$15:$D$20,2,FALSE)),$AR$50:$AR$70,"&lt;="&amp;($CD82))))</f>
        <v>0</v>
      </c>
      <c r="DK82" s="102">
        <f t="shared" ref="DK82:DK113" si="360">IF($CD82&gt;$D$5,0,-PMT(VLOOKUP(DK$49,$C$9:$D$14,2,FALSE),VLOOKUP(DK$49,$C$15:$D$20,2,FALSE),SUMIFS(BY$50:BY$70,$AR$50:$AR$70,"&gt;"&amp;($CD82-VLOOKUP(DK$49,$C$15:$D$20,2,FALSE)),$AR$50:$AR$70,"&lt;="&amp;($CD82))))</f>
        <v>0</v>
      </c>
      <c r="DL82" s="102">
        <f t="shared" ref="DL82:DL113" si="361">IF($CD82&gt;$D$5,0,-PMT(VLOOKUP(DL$49,$C$9:$D$14,2,FALSE),VLOOKUP(DL$49,$C$15:$D$20,2,FALSE),SUMIFS(BZ$50:BZ$70,$AR$50:$AR$70,"&gt;"&amp;($CD82-VLOOKUP(DL$49,$C$15:$D$20,2,FALSE)),$AR$50:$AR$70,"&lt;="&amp;($CD82))))</f>
        <v>0</v>
      </c>
      <c r="DM82" s="102">
        <f t="shared" ref="DM82:DM113" si="362">IF($CD82&gt;$D$5,0,-PMT(VLOOKUP(DM$49,$C$9:$D$14,2,FALSE),VLOOKUP(DM$49,$C$15:$D$20,2,FALSE),SUMIFS(CA$50:CA$70,$AR$50:$AR$70,"&gt;"&amp;($CD82-VLOOKUP(DM$49,$C$15:$D$20,2,FALSE)),$AR$50:$AR$70,"&lt;="&amp;($CD82))))</f>
        <v>0</v>
      </c>
      <c r="DN82" s="564">
        <f t="shared" ref="DN82:DN113" si="363">IF($CD82&gt;$D$5,0,-PMT(VLOOKUP(DN$49,$C$9:$D$14,2,FALSE),VLOOKUP(DN$49,$C$15:$D$20,2,FALSE),SUMIFS(CB$50:CB$70,$AR$50:$AR$70,"&gt;"&amp;($CD82-VLOOKUP(DN$49,$C$15:$D$20,2,FALSE)),$AR$50:$AR$70,"&lt;="&amp;($CD82))))</f>
        <v>0</v>
      </c>
      <c r="DP82" s="10">
        <f t="shared" si="315"/>
        <v>2052</v>
      </c>
      <c r="DQ82" s="85">
        <f t="shared" ref="DQ82:DQ113" si="364">IF($DP82&gt;$D$5,0,SUMIFS(FC$50:FC$70,$FB$50:$FB$70,"&gt;"&amp;($DP82-VLOOKUP(DQ$49,$C$15:$D$20,2,FALSE)),$FB$50:$FB$70,"&lt;="&amp;($DP82)))</f>
        <v>0</v>
      </c>
      <c r="DR82" s="147">
        <f t="shared" ref="DR82:DR113" si="365">IF($DP82&gt;$D$5,0,SUMIFS(FD$50:FD$70,$FB$50:$FB$70,"&gt;"&amp;($DP82-VLOOKUP(DR$49,$C$15:$D$20,2,FALSE)),$FB$50:$FB$70,"&lt;="&amp;($DP82)))</f>
        <v>0</v>
      </c>
      <c r="DS82" s="147">
        <f t="shared" ref="DS82:DS113" si="366">IF($DP82&gt;$D$5,0,SUMIFS(FE$50:FE$70,$FB$50:$FB$70,"&gt;"&amp;($DP82-VLOOKUP(DS$49,$C$15:$D$20,2,FALSE)),$FB$50:$FB$70,"&lt;="&amp;($DP82)))</f>
        <v>0</v>
      </c>
      <c r="DT82" s="147">
        <f t="shared" ref="DT82:DT113" si="367">IF($DP82&gt;$D$5,0,SUMIFS(FF$50:FF$70,$FB$50:$FB$70,"&gt;"&amp;($DP82-VLOOKUP(DT$49,$C$15:$D$20,2,FALSE)),$FB$50:$FB$70,"&lt;="&amp;($DP82)))</f>
        <v>0</v>
      </c>
      <c r="DU82" s="147">
        <f t="shared" ref="DU82:DU113" si="368">IF($DP82&gt;$D$5,0,SUMIFS(FG$50:FG$70,$FB$50:$FB$70,"&gt;"&amp;($DP82-VLOOKUP(DU$49,$C$15:$D$20,2,FALSE)),$FB$50:$FB$70,"&lt;="&amp;($DP82)))</f>
        <v>0</v>
      </c>
      <c r="DV82" s="85">
        <f t="shared" ref="DV82:DV113" si="369">IF($DP82&gt;$D$5,0,SUMIFS(FH$50:FH$70,$FB$50:$FB$70,"&gt;"&amp;($DP82-VLOOKUP(DV$49,$C$15:$D$20,2,FALSE)),$FB$50:$FB$70,"&lt;="&amp;($DP82)))</f>
        <v>0</v>
      </c>
      <c r="DW82" s="151">
        <f t="shared" ref="DW82:DW113" si="370">IF($DP82&gt;$D$5,0,SUMIFS(FI$50:FI$70,$FB$50:$FB$70,"&gt;"&amp;($DP82-VLOOKUP(DW$49,$C$15:$D$20,2,FALSE)),$FB$50:$FB$70,"&lt;="&amp;($DP82)))</f>
        <v>0</v>
      </c>
      <c r="DX82" s="102">
        <f t="shared" ref="DX82:DX113" si="371">IF($DP82&gt;$D$5,0,SUMIFS(FJ$50:FJ$70,$FB$50:$FB$70,"&gt;"&amp;($DP82-VLOOKUP(DX$49,$C$15:$D$20,2,FALSE)),$FB$50:$FB$70,"&lt;="&amp;($DP82)))</f>
        <v>0</v>
      </c>
      <c r="DY82" s="102">
        <f t="shared" ref="DY82:DY113" si="372">IF($DP82&gt;$D$5,0,SUMIFS(FK$50:FK$70,$FB$50:$FB$70,"&gt;"&amp;($DP82-VLOOKUP(DY$49,$C$15:$D$20,2,FALSE)),$FB$50:$FB$70,"&lt;="&amp;($DP82)))</f>
        <v>0</v>
      </c>
      <c r="DZ82" s="102">
        <f t="shared" ref="DZ82:DZ113" si="373">IF($DP82&gt;$D$5,0,SUMIFS(FL$50:FL$70,$FB$50:$FB$70,"&gt;"&amp;($DP82-VLOOKUP(DZ$49,$C$15:$D$20,2,FALSE)),$FB$50:$FB$70,"&lt;="&amp;($DP82)))</f>
        <v>0</v>
      </c>
      <c r="EA82" s="102">
        <f t="shared" ref="EA82:EA113" si="374">IF($DP82&gt;$D$5,0,SUMIFS(FM$50:FM$70,$FB$50:$FB$70,"&gt;"&amp;($DP82-VLOOKUP(EA$49,$C$15:$D$20,2,FALSE)),$FB$50:$FB$70,"&lt;="&amp;($DP82)))</f>
        <v>0</v>
      </c>
      <c r="EB82" s="151">
        <f t="shared" ref="EB82:EB113" si="375">IF($DP82&gt;$D$5,0,SUMIFS(FN$50:FN$70,$FB$50:$FB$70,"&gt;"&amp;($DP82-VLOOKUP(EB$49,$C$15:$D$20,2,FALSE)),$FB$50:$FB$70,"&lt;="&amp;($DP82)))</f>
        <v>0</v>
      </c>
      <c r="EC82" s="85">
        <f t="shared" ref="EC82:EC113" si="376">IF($DP82&gt;$D$5,0,SUMIFS(FO$50:FO$70,$FB$50:$FB$70,"&gt;"&amp;($DP82-VLOOKUP(EC$49,$C$15:$D$20,2,FALSE)),$FB$50:$FB$70,"&lt;="&amp;($DP82)))</f>
        <v>0</v>
      </c>
      <c r="ED82" s="147">
        <f t="shared" ref="ED82:ED113" si="377">IF($DP82&gt;$D$5,0,SUMIFS(FP$50:FP$70,$FB$50:$FB$70,"&gt;"&amp;($DP82-VLOOKUP(ED$49,$C$15:$D$20,2,FALSE)),$FB$50:$FB$70,"&lt;="&amp;($DP82)))</f>
        <v>0</v>
      </c>
      <c r="EE82" s="147">
        <f t="shared" ref="EE82:EE113" si="378">IF($DP82&gt;$D$5,0,SUMIFS(FQ$50:FQ$70,$FB$50:$FB$70,"&gt;"&amp;($DP82-VLOOKUP(EE$49,$C$15:$D$20,2,FALSE)),$FB$50:$FB$70,"&lt;="&amp;($DP82)))</f>
        <v>0</v>
      </c>
      <c r="EF82" s="147">
        <f t="shared" ref="EF82:EF113" si="379">IF($DP82&gt;$D$5,0,SUMIFS(FR$50:FR$70,$FB$50:$FB$70,"&gt;"&amp;($DP82-VLOOKUP(EF$49,$C$15:$D$20,2,FALSE)),$FB$50:$FB$70,"&lt;="&amp;($DP82)))</f>
        <v>0</v>
      </c>
      <c r="EG82" s="147">
        <f t="shared" ref="EG82:EG113" si="380">IF($DP82&gt;$D$5,0,SUMIFS(FS$50:FS$70,$FB$50:$FB$70,"&gt;"&amp;($DP82-VLOOKUP(EG$49,$C$15:$D$20,2,FALSE)),$FB$50:$FB$70,"&lt;="&amp;($DP82)))</f>
        <v>0</v>
      </c>
      <c r="EH82" s="85">
        <f t="shared" ref="EH82:EH113" si="381">IF($DP82&gt;$D$5,0,SUMIFS(FT$50:FT$70,$FB$50:$FB$70,"&gt;"&amp;($DP82-VLOOKUP(EH$49,$C$15:$D$20,2,FALSE)),$FB$50:$FB$70,"&lt;="&amp;($DP82)))</f>
        <v>0</v>
      </c>
      <c r="EI82" s="151">
        <f t="shared" ref="EI82:EI113" si="382">IF($DP82&gt;$D$5,0,SUMIFS(FU$50:FU$70,$FB$50:$FB$70,"&gt;"&amp;($DP82-VLOOKUP(EI$49,$C$15:$D$20,2,FALSE)),$FB$50:$FB$70,"&lt;="&amp;($DP82)))</f>
        <v>0</v>
      </c>
      <c r="EJ82" s="102">
        <f t="shared" ref="EJ82:EJ113" si="383">IF($DP82&gt;$D$5,0,SUMIFS(FV$50:FV$70,$FB$50:$FB$70,"&gt;"&amp;($DP82-VLOOKUP(EJ$49,$C$15:$D$20,2,FALSE)),$FB$50:$FB$70,"&lt;="&amp;($DP82)))</f>
        <v>0</v>
      </c>
      <c r="EK82" s="102">
        <f t="shared" ref="EK82:EK113" si="384">IF($DP82&gt;$D$5,0,SUMIFS(FW$50:FW$70,$FB$50:$FB$70,"&gt;"&amp;($DP82-VLOOKUP(EK$49,$C$15:$D$20,2,FALSE)),$FB$50:$FB$70,"&lt;="&amp;($DP82)))</f>
        <v>0</v>
      </c>
      <c r="EL82" s="102">
        <f t="shared" ref="EL82:EL113" si="385">IF($DP82&gt;$D$5,0,SUMIFS(FX$50:FX$70,$FB$50:$FB$70,"&gt;"&amp;($DP82-VLOOKUP(EL$49,$C$15:$D$20,2,FALSE)),$FB$50:$FB$70,"&lt;="&amp;($DP82)))</f>
        <v>0</v>
      </c>
      <c r="EM82" s="102">
        <f t="shared" ref="EM82:EM113" si="386">IF($DP82&gt;$D$5,0,SUMIFS(FY$50:FY$70,$FB$50:$FB$70,"&gt;"&amp;($DP82-VLOOKUP(EM$49,$C$15:$D$20,2,FALSE)),$FB$50:$FB$70,"&lt;="&amp;($DP82)))</f>
        <v>0</v>
      </c>
      <c r="EN82" s="151">
        <f t="shared" ref="EN82:EN113" si="387">IF($DP82&gt;$D$5,0,SUMIFS(FZ$50:FZ$70,$FB$50:$FB$70,"&gt;"&amp;($DP82-VLOOKUP(EN$49,$C$15:$D$20,2,FALSE)),$FB$50:$FB$70,"&lt;="&amp;($DP82)))</f>
        <v>0</v>
      </c>
      <c r="EO82" s="85">
        <f t="shared" ref="EO82:EO113" si="388">IF($DP82&gt;$D$5,0,SUMIFS(GA$50:GA$70,$FB$50:$FB$70,"&gt;"&amp;($DP82-VLOOKUP(EO$49,$C$15:$D$20,2,FALSE)),$FB$50:$FB$70,"&lt;="&amp;($DP82)))</f>
        <v>0</v>
      </c>
      <c r="EP82" s="145">
        <f t="shared" ref="EP82:EP113" si="389">IF($DP82&gt;$D$5,0,SUMIFS(GB$50:GB$70,$FB$50:$FB$70,"&gt;"&amp;($DP82-VLOOKUP(EP$49,$C$15:$D$20,2,FALSE)),$FB$50:$FB$70,"&lt;="&amp;($DP82)))</f>
        <v>0</v>
      </c>
      <c r="EQ82" s="145">
        <f t="shared" ref="EQ82:EQ113" si="390">IF($DP82&gt;$D$5,0,SUMIFS(GC$50:GC$70,$FB$50:$FB$70,"&gt;"&amp;($DP82-VLOOKUP(EQ$49,$C$15:$D$20,2,FALSE)),$FB$50:$FB$70,"&lt;="&amp;($DP82)))</f>
        <v>0</v>
      </c>
      <c r="ER82" s="145">
        <f t="shared" ref="ER82:ER113" si="391">IF($DP82&gt;$D$5,0,SUMIFS(GD$50:GD$70,$FB$50:$FB$70,"&gt;"&amp;($DP82-VLOOKUP(ER$49,$C$15:$D$20,2,FALSE)),$FB$50:$FB$70,"&lt;="&amp;($DP82)))</f>
        <v>0</v>
      </c>
      <c r="ES82" s="145">
        <f t="shared" ref="ES82:ES113" si="392">IF($DP82&gt;$D$5,0,SUMIFS(GE$50:GE$70,$FB$50:$FB$70,"&gt;"&amp;($DP82-VLOOKUP(ES$49,$C$15:$D$20,2,FALSE)),$FB$50:$FB$70,"&lt;="&amp;($DP82)))</f>
        <v>0</v>
      </c>
      <c r="ET82" s="85">
        <f t="shared" ref="ET82:ET113" si="393">IF($DP82&gt;$D$5,0,SUMIFS(GF$50:GF$70,$FB$50:$FB$70,"&gt;"&amp;($DP82-VLOOKUP(ET$49,$C$15:$D$20,2,FALSE)),$FB$50:$FB$70,"&lt;="&amp;($DP82)))</f>
        <v>0</v>
      </c>
      <c r="EU82" s="102">
        <f t="shared" ref="EU82:EU113" si="394">IF($DP82&gt;$D$5,0,SUMIFS(GG$50:GG$70,$FB$50:$FB$70,"&gt;"&amp;($DP82-VLOOKUP(EU$49,$C$15:$D$20,2,FALSE)),$FB$50:$FB$70,"&lt;="&amp;($DP82)))</f>
        <v>0</v>
      </c>
      <c r="EV82" s="102">
        <f t="shared" ref="EV82:EV113" si="395">IF($DP82&gt;$D$5,0,SUMIFS(GH$50:GH$70,$FB$50:$FB$70,"&gt;"&amp;($DP82-VLOOKUP(EV$49,$C$15:$D$20,2,FALSE)),$FB$50:$FB$70,"&lt;="&amp;($DP82)))</f>
        <v>0</v>
      </c>
      <c r="EW82" s="102">
        <f t="shared" ref="EW82:EW113" si="396">IF($DP82&gt;$D$5,0,SUMIFS(GI$50:GI$70,$FB$50:$FB$70,"&gt;"&amp;($DP82-VLOOKUP(EW$49,$C$15:$D$20,2,FALSE)),$FB$50:$FB$70,"&lt;="&amp;($DP82)))</f>
        <v>0</v>
      </c>
      <c r="EX82" s="102">
        <f t="shared" ref="EX82:EX113" si="397">IF($DP82&gt;$D$5,0,SUMIFS(GJ$50:GJ$70,$FB$50:$FB$70,"&gt;"&amp;($DP82-VLOOKUP(EX$49,$C$15:$D$20,2,FALSE)),$FB$50:$FB$70,"&lt;="&amp;($DP82)))</f>
        <v>0</v>
      </c>
      <c r="EY82" s="102">
        <f t="shared" ref="EY82:EY113" si="398">IF($DP82&gt;$D$5,0,SUMIFS(GK$50:GK$70,$FB$50:$FB$70,"&gt;"&amp;($DP82-VLOOKUP(EY$49,$C$15:$D$20,2,FALSE)),$FB$50:$FB$70,"&lt;="&amp;($DP82)))</f>
        <v>0</v>
      </c>
      <c r="EZ82" s="564">
        <f t="shared" ref="EZ82:EZ113" si="399">IF($DP82&gt;$D$5,0,SUMIFS(GL$50:GL$70,$FB$50:$FB$70,"&gt;"&amp;($DP82-VLOOKUP(EZ$49,$C$15:$D$20,2,FALSE)),$FB$50:$FB$70,"&lt;="&amp;($DP82)))</f>
        <v>0</v>
      </c>
    </row>
    <row r="83" spans="7:156">
      <c r="CD83" s="10">
        <f t="shared" si="314"/>
        <v>2053</v>
      </c>
      <c r="CE83" s="85">
        <f t="shared" si="328"/>
        <v>0</v>
      </c>
      <c r="CF83" s="147">
        <f t="shared" si="329"/>
        <v>0</v>
      </c>
      <c r="CG83" s="147">
        <f t="shared" si="330"/>
        <v>0</v>
      </c>
      <c r="CH83" s="147">
        <f t="shared" si="331"/>
        <v>0</v>
      </c>
      <c r="CI83" s="147">
        <f t="shared" si="332"/>
        <v>0</v>
      </c>
      <c r="CJ83" s="85">
        <f t="shared" si="333"/>
        <v>0</v>
      </c>
      <c r="CK83" s="151">
        <f t="shared" si="334"/>
        <v>0</v>
      </c>
      <c r="CL83" s="102">
        <f t="shared" si="335"/>
        <v>0</v>
      </c>
      <c r="CM83" s="102">
        <f t="shared" si="336"/>
        <v>0</v>
      </c>
      <c r="CN83" s="102">
        <f t="shared" si="337"/>
        <v>0</v>
      </c>
      <c r="CO83" s="102">
        <f t="shared" si="338"/>
        <v>0</v>
      </c>
      <c r="CP83" s="151">
        <f t="shared" si="339"/>
        <v>0</v>
      </c>
      <c r="CQ83" s="85">
        <f t="shared" si="340"/>
        <v>0</v>
      </c>
      <c r="CR83" s="147">
        <f t="shared" si="341"/>
        <v>0</v>
      </c>
      <c r="CS83" s="147">
        <f t="shared" si="342"/>
        <v>0</v>
      </c>
      <c r="CT83" s="147">
        <f t="shared" si="343"/>
        <v>0</v>
      </c>
      <c r="CU83" s="147">
        <f t="shared" si="344"/>
        <v>0</v>
      </c>
      <c r="CV83" s="85">
        <f t="shared" si="345"/>
        <v>0</v>
      </c>
      <c r="CW83" s="151">
        <f t="shared" si="346"/>
        <v>0</v>
      </c>
      <c r="CX83" s="102">
        <f t="shared" si="347"/>
        <v>0</v>
      </c>
      <c r="CY83" s="102">
        <f t="shared" si="348"/>
        <v>0</v>
      </c>
      <c r="CZ83" s="102">
        <f t="shared" si="349"/>
        <v>0</v>
      </c>
      <c r="DA83" s="102">
        <f t="shared" si="350"/>
        <v>0</v>
      </c>
      <c r="DB83" s="151">
        <f t="shared" si="351"/>
        <v>0</v>
      </c>
      <c r="DC83" s="85">
        <f t="shared" si="352"/>
        <v>0</v>
      </c>
      <c r="DD83" s="147">
        <f t="shared" si="353"/>
        <v>0</v>
      </c>
      <c r="DE83" s="147">
        <f t="shared" si="354"/>
        <v>0</v>
      </c>
      <c r="DF83" s="147">
        <f t="shared" si="355"/>
        <v>0</v>
      </c>
      <c r="DG83" s="147">
        <f t="shared" si="356"/>
        <v>0</v>
      </c>
      <c r="DH83" s="85">
        <f t="shared" si="357"/>
        <v>0</v>
      </c>
      <c r="DI83" s="151">
        <f t="shared" si="358"/>
        <v>0</v>
      </c>
      <c r="DJ83" s="102">
        <f t="shared" si="359"/>
        <v>0</v>
      </c>
      <c r="DK83" s="102">
        <f t="shared" si="360"/>
        <v>0</v>
      </c>
      <c r="DL83" s="102">
        <f t="shared" si="361"/>
        <v>0</v>
      </c>
      <c r="DM83" s="102">
        <f t="shared" si="362"/>
        <v>0</v>
      </c>
      <c r="DN83" s="564">
        <f t="shared" si="363"/>
        <v>0</v>
      </c>
      <c r="DP83" s="10">
        <f t="shared" si="315"/>
        <v>2053</v>
      </c>
      <c r="DQ83" s="85">
        <f t="shared" si="364"/>
        <v>0</v>
      </c>
      <c r="DR83" s="147">
        <f t="shared" si="365"/>
        <v>0</v>
      </c>
      <c r="DS83" s="147">
        <f t="shared" si="366"/>
        <v>0</v>
      </c>
      <c r="DT83" s="147">
        <f t="shared" si="367"/>
        <v>0</v>
      </c>
      <c r="DU83" s="147">
        <f t="shared" si="368"/>
        <v>0</v>
      </c>
      <c r="DV83" s="85">
        <f t="shared" si="369"/>
        <v>0</v>
      </c>
      <c r="DW83" s="151">
        <f t="shared" si="370"/>
        <v>0</v>
      </c>
      <c r="DX83" s="102">
        <f t="shared" si="371"/>
        <v>0</v>
      </c>
      <c r="DY83" s="102">
        <f t="shared" si="372"/>
        <v>0</v>
      </c>
      <c r="DZ83" s="102">
        <f t="shared" si="373"/>
        <v>0</v>
      </c>
      <c r="EA83" s="102">
        <f t="shared" si="374"/>
        <v>0</v>
      </c>
      <c r="EB83" s="151">
        <f t="shared" si="375"/>
        <v>0</v>
      </c>
      <c r="EC83" s="85">
        <f t="shared" si="376"/>
        <v>0</v>
      </c>
      <c r="ED83" s="147">
        <f t="shared" si="377"/>
        <v>0</v>
      </c>
      <c r="EE83" s="147">
        <f t="shared" si="378"/>
        <v>0</v>
      </c>
      <c r="EF83" s="147">
        <f t="shared" si="379"/>
        <v>0</v>
      </c>
      <c r="EG83" s="147">
        <f t="shared" si="380"/>
        <v>0</v>
      </c>
      <c r="EH83" s="85">
        <f t="shared" si="381"/>
        <v>0</v>
      </c>
      <c r="EI83" s="151">
        <f t="shared" si="382"/>
        <v>0</v>
      </c>
      <c r="EJ83" s="102">
        <f t="shared" si="383"/>
        <v>0</v>
      </c>
      <c r="EK83" s="102">
        <f t="shared" si="384"/>
        <v>0</v>
      </c>
      <c r="EL83" s="102">
        <f t="shared" si="385"/>
        <v>0</v>
      </c>
      <c r="EM83" s="102">
        <f t="shared" si="386"/>
        <v>0</v>
      </c>
      <c r="EN83" s="151">
        <f t="shared" si="387"/>
        <v>0</v>
      </c>
      <c r="EO83" s="85">
        <f t="shared" si="388"/>
        <v>0</v>
      </c>
      <c r="EP83" s="145">
        <f t="shared" si="389"/>
        <v>0</v>
      </c>
      <c r="EQ83" s="145">
        <f t="shared" si="390"/>
        <v>0</v>
      </c>
      <c r="ER83" s="145">
        <f t="shared" si="391"/>
        <v>0</v>
      </c>
      <c r="ES83" s="145">
        <f t="shared" si="392"/>
        <v>0</v>
      </c>
      <c r="ET83" s="85">
        <f t="shared" si="393"/>
        <v>0</v>
      </c>
      <c r="EU83" s="102">
        <f t="shared" si="394"/>
        <v>0</v>
      </c>
      <c r="EV83" s="102">
        <f t="shared" si="395"/>
        <v>0</v>
      </c>
      <c r="EW83" s="102">
        <f t="shared" si="396"/>
        <v>0</v>
      </c>
      <c r="EX83" s="102">
        <f t="shared" si="397"/>
        <v>0</v>
      </c>
      <c r="EY83" s="102">
        <f t="shared" si="398"/>
        <v>0</v>
      </c>
      <c r="EZ83" s="564">
        <f t="shared" si="399"/>
        <v>0</v>
      </c>
    </row>
    <row r="84" spans="7:156">
      <c r="CD84" s="10">
        <f t="shared" si="314"/>
        <v>2054</v>
      </c>
      <c r="CE84" s="85">
        <f t="shared" si="328"/>
        <v>0</v>
      </c>
      <c r="CF84" s="147">
        <f t="shared" si="329"/>
        <v>0</v>
      </c>
      <c r="CG84" s="147">
        <f t="shared" si="330"/>
        <v>0</v>
      </c>
      <c r="CH84" s="147">
        <f t="shared" si="331"/>
        <v>0</v>
      </c>
      <c r="CI84" s="147">
        <f t="shared" si="332"/>
        <v>0</v>
      </c>
      <c r="CJ84" s="85">
        <f t="shared" si="333"/>
        <v>0</v>
      </c>
      <c r="CK84" s="151">
        <f t="shared" si="334"/>
        <v>0</v>
      </c>
      <c r="CL84" s="102">
        <f t="shared" si="335"/>
        <v>0</v>
      </c>
      <c r="CM84" s="102">
        <f t="shared" si="336"/>
        <v>0</v>
      </c>
      <c r="CN84" s="102">
        <f t="shared" si="337"/>
        <v>0</v>
      </c>
      <c r="CO84" s="102">
        <f t="shared" si="338"/>
        <v>0</v>
      </c>
      <c r="CP84" s="151">
        <f t="shared" si="339"/>
        <v>0</v>
      </c>
      <c r="CQ84" s="85">
        <f t="shared" si="340"/>
        <v>0</v>
      </c>
      <c r="CR84" s="147">
        <f t="shared" si="341"/>
        <v>0</v>
      </c>
      <c r="CS84" s="147">
        <f t="shared" si="342"/>
        <v>0</v>
      </c>
      <c r="CT84" s="147">
        <f t="shared" si="343"/>
        <v>0</v>
      </c>
      <c r="CU84" s="147">
        <f t="shared" si="344"/>
        <v>0</v>
      </c>
      <c r="CV84" s="85">
        <f t="shared" si="345"/>
        <v>0</v>
      </c>
      <c r="CW84" s="151">
        <f t="shared" si="346"/>
        <v>0</v>
      </c>
      <c r="CX84" s="102">
        <f t="shared" si="347"/>
        <v>0</v>
      </c>
      <c r="CY84" s="102">
        <f t="shared" si="348"/>
        <v>0</v>
      </c>
      <c r="CZ84" s="102">
        <f t="shared" si="349"/>
        <v>0</v>
      </c>
      <c r="DA84" s="102">
        <f t="shared" si="350"/>
        <v>0</v>
      </c>
      <c r="DB84" s="151">
        <f t="shared" si="351"/>
        <v>0</v>
      </c>
      <c r="DC84" s="85">
        <f t="shared" si="352"/>
        <v>0</v>
      </c>
      <c r="DD84" s="147">
        <f t="shared" si="353"/>
        <v>0</v>
      </c>
      <c r="DE84" s="147">
        <f t="shared" si="354"/>
        <v>0</v>
      </c>
      <c r="DF84" s="147">
        <f t="shared" si="355"/>
        <v>0</v>
      </c>
      <c r="DG84" s="147">
        <f t="shared" si="356"/>
        <v>0</v>
      </c>
      <c r="DH84" s="85">
        <f t="shared" si="357"/>
        <v>0</v>
      </c>
      <c r="DI84" s="151">
        <f t="shared" si="358"/>
        <v>0</v>
      </c>
      <c r="DJ84" s="102">
        <f t="shared" si="359"/>
        <v>0</v>
      </c>
      <c r="DK84" s="102">
        <f t="shared" si="360"/>
        <v>0</v>
      </c>
      <c r="DL84" s="102">
        <f t="shared" si="361"/>
        <v>0</v>
      </c>
      <c r="DM84" s="102">
        <f t="shared" si="362"/>
        <v>0</v>
      </c>
      <c r="DN84" s="564">
        <f t="shared" si="363"/>
        <v>0</v>
      </c>
      <c r="DP84" s="10">
        <f t="shared" si="315"/>
        <v>2054</v>
      </c>
      <c r="DQ84" s="85">
        <f t="shared" si="364"/>
        <v>0</v>
      </c>
      <c r="DR84" s="147">
        <f t="shared" si="365"/>
        <v>0</v>
      </c>
      <c r="DS84" s="147">
        <f t="shared" si="366"/>
        <v>0</v>
      </c>
      <c r="DT84" s="147">
        <f t="shared" si="367"/>
        <v>0</v>
      </c>
      <c r="DU84" s="147">
        <f t="shared" si="368"/>
        <v>0</v>
      </c>
      <c r="DV84" s="85">
        <f t="shared" si="369"/>
        <v>0</v>
      </c>
      <c r="DW84" s="151">
        <f t="shared" si="370"/>
        <v>0</v>
      </c>
      <c r="DX84" s="102">
        <f t="shared" si="371"/>
        <v>0</v>
      </c>
      <c r="DY84" s="102">
        <f t="shared" si="372"/>
        <v>0</v>
      </c>
      <c r="DZ84" s="102">
        <f t="shared" si="373"/>
        <v>0</v>
      </c>
      <c r="EA84" s="102">
        <f t="shared" si="374"/>
        <v>0</v>
      </c>
      <c r="EB84" s="151">
        <f t="shared" si="375"/>
        <v>0</v>
      </c>
      <c r="EC84" s="85">
        <f t="shared" si="376"/>
        <v>0</v>
      </c>
      <c r="ED84" s="147">
        <f t="shared" si="377"/>
        <v>0</v>
      </c>
      <c r="EE84" s="147">
        <f t="shared" si="378"/>
        <v>0</v>
      </c>
      <c r="EF84" s="147">
        <f t="shared" si="379"/>
        <v>0</v>
      </c>
      <c r="EG84" s="147">
        <f t="shared" si="380"/>
        <v>0</v>
      </c>
      <c r="EH84" s="85">
        <f t="shared" si="381"/>
        <v>0</v>
      </c>
      <c r="EI84" s="151">
        <f t="shared" si="382"/>
        <v>0</v>
      </c>
      <c r="EJ84" s="102">
        <f t="shared" si="383"/>
        <v>0</v>
      </c>
      <c r="EK84" s="102">
        <f t="shared" si="384"/>
        <v>0</v>
      </c>
      <c r="EL84" s="102">
        <f t="shared" si="385"/>
        <v>0</v>
      </c>
      <c r="EM84" s="102">
        <f t="shared" si="386"/>
        <v>0</v>
      </c>
      <c r="EN84" s="151">
        <f t="shared" si="387"/>
        <v>0</v>
      </c>
      <c r="EO84" s="85">
        <f t="shared" si="388"/>
        <v>0</v>
      </c>
      <c r="EP84" s="145">
        <f t="shared" si="389"/>
        <v>0</v>
      </c>
      <c r="EQ84" s="145">
        <f t="shared" si="390"/>
        <v>0</v>
      </c>
      <c r="ER84" s="145">
        <f t="shared" si="391"/>
        <v>0</v>
      </c>
      <c r="ES84" s="145">
        <f t="shared" si="392"/>
        <v>0</v>
      </c>
      <c r="ET84" s="85">
        <f t="shared" si="393"/>
        <v>0</v>
      </c>
      <c r="EU84" s="102">
        <f t="shared" si="394"/>
        <v>0</v>
      </c>
      <c r="EV84" s="102">
        <f t="shared" si="395"/>
        <v>0</v>
      </c>
      <c r="EW84" s="102">
        <f t="shared" si="396"/>
        <v>0</v>
      </c>
      <c r="EX84" s="102">
        <f t="shared" si="397"/>
        <v>0</v>
      </c>
      <c r="EY84" s="102">
        <f t="shared" si="398"/>
        <v>0</v>
      </c>
      <c r="EZ84" s="564">
        <f t="shared" si="399"/>
        <v>0</v>
      </c>
    </row>
    <row r="85" spans="7:156">
      <c r="CD85" s="10">
        <f t="shared" si="314"/>
        <v>2055</v>
      </c>
      <c r="CE85" s="85">
        <f t="shared" si="328"/>
        <v>0</v>
      </c>
      <c r="CF85" s="147">
        <f t="shared" si="329"/>
        <v>0</v>
      </c>
      <c r="CG85" s="147">
        <f t="shared" si="330"/>
        <v>0</v>
      </c>
      <c r="CH85" s="147">
        <f t="shared" si="331"/>
        <v>0</v>
      </c>
      <c r="CI85" s="147">
        <f t="shared" si="332"/>
        <v>0</v>
      </c>
      <c r="CJ85" s="85">
        <f t="shared" si="333"/>
        <v>0</v>
      </c>
      <c r="CK85" s="151">
        <f t="shared" si="334"/>
        <v>0</v>
      </c>
      <c r="CL85" s="102">
        <f t="shared" si="335"/>
        <v>0</v>
      </c>
      <c r="CM85" s="102">
        <f t="shared" si="336"/>
        <v>0</v>
      </c>
      <c r="CN85" s="102">
        <f t="shared" si="337"/>
        <v>0</v>
      </c>
      <c r="CO85" s="102">
        <f t="shared" si="338"/>
        <v>0</v>
      </c>
      <c r="CP85" s="151">
        <f t="shared" si="339"/>
        <v>0</v>
      </c>
      <c r="CQ85" s="85">
        <f t="shared" si="340"/>
        <v>0</v>
      </c>
      <c r="CR85" s="147">
        <f t="shared" si="341"/>
        <v>0</v>
      </c>
      <c r="CS85" s="147">
        <f t="shared" si="342"/>
        <v>0</v>
      </c>
      <c r="CT85" s="147">
        <f t="shared" si="343"/>
        <v>0</v>
      </c>
      <c r="CU85" s="147">
        <f t="shared" si="344"/>
        <v>0</v>
      </c>
      <c r="CV85" s="85">
        <f t="shared" si="345"/>
        <v>0</v>
      </c>
      <c r="CW85" s="151">
        <f t="shared" si="346"/>
        <v>0</v>
      </c>
      <c r="CX85" s="102">
        <f t="shared" si="347"/>
        <v>0</v>
      </c>
      <c r="CY85" s="102">
        <f t="shared" si="348"/>
        <v>0</v>
      </c>
      <c r="CZ85" s="102">
        <f t="shared" si="349"/>
        <v>0</v>
      </c>
      <c r="DA85" s="102">
        <f t="shared" si="350"/>
        <v>0</v>
      </c>
      <c r="DB85" s="151">
        <f t="shared" si="351"/>
        <v>0</v>
      </c>
      <c r="DC85" s="85">
        <f t="shared" si="352"/>
        <v>0</v>
      </c>
      <c r="DD85" s="147">
        <f t="shared" si="353"/>
        <v>0</v>
      </c>
      <c r="DE85" s="147">
        <f t="shared" si="354"/>
        <v>0</v>
      </c>
      <c r="DF85" s="147">
        <f t="shared" si="355"/>
        <v>0</v>
      </c>
      <c r="DG85" s="147">
        <f t="shared" si="356"/>
        <v>0</v>
      </c>
      <c r="DH85" s="85">
        <f t="shared" si="357"/>
        <v>0</v>
      </c>
      <c r="DI85" s="151">
        <f t="shared" si="358"/>
        <v>0</v>
      </c>
      <c r="DJ85" s="102">
        <f t="shared" si="359"/>
        <v>0</v>
      </c>
      <c r="DK85" s="102">
        <f t="shared" si="360"/>
        <v>0</v>
      </c>
      <c r="DL85" s="102">
        <f t="shared" si="361"/>
        <v>0</v>
      </c>
      <c r="DM85" s="102">
        <f t="shared" si="362"/>
        <v>0</v>
      </c>
      <c r="DN85" s="564">
        <f t="shared" si="363"/>
        <v>0</v>
      </c>
      <c r="DP85" s="10">
        <f t="shared" si="315"/>
        <v>2055</v>
      </c>
      <c r="DQ85" s="85">
        <f t="shared" si="364"/>
        <v>0</v>
      </c>
      <c r="DR85" s="147">
        <f t="shared" si="365"/>
        <v>0</v>
      </c>
      <c r="DS85" s="147">
        <f t="shared" si="366"/>
        <v>0</v>
      </c>
      <c r="DT85" s="147">
        <f t="shared" si="367"/>
        <v>0</v>
      </c>
      <c r="DU85" s="147">
        <f t="shared" si="368"/>
        <v>0</v>
      </c>
      <c r="DV85" s="85">
        <f t="shared" si="369"/>
        <v>0</v>
      </c>
      <c r="DW85" s="151">
        <f t="shared" si="370"/>
        <v>0</v>
      </c>
      <c r="DX85" s="102">
        <f t="shared" si="371"/>
        <v>0</v>
      </c>
      <c r="DY85" s="102">
        <f t="shared" si="372"/>
        <v>0</v>
      </c>
      <c r="DZ85" s="102">
        <f t="shared" si="373"/>
        <v>0</v>
      </c>
      <c r="EA85" s="102">
        <f t="shared" si="374"/>
        <v>0</v>
      </c>
      <c r="EB85" s="151">
        <f t="shared" si="375"/>
        <v>0</v>
      </c>
      <c r="EC85" s="85">
        <f t="shared" si="376"/>
        <v>0</v>
      </c>
      <c r="ED85" s="147">
        <f t="shared" si="377"/>
        <v>0</v>
      </c>
      <c r="EE85" s="147">
        <f t="shared" si="378"/>
        <v>0</v>
      </c>
      <c r="EF85" s="147">
        <f t="shared" si="379"/>
        <v>0</v>
      </c>
      <c r="EG85" s="147">
        <f t="shared" si="380"/>
        <v>0</v>
      </c>
      <c r="EH85" s="85">
        <f t="shared" si="381"/>
        <v>0</v>
      </c>
      <c r="EI85" s="151">
        <f t="shared" si="382"/>
        <v>0</v>
      </c>
      <c r="EJ85" s="102">
        <f t="shared" si="383"/>
        <v>0</v>
      </c>
      <c r="EK85" s="102">
        <f t="shared" si="384"/>
        <v>0</v>
      </c>
      <c r="EL85" s="102">
        <f t="shared" si="385"/>
        <v>0</v>
      </c>
      <c r="EM85" s="102">
        <f t="shared" si="386"/>
        <v>0</v>
      </c>
      <c r="EN85" s="151">
        <f t="shared" si="387"/>
        <v>0</v>
      </c>
      <c r="EO85" s="85">
        <f t="shared" si="388"/>
        <v>0</v>
      </c>
      <c r="EP85" s="145">
        <f t="shared" si="389"/>
        <v>0</v>
      </c>
      <c r="EQ85" s="145">
        <f t="shared" si="390"/>
        <v>0</v>
      </c>
      <c r="ER85" s="145">
        <f t="shared" si="391"/>
        <v>0</v>
      </c>
      <c r="ES85" s="145">
        <f t="shared" si="392"/>
        <v>0</v>
      </c>
      <c r="ET85" s="85">
        <f t="shared" si="393"/>
        <v>0</v>
      </c>
      <c r="EU85" s="102">
        <f t="shared" si="394"/>
        <v>0</v>
      </c>
      <c r="EV85" s="102">
        <f t="shared" si="395"/>
        <v>0</v>
      </c>
      <c r="EW85" s="102">
        <f t="shared" si="396"/>
        <v>0</v>
      </c>
      <c r="EX85" s="102">
        <f t="shared" si="397"/>
        <v>0</v>
      </c>
      <c r="EY85" s="102">
        <f t="shared" si="398"/>
        <v>0</v>
      </c>
      <c r="EZ85" s="564">
        <f t="shared" si="399"/>
        <v>0</v>
      </c>
    </row>
    <row r="86" spans="7:156">
      <c r="CD86" s="10">
        <f t="shared" si="314"/>
        <v>2056</v>
      </c>
      <c r="CE86" s="85">
        <f t="shared" si="328"/>
        <v>0</v>
      </c>
      <c r="CF86" s="147">
        <f t="shared" si="329"/>
        <v>0</v>
      </c>
      <c r="CG86" s="147">
        <f t="shared" si="330"/>
        <v>0</v>
      </c>
      <c r="CH86" s="147">
        <f t="shared" si="331"/>
        <v>0</v>
      </c>
      <c r="CI86" s="147">
        <f t="shared" si="332"/>
        <v>0</v>
      </c>
      <c r="CJ86" s="85">
        <f t="shared" si="333"/>
        <v>0</v>
      </c>
      <c r="CK86" s="151">
        <f t="shared" si="334"/>
        <v>0</v>
      </c>
      <c r="CL86" s="102">
        <f t="shared" si="335"/>
        <v>0</v>
      </c>
      <c r="CM86" s="102">
        <f t="shared" si="336"/>
        <v>0</v>
      </c>
      <c r="CN86" s="102">
        <f t="shared" si="337"/>
        <v>0</v>
      </c>
      <c r="CO86" s="102">
        <f t="shared" si="338"/>
        <v>0</v>
      </c>
      <c r="CP86" s="151">
        <f t="shared" si="339"/>
        <v>0</v>
      </c>
      <c r="CQ86" s="85">
        <f t="shared" si="340"/>
        <v>0</v>
      </c>
      <c r="CR86" s="147">
        <f t="shared" si="341"/>
        <v>0</v>
      </c>
      <c r="CS86" s="147">
        <f t="shared" si="342"/>
        <v>0</v>
      </c>
      <c r="CT86" s="147">
        <f t="shared" si="343"/>
        <v>0</v>
      </c>
      <c r="CU86" s="147">
        <f t="shared" si="344"/>
        <v>0</v>
      </c>
      <c r="CV86" s="85">
        <f t="shared" si="345"/>
        <v>0</v>
      </c>
      <c r="CW86" s="151">
        <f t="shared" si="346"/>
        <v>0</v>
      </c>
      <c r="CX86" s="102">
        <f t="shared" si="347"/>
        <v>0</v>
      </c>
      <c r="CY86" s="102">
        <f t="shared" si="348"/>
        <v>0</v>
      </c>
      <c r="CZ86" s="102">
        <f t="shared" si="349"/>
        <v>0</v>
      </c>
      <c r="DA86" s="102">
        <f t="shared" si="350"/>
        <v>0</v>
      </c>
      <c r="DB86" s="151">
        <f t="shared" si="351"/>
        <v>0</v>
      </c>
      <c r="DC86" s="85">
        <f t="shared" si="352"/>
        <v>0</v>
      </c>
      <c r="DD86" s="147">
        <f t="shared" si="353"/>
        <v>0</v>
      </c>
      <c r="DE86" s="147">
        <f t="shared" si="354"/>
        <v>0</v>
      </c>
      <c r="DF86" s="147">
        <f t="shared" si="355"/>
        <v>0</v>
      </c>
      <c r="DG86" s="147">
        <f t="shared" si="356"/>
        <v>0</v>
      </c>
      <c r="DH86" s="85">
        <f t="shared" si="357"/>
        <v>0</v>
      </c>
      <c r="DI86" s="151">
        <f t="shared" si="358"/>
        <v>0</v>
      </c>
      <c r="DJ86" s="102">
        <f t="shared" si="359"/>
        <v>0</v>
      </c>
      <c r="DK86" s="102">
        <f t="shared" si="360"/>
        <v>0</v>
      </c>
      <c r="DL86" s="102">
        <f t="shared" si="361"/>
        <v>0</v>
      </c>
      <c r="DM86" s="102">
        <f t="shared" si="362"/>
        <v>0</v>
      </c>
      <c r="DN86" s="564">
        <f t="shared" si="363"/>
        <v>0</v>
      </c>
      <c r="DP86" s="10">
        <f t="shared" si="315"/>
        <v>2056</v>
      </c>
      <c r="DQ86" s="85">
        <f t="shared" si="364"/>
        <v>0</v>
      </c>
      <c r="DR86" s="147">
        <f t="shared" si="365"/>
        <v>0</v>
      </c>
      <c r="DS86" s="147">
        <f t="shared" si="366"/>
        <v>0</v>
      </c>
      <c r="DT86" s="147">
        <f t="shared" si="367"/>
        <v>0</v>
      </c>
      <c r="DU86" s="147">
        <f t="shared" si="368"/>
        <v>0</v>
      </c>
      <c r="DV86" s="85">
        <f t="shared" si="369"/>
        <v>0</v>
      </c>
      <c r="DW86" s="151">
        <f t="shared" si="370"/>
        <v>0</v>
      </c>
      <c r="DX86" s="102">
        <f t="shared" si="371"/>
        <v>0</v>
      </c>
      <c r="DY86" s="102">
        <f t="shared" si="372"/>
        <v>0</v>
      </c>
      <c r="DZ86" s="102">
        <f t="shared" si="373"/>
        <v>0</v>
      </c>
      <c r="EA86" s="102">
        <f t="shared" si="374"/>
        <v>0</v>
      </c>
      <c r="EB86" s="151">
        <f t="shared" si="375"/>
        <v>0</v>
      </c>
      <c r="EC86" s="85">
        <f t="shared" si="376"/>
        <v>0</v>
      </c>
      <c r="ED86" s="147">
        <f t="shared" si="377"/>
        <v>0</v>
      </c>
      <c r="EE86" s="147">
        <f t="shared" si="378"/>
        <v>0</v>
      </c>
      <c r="EF86" s="147">
        <f t="shared" si="379"/>
        <v>0</v>
      </c>
      <c r="EG86" s="147">
        <f t="shared" si="380"/>
        <v>0</v>
      </c>
      <c r="EH86" s="85">
        <f t="shared" si="381"/>
        <v>0</v>
      </c>
      <c r="EI86" s="151">
        <f t="shared" si="382"/>
        <v>0</v>
      </c>
      <c r="EJ86" s="102">
        <f t="shared" si="383"/>
        <v>0</v>
      </c>
      <c r="EK86" s="102">
        <f t="shared" si="384"/>
        <v>0</v>
      </c>
      <c r="EL86" s="102">
        <f t="shared" si="385"/>
        <v>0</v>
      </c>
      <c r="EM86" s="102">
        <f t="shared" si="386"/>
        <v>0</v>
      </c>
      <c r="EN86" s="151">
        <f t="shared" si="387"/>
        <v>0</v>
      </c>
      <c r="EO86" s="85">
        <f t="shared" si="388"/>
        <v>0</v>
      </c>
      <c r="EP86" s="145">
        <f t="shared" si="389"/>
        <v>0</v>
      </c>
      <c r="EQ86" s="145">
        <f t="shared" si="390"/>
        <v>0</v>
      </c>
      <c r="ER86" s="145">
        <f t="shared" si="391"/>
        <v>0</v>
      </c>
      <c r="ES86" s="145">
        <f t="shared" si="392"/>
        <v>0</v>
      </c>
      <c r="ET86" s="85">
        <f t="shared" si="393"/>
        <v>0</v>
      </c>
      <c r="EU86" s="102">
        <f t="shared" si="394"/>
        <v>0</v>
      </c>
      <c r="EV86" s="102">
        <f t="shared" si="395"/>
        <v>0</v>
      </c>
      <c r="EW86" s="102">
        <f t="shared" si="396"/>
        <v>0</v>
      </c>
      <c r="EX86" s="102">
        <f t="shared" si="397"/>
        <v>0</v>
      </c>
      <c r="EY86" s="102">
        <f t="shared" si="398"/>
        <v>0</v>
      </c>
      <c r="EZ86" s="564">
        <f t="shared" si="399"/>
        <v>0</v>
      </c>
    </row>
    <row r="87" spans="7:156">
      <c r="CD87" s="10">
        <f t="shared" si="314"/>
        <v>2057</v>
      </c>
      <c r="CE87" s="85">
        <f t="shared" si="328"/>
        <v>0</v>
      </c>
      <c r="CF87" s="147">
        <f t="shared" si="329"/>
        <v>0</v>
      </c>
      <c r="CG87" s="147">
        <f t="shared" si="330"/>
        <v>0</v>
      </c>
      <c r="CH87" s="147">
        <f t="shared" si="331"/>
        <v>0</v>
      </c>
      <c r="CI87" s="147">
        <f t="shared" si="332"/>
        <v>0</v>
      </c>
      <c r="CJ87" s="85">
        <f t="shared" si="333"/>
        <v>0</v>
      </c>
      <c r="CK87" s="151">
        <f t="shared" si="334"/>
        <v>0</v>
      </c>
      <c r="CL87" s="102">
        <f t="shared" si="335"/>
        <v>0</v>
      </c>
      <c r="CM87" s="102">
        <f t="shared" si="336"/>
        <v>0</v>
      </c>
      <c r="CN87" s="102">
        <f t="shared" si="337"/>
        <v>0</v>
      </c>
      <c r="CO87" s="102">
        <f t="shared" si="338"/>
        <v>0</v>
      </c>
      <c r="CP87" s="151">
        <f t="shared" si="339"/>
        <v>0</v>
      </c>
      <c r="CQ87" s="85">
        <f t="shared" si="340"/>
        <v>0</v>
      </c>
      <c r="CR87" s="147">
        <f t="shared" si="341"/>
        <v>0</v>
      </c>
      <c r="CS87" s="147">
        <f t="shared" si="342"/>
        <v>0</v>
      </c>
      <c r="CT87" s="147">
        <f t="shared" si="343"/>
        <v>0</v>
      </c>
      <c r="CU87" s="147">
        <f t="shared" si="344"/>
        <v>0</v>
      </c>
      <c r="CV87" s="85">
        <f t="shared" si="345"/>
        <v>0</v>
      </c>
      <c r="CW87" s="151">
        <f t="shared" si="346"/>
        <v>0</v>
      </c>
      <c r="CX87" s="102">
        <f t="shared" si="347"/>
        <v>0</v>
      </c>
      <c r="CY87" s="102">
        <f t="shared" si="348"/>
        <v>0</v>
      </c>
      <c r="CZ87" s="102">
        <f t="shared" si="349"/>
        <v>0</v>
      </c>
      <c r="DA87" s="102">
        <f t="shared" si="350"/>
        <v>0</v>
      </c>
      <c r="DB87" s="151">
        <f t="shared" si="351"/>
        <v>0</v>
      </c>
      <c r="DC87" s="85">
        <f t="shared" si="352"/>
        <v>0</v>
      </c>
      <c r="DD87" s="147">
        <f t="shared" si="353"/>
        <v>0</v>
      </c>
      <c r="DE87" s="147">
        <f t="shared" si="354"/>
        <v>0</v>
      </c>
      <c r="DF87" s="147">
        <f t="shared" si="355"/>
        <v>0</v>
      </c>
      <c r="DG87" s="147">
        <f t="shared" si="356"/>
        <v>0</v>
      </c>
      <c r="DH87" s="85">
        <f t="shared" si="357"/>
        <v>0</v>
      </c>
      <c r="DI87" s="151">
        <f t="shared" si="358"/>
        <v>0</v>
      </c>
      <c r="DJ87" s="102">
        <f t="shared" si="359"/>
        <v>0</v>
      </c>
      <c r="DK87" s="102">
        <f t="shared" si="360"/>
        <v>0</v>
      </c>
      <c r="DL87" s="102">
        <f t="shared" si="361"/>
        <v>0</v>
      </c>
      <c r="DM87" s="102">
        <f t="shared" si="362"/>
        <v>0</v>
      </c>
      <c r="DN87" s="564">
        <f t="shared" si="363"/>
        <v>0</v>
      </c>
      <c r="DP87" s="10">
        <f t="shared" si="315"/>
        <v>2057</v>
      </c>
      <c r="DQ87" s="85">
        <f t="shared" si="364"/>
        <v>0</v>
      </c>
      <c r="DR87" s="147">
        <f t="shared" si="365"/>
        <v>0</v>
      </c>
      <c r="DS87" s="147">
        <f t="shared" si="366"/>
        <v>0</v>
      </c>
      <c r="DT87" s="147">
        <f t="shared" si="367"/>
        <v>0</v>
      </c>
      <c r="DU87" s="147">
        <f t="shared" si="368"/>
        <v>0</v>
      </c>
      <c r="DV87" s="85">
        <f t="shared" si="369"/>
        <v>0</v>
      </c>
      <c r="DW87" s="151">
        <f t="shared" si="370"/>
        <v>0</v>
      </c>
      <c r="DX87" s="102">
        <f t="shared" si="371"/>
        <v>0</v>
      </c>
      <c r="DY87" s="102">
        <f t="shared" si="372"/>
        <v>0</v>
      </c>
      <c r="DZ87" s="102">
        <f t="shared" si="373"/>
        <v>0</v>
      </c>
      <c r="EA87" s="102">
        <f t="shared" si="374"/>
        <v>0</v>
      </c>
      <c r="EB87" s="151">
        <f t="shared" si="375"/>
        <v>0</v>
      </c>
      <c r="EC87" s="85">
        <f t="shared" si="376"/>
        <v>0</v>
      </c>
      <c r="ED87" s="147">
        <f t="shared" si="377"/>
        <v>0</v>
      </c>
      <c r="EE87" s="147">
        <f t="shared" si="378"/>
        <v>0</v>
      </c>
      <c r="EF87" s="147">
        <f t="shared" si="379"/>
        <v>0</v>
      </c>
      <c r="EG87" s="147">
        <f t="shared" si="380"/>
        <v>0</v>
      </c>
      <c r="EH87" s="85">
        <f t="shared" si="381"/>
        <v>0</v>
      </c>
      <c r="EI87" s="151">
        <f t="shared" si="382"/>
        <v>0</v>
      </c>
      <c r="EJ87" s="102">
        <f t="shared" si="383"/>
        <v>0</v>
      </c>
      <c r="EK87" s="102">
        <f t="shared" si="384"/>
        <v>0</v>
      </c>
      <c r="EL87" s="102">
        <f t="shared" si="385"/>
        <v>0</v>
      </c>
      <c r="EM87" s="102">
        <f t="shared" si="386"/>
        <v>0</v>
      </c>
      <c r="EN87" s="151">
        <f t="shared" si="387"/>
        <v>0</v>
      </c>
      <c r="EO87" s="85">
        <f t="shared" si="388"/>
        <v>0</v>
      </c>
      <c r="EP87" s="145">
        <f t="shared" si="389"/>
        <v>0</v>
      </c>
      <c r="EQ87" s="145">
        <f t="shared" si="390"/>
        <v>0</v>
      </c>
      <c r="ER87" s="145">
        <f t="shared" si="391"/>
        <v>0</v>
      </c>
      <c r="ES87" s="145">
        <f t="shared" si="392"/>
        <v>0</v>
      </c>
      <c r="ET87" s="85">
        <f t="shared" si="393"/>
        <v>0</v>
      </c>
      <c r="EU87" s="102">
        <f t="shared" si="394"/>
        <v>0</v>
      </c>
      <c r="EV87" s="102">
        <f t="shared" si="395"/>
        <v>0</v>
      </c>
      <c r="EW87" s="102">
        <f t="shared" si="396"/>
        <v>0</v>
      </c>
      <c r="EX87" s="102">
        <f t="shared" si="397"/>
        <v>0</v>
      </c>
      <c r="EY87" s="102">
        <f t="shared" si="398"/>
        <v>0</v>
      </c>
      <c r="EZ87" s="564">
        <f t="shared" si="399"/>
        <v>0</v>
      </c>
    </row>
    <row r="88" spans="7:156">
      <c r="CD88" s="10">
        <f t="shared" si="314"/>
        <v>2058</v>
      </c>
      <c r="CE88" s="85">
        <f t="shared" si="328"/>
        <v>0</v>
      </c>
      <c r="CF88" s="147">
        <f t="shared" si="329"/>
        <v>0</v>
      </c>
      <c r="CG88" s="147">
        <f t="shared" si="330"/>
        <v>0</v>
      </c>
      <c r="CH88" s="147">
        <f t="shared" si="331"/>
        <v>0</v>
      </c>
      <c r="CI88" s="147">
        <f t="shared" si="332"/>
        <v>0</v>
      </c>
      <c r="CJ88" s="85">
        <f t="shared" si="333"/>
        <v>0</v>
      </c>
      <c r="CK88" s="151">
        <f t="shared" si="334"/>
        <v>0</v>
      </c>
      <c r="CL88" s="102">
        <f t="shared" si="335"/>
        <v>0</v>
      </c>
      <c r="CM88" s="102">
        <f t="shared" si="336"/>
        <v>0</v>
      </c>
      <c r="CN88" s="102">
        <f t="shared" si="337"/>
        <v>0</v>
      </c>
      <c r="CO88" s="102">
        <f t="shared" si="338"/>
        <v>0</v>
      </c>
      <c r="CP88" s="151">
        <f t="shared" si="339"/>
        <v>0</v>
      </c>
      <c r="CQ88" s="85">
        <f t="shared" si="340"/>
        <v>0</v>
      </c>
      <c r="CR88" s="147">
        <f t="shared" si="341"/>
        <v>0</v>
      </c>
      <c r="CS88" s="147">
        <f t="shared" si="342"/>
        <v>0</v>
      </c>
      <c r="CT88" s="147">
        <f t="shared" si="343"/>
        <v>0</v>
      </c>
      <c r="CU88" s="147">
        <f t="shared" si="344"/>
        <v>0</v>
      </c>
      <c r="CV88" s="85">
        <f t="shared" si="345"/>
        <v>0</v>
      </c>
      <c r="CW88" s="151">
        <f t="shared" si="346"/>
        <v>0</v>
      </c>
      <c r="CX88" s="102">
        <f t="shared" si="347"/>
        <v>0</v>
      </c>
      <c r="CY88" s="102">
        <f t="shared" si="348"/>
        <v>0</v>
      </c>
      <c r="CZ88" s="102">
        <f t="shared" si="349"/>
        <v>0</v>
      </c>
      <c r="DA88" s="102">
        <f t="shared" si="350"/>
        <v>0</v>
      </c>
      <c r="DB88" s="151">
        <f t="shared" si="351"/>
        <v>0</v>
      </c>
      <c r="DC88" s="85">
        <f t="shared" si="352"/>
        <v>0</v>
      </c>
      <c r="DD88" s="147">
        <f t="shared" si="353"/>
        <v>0</v>
      </c>
      <c r="DE88" s="147">
        <f t="shared" si="354"/>
        <v>0</v>
      </c>
      <c r="DF88" s="147">
        <f t="shared" si="355"/>
        <v>0</v>
      </c>
      <c r="DG88" s="147">
        <f t="shared" si="356"/>
        <v>0</v>
      </c>
      <c r="DH88" s="85">
        <f t="shared" si="357"/>
        <v>0</v>
      </c>
      <c r="DI88" s="151">
        <f t="shared" si="358"/>
        <v>0</v>
      </c>
      <c r="DJ88" s="102">
        <f t="shared" si="359"/>
        <v>0</v>
      </c>
      <c r="DK88" s="102">
        <f t="shared" si="360"/>
        <v>0</v>
      </c>
      <c r="DL88" s="102">
        <f t="shared" si="361"/>
        <v>0</v>
      </c>
      <c r="DM88" s="102">
        <f t="shared" si="362"/>
        <v>0</v>
      </c>
      <c r="DN88" s="564">
        <f t="shared" si="363"/>
        <v>0</v>
      </c>
      <c r="DP88" s="10">
        <f t="shared" si="315"/>
        <v>2058</v>
      </c>
      <c r="DQ88" s="85">
        <f t="shared" si="364"/>
        <v>0</v>
      </c>
      <c r="DR88" s="147">
        <f t="shared" si="365"/>
        <v>0</v>
      </c>
      <c r="DS88" s="147">
        <f t="shared" si="366"/>
        <v>0</v>
      </c>
      <c r="DT88" s="147">
        <f t="shared" si="367"/>
        <v>0</v>
      </c>
      <c r="DU88" s="147">
        <f t="shared" si="368"/>
        <v>0</v>
      </c>
      <c r="DV88" s="85">
        <f t="shared" si="369"/>
        <v>0</v>
      </c>
      <c r="DW88" s="151">
        <f t="shared" si="370"/>
        <v>0</v>
      </c>
      <c r="DX88" s="102">
        <f t="shared" si="371"/>
        <v>0</v>
      </c>
      <c r="DY88" s="102">
        <f t="shared" si="372"/>
        <v>0</v>
      </c>
      <c r="DZ88" s="102">
        <f t="shared" si="373"/>
        <v>0</v>
      </c>
      <c r="EA88" s="102">
        <f t="shared" si="374"/>
        <v>0</v>
      </c>
      <c r="EB88" s="151">
        <f t="shared" si="375"/>
        <v>0</v>
      </c>
      <c r="EC88" s="85">
        <f t="shared" si="376"/>
        <v>0</v>
      </c>
      <c r="ED88" s="147">
        <f t="shared" si="377"/>
        <v>0</v>
      </c>
      <c r="EE88" s="147">
        <f t="shared" si="378"/>
        <v>0</v>
      </c>
      <c r="EF88" s="147">
        <f t="shared" si="379"/>
        <v>0</v>
      </c>
      <c r="EG88" s="147">
        <f t="shared" si="380"/>
        <v>0</v>
      </c>
      <c r="EH88" s="85">
        <f t="shared" si="381"/>
        <v>0</v>
      </c>
      <c r="EI88" s="151">
        <f t="shared" si="382"/>
        <v>0</v>
      </c>
      <c r="EJ88" s="102">
        <f t="shared" si="383"/>
        <v>0</v>
      </c>
      <c r="EK88" s="102">
        <f t="shared" si="384"/>
        <v>0</v>
      </c>
      <c r="EL88" s="102">
        <f t="shared" si="385"/>
        <v>0</v>
      </c>
      <c r="EM88" s="102">
        <f t="shared" si="386"/>
        <v>0</v>
      </c>
      <c r="EN88" s="151">
        <f t="shared" si="387"/>
        <v>0</v>
      </c>
      <c r="EO88" s="85">
        <f t="shared" si="388"/>
        <v>0</v>
      </c>
      <c r="EP88" s="145">
        <f t="shared" si="389"/>
        <v>0</v>
      </c>
      <c r="EQ88" s="145">
        <f t="shared" si="390"/>
        <v>0</v>
      </c>
      <c r="ER88" s="145">
        <f t="shared" si="391"/>
        <v>0</v>
      </c>
      <c r="ES88" s="145">
        <f t="shared" si="392"/>
        <v>0</v>
      </c>
      <c r="ET88" s="85">
        <f t="shared" si="393"/>
        <v>0</v>
      </c>
      <c r="EU88" s="102">
        <f t="shared" si="394"/>
        <v>0</v>
      </c>
      <c r="EV88" s="102">
        <f t="shared" si="395"/>
        <v>0</v>
      </c>
      <c r="EW88" s="102">
        <f t="shared" si="396"/>
        <v>0</v>
      </c>
      <c r="EX88" s="102">
        <f t="shared" si="397"/>
        <v>0</v>
      </c>
      <c r="EY88" s="102">
        <f t="shared" si="398"/>
        <v>0</v>
      </c>
      <c r="EZ88" s="564">
        <f t="shared" si="399"/>
        <v>0</v>
      </c>
    </row>
    <row r="89" spans="7:156">
      <c r="CD89" s="10">
        <f t="shared" si="314"/>
        <v>2059</v>
      </c>
      <c r="CE89" s="85">
        <f t="shared" si="328"/>
        <v>0</v>
      </c>
      <c r="CF89" s="147">
        <f t="shared" si="329"/>
        <v>0</v>
      </c>
      <c r="CG89" s="147">
        <f t="shared" si="330"/>
        <v>0</v>
      </c>
      <c r="CH89" s="147">
        <f t="shared" si="331"/>
        <v>0</v>
      </c>
      <c r="CI89" s="147">
        <f t="shared" si="332"/>
        <v>0</v>
      </c>
      <c r="CJ89" s="85">
        <f t="shared" si="333"/>
        <v>0</v>
      </c>
      <c r="CK89" s="151">
        <f t="shared" si="334"/>
        <v>0</v>
      </c>
      <c r="CL89" s="102">
        <f t="shared" si="335"/>
        <v>0</v>
      </c>
      <c r="CM89" s="102">
        <f t="shared" si="336"/>
        <v>0</v>
      </c>
      <c r="CN89" s="102">
        <f t="shared" si="337"/>
        <v>0</v>
      </c>
      <c r="CO89" s="102">
        <f t="shared" si="338"/>
        <v>0</v>
      </c>
      <c r="CP89" s="151">
        <f t="shared" si="339"/>
        <v>0</v>
      </c>
      <c r="CQ89" s="85">
        <f t="shared" si="340"/>
        <v>0</v>
      </c>
      <c r="CR89" s="147">
        <f t="shared" si="341"/>
        <v>0</v>
      </c>
      <c r="CS89" s="147">
        <f t="shared" si="342"/>
        <v>0</v>
      </c>
      <c r="CT89" s="147">
        <f t="shared" si="343"/>
        <v>0</v>
      </c>
      <c r="CU89" s="147">
        <f t="shared" si="344"/>
        <v>0</v>
      </c>
      <c r="CV89" s="85">
        <f t="shared" si="345"/>
        <v>0</v>
      </c>
      <c r="CW89" s="151">
        <f t="shared" si="346"/>
        <v>0</v>
      </c>
      <c r="CX89" s="102">
        <f t="shared" si="347"/>
        <v>0</v>
      </c>
      <c r="CY89" s="102">
        <f t="shared" si="348"/>
        <v>0</v>
      </c>
      <c r="CZ89" s="102">
        <f t="shared" si="349"/>
        <v>0</v>
      </c>
      <c r="DA89" s="102">
        <f t="shared" si="350"/>
        <v>0</v>
      </c>
      <c r="DB89" s="151">
        <f t="shared" si="351"/>
        <v>0</v>
      </c>
      <c r="DC89" s="85">
        <f t="shared" si="352"/>
        <v>0</v>
      </c>
      <c r="DD89" s="147">
        <f t="shared" si="353"/>
        <v>0</v>
      </c>
      <c r="DE89" s="147">
        <f t="shared" si="354"/>
        <v>0</v>
      </c>
      <c r="DF89" s="147">
        <f t="shared" si="355"/>
        <v>0</v>
      </c>
      <c r="DG89" s="147">
        <f t="shared" si="356"/>
        <v>0</v>
      </c>
      <c r="DH89" s="85">
        <f t="shared" si="357"/>
        <v>0</v>
      </c>
      <c r="DI89" s="151">
        <f t="shared" si="358"/>
        <v>0</v>
      </c>
      <c r="DJ89" s="102">
        <f t="shared" si="359"/>
        <v>0</v>
      </c>
      <c r="DK89" s="102">
        <f t="shared" si="360"/>
        <v>0</v>
      </c>
      <c r="DL89" s="102">
        <f t="shared" si="361"/>
        <v>0</v>
      </c>
      <c r="DM89" s="102">
        <f t="shared" si="362"/>
        <v>0</v>
      </c>
      <c r="DN89" s="564">
        <f t="shared" si="363"/>
        <v>0</v>
      </c>
      <c r="DP89" s="10">
        <f t="shared" si="315"/>
        <v>2059</v>
      </c>
      <c r="DQ89" s="85">
        <f t="shared" si="364"/>
        <v>0</v>
      </c>
      <c r="DR89" s="147">
        <f t="shared" si="365"/>
        <v>0</v>
      </c>
      <c r="DS89" s="147">
        <f t="shared" si="366"/>
        <v>0</v>
      </c>
      <c r="DT89" s="147">
        <f t="shared" si="367"/>
        <v>0</v>
      </c>
      <c r="DU89" s="147">
        <f t="shared" si="368"/>
        <v>0</v>
      </c>
      <c r="DV89" s="85">
        <f t="shared" si="369"/>
        <v>0</v>
      </c>
      <c r="DW89" s="151">
        <f t="shared" si="370"/>
        <v>0</v>
      </c>
      <c r="DX89" s="102">
        <f t="shared" si="371"/>
        <v>0</v>
      </c>
      <c r="DY89" s="102">
        <f t="shared" si="372"/>
        <v>0</v>
      </c>
      <c r="DZ89" s="102">
        <f t="shared" si="373"/>
        <v>0</v>
      </c>
      <c r="EA89" s="102">
        <f t="shared" si="374"/>
        <v>0</v>
      </c>
      <c r="EB89" s="151">
        <f t="shared" si="375"/>
        <v>0</v>
      </c>
      <c r="EC89" s="85">
        <f t="shared" si="376"/>
        <v>0</v>
      </c>
      <c r="ED89" s="147">
        <f t="shared" si="377"/>
        <v>0</v>
      </c>
      <c r="EE89" s="147">
        <f t="shared" si="378"/>
        <v>0</v>
      </c>
      <c r="EF89" s="147">
        <f t="shared" si="379"/>
        <v>0</v>
      </c>
      <c r="EG89" s="147">
        <f t="shared" si="380"/>
        <v>0</v>
      </c>
      <c r="EH89" s="85">
        <f t="shared" si="381"/>
        <v>0</v>
      </c>
      <c r="EI89" s="151">
        <f t="shared" si="382"/>
        <v>0</v>
      </c>
      <c r="EJ89" s="102">
        <f t="shared" si="383"/>
        <v>0</v>
      </c>
      <c r="EK89" s="102">
        <f t="shared" si="384"/>
        <v>0</v>
      </c>
      <c r="EL89" s="102">
        <f t="shared" si="385"/>
        <v>0</v>
      </c>
      <c r="EM89" s="102">
        <f t="shared" si="386"/>
        <v>0</v>
      </c>
      <c r="EN89" s="151">
        <f t="shared" si="387"/>
        <v>0</v>
      </c>
      <c r="EO89" s="85">
        <f t="shared" si="388"/>
        <v>0</v>
      </c>
      <c r="EP89" s="145">
        <f t="shared" si="389"/>
        <v>0</v>
      </c>
      <c r="EQ89" s="145">
        <f t="shared" si="390"/>
        <v>0</v>
      </c>
      <c r="ER89" s="145">
        <f t="shared" si="391"/>
        <v>0</v>
      </c>
      <c r="ES89" s="145">
        <f t="shared" si="392"/>
        <v>0</v>
      </c>
      <c r="ET89" s="85">
        <f t="shared" si="393"/>
        <v>0</v>
      </c>
      <c r="EU89" s="102">
        <f t="shared" si="394"/>
        <v>0</v>
      </c>
      <c r="EV89" s="102">
        <f t="shared" si="395"/>
        <v>0</v>
      </c>
      <c r="EW89" s="102">
        <f t="shared" si="396"/>
        <v>0</v>
      </c>
      <c r="EX89" s="102">
        <f t="shared" si="397"/>
        <v>0</v>
      </c>
      <c r="EY89" s="102">
        <f t="shared" si="398"/>
        <v>0</v>
      </c>
      <c r="EZ89" s="564">
        <f t="shared" si="399"/>
        <v>0</v>
      </c>
    </row>
    <row r="90" spans="7:156">
      <c r="CD90" s="10">
        <f t="shared" si="314"/>
        <v>2060</v>
      </c>
      <c r="CE90" s="85">
        <f t="shared" si="328"/>
        <v>0</v>
      </c>
      <c r="CF90" s="147">
        <f t="shared" si="329"/>
        <v>0</v>
      </c>
      <c r="CG90" s="147">
        <f t="shared" si="330"/>
        <v>0</v>
      </c>
      <c r="CH90" s="147">
        <f t="shared" si="331"/>
        <v>0</v>
      </c>
      <c r="CI90" s="147">
        <f t="shared" si="332"/>
        <v>0</v>
      </c>
      <c r="CJ90" s="85">
        <f t="shared" si="333"/>
        <v>0</v>
      </c>
      <c r="CK90" s="151">
        <f t="shared" si="334"/>
        <v>0</v>
      </c>
      <c r="CL90" s="102">
        <f t="shared" si="335"/>
        <v>0</v>
      </c>
      <c r="CM90" s="102">
        <f t="shared" si="336"/>
        <v>0</v>
      </c>
      <c r="CN90" s="102">
        <f t="shared" si="337"/>
        <v>0</v>
      </c>
      <c r="CO90" s="102">
        <f t="shared" si="338"/>
        <v>0</v>
      </c>
      <c r="CP90" s="151">
        <f t="shared" si="339"/>
        <v>0</v>
      </c>
      <c r="CQ90" s="85">
        <f t="shared" si="340"/>
        <v>0</v>
      </c>
      <c r="CR90" s="147">
        <f t="shared" si="341"/>
        <v>0</v>
      </c>
      <c r="CS90" s="147">
        <f t="shared" si="342"/>
        <v>0</v>
      </c>
      <c r="CT90" s="147">
        <f t="shared" si="343"/>
        <v>0</v>
      </c>
      <c r="CU90" s="147">
        <f t="shared" si="344"/>
        <v>0</v>
      </c>
      <c r="CV90" s="85">
        <f t="shared" si="345"/>
        <v>0</v>
      </c>
      <c r="CW90" s="151">
        <f t="shared" si="346"/>
        <v>0</v>
      </c>
      <c r="CX90" s="102">
        <f t="shared" si="347"/>
        <v>0</v>
      </c>
      <c r="CY90" s="102">
        <f t="shared" si="348"/>
        <v>0</v>
      </c>
      <c r="CZ90" s="102">
        <f t="shared" si="349"/>
        <v>0</v>
      </c>
      <c r="DA90" s="102">
        <f t="shared" si="350"/>
        <v>0</v>
      </c>
      <c r="DB90" s="151">
        <f t="shared" si="351"/>
        <v>0</v>
      </c>
      <c r="DC90" s="85">
        <f t="shared" si="352"/>
        <v>0</v>
      </c>
      <c r="DD90" s="147">
        <f t="shared" si="353"/>
        <v>0</v>
      </c>
      <c r="DE90" s="147">
        <f t="shared" si="354"/>
        <v>0</v>
      </c>
      <c r="DF90" s="147">
        <f t="shared" si="355"/>
        <v>0</v>
      </c>
      <c r="DG90" s="147">
        <f t="shared" si="356"/>
        <v>0</v>
      </c>
      <c r="DH90" s="85">
        <f t="shared" si="357"/>
        <v>0</v>
      </c>
      <c r="DI90" s="151">
        <f t="shared" si="358"/>
        <v>0</v>
      </c>
      <c r="DJ90" s="102">
        <f t="shared" si="359"/>
        <v>0</v>
      </c>
      <c r="DK90" s="102">
        <f t="shared" si="360"/>
        <v>0</v>
      </c>
      <c r="DL90" s="102">
        <f t="shared" si="361"/>
        <v>0</v>
      </c>
      <c r="DM90" s="102">
        <f t="shared" si="362"/>
        <v>0</v>
      </c>
      <c r="DN90" s="564">
        <f t="shared" si="363"/>
        <v>0</v>
      </c>
      <c r="DP90" s="10">
        <f t="shared" si="315"/>
        <v>2060</v>
      </c>
      <c r="DQ90" s="85">
        <f t="shared" si="364"/>
        <v>0</v>
      </c>
      <c r="DR90" s="147">
        <f t="shared" si="365"/>
        <v>0</v>
      </c>
      <c r="DS90" s="147">
        <f t="shared" si="366"/>
        <v>0</v>
      </c>
      <c r="DT90" s="147">
        <f t="shared" si="367"/>
        <v>0</v>
      </c>
      <c r="DU90" s="147">
        <f t="shared" si="368"/>
        <v>0</v>
      </c>
      <c r="DV90" s="85">
        <f t="shared" si="369"/>
        <v>0</v>
      </c>
      <c r="DW90" s="151">
        <f t="shared" si="370"/>
        <v>0</v>
      </c>
      <c r="DX90" s="102">
        <f t="shared" si="371"/>
        <v>0</v>
      </c>
      <c r="DY90" s="102">
        <f t="shared" si="372"/>
        <v>0</v>
      </c>
      <c r="DZ90" s="102">
        <f t="shared" si="373"/>
        <v>0</v>
      </c>
      <c r="EA90" s="102">
        <f t="shared" si="374"/>
        <v>0</v>
      </c>
      <c r="EB90" s="151">
        <f t="shared" si="375"/>
        <v>0</v>
      </c>
      <c r="EC90" s="85">
        <f t="shared" si="376"/>
        <v>0</v>
      </c>
      <c r="ED90" s="147">
        <f t="shared" si="377"/>
        <v>0</v>
      </c>
      <c r="EE90" s="147">
        <f t="shared" si="378"/>
        <v>0</v>
      </c>
      <c r="EF90" s="147">
        <f t="shared" si="379"/>
        <v>0</v>
      </c>
      <c r="EG90" s="147">
        <f t="shared" si="380"/>
        <v>0</v>
      </c>
      <c r="EH90" s="85">
        <f t="shared" si="381"/>
        <v>0</v>
      </c>
      <c r="EI90" s="151">
        <f t="shared" si="382"/>
        <v>0</v>
      </c>
      <c r="EJ90" s="102">
        <f t="shared" si="383"/>
        <v>0</v>
      </c>
      <c r="EK90" s="102">
        <f t="shared" si="384"/>
        <v>0</v>
      </c>
      <c r="EL90" s="102">
        <f t="shared" si="385"/>
        <v>0</v>
      </c>
      <c r="EM90" s="102">
        <f t="shared" si="386"/>
        <v>0</v>
      </c>
      <c r="EN90" s="151">
        <f t="shared" si="387"/>
        <v>0</v>
      </c>
      <c r="EO90" s="85">
        <f t="shared" si="388"/>
        <v>0</v>
      </c>
      <c r="EP90" s="145">
        <f t="shared" si="389"/>
        <v>0</v>
      </c>
      <c r="EQ90" s="145">
        <f t="shared" si="390"/>
        <v>0</v>
      </c>
      <c r="ER90" s="145">
        <f t="shared" si="391"/>
        <v>0</v>
      </c>
      <c r="ES90" s="145">
        <f t="shared" si="392"/>
        <v>0</v>
      </c>
      <c r="ET90" s="85">
        <f t="shared" si="393"/>
        <v>0</v>
      </c>
      <c r="EU90" s="102">
        <f t="shared" si="394"/>
        <v>0</v>
      </c>
      <c r="EV90" s="102">
        <f t="shared" si="395"/>
        <v>0</v>
      </c>
      <c r="EW90" s="102">
        <f t="shared" si="396"/>
        <v>0</v>
      </c>
      <c r="EX90" s="102">
        <f t="shared" si="397"/>
        <v>0</v>
      </c>
      <c r="EY90" s="102">
        <f t="shared" si="398"/>
        <v>0</v>
      </c>
      <c r="EZ90" s="564">
        <f t="shared" si="399"/>
        <v>0</v>
      </c>
    </row>
    <row r="91" spans="7:156">
      <c r="CD91" s="10">
        <f t="shared" si="314"/>
        <v>2061</v>
      </c>
      <c r="CE91" s="85">
        <f t="shared" si="328"/>
        <v>0</v>
      </c>
      <c r="CF91" s="147">
        <f t="shared" si="329"/>
        <v>0</v>
      </c>
      <c r="CG91" s="147">
        <f t="shared" si="330"/>
        <v>0</v>
      </c>
      <c r="CH91" s="147">
        <f t="shared" si="331"/>
        <v>0</v>
      </c>
      <c r="CI91" s="147">
        <f t="shared" si="332"/>
        <v>0</v>
      </c>
      <c r="CJ91" s="85">
        <f t="shared" si="333"/>
        <v>0</v>
      </c>
      <c r="CK91" s="151">
        <f t="shared" si="334"/>
        <v>0</v>
      </c>
      <c r="CL91" s="102">
        <f t="shared" si="335"/>
        <v>0</v>
      </c>
      <c r="CM91" s="102">
        <f t="shared" si="336"/>
        <v>0</v>
      </c>
      <c r="CN91" s="102">
        <f t="shared" si="337"/>
        <v>0</v>
      </c>
      <c r="CO91" s="102">
        <f t="shared" si="338"/>
        <v>0</v>
      </c>
      <c r="CP91" s="151">
        <f t="shared" si="339"/>
        <v>0</v>
      </c>
      <c r="CQ91" s="85">
        <f t="shared" si="340"/>
        <v>0</v>
      </c>
      <c r="CR91" s="147">
        <f t="shared" si="341"/>
        <v>0</v>
      </c>
      <c r="CS91" s="147">
        <f t="shared" si="342"/>
        <v>0</v>
      </c>
      <c r="CT91" s="147">
        <f t="shared" si="343"/>
        <v>0</v>
      </c>
      <c r="CU91" s="147">
        <f t="shared" si="344"/>
        <v>0</v>
      </c>
      <c r="CV91" s="85">
        <f t="shared" si="345"/>
        <v>0</v>
      </c>
      <c r="CW91" s="151">
        <f t="shared" si="346"/>
        <v>0</v>
      </c>
      <c r="CX91" s="102">
        <f t="shared" si="347"/>
        <v>0</v>
      </c>
      <c r="CY91" s="102">
        <f t="shared" si="348"/>
        <v>0</v>
      </c>
      <c r="CZ91" s="102">
        <f t="shared" si="349"/>
        <v>0</v>
      </c>
      <c r="DA91" s="102">
        <f t="shared" si="350"/>
        <v>0</v>
      </c>
      <c r="DB91" s="151">
        <f t="shared" si="351"/>
        <v>0</v>
      </c>
      <c r="DC91" s="85">
        <f t="shared" si="352"/>
        <v>0</v>
      </c>
      <c r="DD91" s="147">
        <f t="shared" si="353"/>
        <v>0</v>
      </c>
      <c r="DE91" s="147">
        <f t="shared" si="354"/>
        <v>0</v>
      </c>
      <c r="DF91" s="147">
        <f t="shared" si="355"/>
        <v>0</v>
      </c>
      <c r="DG91" s="147">
        <f t="shared" si="356"/>
        <v>0</v>
      </c>
      <c r="DH91" s="85">
        <f t="shared" si="357"/>
        <v>0</v>
      </c>
      <c r="DI91" s="151">
        <f t="shared" si="358"/>
        <v>0</v>
      </c>
      <c r="DJ91" s="102">
        <f t="shared" si="359"/>
        <v>0</v>
      </c>
      <c r="DK91" s="102">
        <f t="shared" si="360"/>
        <v>0</v>
      </c>
      <c r="DL91" s="102">
        <f t="shared" si="361"/>
        <v>0</v>
      </c>
      <c r="DM91" s="102">
        <f t="shared" si="362"/>
        <v>0</v>
      </c>
      <c r="DN91" s="564">
        <f t="shared" si="363"/>
        <v>0</v>
      </c>
      <c r="DP91" s="10">
        <f t="shared" si="315"/>
        <v>2061</v>
      </c>
      <c r="DQ91" s="85">
        <f t="shared" si="364"/>
        <v>0</v>
      </c>
      <c r="DR91" s="147">
        <f t="shared" si="365"/>
        <v>0</v>
      </c>
      <c r="DS91" s="147">
        <f t="shared" si="366"/>
        <v>0</v>
      </c>
      <c r="DT91" s="147">
        <f t="shared" si="367"/>
        <v>0</v>
      </c>
      <c r="DU91" s="147">
        <f t="shared" si="368"/>
        <v>0</v>
      </c>
      <c r="DV91" s="85">
        <f t="shared" si="369"/>
        <v>0</v>
      </c>
      <c r="DW91" s="151">
        <f t="shared" si="370"/>
        <v>0</v>
      </c>
      <c r="DX91" s="102">
        <f t="shared" si="371"/>
        <v>0</v>
      </c>
      <c r="DY91" s="102">
        <f t="shared" si="372"/>
        <v>0</v>
      </c>
      <c r="DZ91" s="102">
        <f t="shared" si="373"/>
        <v>0</v>
      </c>
      <c r="EA91" s="102">
        <f t="shared" si="374"/>
        <v>0</v>
      </c>
      <c r="EB91" s="151">
        <f t="shared" si="375"/>
        <v>0</v>
      </c>
      <c r="EC91" s="85">
        <f t="shared" si="376"/>
        <v>0</v>
      </c>
      <c r="ED91" s="147">
        <f t="shared" si="377"/>
        <v>0</v>
      </c>
      <c r="EE91" s="147">
        <f t="shared" si="378"/>
        <v>0</v>
      </c>
      <c r="EF91" s="147">
        <f t="shared" si="379"/>
        <v>0</v>
      </c>
      <c r="EG91" s="147">
        <f t="shared" si="380"/>
        <v>0</v>
      </c>
      <c r="EH91" s="85">
        <f t="shared" si="381"/>
        <v>0</v>
      </c>
      <c r="EI91" s="151">
        <f t="shared" si="382"/>
        <v>0</v>
      </c>
      <c r="EJ91" s="102">
        <f t="shared" si="383"/>
        <v>0</v>
      </c>
      <c r="EK91" s="102">
        <f t="shared" si="384"/>
        <v>0</v>
      </c>
      <c r="EL91" s="102">
        <f t="shared" si="385"/>
        <v>0</v>
      </c>
      <c r="EM91" s="102">
        <f t="shared" si="386"/>
        <v>0</v>
      </c>
      <c r="EN91" s="151">
        <f t="shared" si="387"/>
        <v>0</v>
      </c>
      <c r="EO91" s="85">
        <f t="shared" si="388"/>
        <v>0</v>
      </c>
      <c r="EP91" s="145">
        <f t="shared" si="389"/>
        <v>0</v>
      </c>
      <c r="EQ91" s="145">
        <f t="shared" si="390"/>
        <v>0</v>
      </c>
      <c r="ER91" s="145">
        <f t="shared" si="391"/>
        <v>0</v>
      </c>
      <c r="ES91" s="145">
        <f t="shared" si="392"/>
        <v>0</v>
      </c>
      <c r="ET91" s="85">
        <f t="shared" si="393"/>
        <v>0</v>
      </c>
      <c r="EU91" s="102">
        <f t="shared" si="394"/>
        <v>0</v>
      </c>
      <c r="EV91" s="102">
        <f t="shared" si="395"/>
        <v>0</v>
      </c>
      <c r="EW91" s="102">
        <f t="shared" si="396"/>
        <v>0</v>
      </c>
      <c r="EX91" s="102">
        <f t="shared" si="397"/>
        <v>0</v>
      </c>
      <c r="EY91" s="102">
        <f t="shared" si="398"/>
        <v>0</v>
      </c>
      <c r="EZ91" s="564">
        <f t="shared" si="399"/>
        <v>0</v>
      </c>
    </row>
    <row r="92" spans="7:156">
      <c r="CD92" s="10">
        <f t="shared" si="314"/>
        <v>2062</v>
      </c>
      <c r="CE92" s="85">
        <f t="shared" si="328"/>
        <v>0</v>
      </c>
      <c r="CF92" s="147">
        <f t="shared" si="329"/>
        <v>0</v>
      </c>
      <c r="CG92" s="147">
        <f t="shared" si="330"/>
        <v>0</v>
      </c>
      <c r="CH92" s="147">
        <f t="shared" si="331"/>
        <v>0</v>
      </c>
      <c r="CI92" s="147">
        <f t="shared" si="332"/>
        <v>0</v>
      </c>
      <c r="CJ92" s="85">
        <f t="shared" si="333"/>
        <v>0</v>
      </c>
      <c r="CK92" s="151">
        <f t="shared" si="334"/>
        <v>0</v>
      </c>
      <c r="CL92" s="102">
        <f t="shared" si="335"/>
        <v>0</v>
      </c>
      <c r="CM92" s="102">
        <f t="shared" si="336"/>
        <v>0</v>
      </c>
      <c r="CN92" s="102">
        <f t="shared" si="337"/>
        <v>0</v>
      </c>
      <c r="CO92" s="102">
        <f t="shared" si="338"/>
        <v>0</v>
      </c>
      <c r="CP92" s="151">
        <f t="shared" si="339"/>
        <v>0</v>
      </c>
      <c r="CQ92" s="85">
        <f t="shared" si="340"/>
        <v>0</v>
      </c>
      <c r="CR92" s="147">
        <f t="shared" si="341"/>
        <v>0</v>
      </c>
      <c r="CS92" s="147">
        <f t="shared" si="342"/>
        <v>0</v>
      </c>
      <c r="CT92" s="147">
        <f t="shared" si="343"/>
        <v>0</v>
      </c>
      <c r="CU92" s="147">
        <f t="shared" si="344"/>
        <v>0</v>
      </c>
      <c r="CV92" s="85">
        <f t="shared" si="345"/>
        <v>0</v>
      </c>
      <c r="CW92" s="151">
        <f t="shared" si="346"/>
        <v>0</v>
      </c>
      <c r="CX92" s="102">
        <f t="shared" si="347"/>
        <v>0</v>
      </c>
      <c r="CY92" s="102">
        <f t="shared" si="348"/>
        <v>0</v>
      </c>
      <c r="CZ92" s="102">
        <f t="shared" si="349"/>
        <v>0</v>
      </c>
      <c r="DA92" s="102">
        <f t="shared" si="350"/>
        <v>0</v>
      </c>
      <c r="DB92" s="151">
        <f t="shared" si="351"/>
        <v>0</v>
      </c>
      <c r="DC92" s="85">
        <f t="shared" si="352"/>
        <v>0</v>
      </c>
      <c r="DD92" s="147">
        <f t="shared" si="353"/>
        <v>0</v>
      </c>
      <c r="DE92" s="147">
        <f t="shared" si="354"/>
        <v>0</v>
      </c>
      <c r="DF92" s="147">
        <f t="shared" si="355"/>
        <v>0</v>
      </c>
      <c r="DG92" s="147">
        <f t="shared" si="356"/>
        <v>0</v>
      </c>
      <c r="DH92" s="85">
        <f t="shared" si="357"/>
        <v>0</v>
      </c>
      <c r="DI92" s="151">
        <f t="shared" si="358"/>
        <v>0</v>
      </c>
      <c r="DJ92" s="102">
        <f t="shared" si="359"/>
        <v>0</v>
      </c>
      <c r="DK92" s="102">
        <f t="shared" si="360"/>
        <v>0</v>
      </c>
      <c r="DL92" s="102">
        <f t="shared" si="361"/>
        <v>0</v>
      </c>
      <c r="DM92" s="102">
        <f t="shared" si="362"/>
        <v>0</v>
      </c>
      <c r="DN92" s="564">
        <f t="shared" si="363"/>
        <v>0</v>
      </c>
      <c r="DP92" s="10">
        <f t="shared" si="315"/>
        <v>2062</v>
      </c>
      <c r="DQ92" s="85">
        <f t="shared" si="364"/>
        <v>0</v>
      </c>
      <c r="DR92" s="147">
        <f t="shared" si="365"/>
        <v>0</v>
      </c>
      <c r="DS92" s="147">
        <f t="shared" si="366"/>
        <v>0</v>
      </c>
      <c r="DT92" s="147">
        <f t="shared" si="367"/>
        <v>0</v>
      </c>
      <c r="DU92" s="147">
        <f t="shared" si="368"/>
        <v>0</v>
      </c>
      <c r="DV92" s="85">
        <f t="shared" si="369"/>
        <v>0</v>
      </c>
      <c r="DW92" s="151">
        <f t="shared" si="370"/>
        <v>0</v>
      </c>
      <c r="DX92" s="102">
        <f t="shared" si="371"/>
        <v>0</v>
      </c>
      <c r="DY92" s="102">
        <f t="shared" si="372"/>
        <v>0</v>
      </c>
      <c r="DZ92" s="102">
        <f t="shared" si="373"/>
        <v>0</v>
      </c>
      <c r="EA92" s="102">
        <f t="shared" si="374"/>
        <v>0</v>
      </c>
      <c r="EB92" s="151">
        <f t="shared" si="375"/>
        <v>0</v>
      </c>
      <c r="EC92" s="85">
        <f t="shared" si="376"/>
        <v>0</v>
      </c>
      <c r="ED92" s="147">
        <f t="shared" si="377"/>
        <v>0</v>
      </c>
      <c r="EE92" s="147">
        <f t="shared" si="378"/>
        <v>0</v>
      </c>
      <c r="EF92" s="147">
        <f t="shared" si="379"/>
        <v>0</v>
      </c>
      <c r="EG92" s="147">
        <f t="shared" si="380"/>
        <v>0</v>
      </c>
      <c r="EH92" s="85">
        <f t="shared" si="381"/>
        <v>0</v>
      </c>
      <c r="EI92" s="151">
        <f t="shared" si="382"/>
        <v>0</v>
      </c>
      <c r="EJ92" s="102">
        <f t="shared" si="383"/>
        <v>0</v>
      </c>
      <c r="EK92" s="102">
        <f t="shared" si="384"/>
        <v>0</v>
      </c>
      <c r="EL92" s="102">
        <f t="shared" si="385"/>
        <v>0</v>
      </c>
      <c r="EM92" s="102">
        <f t="shared" si="386"/>
        <v>0</v>
      </c>
      <c r="EN92" s="151">
        <f t="shared" si="387"/>
        <v>0</v>
      </c>
      <c r="EO92" s="85">
        <f t="shared" si="388"/>
        <v>0</v>
      </c>
      <c r="EP92" s="145">
        <f t="shared" si="389"/>
        <v>0</v>
      </c>
      <c r="EQ92" s="145">
        <f t="shared" si="390"/>
        <v>0</v>
      </c>
      <c r="ER92" s="145">
        <f t="shared" si="391"/>
        <v>0</v>
      </c>
      <c r="ES92" s="145">
        <f t="shared" si="392"/>
        <v>0</v>
      </c>
      <c r="ET92" s="85">
        <f t="shared" si="393"/>
        <v>0</v>
      </c>
      <c r="EU92" s="102">
        <f t="shared" si="394"/>
        <v>0</v>
      </c>
      <c r="EV92" s="102">
        <f t="shared" si="395"/>
        <v>0</v>
      </c>
      <c r="EW92" s="102">
        <f t="shared" si="396"/>
        <v>0</v>
      </c>
      <c r="EX92" s="102">
        <f t="shared" si="397"/>
        <v>0</v>
      </c>
      <c r="EY92" s="102">
        <f t="shared" si="398"/>
        <v>0</v>
      </c>
      <c r="EZ92" s="564">
        <f t="shared" si="399"/>
        <v>0</v>
      </c>
    </row>
    <row r="93" spans="7:156">
      <c r="CD93" s="10">
        <f t="shared" si="314"/>
        <v>2063</v>
      </c>
      <c r="CE93" s="85">
        <f t="shared" si="328"/>
        <v>0</v>
      </c>
      <c r="CF93" s="147">
        <f t="shared" si="329"/>
        <v>0</v>
      </c>
      <c r="CG93" s="147">
        <f t="shared" si="330"/>
        <v>0</v>
      </c>
      <c r="CH93" s="147">
        <f t="shared" si="331"/>
        <v>0</v>
      </c>
      <c r="CI93" s="147">
        <f t="shared" si="332"/>
        <v>0</v>
      </c>
      <c r="CJ93" s="85">
        <f t="shared" si="333"/>
        <v>0</v>
      </c>
      <c r="CK93" s="151">
        <f t="shared" si="334"/>
        <v>0</v>
      </c>
      <c r="CL93" s="102">
        <f t="shared" si="335"/>
        <v>0</v>
      </c>
      <c r="CM93" s="102">
        <f t="shared" si="336"/>
        <v>0</v>
      </c>
      <c r="CN93" s="102">
        <f t="shared" si="337"/>
        <v>0</v>
      </c>
      <c r="CO93" s="102">
        <f t="shared" si="338"/>
        <v>0</v>
      </c>
      <c r="CP93" s="151">
        <f t="shared" si="339"/>
        <v>0</v>
      </c>
      <c r="CQ93" s="85">
        <f t="shared" si="340"/>
        <v>0</v>
      </c>
      <c r="CR93" s="147">
        <f t="shared" si="341"/>
        <v>0</v>
      </c>
      <c r="CS93" s="147">
        <f t="shared" si="342"/>
        <v>0</v>
      </c>
      <c r="CT93" s="147">
        <f t="shared" si="343"/>
        <v>0</v>
      </c>
      <c r="CU93" s="147">
        <f t="shared" si="344"/>
        <v>0</v>
      </c>
      <c r="CV93" s="85">
        <f t="shared" si="345"/>
        <v>0</v>
      </c>
      <c r="CW93" s="151">
        <f t="shared" si="346"/>
        <v>0</v>
      </c>
      <c r="CX93" s="102">
        <f t="shared" si="347"/>
        <v>0</v>
      </c>
      <c r="CY93" s="102">
        <f t="shared" si="348"/>
        <v>0</v>
      </c>
      <c r="CZ93" s="102">
        <f t="shared" si="349"/>
        <v>0</v>
      </c>
      <c r="DA93" s="102">
        <f t="shared" si="350"/>
        <v>0</v>
      </c>
      <c r="DB93" s="151">
        <f t="shared" si="351"/>
        <v>0</v>
      </c>
      <c r="DC93" s="85">
        <f t="shared" si="352"/>
        <v>0</v>
      </c>
      <c r="DD93" s="147">
        <f t="shared" si="353"/>
        <v>0</v>
      </c>
      <c r="DE93" s="147">
        <f t="shared" si="354"/>
        <v>0</v>
      </c>
      <c r="DF93" s="147">
        <f t="shared" si="355"/>
        <v>0</v>
      </c>
      <c r="DG93" s="147">
        <f t="shared" si="356"/>
        <v>0</v>
      </c>
      <c r="DH93" s="85">
        <f t="shared" si="357"/>
        <v>0</v>
      </c>
      <c r="DI93" s="151">
        <f t="shared" si="358"/>
        <v>0</v>
      </c>
      <c r="DJ93" s="102">
        <f t="shared" si="359"/>
        <v>0</v>
      </c>
      <c r="DK93" s="102">
        <f t="shared" si="360"/>
        <v>0</v>
      </c>
      <c r="DL93" s="102">
        <f t="shared" si="361"/>
        <v>0</v>
      </c>
      <c r="DM93" s="102">
        <f t="shared" si="362"/>
        <v>0</v>
      </c>
      <c r="DN93" s="564">
        <f t="shared" si="363"/>
        <v>0</v>
      </c>
      <c r="DP93" s="10">
        <f t="shared" si="315"/>
        <v>2063</v>
      </c>
      <c r="DQ93" s="85">
        <f t="shared" si="364"/>
        <v>0</v>
      </c>
      <c r="DR93" s="147">
        <f t="shared" si="365"/>
        <v>0</v>
      </c>
      <c r="DS93" s="147">
        <f t="shared" si="366"/>
        <v>0</v>
      </c>
      <c r="DT93" s="147">
        <f t="shared" si="367"/>
        <v>0</v>
      </c>
      <c r="DU93" s="147">
        <f t="shared" si="368"/>
        <v>0</v>
      </c>
      <c r="DV93" s="85">
        <f t="shared" si="369"/>
        <v>0</v>
      </c>
      <c r="DW93" s="151">
        <f t="shared" si="370"/>
        <v>0</v>
      </c>
      <c r="DX93" s="102">
        <f t="shared" si="371"/>
        <v>0</v>
      </c>
      <c r="DY93" s="102">
        <f t="shared" si="372"/>
        <v>0</v>
      </c>
      <c r="DZ93" s="102">
        <f t="shared" si="373"/>
        <v>0</v>
      </c>
      <c r="EA93" s="102">
        <f t="shared" si="374"/>
        <v>0</v>
      </c>
      <c r="EB93" s="151">
        <f t="shared" si="375"/>
        <v>0</v>
      </c>
      <c r="EC93" s="85">
        <f t="shared" si="376"/>
        <v>0</v>
      </c>
      <c r="ED93" s="147">
        <f t="shared" si="377"/>
        <v>0</v>
      </c>
      <c r="EE93" s="147">
        <f t="shared" si="378"/>
        <v>0</v>
      </c>
      <c r="EF93" s="147">
        <f t="shared" si="379"/>
        <v>0</v>
      </c>
      <c r="EG93" s="147">
        <f t="shared" si="380"/>
        <v>0</v>
      </c>
      <c r="EH93" s="85">
        <f t="shared" si="381"/>
        <v>0</v>
      </c>
      <c r="EI93" s="151">
        <f t="shared" si="382"/>
        <v>0</v>
      </c>
      <c r="EJ93" s="102">
        <f t="shared" si="383"/>
        <v>0</v>
      </c>
      <c r="EK93" s="102">
        <f t="shared" si="384"/>
        <v>0</v>
      </c>
      <c r="EL93" s="102">
        <f t="shared" si="385"/>
        <v>0</v>
      </c>
      <c r="EM93" s="102">
        <f t="shared" si="386"/>
        <v>0</v>
      </c>
      <c r="EN93" s="151">
        <f t="shared" si="387"/>
        <v>0</v>
      </c>
      <c r="EO93" s="85">
        <f t="shared" si="388"/>
        <v>0</v>
      </c>
      <c r="EP93" s="145">
        <f t="shared" si="389"/>
        <v>0</v>
      </c>
      <c r="EQ93" s="145">
        <f t="shared" si="390"/>
        <v>0</v>
      </c>
      <c r="ER93" s="145">
        <f t="shared" si="391"/>
        <v>0</v>
      </c>
      <c r="ES93" s="145">
        <f t="shared" si="392"/>
        <v>0</v>
      </c>
      <c r="ET93" s="85">
        <f t="shared" si="393"/>
        <v>0</v>
      </c>
      <c r="EU93" s="102">
        <f t="shared" si="394"/>
        <v>0</v>
      </c>
      <c r="EV93" s="102">
        <f t="shared" si="395"/>
        <v>0</v>
      </c>
      <c r="EW93" s="102">
        <f t="shared" si="396"/>
        <v>0</v>
      </c>
      <c r="EX93" s="102">
        <f t="shared" si="397"/>
        <v>0</v>
      </c>
      <c r="EY93" s="102">
        <f t="shared" si="398"/>
        <v>0</v>
      </c>
      <c r="EZ93" s="564">
        <f t="shared" si="399"/>
        <v>0</v>
      </c>
    </row>
    <row r="94" spans="7:156">
      <c r="CD94" s="10">
        <f t="shared" si="314"/>
        <v>2064</v>
      </c>
      <c r="CE94" s="85">
        <f t="shared" si="328"/>
        <v>0</v>
      </c>
      <c r="CF94" s="147">
        <f t="shared" si="329"/>
        <v>0</v>
      </c>
      <c r="CG94" s="147">
        <f t="shared" si="330"/>
        <v>0</v>
      </c>
      <c r="CH94" s="147">
        <f t="shared" si="331"/>
        <v>0</v>
      </c>
      <c r="CI94" s="147">
        <f t="shared" si="332"/>
        <v>0</v>
      </c>
      <c r="CJ94" s="85">
        <f t="shared" si="333"/>
        <v>0</v>
      </c>
      <c r="CK94" s="151">
        <f t="shared" si="334"/>
        <v>0</v>
      </c>
      <c r="CL94" s="102">
        <f t="shared" si="335"/>
        <v>0</v>
      </c>
      <c r="CM94" s="102">
        <f t="shared" si="336"/>
        <v>0</v>
      </c>
      <c r="CN94" s="102">
        <f t="shared" si="337"/>
        <v>0</v>
      </c>
      <c r="CO94" s="102">
        <f t="shared" si="338"/>
        <v>0</v>
      </c>
      <c r="CP94" s="151">
        <f t="shared" si="339"/>
        <v>0</v>
      </c>
      <c r="CQ94" s="85">
        <f t="shared" si="340"/>
        <v>0</v>
      </c>
      <c r="CR94" s="147">
        <f t="shared" si="341"/>
        <v>0</v>
      </c>
      <c r="CS94" s="147">
        <f t="shared" si="342"/>
        <v>0</v>
      </c>
      <c r="CT94" s="147">
        <f t="shared" si="343"/>
        <v>0</v>
      </c>
      <c r="CU94" s="147">
        <f t="shared" si="344"/>
        <v>0</v>
      </c>
      <c r="CV94" s="85">
        <f t="shared" si="345"/>
        <v>0</v>
      </c>
      <c r="CW94" s="151">
        <f t="shared" si="346"/>
        <v>0</v>
      </c>
      <c r="CX94" s="102">
        <f t="shared" si="347"/>
        <v>0</v>
      </c>
      <c r="CY94" s="102">
        <f t="shared" si="348"/>
        <v>0</v>
      </c>
      <c r="CZ94" s="102">
        <f t="shared" si="349"/>
        <v>0</v>
      </c>
      <c r="DA94" s="102">
        <f t="shared" si="350"/>
        <v>0</v>
      </c>
      <c r="DB94" s="151">
        <f t="shared" si="351"/>
        <v>0</v>
      </c>
      <c r="DC94" s="85">
        <f t="shared" si="352"/>
        <v>0</v>
      </c>
      <c r="DD94" s="147">
        <f t="shared" si="353"/>
        <v>0</v>
      </c>
      <c r="DE94" s="147">
        <f t="shared" si="354"/>
        <v>0</v>
      </c>
      <c r="DF94" s="147">
        <f t="shared" si="355"/>
        <v>0</v>
      </c>
      <c r="DG94" s="147">
        <f t="shared" si="356"/>
        <v>0</v>
      </c>
      <c r="DH94" s="85">
        <f t="shared" si="357"/>
        <v>0</v>
      </c>
      <c r="DI94" s="151">
        <f t="shared" si="358"/>
        <v>0</v>
      </c>
      <c r="DJ94" s="102">
        <f t="shared" si="359"/>
        <v>0</v>
      </c>
      <c r="DK94" s="102">
        <f t="shared" si="360"/>
        <v>0</v>
      </c>
      <c r="DL94" s="102">
        <f t="shared" si="361"/>
        <v>0</v>
      </c>
      <c r="DM94" s="102">
        <f t="shared" si="362"/>
        <v>0</v>
      </c>
      <c r="DN94" s="564">
        <f t="shared" si="363"/>
        <v>0</v>
      </c>
      <c r="DP94" s="10">
        <f t="shared" si="315"/>
        <v>2064</v>
      </c>
      <c r="DQ94" s="85">
        <f t="shared" si="364"/>
        <v>0</v>
      </c>
      <c r="DR94" s="147">
        <f t="shared" si="365"/>
        <v>0</v>
      </c>
      <c r="DS94" s="147">
        <f t="shared" si="366"/>
        <v>0</v>
      </c>
      <c r="DT94" s="147">
        <f t="shared" si="367"/>
        <v>0</v>
      </c>
      <c r="DU94" s="147">
        <f t="shared" si="368"/>
        <v>0</v>
      </c>
      <c r="DV94" s="85">
        <f t="shared" si="369"/>
        <v>0</v>
      </c>
      <c r="DW94" s="151">
        <f t="shared" si="370"/>
        <v>0</v>
      </c>
      <c r="DX94" s="102">
        <f t="shared" si="371"/>
        <v>0</v>
      </c>
      <c r="DY94" s="102">
        <f t="shared" si="372"/>
        <v>0</v>
      </c>
      <c r="DZ94" s="102">
        <f t="shared" si="373"/>
        <v>0</v>
      </c>
      <c r="EA94" s="102">
        <f t="shared" si="374"/>
        <v>0</v>
      </c>
      <c r="EB94" s="151">
        <f t="shared" si="375"/>
        <v>0</v>
      </c>
      <c r="EC94" s="85">
        <f t="shared" si="376"/>
        <v>0</v>
      </c>
      <c r="ED94" s="147">
        <f t="shared" si="377"/>
        <v>0</v>
      </c>
      <c r="EE94" s="147">
        <f t="shared" si="378"/>
        <v>0</v>
      </c>
      <c r="EF94" s="147">
        <f t="shared" si="379"/>
        <v>0</v>
      </c>
      <c r="EG94" s="147">
        <f t="shared" si="380"/>
        <v>0</v>
      </c>
      <c r="EH94" s="85">
        <f t="shared" si="381"/>
        <v>0</v>
      </c>
      <c r="EI94" s="151">
        <f t="shared" si="382"/>
        <v>0</v>
      </c>
      <c r="EJ94" s="102">
        <f t="shared" si="383"/>
        <v>0</v>
      </c>
      <c r="EK94" s="102">
        <f t="shared" si="384"/>
        <v>0</v>
      </c>
      <c r="EL94" s="102">
        <f t="shared" si="385"/>
        <v>0</v>
      </c>
      <c r="EM94" s="102">
        <f t="shared" si="386"/>
        <v>0</v>
      </c>
      <c r="EN94" s="151">
        <f t="shared" si="387"/>
        <v>0</v>
      </c>
      <c r="EO94" s="85">
        <f t="shared" si="388"/>
        <v>0</v>
      </c>
      <c r="EP94" s="145">
        <f t="shared" si="389"/>
        <v>0</v>
      </c>
      <c r="EQ94" s="145">
        <f t="shared" si="390"/>
        <v>0</v>
      </c>
      <c r="ER94" s="145">
        <f t="shared" si="391"/>
        <v>0</v>
      </c>
      <c r="ES94" s="145">
        <f t="shared" si="392"/>
        <v>0</v>
      </c>
      <c r="ET94" s="85">
        <f t="shared" si="393"/>
        <v>0</v>
      </c>
      <c r="EU94" s="102">
        <f t="shared" si="394"/>
        <v>0</v>
      </c>
      <c r="EV94" s="102">
        <f t="shared" si="395"/>
        <v>0</v>
      </c>
      <c r="EW94" s="102">
        <f t="shared" si="396"/>
        <v>0</v>
      </c>
      <c r="EX94" s="102">
        <f t="shared" si="397"/>
        <v>0</v>
      </c>
      <c r="EY94" s="102">
        <f t="shared" si="398"/>
        <v>0</v>
      </c>
      <c r="EZ94" s="564">
        <f t="shared" si="399"/>
        <v>0</v>
      </c>
    </row>
    <row r="95" spans="7:156">
      <c r="CD95" s="10">
        <f t="shared" si="314"/>
        <v>2065</v>
      </c>
      <c r="CE95" s="85">
        <f t="shared" si="328"/>
        <v>0</v>
      </c>
      <c r="CF95" s="147">
        <f t="shared" si="329"/>
        <v>0</v>
      </c>
      <c r="CG95" s="147">
        <f t="shared" si="330"/>
        <v>0</v>
      </c>
      <c r="CH95" s="147">
        <f t="shared" si="331"/>
        <v>0</v>
      </c>
      <c r="CI95" s="147">
        <f t="shared" si="332"/>
        <v>0</v>
      </c>
      <c r="CJ95" s="85">
        <f t="shared" si="333"/>
        <v>0</v>
      </c>
      <c r="CK95" s="151">
        <f t="shared" si="334"/>
        <v>0</v>
      </c>
      <c r="CL95" s="102">
        <f t="shared" si="335"/>
        <v>0</v>
      </c>
      <c r="CM95" s="102">
        <f t="shared" si="336"/>
        <v>0</v>
      </c>
      <c r="CN95" s="102">
        <f t="shared" si="337"/>
        <v>0</v>
      </c>
      <c r="CO95" s="102">
        <f t="shared" si="338"/>
        <v>0</v>
      </c>
      <c r="CP95" s="151">
        <f t="shared" si="339"/>
        <v>0</v>
      </c>
      <c r="CQ95" s="85">
        <f t="shared" si="340"/>
        <v>0</v>
      </c>
      <c r="CR95" s="147">
        <f t="shared" si="341"/>
        <v>0</v>
      </c>
      <c r="CS95" s="147">
        <f t="shared" si="342"/>
        <v>0</v>
      </c>
      <c r="CT95" s="147">
        <f t="shared" si="343"/>
        <v>0</v>
      </c>
      <c r="CU95" s="147">
        <f t="shared" si="344"/>
        <v>0</v>
      </c>
      <c r="CV95" s="85">
        <f t="shared" si="345"/>
        <v>0</v>
      </c>
      <c r="CW95" s="151">
        <f t="shared" si="346"/>
        <v>0</v>
      </c>
      <c r="CX95" s="102">
        <f t="shared" si="347"/>
        <v>0</v>
      </c>
      <c r="CY95" s="102">
        <f t="shared" si="348"/>
        <v>0</v>
      </c>
      <c r="CZ95" s="102">
        <f t="shared" si="349"/>
        <v>0</v>
      </c>
      <c r="DA95" s="102">
        <f t="shared" si="350"/>
        <v>0</v>
      </c>
      <c r="DB95" s="151">
        <f t="shared" si="351"/>
        <v>0</v>
      </c>
      <c r="DC95" s="85">
        <f t="shared" si="352"/>
        <v>0</v>
      </c>
      <c r="DD95" s="147">
        <f t="shared" si="353"/>
        <v>0</v>
      </c>
      <c r="DE95" s="147">
        <f t="shared" si="354"/>
        <v>0</v>
      </c>
      <c r="DF95" s="147">
        <f t="shared" si="355"/>
        <v>0</v>
      </c>
      <c r="DG95" s="147">
        <f t="shared" si="356"/>
        <v>0</v>
      </c>
      <c r="DH95" s="85">
        <f t="shared" si="357"/>
        <v>0</v>
      </c>
      <c r="DI95" s="151">
        <f t="shared" si="358"/>
        <v>0</v>
      </c>
      <c r="DJ95" s="102">
        <f t="shared" si="359"/>
        <v>0</v>
      </c>
      <c r="DK95" s="102">
        <f t="shared" si="360"/>
        <v>0</v>
      </c>
      <c r="DL95" s="102">
        <f t="shared" si="361"/>
        <v>0</v>
      </c>
      <c r="DM95" s="102">
        <f t="shared" si="362"/>
        <v>0</v>
      </c>
      <c r="DN95" s="564">
        <f t="shared" si="363"/>
        <v>0</v>
      </c>
      <c r="DP95" s="10">
        <f t="shared" si="315"/>
        <v>2065</v>
      </c>
      <c r="DQ95" s="85">
        <f t="shared" si="364"/>
        <v>0</v>
      </c>
      <c r="DR95" s="147">
        <f t="shared" si="365"/>
        <v>0</v>
      </c>
      <c r="DS95" s="147">
        <f t="shared" si="366"/>
        <v>0</v>
      </c>
      <c r="DT95" s="147">
        <f t="shared" si="367"/>
        <v>0</v>
      </c>
      <c r="DU95" s="147">
        <f t="shared" si="368"/>
        <v>0</v>
      </c>
      <c r="DV95" s="85">
        <f t="shared" si="369"/>
        <v>0</v>
      </c>
      <c r="DW95" s="151">
        <f t="shared" si="370"/>
        <v>0</v>
      </c>
      <c r="DX95" s="102">
        <f t="shared" si="371"/>
        <v>0</v>
      </c>
      <c r="DY95" s="102">
        <f t="shared" si="372"/>
        <v>0</v>
      </c>
      <c r="DZ95" s="102">
        <f t="shared" si="373"/>
        <v>0</v>
      </c>
      <c r="EA95" s="102">
        <f t="shared" si="374"/>
        <v>0</v>
      </c>
      <c r="EB95" s="151">
        <f t="shared" si="375"/>
        <v>0</v>
      </c>
      <c r="EC95" s="85">
        <f t="shared" si="376"/>
        <v>0</v>
      </c>
      <c r="ED95" s="147">
        <f t="shared" si="377"/>
        <v>0</v>
      </c>
      <c r="EE95" s="147">
        <f t="shared" si="378"/>
        <v>0</v>
      </c>
      <c r="EF95" s="147">
        <f t="shared" si="379"/>
        <v>0</v>
      </c>
      <c r="EG95" s="147">
        <f t="shared" si="380"/>
        <v>0</v>
      </c>
      <c r="EH95" s="85">
        <f t="shared" si="381"/>
        <v>0</v>
      </c>
      <c r="EI95" s="151">
        <f t="shared" si="382"/>
        <v>0</v>
      </c>
      <c r="EJ95" s="102">
        <f t="shared" si="383"/>
        <v>0</v>
      </c>
      <c r="EK95" s="102">
        <f t="shared" si="384"/>
        <v>0</v>
      </c>
      <c r="EL95" s="102">
        <f t="shared" si="385"/>
        <v>0</v>
      </c>
      <c r="EM95" s="102">
        <f t="shared" si="386"/>
        <v>0</v>
      </c>
      <c r="EN95" s="151">
        <f t="shared" si="387"/>
        <v>0</v>
      </c>
      <c r="EO95" s="85">
        <f t="shared" si="388"/>
        <v>0</v>
      </c>
      <c r="EP95" s="145">
        <f t="shared" si="389"/>
        <v>0</v>
      </c>
      <c r="EQ95" s="145">
        <f t="shared" si="390"/>
        <v>0</v>
      </c>
      <c r="ER95" s="145">
        <f t="shared" si="391"/>
        <v>0</v>
      </c>
      <c r="ES95" s="145">
        <f t="shared" si="392"/>
        <v>0</v>
      </c>
      <c r="ET95" s="85">
        <f t="shared" si="393"/>
        <v>0</v>
      </c>
      <c r="EU95" s="102">
        <f t="shared" si="394"/>
        <v>0</v>
      </c>
      <c r="EV95" s="102">
        <f t="shared" si="395"/>
        <v>0</v>
      </c>
      <c r="EW95" s="102">
        <f t="shared" si="396"/>
        <v>0</v>
      </c>
      <c r="EX95" s="102">
        <f t="shared" si="397"/>
        <v>0</v>
      </c>
      <c r="EY95" s="102">
        <f t="shared" si="398"/>
        <v>0</v>
      </c>
      <c r="EZ95" s="564">
        <f t="shared" si="399"/>
        <v>0</v>
      </c>
    </row>
    <row r="96" spans="7:156">
      <c r="CD96" s="10">
        <f t="shared" si="314"/>
        <v>2066</v>
      </c>
      <c r="CE96" s="85">
        <f t="shared" si="328"/>
        <v>0</v>
      </c>
      <c r="CF96" s="147">
        <f t="shared" si="329"/>
        <v>0</v>
      </c>
      <c r="CG96" s="147">
        <f t="shared" si="330"/>
        <v>0</v>
      </c>
      <c r="CH96" s="147">
        <f t="shared" si="331"/>
        <v>0</v>
      </c>
      <c r="CI96" s="147">
        <f t="shared" si="332"/>
        <v>0</v>
      </c>
      <c r="CJ96" s="85">
        <f t="shared" si="333"/>
        <v>0</v>
      </c>
      <c r="CK96" s="151">
        <f t="shared" si="334"/>
        <v>0</v>
      </c>
      <c r="CL96" s="102">
        <f t="shared" si="335"/>
        <v>0</v>
      </c>
      <c r="CM96" s="102">
        <f t="shared" si="336"/>
        <v>0</v>
      </c>
      <c r="CN96" s="102">
        <f t="shared" si="337"/>
        <v>0</v>
      </c>
      <c r="CO96" s="102">
        <f t="shared" si="338"/>
        <v>0</v>
      </c>
      <c r="CP96" s="151">
        <f t="shared" si="339"/>
        <v>0</v>
      </c>
      <c r="CQ96" s="85">
        <f t="shared" si="340"/>
        <v>0</v>
      </c>
      <c r="CR96" s="147">
        <f t="shared" si="341"/>
        <v>0</v>
      </c>
      <c r="CS96" s="147">
        <f t="shared" si="342"/>
        <v>0</v>
      </c>
      <c r="CT96" s="147">
        <f t="shared" si="343"/>
        <v>0</v>
      </c>
      <c r="CU96" s="147">
        <f t="shared" si="344"/>
        <v>0</v>
      </c>
      <c r="CV96" s="85">
        <f t="shared" si="345"/>
        <v>0</v>
      </c>
      <c r="CW96" s="151">
        <f t="shared" si="346"/>
        <v>0</v>
      </c>
      <c r="CX96" s="102">
        <f t="shared" si="347"/>
        <v>0</v>
      </c>
      <c r="CY96" s="102">
        <f t="shared" si="348"/>
        <v>0</v>
      </c>
      <c r="CZ96" s="102">
        <f t="shared" si="349"/>
        <v>0</v>
      </c>
      <c r="DA96" s="102">
        <f t="shared" si="350"/>
        <v>0</v>
      </c>
      <c r="DB96" s="151">
        <f t="shared" si="351"/>
        <v>0</v>
      </c>
      <c r="DC96" s="85">
        <f t="shared" si="352"/>
        <v>0</v>
      </c>
      <c r="DD96" s="147">
        <f t="shared" si="353"/>
        <v>0</v>
      </c>
      <c r="DE96" s="147">
        <f t="shared" si="354"/>
        <v>0</v>
      </c>
      <c r="DF96" s="147">
        <f t="shared" si="355"/>
        <v>0</v>
      </c>
      <c r="DG96" s="147">
        <f t="shared" si="356"/>
        <v>0</v>
      </c>
      <c r="DH96" s="85">
        <f t="shared" si="357"/>
        <v>0</v>
      </c>
      <c r="DI96" s="151">
        <f t="shared" si="358"/>
        <v>0</v>
      </c>
      <c r="DJ96" s="102">
        <f t="shared" si="359"/>
        <v>0</v>
      </c>
      <c r="DK96" s="102">
        <f t="shared" si="360"/>
        <v>0</v>
      </c>
      <c r="DL96" s="102">
        <f t="shared" si="361"/>
        <v>0</v>
      </c>
      <c r="DM96" s="102">
        <f t="shared" si="362"/>
        <v>0</v>
      </c>
      <c r="DN96" s="564">
        <f t="shared" si="363"/>
        <v>0</v>
      </c>
      <c r="DP96" s="10">
        <f t="shared" si="315"/>
        <v>2066</v>
      </c>
      <c r="DQ96" s="85">
        <f t="shared" si="364"/>
        <v>0</v>
      </c>
      <c r="DR96" s="147">
        <f t="shared" si="365"/>
        <v>0</v>
      </c>
      <c r="DS96" s="147">
        <f t="shared" si="366"/>
        <v>0</v>
      </c>
      <c r="DT96" s="147">
        <f t="shared" si="367"/>
        <v>0</v>
      </c>
      <c r="DU96" s="147">
        <f t="shared" si="368"/>
        <v>0</v>
      </c>
      <c r="DV96" s="85">
        <f t="shared" si="369"/>
        <v>0</v>
      </c>
      <c r="DW96" s="151">
        <f t="shared" si="370"/>
        <v>0</v>
      </c>
      <c r="DX96" s="102">
        <f t="shared" si="371"/>
        <v>0</v>
      </c>
      <c r="DY96" s="102">
        <f t="shared" si="372"/>
        <v>0</v>
      </c>
      <c r="DZ96" s="102">
        <f t="shared" si="373"/>
        <v>0</v>
      </c>
      <c r="EA96" s="102">
        <f t="shared" si="374"/>
        <v>0</v>
      </c>
      <c r="EB96" s="151">
        <f t="shared" si="375"/>
        <v>0</v>
      </c>
      <c r="EC96" s="85">
        <f t="shared" si="376"/>
        <v>0</v>
      </c>
      <c r="ED96" s="147">
        <f t="shared" si="377"/>
        <v>0</v>
      </c>
      <c r="EE96" s="147">
        <f t="shared" si="378"/>
        <v>0</v>
      </c>
      <c r="EF96" s="147">
        <f t="shared" si="379"/>
        <v>0</v>
      </c>
      <c r="EG96" s="147">
        <f t="shared" si="380"/>
        <v>0</v>
      </c>
      <c r="EH96" s="85">
        <f t="shared" si="381"/>
        <v>0</v>
      </c>
      <c r="EI96" s="151">
        <f t="shared" si="382"/>
        <v>0</v>
      </c>
      <c r="EJ96" s="102">
        <f t="shared" si="383"/>
        <v>0</v>
      </c>
      <c r="EK96" s="102">
        <f t="shared" si="384"/>
        <v>0</v>
      </c>
      <c r="EL96" s="102">
        <f t="shared" si="385"/>
        <v>0</v>
      </c>
      <c r="EM96" s="102">
        <f t="shared" si="386"/>
        <v>0</v>
      </c>
      <c r="EN96" s="151">
        <f t="shared" si="387"/>
        <v>0</v>
      </c>
      <c r="EO96" s="85">
        <f t="shared" si="388"/>
        <v>0</v>
      </c>
      <c r="EP96" s="145">
        <f t="shared" si="389"/>
        <v>0</v>
      </c>
      <c r="EQ96" s="145">
        <f t="shared" si="390"/>
        <v>0</v>
      </c>
      <c r="ER96" s="145">
        <f t="shared" si="391"/>
        <v>0</v>
      </c>
      <c r="ES96" s="145">
        <f t="shared" si="392"/>
        <v>0</v>
      </c>
      <c r="ET96" s="85">
        <f t="shared" si="393"/>
        <v>0</v>
      </c>
      <c r="EU96" s="102">
        <f t="shared" si="394"/>
        <v>0</v>
      </c>
      <c r="EV96" s="102">
        <f t="shared" si="395"/>
        <v>0</v>
      </c>
      <c r="EW96" s="102">
        <f t="shared" si="396"/>
        <v>0</v>
      </c>
      <c r="EX96" s="102">
        <f t="shared" si="397"/>
        <v>0</v>
      </c>
      <c r="EY96" s="102">
        <f t="shared" si="398"/>
        <v>0</v>
      </c>
      <c r="EZ96" s="564">
        <f t="shared" si="399"/>
        <v>0</v>
      </c>
    </row>
    <row r="97" spans="82:156">
      <c r="CD97" s="10">
        <f t="shared" si="314"/>
        <v>2067</v>
      </c>
      <c r="CE97" s="85">
        <f t="shared" si="328"/>
        <v>0</v>
      </c>
      <c r="CF97" s="147">
        <f t="shared" si="329"/>
        <v>0</v>
      </c>
      <c r="CG97" s="147">
        <f t="shared" si="330"/>
        <v>0</v>
      </c>
      <c r="CH97" s="147">
        <f t="shared" si="331"/>
        <v>0</v>
      </c>
      <c r="CI97" s="147">
        <f t="shared" si="332"/>
        <v>0</v>
      </c>
      <c r="CJ97" s="85">
        <f t="shared" si="333"/>
        <v>0</v>
      </c>
      <c r="CK97" s="151">
        <f t="shared" si="334"/>
        <v>0</v>
      </c>
      <c r="CL97" s="102">
        <f t="shared" si="335"/>
        <v>0</v>
      </c>
      <c r="CM97" s="102">
        <f t="shared" si="336"/>
        <v>0</v>
      </c>
      <c r="CN97" s="102">
        <f t="shared" si="337"/>
        <v>0</v>
      </c>
      <c r="CO97" s="102">
        <f t="shared" si="338"/>
        <v>0</v>
      </c>
      <c r="CP97" s="151">
        <f t="shared" si="339"/>
        <v>0</v>
      </c>
      <c r="CQ97" s="85">
        <f t="shared" si="340"/>
        <v>0</v>
      </c>
      <c r="CR97" s="147">
        <f t="shared" si="341"/>
        <v>0</v>
      </c>
      <c r="CS97" s="147">
        <f t="shared" si="342"/>
        <v>0</v>
      </c>
      <c r="CT97" s="147">
        <f t="shared" si="343"/>
        <v>0</v>
      </c>
      <c r="CU97" s="147">
        <f t="shared" si="344"/>
        <v>0</v>
      </c>
      <c r="CV97" s="85">
        <f t="shared" si="345"/>
        <v>0</v>
      </c>
      <c r="CW97" s="151">
        <f t="shared" si="346"/>
        <v>0</v>
      </c>
      <c r="CX97" s="102">
        <f t="shared" si="347"/>
        <v>0</v>
      </c>
      <c r="CY97" s="102">
        <f t="shared" si="348"/>
        <v>0</v>
      </c>
      <c r="CZ97" s="102">
        <f t="shared" si="349"/>
        <v>0</v>
      </c>
      <c r="DA97" s="102">
        <f t="shared" si="350"/>
        <v>0</v>
      </c>
      <c r="DB97" s="151">
        <f t="shared" si="351"/>
        <v>0</v>
      </c>
      <c r="DC97" s="85">
        <f t="shared" si="352"/>
        <v>0</v>
      </c>
      <c r="DD97" s="147">
        <f t="shared" si="353"/>
        <v>0</v>
      </c>
      <c r="DE97" s="147">
        <f t="shared" si="354"/>
        <v>0</v>
      </c>
      <c r="DF97" s="147">
        <f t="shared" si="355"/>
        <v>0</v>
      </c>
      <c r="DG97" s="147">
        <f t="shared" si="356"/>
        <v>0</v>
      </c>
      <c r="DH97" s="85">
        <f t="shared" si="357"/>
        <v>0</v>
      </c>
      <c r="DI97" s="151">
        <f t="shared" si="358"/>
        <v>0</v>
      </c>
      <c r="DJ97" s="102">
        <f t="shared" si="359"/>
        <v>0</v>
      </c>
      <c r="DK97" s="102">
        <f t="shared" si="360"/>
        <v>0</v>
      </c>
      <c r="DL97" s="102">
        <f t="shared" si="361"/>
        <v>0</v>
      </c>
      <c r="DM97" s="102">
        <f t="shared" si="362"/>
        <v>0</v>
      </c>
      <c r="DN97" s="564">
        <f t="shared" si="363"/>
        <v>0</v>
      </c>
      <c r="DP97" s="10">
        <f t="shared" si="315"/>
        <v>2067</v>
      </c>
      <c r="DQ97" s="85">
        <f t="shared" si="364"/>
        <v>0</v>
      </c>
      <c r="DR97" s="147">
        <f t="shared" si="365"/>
        <v>0</v>
      </c>
      <c r="DS97" s="147">
        <f t="shared" si="366"/>
        <v>0</v>
      </c>
      <c r="DT97" s="147">
        <f t="shared" si="367"/>
        <v>0</v>
      </c>
      <c r="DU97" s="147">
        <f t="shared" si="368"/>
        <v>0</v>
      </c>
      <c r="DV97" s="85">
        <f t="shared" si="369"/>
        <v>0</v>
      </c>
      <c r="DW97" s="151">
        <f t="shared" si="370"/>
        <v>0</v>
      </c>
      <c r="DX97" s="102">
        <f t="shared" si="371"/>
        <v>0</v>
      </c>
      <c r="DY97" s="102">
        <f t="shared" si="372"/>
        <v>0</v>
      </c>
      <c r="DZ97" s="102">
        <f t="shared" si="373"/>
        <v>0</v>
      </c>
      <c r="EA97" s="102">
        <f t="shared" si="374"/>
        <v>0</v>
      </c>
      <c r="EB97" s="151">
        <f t="shared" si="375"/>
        <v>0</v>
      </c>
      <c r="EC97" s="85">
        <f t="shared" si="376"/>
        <v>0</v>
      </c>
      <c r="ED97" s="147">
        <f t="shared" si="377"/>
        <v>0</v>
      </c>
      <c r="EE97" s="147">
        <f t="shared" si="378"/>
        <v>0</v>
      </c>
      <c r="EF97" s="147">
        <f t="shared" si="379"/>
        <v>0</v>
      </c>
      <c r="EG97" s="147">
        <f t="shared" si="380"/>
        <v>0</v>
      </c>
      <c r="EH97" s="85">
        <f t="shared" si="381"/>
        <v>0</v>
      </c>
      <c r="EI97" s="151">
        <f t="shared" si="382"/>
        <v>0</v>
      </c>
      <c r="EJ97" s="102">
        <f t="shared" si="383"/>
        <v>0</v>
      </c>
      <c r="EK97" s="102">
        <f t="shared" si="384"/>
        <v>0</v>
      </c>
      <c r="EL97" s="102">
        <f t="shared" si="385"/>
        <v>0</v>
      </c>
      <c r="EM97" s="102">
        <f t="shared" si="386"/>
        <v>0</v>
      </c>
      <c r="EN97" s="151">
        <f t="shared" si="387"/>
        <v>0</v>
      </c>
      <c r="EO97" s="85">
        <f t="shared" si="388"/>
        <v>0</v>
      </c>
      <c r="EP97" s="145">
        <f t="shared" si="389"/>
        <v>0</v>
      </c>
      <c r="EQ97" s="145">
        <f t="shared" si="390"/>
        <v>0</v>
      </c>
      <c r="ER97" s="145">
        <f t="shared" si="391"/>
        <v>0</v>
      </c>
      <c r="ES97" s="145">
        <f t="shared" si="392"/>
        <v>0</v>
      </c>
      <c r="ET97" s="85">
        <f t="shared" si="393"/>
        <v>0</v>
      </c>
      <c r="EU97" s="102">
        <f t="shared" si="394"/>
        <v>0</v>
      </c>
      <c r="EV97" s="102">
        <f t="shared" si="395"/>
        <v>0</v>
      </c>
      <c r="EW97" s="102">
        <f t="shared" si="396"/>
        <v>0</v>
      </c>
      <c r="EX97" s="102">
        <f t="shared" si="397"/>
        <v>0</v>
      </c>
      <c r="EY97" s="102">
        <f t="shared" si="398"/>
        <v>0</v>
      </c>
      <c r="EZ97" s="564">
        <f t="shared" si="399"/>
        <v>0</v>
      </c>
    </row>
    <row r="98" spans="82:156">
      <c r="CD98" s="10">
        <f t="shared" si="314"/>
        <v>2068</v>
      </c>
      <c r="CE98" s="85">
        <f t="shared" si="328"/>
        <v>0</v>
      </c>
      <c r="CF98" s="147">
        <f t="shared" si="329"/>
        <v>0</v>
      </c>
      <c r="CG98" s="147">
        <f t="shared" si="330"/>
        <v>0</v>
      </c>
      <c r="CH98" s="147">
        <f t="shared" si="331"/>
        <v>0</v>
      </c>
      <c r="CI98" s="147">
        <f t="shared" si="332"/>
        <v>0</v>
      </c>
      <c r="CJ98" s="85">
        <f t="shared" si="333"/>
        <v>0</v>
      </c>
      <c r="CK98" s="151">
        <f t="shared" si="334"/>
        <v>0</v>
      </c>
      <c r="CL98" s="102">
        <f t="shared" si="335"/>
        <v>0</v>
      </c>
      <c r="CM98" s="102">
        <f t="shared" si="336"/>
        <v>0</v>
      </c>
      <c r="CN98" s="102">
        <f t="shared" si="337"/>
        <v>0</v>
      </c>
      <c r="CO98" s="102">
        <f t="shared" si="338"/>
        <v>0</v>
      </c>
      <c r="CP98" s="151">
        <f t="shared" si="339"/>
        <v>0</v>
      </c>
      <c r="CQ98" s="85">
        <f t="shared" si="340"/>
        <v>0</v>
      </c>
      <c r="CR98" s="147">
        <f t="shared" si="341"/>
        <v>0</v>
      </c>
      <c r="CS98" s="147">
        <f t="shared" si="342"/>
        <v>0</v>
      </c>
      <c r="CT98" s="147">
        <f t="shared" si="343"/>
        <v>0</v>
      </c>
      <c r="CU98" s="147">
        <f t="shared" si="344"/>
        <v>0</v>
      </c>
      <c r="CV98" s="85">
        <f t="shared" si="345"/>
        <v>0</v>
      </c>
      <c r="CW98" s="151">
        <f t="shared" si="346"/>
        <v>0</v>
      </c>
      <c r="CX98" s="102">
        <f t="shared" si="347"/>
        <v>0</v>
      </c>
      <c r="CY98" s="102">
        <f t="shared" si="348"/>
        <v>0</v>
      </c>
      <c r="CZ98" s="102">
        <f t="shared" si="349"/>
        <v>0</v>
      </c>
      <c r="DA98" s="102">
        <f t="shared" si="350"/>
        <v>0</v>
      </c>
      <c r="DB98" s="151">
        <f t="shared" si="351"/>
        <v>0</v>
      </c>
      <c r="DC98" s="85">
        <f t="shared" si="352"/>
        <v>0</v>
      </c>
      <c r="DD98" s="147">
        <f t="shared" si="353"/>
        <v>0</v>
      </c>
      <c r="DE98" s="147">
        <f t="shared" si="354"/>
        <v>0</v>
      </c>
      <c r="DF98" s="147">
        <f t="shared" si="355"/>
        <v>0</v>
      </c>
      <c r="DG98" s="147">
        <f t="shared" si="356"/>
        <v>0</v>
      </c>
      <c r="DH98" s="85">
        <f t="shared" si="357"/>
        <v>0</v>
      </c>
      <c r="DI98" s="151">
        <f t="shared" si="358"/>
        <v>0</v>
      </c>
      <c r="DJ98" s="102">
        <f t="shared" si="359"/>
        <v>0</v>
      </c>
      <c r="DK98" s="102">
        <f t="shared" si="360"/>
        <v>0</v>
      </c>
      <c r="DL98" s="102">
        <f t="shared" si="361"/>
        <v>0</v>
      </c>
      <c r="DM98" s="102">
        <f t="shared" si="362"/>
        <v>0</v>
      </c>
      <c r="DN98" s="564">
        <f t="shared" si="363"/>
        <v>0</v>
      </c>
      <c r="DP98" s="10">
        <f t="shared" si="315"/>
        <v>2068</v>
      </c>
      <c r="DQ98" s="85">
        <f t="shared" si="364"/>
        <v>0</v>
      </c>
      <c r="DR98" s="147">
        <f t="shared" si="365"/>
        <v>0</v>
      </c>
      <c r="DS98" s="147">
        <f t="shared" si="366"/>
        <v>0</v>
      </c>
      <c r="DT98" s="147">
        <f t="shared" si="367"/>
        <v>0</v>
      </c>
      <c r="DU98" s="147">
        <f t="shared" si="368"/>
        <v>0</v>
      </c>
      <c r="DV98" s="85">
        <f t="shared" si="369"/>
        <v>0</v>
      </c>
      <c r="DW98" s="151">
        <f t="shared" si="370"/>
        <v>0</v>
      </c>
      <c r="DX98" s="102">
        <f t="shared" si="371"/>
        <v>0</v>
      </c>
      <c r="DY98" s="102">
        <f t="shared" si="372"/>
        <v>0</v>
      </c>
      <c r="DZ98" s="102">
        <f t="shared" si="373"/>
        <v>0</v>
      </c>
      <c r="EA98" s="102">
        <f t="shared" si="374"/>
        <v>0</v>
      </c>
      <c r="EB98" s="151">
        <f t="shared" si="375"/>
        <v>0</v>
      </c>
      <c r="EC98" s="85">
        <f t="shared" si="376"/>
        <v>0</v>
      </c>
      <c r="ED98" s="147">
        <f t="shared" si="377"/>
        <v>0</v>
      </c>
      <c r="EE98" s="147">
        <f t="shared" si="378"/>
        <v>0</v>
      </c>
      <c r="EF98" s="147">
        <f t="shared" si="379"/>
        <v>0</v>
      </c>
      <c r="EG98" s="147">
        <f t="shared" si="380"/>
        <v>0</v>
      </c>
      <c r="EH98" s="85">
        <f t="shared" si="381"/>
        <v>0</v>
      </c>
      <c r="EI98" s="151">
        <f t="shared" si="382"/>
        <v>0</v>
      </c>
      <c r="EJ98" s="102">
        <f t="shared" si="383"/>
        <v>0</v>
      </c>
      <c r="EK98" s="102">
        <f t="shared" si="384"/>
        <v>0</v>
      </c>
      <c r="EL98" s="102">
        <f t="shared" si="385"/>
        <v>0</v>
      </c>
      <c r="EM98" s="102">
        <f t="shared" si="386"/>
        <v>0</v>
      </c>
      <c r="EN98" s="151">
        <f t="shared" si="387"/>
        <v>0</v>
      </c>
      <c r="EO98" s="85">
        <f t="shared" si="388"/>
        <v>0</v>
      </c>
      <c r="EP98" s="145">
        <f t="shared" si="389"/>
        <v>0</v>
      </c>
      <c r="EQ98" s="145">
        <f t="shared" si="390"/>
        <v>0</v>
      </c>
      <c r="ER98" s="145">
        <f t="shared" si="391"/>
        <v>0</v>
      </c>
      <c r="ES98" s="145">
        <f t="shared" si="392"/>
        <v>0</v>
      </c>
      <c r="ET98" s="85">
        <f t="shared" si="393"/>
        <v>0</v>
      </c>
      <c r="EU98" s="102">
        <f t="shared" si="394"/>
        <v>0</v>
      </c>
      <c r="EV98" s="102">
        <f t="shared" si="395"/>
        <v>0</v>
      </c>
      <c r="EW98" s="102">
        <f t="shared" si="396"/>
        <v>0</v>
      </c>
      <c r="EX98" s="102">
        <f t="shared" si="397"/>
        <v>0</v>
      </c>
      <c r="EY98" s="102">
        <f t="shared" si="398"/>
        <v>0</v>
      </c>
      <c r="EZ98" s="564">
        <f t="shared" si="399"/>
        <v>0</v>
      </c>
    </row>
    <row r="99" spans="82:156">
      <c r="CD99" s="10">
        <f t="shared" si="314"/>
        <v>2069</v>
      </c>
      <c r="CE99" s="85">
        <f t="shared" si="328"/>
        <v>0</v>
      </c>
      <c r="CF99" s="147">
        <f t="shared" si="329"/>
        <v>0</v>
      </c>
      <c r="CG99" s="147">
        <f t="shared" si="330"/>
        <v>0</v>
      </c>
      <c r="CH99" s="147">
        <f t="shared" si="331"/>
        <v>0</v>
      </c>
      <c r="CI99" s="147">
        <f t="shared" si="332"/>
        <v>0</v>
      </c>
      <c r="CJ99" s="85">
        <f t="shared" si="333"/>
        <v>0</v>
      </c>
      <c r="CK99" s="151">
        <f t="shared" si="334"/>
        <v>0</v>
      </c>
      <c r="CL99" s="102">
        <f t="shared" si="335"/>
        <v>0</v>
      </c>
      <c r="CM99" s="102">
        <f t="shared" si="336"/>
        <v>0</v>
      </c>
      <c r="CN99" s="102">
        <f t="shared" si="337"/>
        <v>0</v>
      </c>
      <c r="CO99" s="102">
        <f t="shared" si="338"/>
        <v>0</v>
      </c>
      <c r="CP99" s="151">
        <f t="shared" si="339"/>
        <v>0</v>
      </c>
      <c r="CQ99" s="85">
        <f t="shared" si="340"/>
        <v>0</v>
      </c>
      <c r="CR99" s="147">
        <f t="shared" si="341"/>
        <v>0</v>
      </c>
      <c r="CS99" s="147">
        <f t="shared" si="342"/>
        <v>0</v>
      </c>
      <c r="CT99" s="147">
        <f t="shared" si="343"/>
        <v>0</v>
      </c>
      <c r="CU99" s="147">
        <f t="shared" si="344"/>
        <v>0</v>
      </c>
      <c r="CV99" s="85">
        <f t="shared" si="345"/>
        <v>0</v>
      </c>
      <c r="CW99" s="151">
        <f t="shared" si="346"/>
        <v>0</v>
      </c>
      <c r="CX99" s="102">
        <f t="shared" si="347"/>
        <v>0</v>
      </c>
      <c r="CY99" s="102">
        <f t="shared" si="348"/>
        <v>0</v>
      </c>
      <c r="CZ99" s="102">
        <f t="shared" si="349"/>
        <v>0</v>
      </c>
      <c r="DA99" s="102">
        <f t="shared" si="350"/>
        <v>0</v>
      </c>
      <c r="DB99" s="151">
        <f t="shared" si="351"/>
        <v>0</v>
      </c>
      <c r="DC99" s="85">
        <f t="shared" si="352"/>
        <v>0</v>
      </c>
      <c r="DD99" s="147">
        <f t="shared" si="353"/>
        <v>0</v>
      </c>
      <c r="DE99" s="147">
        <f t="shared" si="354"/>
        <v>0</v>
      </c>
      <c r="DF99" s="147">
        <f t="shared" si="355"/>
        <v>0</v>
      </c>
      <c r="DG99" s="147">
        <f t="shared" si="356"/>
        <v>0</v>
      </c>
      <c r="DH99" s="85">
        <f t="shared" si="357"/>
        <v>0</v>
      </c>
      <c r="DI99" s="151">
        <f t="shared" si="358"/>
        <v>0</v>
      </c>
      <c r="DJ99" s="102">
        <f t="shared" si="359"/>
        <v>0</v>
      </c>
      <c r="DK99" s="102">
        <f t="shared" si="360"/>
        <v>0</v>
      </c>
      <c r="DL99" s="102">
        <f t="shared" si="361"/>
        <v>0</v>
      </c>
      <c r="DM99" s="102">
        <f t="shared" si="362"/>
        <v>0</v>
      </c>
      <c r="DN99" s="564">
        <f t="shared" si="363"/>
        <v>0</v>
      </c>
      <c r="DP99" s="10">
        <f t="shared" si="315"/>
        <v>2069</v>
      </c>
      <c r="DQ99" s="85">
        <f t="shared" si="364"/>
        <v>0</v>
      </c>
      <c r="DR99" s="147">
        <f t="shared" si="365"/>
        <v>0</v>
      </c>
      <c r="DS99" s="147">
        <f t="shared" si="366"/>
        <v>0</v>
      </c>
      <c r="DT99" s="147">
        <f t="shared" si="367"/>
        <v>0</v>
      </c>
      <c r="DU99" s="147">
        <f t="shared" si="368"/>
        <v>0</v>
      </c>
      <c r="DV99" s="85">
        <f t="shared" si="369"/>
        <v>0</v>
      </c>
      <c r="DW99" s="151">
        <f t="shared" si="370"/>
        <v>0</v>
      </c>
      <c r="DX99" s="102">
        <f t="shared" si="371"/>
        <v>0</v>
      </c>
      <c r="DY99" s="102">
        <f t="shared" si="372"/>
        <v>0</v>
      </c>
      <c r="DZ99" s="102">
        <f t="shared" si="373"/>
        <v>0</v>
      </c>
      <c r="EA99" s="102">
        <f t="shared" si="374"/>
        <v>0</v>
      </c>
      <c r="EB99" s="151">
        <f t="shared" si="375"/>
        <v>0</v>
      </c>
      <c r="EC99" s="85">
        <f t="shared" si="376"/>
        <v>0</v>
      </c>
      <c r="ED99" s="147">
        <f t="shared" si="377"/>
        <v>0</v>
      </c>
      <c r="EE99" s="147">
        <f t="shared" si="378"/>
        <v>0</v>
      </c>
      <c r="EF99" s="147">
        <f t="shared" si="379"/>
        <v>0</v>
      </c>
      <c r="EG99" s="147">
        <f t="shared" si="380"/>
        <v>0</v>
      </c>
      <c r="EH99" s="85">
        <f t="shared" si="381"/>
        <v>0</v>
      </c>
      <c r="EI99" s="151">
        <f t="shared" si="382"/>
        <v>0</v>
      </c>
      <c r="EJ99" s="102">
        <f t="shared" si="383"/>
        <v>0</v>
      </c>
      <c r="EK99" s="102">
        <f t="shared" si="384"/>
        <v>0</v>
      </c>
      <c r="EL99" s="102">
        <f t="shared" si="385"/>
        <v>0</v>
      </c>
      <c r="EM99" s="102">
        <f t="shared" si="386"/>
        <v>0</v>
      </c>
      <c r="EN99" s="151">
        <f t="shared" si="387"/>
        <v>0</v>
      </c>
      <c r="EO99" s="85">
        <f t="shared" si="388"/>
        <v>0</v>
      </c>
      <c r="EP99" s="145">
        <f t="shared" si="389"/>
        <v>0</v>
      </c>
      <c r="EQ99" s="145">
        <f t="shared" si="390"/>
        <v>0</v>
      </c>
      <c r="ER99" s="145">
        <f t="shared" si="391"/>
        <v>0</v>
      </c>
      <c r="ES99" s="145">
        <f t="shared" si="392"/>
        <v>0</v>
      </c>
      <c r="ET99" s="85">
        <f t="shared" si="393"/>
        <v>0</v>
      </c>
      <c r="EU99" s="102">
        <f t="shared" si="394"/>
        <v>0</v>
      </c>
      <c r="EV99" s="102">
        <f t="shared" si="395"/>
        <v>0</v>
      </c>
      <c r="EW99" s="102">
        <f t="shared" si="396"/>
        <v>0</v>
      </c>
      <c r="EX99" s="102">
        <f t="shared" si="397"/>
        <v>0</v>
      </c>
      <c r="EY99" s="102">
        <f t="shared" si="398"/>
        <v>0</v>
      </c>
      <c r="EZ99" s="564">
        <f t="shared" si="399"/>
        <v>0</v>
      </c>
    </row>
    <row r="100" spans="82:156">
      <c r="CD100" s="10">
        <f t="shared" si="314"/>
        <v>2070</v>
      </c>
      <c r="CE100" s="85">
        <f t="shared" si="328"/>
        <v>0</v>
      </c>
      <c r="CF100" s="147">
        <f t="shared" si="329"/>
        <v>0</v>
      </c>
      <c r="CG100" s="147">
        <f t="shared" si="330"/>
        <v>0</v>
      </c>
      <c r="CH100" s="147">
        <f t="shared" si="331"/>
        <v>0</v>
      </c>
      <c r="CI100" s="147">
        <f t="shared" si="332"/>
        <v>0</v>
      </c>
      <c r="CJ100" s="85">
        <f t="shared" si="333"/>
        <v>0</v>
      </c>
      <c r="CK100" s="151">
        <f t="shared" si="334"/>
        <v>0</v>
      </c>
      <c r="CL100" s="102">
        <f t="shared" si="335"/>
        <v>0</v>
      </c>
      <c r="CM100" s="102">
        <f t="shared" si="336"/>
        <v>0</v>
      </c>
      <c r="CN100" s="102">
        <f t="shared" si="337"/>
        <v>0</v>
      </c>
      <c r="CO100" s="102">
        <f t="shared" si="338"/>
        <v>0</v>
      </c>
      <c r="CP100" s="151">
        <f t="shared" si="339"/>
        <v>0</v>
      </c>
      <c r="CQ100" s="85">
        <f t="shared" si="340"/>
        <v>0</v>
      </c>
      <c r="CR100" s="147">
        <f t="shared" si="341"/>
        <v>0</v>
      </c>
      <c r="CS100" s="147">
        <f t="shared" si="342"/>
        <v>0</v>
      </c>
      <c r="CT100" s="147">
        <f t="shared" si="343"/>
        <v>0</v>
      </c>
      <c r="CU100" s="147">
        <f t="shared" si="344"/>
        <v>0</v>
      </c>
      <c r="CV100" s="85">
        <f t="shared" si="345"/>
        <v>0</v>
      </c>
      <c r="CW100" s="151">
        <f t="shared" si="346"/>
        <v>0</v>
      </c>
      <c r="CX100" s="102">
        <f t="shared" si="347"/>
        <v>0</v>
      </c>
      <c r="CY100" s="102">
        <f t="shared" si="348"/>
        <v>0</v>
      </c>
      <c r="CZ100" s="102">
        <f t="shared" si="349"/>
        <v>0</v>
      </c>
      <c r="DA100" s="102">
        <f t="shared" si="350"/>
        <v>0</v>
      </c>
      <c r="DB100" s="151">
        <f t="shared" si="351"/>
        <v>0</v>
      </c>
      <c r="DC100" s="85">
        <f t="shared" si="352"/>
        <v>0</v>
      </c>
      <c r="DD100" s="147">
        <f t="shared" si="353"/>
        <v>0</v>
      </c>
      <c r="DE100" s="147">
        <f t="shared" si="354"/>
        <v>0</v>
      </c>
      <c r="DF100" s="147">
        <f t="shared" si="355"/>
        <v>0</v>
      </c>
      <c r="DG100" s="147">
        <f t="shared" si="356"/>
        <v>0</v>
      </c>
      <c r="DH100" s="85">
        <f t="shared" si="357"/>
        <v>0</v>
      </c>
      <c r="DI100" s="151">
        <f t="shared" si="358"/>
        <v>0</v>
      </c>
      <c r="DJ100" s="102">
        <f t="shared" si="359"/>
        <v>0</v>
      </c>
      <c r="DK100" s="102">
        <f t="shared" si="360"/>
        <v>0</v>
      </c>
      <c r="DL100" s="102">
        <f t="shared" si="361"/>
        <v>0</v>
      </c>
      <c r="DM100" s="102">
        <f t="shared" si="362"/>
        <v>0</v>
      </c>
      <c r="DN100" s="564">
        <f t="shared" si="363"/>
        <v>0</v>
      </c>
      <c r="DP100" s="10">
        <f t="shared" si="315"/>
        <v>2070</v>
      </c>
      <c r="DQ100" s="85">
        <f t="shared" si="364"/>
        <v>0</v>
      </c>
      <c r="DR100" s="147">
        <f t="shared" si="365"/>
        <v>0</v>
      </c>
      <c r="DS100" s="147">
        <f t="shared" si="366"/>
        <v>0</v>
      </c>
      <c r="DT100" s="147">
        <f t="shared" si="367"/>
        <v>0</v>
      </c>
      <c r="DU100" s="147">
        <f t="shared" si="368"/>
        <v>0</v>
      </c>
      <c r="DV100" s="85">
        <f t="shared" si="369"/>
        <v>0</v>
      </c>
      <c r="DW100" s="151">
        <f t="shared" si="370"/>
        <v>0</v>
      </c>
      <c r="DX100" s="102">
        <f t="shared" si="371"/>
        <v>0</v>
      </c>
      <c r="DY100" s="102">
        <f t="shared" si="372"/>
        <v>0</v>
      </c>
      <c r="DZ100" s="102">
        <f t="shared" si="373"/>
        <v>0</v>
      </c>
      <c r="EA100" s="102">
        <f t="shared" si="374"/>
        <v>0</v>
      </c>
      <c r="EB100" s="151">
        <f t="shared" si="375"/>
        <v>0</v>
      </c>
      <c r="EC100" s="85">
        <f t="shared" si="376"/>
        <v>0</v>
      </c>
      <c r="ED100" s="147">
        <f t="shared" si="377"/>
        <v>0</v>
      </c>
      <c r="EE100" s="147">
        <f t="shared" si="378"/>
        <v>0</v>
      </c>
      <c r="EF100" s="147">
        <f t="shared" si="379"/>
        <v>0</v>
      </c>
      <c r="EG100" s="147">
        <f t="shared" si="380"/>
        <v>0</v>
      </c>
      <c r="EH100" s="85">
        <f t="shared" si="381"/>
        <v>0</v>
      </c>
      <c r="EI100" s="151">
        <f t="shared" si="382"/>
        <v>0</v>
      </c>
      <c r="EJ100" s="102">
        <f t="shared" si="383"/>
        <v>0</v>
      </c>
      <c r="EK100" s="102">
        <f t="shared" si="384"/>
        <v>0</v>
      </c>
      <c r="EL100" s="102">
        <f t="shared" si="385"/>
        <v>0</v>
      </c>
      <c r="EM100" s="102">
        <f t="shared" si="386"/>
        <v>0</v>
      </c>
      <c r="EN100" s="151">
        <f t="shared" si="387"/>
        <v>0</v>
      </c>
      <c r="EO100" s="85">
        <f t="shared" si="388"/>
        <v>0</v>
      </c>
      <c r="EP100" s="145">
        <f t="shared" si="389"/>
        <v>0</v>
      </c>
      <c r="EQ100" s="145">
        <f t="shared" si="390"/>
        <v>0</v>
      </c>
      <c r="ER100" s="145">
        <f t="shared" si="391"/>
        <v>0</v>
      </c>
      <c r="ES100" s="145">
        <f t="shared" si="392"/>
        <v>0</v>
      </c>
      <c r="ET100" s="85">
        <f t="shared" si="393"/>
        <v>0</v>
      </c>
      <c r="EU100" s="102">
        <f t="shared" si="394"/>
        <v>0</v>
      </c>
      <c r="EV100" s="102">
        <f t="shared" si="395"/>
        <v>0</v>
      </c>
      <c r="EW100" s="102">
        <f t="shared" si="396"/>
        <v>0</v>
      </c>
      <c r="EX100" s="102">
        <f t="shared" si="397"/>
        <v>0</v>
      </c>
      <c r="EY100" s="102">
        <f t="shared" si="398"/>
        <v>0</v>
      </c>
      <c r="EZ100" s="564">
        <f t="shared" si="399"/>
        <v>0</v>
      </c>
    </row>
    <row r="101" spans="82:156">
      <c r="CD101" s="10">
        <f t="shared" si="314"/>
        <v>2071</v>
      </c>
      <c r="CE101" s="85">
        <f t="shared" si="328"/>
        <v>0</v>
      </c>
      <c r="CF101" s="147">
        <f t="shared" si="329"/>
        <v>0</v>
      </c>
      <c r="CG101" s="147">
        <f t="shared" si="330"/>
        <v>0</v>
      </c>
      <c r="CH101" s="147">
        <f t="shared" si="331"/>
        <v>0</v>
      </c>
      <c r="CI101" s="147">
        <f t="shared" si="332"/>
        <v>0</v>
      </c>
      <c r="CJ101" s="85">
        <f t="shared" si="333"/>
        <v>0</v>
      </c>
      <c r="CK101" s="151">
        <f t="shared" si="334"/>
        <v>0</v>
      </c>
      <c r="CL101" s="102">
        <f t="shared" si="335"/>
        <v>0</v>
      </c>
      <c r="CM101" s="102">
        <f t="shared" si="336"/>
        <v>0</v>
      </c>
      <c r="CN101" s="102">
        <f t="shared" si="337"/>
        <v>0</v>
      </c>
      <c r="CO101" s="102">
        <f t="shared" si="338"/>
        <v>0</v>
      </c>
      <c r="CP101" s="151">
        <f t="shared" si="339"/>
        <v>0</v>
      </c>
      <c r="CQ101" s="85">
        <f t="shared" si="340"/>
        <v>0</v>
      </c>
      <c r="CR101" s="147">
        <f t="shared" si="341"/>
        <v>0</v>
      </c>
      <c r="CS101" s="147">
        <f t="shared" si="342"/>
        <v>0</v>
      </c>
      <c r="CT101" s="147">
        <f t="shared" si="343"/>
        <v>0</v>
      </c>
      <c r="CU101" s="147">
        <f t="shared" si="344"/>
        <v>0</v>
      </c>
      <c r="CV101" s="85">
        <f t="shared" si="345"/>
        <v>0</v>
      </c>
      <c r="CW101" s="151">
        <f t="shared" si="346"/>
        <v>0</v>
      </c>
      <c r="CX101" s="102">
        <f t="shared" si="347"/>
        <v>0</v>
      </c>
      <c r="CY101" s="102">
        <f t="shared" si="348"/>
        <v>0</v>
      </c>
      <c r="CZ101" s="102">
        <f t="shared" si="349"/>
        <v>0</v>
      </c>
      <c r="DA101" s="102">
        <f t="shared" si="350"/>
        <v>0</v>
      </c>
      <c r="DB101" s="151">
        <f t="shared" si="351"/>
        <v>0</v>
      </c>
      <c r="DC101" s="85">
        <f t="shared" si="352"/>
        <v>0</v>
      </c>
      <c r="DD101" s="147">
        <f t="shared" si="353"/>
        <v>0</v>
      </c>
      <c r="DE101" s="147">
        <f t="shared" si="354"/>
        <v>0</v>
      </c>
      <c r="DF101" s="147">
        <f t="shared" si="355"/>
        <v>0</v>
      </c>
      <c r="DG101" s="147">
        <f t="shared" si="356"/>
        <v>0</v>
      </c>
      <c r="DH101" s="85">
        <f t="shared" si="357"/>
        <v>0</v>
      </c>
      <c r="DI101" s="151">
        <f t="shared" si="358"/>
        <v>0</v>
      </c>
      <c r="DJ101" s="102">
        <f t="shared" si="359"/>
        <v>0</v>
      </c>
      <c r="DK101" s="102">
        <f t="shared" si="360"/>
        <v>0</v>
      </c>
      <c r="DL101" s="102">
        <f t="shared" si="361"/>
        <v>0</v>
      </c>
      <c r="DM101" s="102">
        <f t="shared" si="362"/>
        <v>0</v>
      </c>
      <c r="DN101" s="564">
        <f t="shared" si="363"/>
        <v>0</v>
      </c>
      <c r="DP101" s="10">
        <f t="shared" si="315"/>
        <v>2071</v>
      </c>
      <c r="DQ101" s="85">
        <f t="shared" si="364"/>
        <v>0</v>
      </c>
      <c r="DR101" s="147">
        <f t="shared" si="365"/>
        <v>0</v>
      </c>
      <c r="DS101" s="147">
        <f t="shared" si="366"/>
        <v>0</v>
      </c>
      <c r="DT101" s="147">
        <f t="shared" si="367"/>
        <v>0</v>
      </c>
      <c r="DU101" s="147">
        <f t="shared" si="368"/>
        <v>0</v>
      </c>
      <c r="DV101" s="85">
        <f t="shared" si="369"/>
        <v>0</v>
      </c>
      <c r="DW101" s="151">
        <f t="shared" si="370"/>
        <v>0</v>
      </c>
      <c r="DX101" s="102">
        <f t="shared" si="371"/>
        <v>0</v>
      </c>
      <c r="DY101" s="102">
        <f t="shared" si="372"/>
        <v>0</v>
      </c>
      <c r="DZ101" s="102">
        <f t="shared" si="373"/>
        <v>0</v>
      </c>
      <c r="EA101" s="102">
        <f t="shared" si="374"/>
        <v>0</v>
      </c>
      <c r="EB101" s="151">
        <f t="shared" si="375"/>
        <v>0</v>
      </c>
      <c r="EC101" s="85">
        <f t="shared" si="376"/>
        <v>0</v>
      </c>
      <c r="ED101" s="147">
        <f t="shared" si="377"/>
        <v>0</v>
      </c>
      <c r="EE101" s="147">
        <f t="shared" si="378"/>
        <v>0</v>
      </c>
      <c r="EF101" s="147">
        <f t="shared" si="379"/>
        <v>0</v>
      </c>
      <c r="EG101" s="147">
        <f t="shared" si="380"/>
        <v>0</v>
      </c>
      <c r="EH101" s="85">
        <f t="shared" si="381"/>
        <v>0</v>
      </c>
      <c r="EI101" s="151">
        <f t="shared" si="382"/>
        <v>0</v>
      </c>
      <c r="EJ101" s="102">
        <f t="shared" si="383"/>
        <v>0</v>
      </c>
      <c r="EK101" s="102">
        <f t="shared" si="384"/>
        <v>0</v>
      </c>
      <c r="EL101" s="102">
        <f t="shared" si="385"/>
        <v>0</v>
      </c>
      <c r="EM101" s="102">
        <f t="shared" si="386"/>
        <v>0</v>
      </c>
      <c r="EN101" s="151">
        <f t="shared" si="387"/>
        <v>0</v>
      </c>
      <c r="EO101" s="85">
        <f t="shared" si="388"/>
        <v>0</v>
      </c>
      <c r="EP101" s="145">
        <f t="shared" si="389"/>
        <v>0</v>
      </c>
      <c r="EQ101" s="145">
        <f t="shared" si="390"/>
        <v>0</v>
      </c>
      <c r="ER101" s="145">
        <f t="shared" si="391"/>
        <v>0</v>
      </c>
      <c r="ES101" s="145">
        <f t="shared" si="392"/>
        <v>0</v>
      </c>
      <c r="ET101" s="85">
        <f t="shared" si="393"/>
        <v>0</v>
      </c>
      <c r="EU101" s="102">
        <f t="shared" si="394"/>
        <v>0</v>
      </c>
      <c r="EV101" s="102">
        <f t="shared" si="395"/>
        <v>0</v>
      </c>
      <c r="EW101" s="102">
        <f t="shared" si="396"/>
        <v>0</v>
      </c>
      <c r="EX101" s="102">
        <f t="shared" si="397"/>
        <v>0</v>
      </c>
      <c r="EY101" s="102">
        <f t="shared" si="398"/>
        <v>0</v>
      </c>
      <c r="EZ101" s="564">
        <f t="shared" si="399"/>
        <v>0</v>
      </c>
    </row>
    <row r="102" spans="82:156">
      <c r="CD102" s="10">
        <f t="shared" si="314"/>
        <v>2072</v>
      </c>
      <c r="CE102" s="85">
        <f t="shared" si="328"/>
        <v>0</v>
      </c>
      <c r="CF102" s="147">
        <f t="shared" si="329"/>
        <v>0</v>
      </c>
      <c r="CG102" s="147">
        <f t="shared" si="330"/>
        <v>0</v>
      </c>
      <c r="CH102" s="147">
        <f t="shared" si="331"/>
        <v>0</v>
      </c>
      <c r="CI102" s="147">
        <f t="shared" si="332"/>
        <v>0</v>
      </c>
      <c r="CJ102" s="85">
        <f t="shared" si="333"/>
        <v>0</v>
      </c>
      <c r="CK102" s="151">
        <f t="shared" si="334"/>
        <v>0</v>
      </c>
      <c r="CL102" s="102">
        <f t="shared" si="335"/>
        <v>0</v>
      </c>
      <c r="CM102" s="102">
        <f t="shared" si="336"/>
        <v>0</v>
      </c>
      <c r="CN102" s="102">
        <f t="shared" si="337"/>
        <v>0</v>
      </c>
      <c r="CO102" s="102">
        <f t="shared" si="338"/>
        <v>0</v>
      </c>
      <c r="CP102" s="151">
        <f t="shared" si="339"/>
        <v>0</v>
      </c>
      <c r="CQ102" s="85">
        <f t="shared" si="340"/>
        <v>0</v>
      </c>
      <c r="CR102" s="147">
        <f t="shared" si="341"/>
        <v>0</v>
      </c>
      <c r="CS102" s="147">
        <f t="shared" si="342"/>
        <v>0</v>
      </c>
      <c r="CT102" s="147">
        <f t="shared" si="343"/>
        <v>0</v>
      </c>
      <c r="CU102" s="147">
        <f t="shared" si="344"/>
        <v>0</v>
      </c>
      <c r="CV102" s="85">
        <f t="shared" si="345"/>
        <v>0</v>
      </c>
      <c r="CW102" s="151">
        <f t="shared" si="346"/>
        <v>0</v>
      </c>
      <c r="CX102" s="102">
        <f t="shared" si="347"/>
        <v>0</v>
      </c>
      <c r="CY102" s="102">
        <f t="shared" si="348"/>
        <v>0</v>
      </c>
      <c r="CZ102" s="102">
        <f t="shared" si="349"/>
        <v>0</v>
      </c>
      <c r="DA102" s="102">
        <f t="shared" si="350"/>
        <v>0</v>
      </c>
      <c r="DB102" s="151">
        <f t="shared" si="351"/>
        <v>0</v>
      </c>
      <c r="DC102" s="85">
        <f t="shared" si="352"/>
        <v>0</v>
      </c>
      <c r="DD102" s="147">
        <f t="shared" si="353"/>
        <v>0</v>
      </c>
      <c r="DE102" s="147">
        <f t="shared" si="354"/>
        <v>0</v>
      </c>
      <c r="DF102" s="147">
        <f t="shared" si="355"/>
        <v>0</v>
      </c>
      <c r="DG102" s="147">
        <f t="shared" si="356"/>
        <v>0</v>
      </c>
      <c r="DH102" s="85">
        <f t="shared" si="357"/>
        <v>0</v>
      </c>
      <c r="DI102" s="151">
        <f t="shared" si="358"/>
        <v>0</v>
      </c>
      <c r="DJ102" s="102">
        <f t="shared" si="359"/>
        <v>0</v>
      </c>
      <c r="DK102" s="102">
        <f t="shared" si="360"/>
        <v>0</v>
      </c>
      <c r="DL102" s="102">
        <f t="shared" si="361"/>
        <v>0</v>
      </c>
      <c r="DM102" s="102">
        <f t="shared" si="362"/>
        <v>0</v>
      </c>
      <c r="DN102" s="564">
        <f t="shared" si="363"/>
        <v>0</v>
      </c>
      <c r="DP102" s="10">
        <f t="shared" si="315"/>
        <v>2072</v>
      </c>
      <c r="DQ102" s="85">
        <f t="shared" si="364"/>
        <v>0</v>
      </c>
      <c r="DR102" s="147">
        <f t="shared" si="365"/>
        <v>0</v>
      </c>
      <c r="DS102" s="147">
        <f t="shared" si="366"/>
        <v>0</v>
      </c>
      <c r="DT102" s="147">
        <f t="shared" si="367"/>
        <v>0</v>
      </c>
      <c r="DU102" s="147">
        <f t="shared" si="368"/>
        <v>0</v>
      </c>
      <c r="DV102" s="85">
        <f t="shared" si="369"/>
        <v>0</v>
      </c>
      <c r="DW102" s="151">
        <f t="shared" si="370"/>
        <v>0</v>
      </c>
      <c r="DX102" s="102">
        <f t="shared" si="371"/>
        <v>0</v>
      </c>
      <c r="DY102" s="102">
        <f t="shared" si="372"/>
        <v>0</v>
      </c>
      <c r="DZ102" s="102">
        <f t="shared" si="373"/>
        <v>0</v>
      </c>
      <c r="EA102" s="102">
        <f t="shared" si="374"/>
        <v>0</v>
      </c>
      <c r="EB102" s="151">
        <f t="shared" si="375"/>
        <v>0</v>
      </c>
      <c r="EC102" s="85">
        <f t="shared" si="376"/>
        <v>0</v>
      </c>
      <c r="ED102" s="147">
        <f t="shared" si="377"/>
        <v>0</v>
      </c>
      <c r="EE102" s="147">
        <f t="shared" si="378"/>
        <v>0</v>
      </c>
      <c r="EF102" s="147">
        <f t="shared" si="379"/>
        <v>0</v>
      </c>
      <c r="EG102" s="147">
        <f t="shared" si="380"/>
        <v>0</v>
      </c>
      <c r="EH102" s="85">
        <f t="shared" si="381"/>
        <v>0</v>
      </c>
      <c r="EI102" s="151">
        <f t="shared" si="382"/>
        <v>0</v>
      </c>
      <c r="EJ102" s="102">
        <f t="shared" si="383"/>
        <v>0</v>
      </c>
      <c r="EK102" s="102">
        <f t="shared" si="384"/>
        <v>0</v>
      </c>
      <c r="EL102" s="102">
        <f t="shared" si="385"/>
        <v>0</v>
      </c>
      <c r="EM102" s="102">
        <f t="shared" si="386"/>
        <v>0</v>
      </c>
      <c r="EN102" s="151">
        <f t="shared" si="387"/>
        <v>0</v>
      </c>
      <c r="EO102" s="85">
        <f t="shared" si="388"/>
        <v>0</v>
      </c>
      <c r="EP102" s="145">
        <f t="shared" si="389"/>
        <v>0</v>
      </c>
      <c r="EQ102" s="145">
        <f t="shared" si="390"/>
        <v>0</v>
      </c>
      <c r="ER102" s="145">
        <f t="shared" si="391"/>
        <v>0</v>
      </c>
      <c r="ES102" s="145">
        <f t="shared" si="392"/>
        <v>0</v>
      </c>
      <c r="ET102" s="85">
        <f t="shared" si="393"/>
        <v>0</v>
      </c>
      <c r="EU102" s="102">
        <f t="shared" si="394"/>
        <v>0</v>
      </c>
      <c r="EV102" s="102">
        <f t="shared" si="395"/>
        <v>0</v>
      </c>
      <c r="EW102" s="102">
        <f t="shared" si="396"/>
        <v>0</v>
      </c>
      <c r="EX102" s="102">
        <f t="shared" si="397"/>
        <v>0</v>
      </c>
      <c r="EY102" s="102">
        <f t="shared" si="398"/>
        <v>0</v>
      </c>
      <c r="EZ102" s="564">
        <f t="shared" si="399"/>
        <v>0</v>
      </c>
    </row>
    <row r="103" spans="82:156">
      <c r="CD103" s="10">
        <f t="shared" si="314"/>
        <v>2073</v>
      </c>
      <c r="CE103" s="85">
        <f t="shared" si="328"/>
        <v>0</v>
      </c>
      <c r="CF103" s="147">
        <f t="shared" si="329"/>
        <v>0</v>
      </c>
      <c r="CG103" s="147">
        <f t="shared" si="330"/>
        <v>0</v>
      </c>
      <c r="CH103" s="147">
        <f t="shared" si="331"/>
        <v>0</v>
      </c>
      <c r="CI103" s="147">
        <f t="shared" si="332"/>
        <v>0</v>
      </c>
      <c r="CJ103" s="85">
        <f t="shared" si="333"/>
        <v>0</v>
      </c>
      <c r="CK103" s="151">
        <f t="shared" si="334"/>
        <v>0</v>
      </c>
      <c r="CL103" s="102">
        <f t="shared" si="335"/>
        <v>0</v>
      </c>
      <c r="CM103" s="102">
        <f t="shared" si="336"/>
        <v>0</v>
      </c>
      <c r="CN103" s="102">
        <f t="shared" si="337"/>
        <v>0</v>
      </c>
      <c r="CO103" s="102">
        <f t="shared" si="338"/>
        <v>0</v>
      </c>
      <c r="CP103" s="151">
        <f t="shared" si="339"/>
        <v>0</v>
      </c>
      <c r="CQ103" s="85">
        <f t="shared" si="340"/>
        <v>0</v>
      </c>
      <c r="CR103" s="147">
        <f t="shared" si="341"/>
        <v>0</v>
      </c>
      <c r="CS103" s="147">
        <f t="shared" si="342"/>
        <v>0</v>
      </c>
      <c r="CT103" s="147">
        <f t="shared" si="343"/>
        <v>0</v>
      </c>
      <c r="CU103" s="147">
        <f t="shared" si="344"/>
        <v>0</v>
      </c>
      <c r="CV103" s="85">
        <f t="shared" si="345"/>
        <v>0</v>
      </c>
      <c r="CW103" s="151">
        <f t="shared" si="346"/>
        <v>0</v>
      </c>
      <c r="CX103" s="102">
        <f t="shared" si="347"/>
        <v>0</v>
      </c>
      <c r="CY103" s="102">
        <f t="shared" si="348"/>
        <v>0</v>
      </c>
      <c r="CZ103" s="102">
        <f t="shared" si="349"/>
        <v>0</v>
      </c>
      <c r="DA103" s="102">
        <f t="shared" si="350"/>
        <v>0</v>
      </c>
      <c r="DB103" s="151">
        <f t="shared" si="351"/>
        <v>0</v>
      </c>
      <c r="DC103" s="85">
        <f t="shared" si="352"/>
        <v>0</v>
      </c>
      <c r="DD103" s="147">
        <f t="shared" si="353"/>
        <v>0</v>
      </c>
      <c r="DE103" s="147">
        <f t="shared" si="354"/>
        <v>0</v>
      </c>
      <c r="DF103" s="147">
        <f t="shared" si="355"/>
        <v>0</v>
      </c>
      <c r="DG103" s="147">
        <f t="shared" si="356"/>
        <v>0</v>
      </c>
      <c r="DH103" s="85">
        <f t="shared" si="357"/>
        <v>0</v>
      </c>
      <c r="DI103" s="151">
        <f t="shared" si="358"/>
        <v>0</v>
      </c>
      <c r="DJ103" s="102">
        <f t="shared" si="359"/>
        <v>0</v>
      </c>
      <c r="DK103" s="102">
        <f t="shared" si="360"/>
        <v>0</v>
      </c>
      <c r="DL103" s="102">
        <f t="shared" si="361"/>
        <v>0</v>
      </c>
      <c r="DM103" s="102">
        <f t="shared" si="362"/>
        <v>0</v>
      </c>
      <c r="DN103" s="564">
        <f t="shared" si="363"/>
        <v>0</v>
      </c>
      <c r="DP103" s="10">
        <f t="shared" si="315"/>
        <v>2073</v>
      </c>
      <c r="DQ103" s="85">
        <f t="shared" si="364"/>
        <v>0</v>
      </c>
      <c r="DR103" s="147">
        <f t="shared" si="365"/>
        <v>0</v>
      </c>
      <c r="DS103" s="147">
        <f t="shared" si="366"/>
        <v>0</v>
      </c>
      <c r="DT103" s="147">
        <f t="shared" si="367"/>
        <v>0</v>
      </c>
      <c r="DU103" s="147">
        <f t="shared" si="368"/>
        <v>0</v>
      </c>
      <c r="DV103" s="85">
        <f t="shared" si="369"/>
        <v>0</v>
      </c>
      <c r="DW103" s="151">
        <f t="shared" si="370"/>
        <v>0</v>
      </c>
      <c r="DX103" s="102">
        <f t="shared" si="371"/>
        <v>0</v>
      </c>
      <c r="DY103" s="102">
        <f t="shared" si="372"/>
        <v>0</v>
      </c>
      <c r="DZ103" s="102">
        <f t="shared" si="373"/>
        <v>0</v>
      </c>
      <c r="EA103" s="102">
        <f t="shared" si="374"/>
        <v>0</v>
      </c>
      <c r="EB103" s="151">
        <f t="shared" si="375"/>
        <v>0</v>
      </c>
      <c r="EC103" s="85">
        <f t="shared" si="376"/>
        <v>0</v>
      </c>
      <c r="ED103" s="147">
        <f t="shared" si="377"/>
        <v>0</v>
      </c>
      <c r="EE103" s="147">
        <f t="shared" si="378"/>
        <v>0</v>
      </c>
      <c r="EF103" s="147">
        <f t="shared" si="379"/>
        <v>0</v>
      </c>
      <c r="EG103" s="147">
        <f t="shared" si="380"/>
        <v>0</v>
      </c>
      <c r="EH103" s="85">
        <f t="shared" si="381"/>
        <v>0</v>
      </c>
      <c r="EI103" s="151">
        <f t="shared" si="382"/>
        <v>0</v>
      </c>
      <c r="EJ103" s="102">
        <f t="shared" si="383"/>
        <v>0</v>
      </c>
      <c r="EK103" s="102">
        <f t="shared" si="384"/>
        <v>0</v>
      </c>
      <c r="EL103" s="102">
        <f t="shared" si="385"/>
        <v>0</v>
      </c>
      <c r="EM103" s="102">
        <f t="shared" si="386"/>
        <v>0</v>
      </c>
      <c r="EN103" s="151">
        <f t="shared" si="387"/>
        <v>0</v>
      </c>
      <c r="EO103" s="85">
        <f t="shared" si="388"/>
        <v>0</v>
      </c>
      <c r="EP103" s="145">
        <f t="shared" si="389"/>
        <v>0</v>
      </c>
      <c r="EQ103" s="145">
        <f t="shared" si="390"/>
        <v>0</v>
      </c>
      <c r="ER103" s="145">
        <f t="shared" si="391"/>
        <v>0</v>
      </c>
      <c r="ES103" s="145">
        <f t="shared" si="392"/>
        <v>0</v>
      </c>
      <c r="ET103" s="85">
        <f t="shared" si="393"/>
        <v>0</v>
      </c>
      <c r="EU103" s="102">
        <f t="shared" si="394"/>
        <v>0</v>
      </c>
      <c r="EV103" s="102">
        <f t="shared" si="395"/>
        <v>0</v>
      </c>
      <c r="EW103" s="102">
        <f t="shared" si="396"/>
        <v>0</v>
      </c>
      <c r="EX103" s="102">
        <f t="shared" si="397"/>
        <v>0</v>
      </c>
      <c r="EY103" s="102">
        <f t="shared" si="398"/>
        <v>0</v>
      </c>
      <c r="EZ103" s="564">
        <f t="shared" si="399"/>
        <v>0</v>
      </c>
    </row>
    <row r="104" spans="82:156">
      <c r="CD104" s="10">
        <f t="shared" si="314"/>
        <v>2074</v>
      </c>
      <c r="CE104" s="85">
        <f t="shared" si="328"/>
        <v>0</v>
      </c>
      <c r="CF104" s="147">
        <f t="shared" si="329"/>
        <v>0</v>
      </c>
      <c r="CG104" s="147">
        <f t="shared" si="330"/>
        <v>0</v>
      </c>
      <c r="CH104" s="147">
        <f t="shared" si="331"/>
        <v>0</v>
      </c>
      <c r="CI104" s="147">
        <f t="shared" si="332"/>
        <v>0</v>
      </c>
      <c r="CJ104" s="85">
        <f t="shared" si="333"/>
        <v>0</v>
      </c>
      <c r="CK104" s="151">
        <f t="shared" si="334"/>
        <v>0</v>
      </c>
      <c r="CL104" s="102">
        <f t="shared" si="335"/>
        <v>0</v>
      </c>
      <c r="CM104" s="102">
        <f t="shared" si="336"/>
        <v>0</v>
      </c>
      <c r="CN104" s="102">
        <f t="shared" si="337"/>
        <v>0</v>
      </c>
      <c r="CO104" s="102">
        <f t="shared" si="338"/>
        <v>0</v>
      </c>
      <c r="CP104" s="151">
        <f t="shared" si="339"/>
        <v>0</v>
      </c>
      <c r="CQ104" s="85">
        <f t="shared" si="340"/>
        <v>0</v>
      </c>
      <c r="CR104" s="147">
        <f t="shared" si="341"/>
        <v>0</v>
      </c>
      <c r="CS104" s="147">
        <f t="shared" si="342"/>
        <v>0</v>
      </c>
      <c r="CT104" s="147">
        <f t="shared" si="343"/>
        <v>0</v>
      </c>
      <c r="CU104" s="147">
        <f t="shared" si="344"/>
        <v>0</v>
      </c>
      <c r="CV104" s="85">
        <f t="shared" si="345"/>
        <v>0</v>
      </c>
      <c r="CW104" s="151">
        <f t="shared" si="346"/>
        <v>0</v>
      </c>
      <c r="CX104" s="102">
        <f t="shared" si="347"/>
        <v>0</v>
      </c>
      <c r="CY104" s="102">
        <f t="shared" si="348"/>
        <v>0</v>
      </c>
      <c r="CZ104" s="102">
        <f t="shared" si="349"/>
        <v>0</v>
      </c>
      <c r="DA104" s="102">
        <f t="shared" si="350"/>
        <v>0</v>
      </c>
      <c r="DB104" s="151">
        <f t="shared" si="351"/>
        <v>0</v>
      </c>
      <c r="DC104" s="85">
        <f t="shared" si="352"/>
        <v>0</v>
      </c>
      <c r="DD104" s="147">
        <f t="shared" si="353"/>
        <v>0</v>
      </c>
      <c r="DE104" s="147">
        <f t="shared" si="354"/>
        <v>0</v>
      </c>
      <c r="DF104" s="147">
        <f t="shared" si="355"/>
        <v>0</v>
      </c>
      <c r="DG104" s="147">
        <f t="shared" si="356"/>
        <v>0</v>
      </c>
      <c r="DH104" s="85">
        <f t="shared" si="357"/>
        <v>0</v>
      </c>
      <c r="DI104" s="151">
        <f t="shared" si="358"/>
        <v>0</v>
      </c>
      <c r="DJ104" s="102">
        <f t="shared" si="359"/>
        <v>0</v>
      </c>
      <c r="DK104" s="102">
        <f t="shared" si="360"/>
        <v>0</v>
      </c>
      <c r="DL104" s="102">
        <f t="shared" si="361"/>
        <v>0</v>
      </c>
      <c r="DM104" s="102">
        <f t="shared" si="362"/>
        <v>0</v>
      </c>
      <c r="DN104" s="564">
        <f t="shared" si="363"/>
        <v>0</v>
      </c>
      <c r="DP104" s="10">
        <f t="shared" si="315"/>
        <v>2074</v>
      </c>
      <c r="DQ104" s="85">
        <f t="shared" si="364"/>
        <v>0</v>
      </c>
      <c r="DR104" s="147">
        <f t="shared" si="365"/>
        <v>0</v>
      </c>
      <c r="DS104" s="147">
        <f t="shared" si="366"/>
        <v>0</v>
      </c>
      <c r="DT104" s="147">
        <f t="shared" si="367"/>
        <v>0</v>
      </c>
      <c r="DU104" s="147">
        <f t="shared" si="368"/>
        <v>0</v>
      </c>
      <c r="DV104" s="85">
        <f t="shared" si="369"/>
        <v>0</v>
      </c>
      <c r="DW104" s="151">
        <f t="shared" si="370"/>
        <v>0</v>
      </c>
      <c r="DX104" s="102">
        <f t="shared" si="371"/>
        <v>0</v>
      </c>
      <c r="DY104" s="102">
        <f t="shared" si="372"/>
        <v>0</v>
      </c>
      <c r="DZ104" s="102">
        <f t="shared" si="373"/>
        <v>0</v>
      </c>
      <c r="EA104" s="102">
        <f t="shared" si="374"/>
        <v>0</v>
      </c>
      <c r="EB104" s="151">
        <f t="shared" si="375"/>
        <v>0</v>
      </c>
      <c r="EC104" s="85">
        <f t="shared" si="376"/>
        <v>0</v>
      </c>
      <c r="ED104" s="147">
        <f t="shared" si="377"/>
        <v>0</v>
      </c>
      <c r="EE104" s="147">
        <f t="shared" si="378"/>
        <v>0</v>
      </c>
      <c r="EF104" s="147">
        <f t="shared" si="379"/>
        <v>0</v>
      </c>
      <c r="EG104" s="147">
        <f t="shared" si="380"/>
        <v>0</v>
      </c>
      <c r="EH104" s="85">
        <f t="shared" si="381"/>
        <v>0</v>
      </c>
      <c r="EI104" s="151">
        <f t="shared" si="382"/>
        <v>0</v>
      </c>
      <c r="EJ104" s="102">
        <f t="shared" si="383"/>
        <v>0</v>
      </c>
      <c r="EK104" s="102">
        <f t="shared" si="384"/>
        <v>0</v>
      </c>
      <c r="EL104" s="102">
        <f t="shared" si="385"/>
        <v>0</v>
      </c>
      <c r="EM104" s="102">
        <f t="shared" si="386"/>
        <v>0</v>
      </c>
      <c r="EN104" s="151">
        <f t="shared" si="387"/>
        <v>0</v>
      </c>
      <c r="EO104" s="85">
        <f t="shared" si="388"/>
        <v>0</v>
      </c>
      <c r="EP104" s="145">
        <f t="shared" si="389"/>
        <v>0</v>
      </c>
      <c r="EQ104" s="145">
        <f t="shared" si="390"/>
        <v>0</v>
      </c>
      <c r="ER104" s="145">
        <f t="shared" si="391"/>
        <v>0</v>
      </c>
      <c r="ES104" s="145">
        <f t="shared" si="392"/>
        <v>0</v>
      </c>
      <c r="ET104" s="85">
        <f t="shared" si="393"/>
        <v>0</v>
      </c>
      <c r="EU104" s="102">
        <f t="shared" si="394"/>
        <v>0</v>
      </c>
      <c r="EV104" s="102">
        <f t="shared" si="395"/>
        <v>0</v>
      </c>
      <c r="EW104" s="102">
        <f t="shared" si="396"/>
        <v>0</v>
      </c>
      <c r="EX104" s="102">
        <f t="shared" si="397"/>
        <v>0</v>
      </c>
      <c r="EY104" s="102">
        <f t="shared" si="398"/>
        <v>0</v>
      </c>
      <c r="EZ104" s="564">
        <f t="shared" si="399"/>
        <v>0</v>
      </c>
    </row>
    <row r="105" spans="82:156">
      <c r="CD105" s="10">
        <f t="shared" si="314"/>
        <v>2075</v>
      </c>
      <c r="CE105" s="85">
        <f t="shared" si="328"/>
        <v>0</v>
      </c>
      <c r="CF105" s="147">
        <f t="shared" si="329"/>
        <v>0</v>
      </c>
      <c r="CG105" s="147">
        <f t="shared" si="330"/>
        <v>0</v>
      </c>
      <c r="CH105" s="147">
        <f t="shared" si="331"/>
        <v>0</v>
      </c>
      <c r="CI105" s="147">
        <f t="shared" si="332"/>
        <v>0</v>
      </c>
      <c r="CJ105" s="85">
        <f t="shared" si="333"/>
        <v>0</v>
      </c>
      <c r="CK105" s="151">
        <f t="shared" si="334"/>
        <v>0</v>
      </c>
      <c r="CL105" s="102">
        <f t="shared" si="335"/>
        <v>0</v>
      </c>
      <c r="CM105" s="102">
        <f t="shared" si="336"/>
        <v>0</v>
      </c>
      <c r="CN105" s="102">
        <f t="shared" si="337"/>
        <v>0</v>
      </c>
      <c r="CO105" s="102">
        <f t="shared" si="338"/>
        <v>0</v>
      </c>
      <c r="CP105" s="151">
        <f t="shared" si="339"/>
        <v>0</v>
      </c>
      <c r="CQ105" s="85">
        <f t="shared" si="340"/>
        <v>0</v>
      </c>
      <c r="CR105" s="147">
        <f t="shared" si="341"/>
        <v>0</v>
      </c>
      <c r="CS105" s="147">
        <f t="shared" si="342"/>
        <v>0</v>
      </c>
      <c r="CT105" s="147">
        <f t="shared" si="343"/>
        <v>0</v>
      </c>
      <c r="CU105" s="147">
        <f t="shared" si="344"/>
        <v>0</v>
      </c>
      <c r="CV105" s="85">
        <f t="shared" si="345"/>
        <v>0</v>
      </c>
      <c r="CW105" s="151">
        <f t="shared" si="346"/>
        <v>0</v>
      </c>
      <c r="CX105" s="102">
        <f t="shared" si="347"/>
        <v>0</v>
      </c>
      <c r="CY105" s="102">
        <f t="shared" si="348"/>
        <v>0</v>
      </c>
      <c r="CZ105" s="102">
        <f t="shared" si="349"/>
        <v>0</v>
      </c>
      <c r="DA105" s="102">
        <f t="shared" si="350"/>
        <v>0</v>
      </c>
      <c r="DB105" s="151">
        <f t="shared" si="351"/>
        <v>0</v>
      </c>
      <c r="DC105" s="85">
        <f t="shared" si="352"/>
        <v>0</v>
      </c>
      <c r="DD105" s="147">
        <f t="shared" si="353"/>
        <v>0</v>
      </c>
      <c r="DE105" s="147">
        <f t="shared" si="354"/>
        <v>0</v>
      </c>
      <c r="DF105" s="147">
        <f t="shared" si="355"/>
        <v>0</v>
      </c>
      <c r="DG105" s="147">
        <f t="shared" si="356"/>
        <v>0</v>
      </c>
      <c r="DH105" s="85">
        <f t="shared" si="357"/>
        <v>0</v>
      </c>
      <c r="DI105" s="151">
        <f t="shared" si="358"/>
        <v>0</v>
      </c>
      <c r="DJ105" s="102">
        <f t="shared" si="359"/>
        <v>0</v>
      </c>
      <c r="DK105" s="102">
        <f t="shared" si="360"/>
        <v>0</v>
      </c>
      <c r="DL105" s="102">
        <f t="shared" si="361"/>
        <v>0</v>
      </c>
      <c r="DM105" s="102">
        <f t="shared" si="362"/>
        <v>0</v>
      </c>
      <c r="DN105" s="564">
        <f t="shared" si="363"/>
        <v>0</v>
      </c>
      <c r="DP105" s="10">
        <f t="shared" si="315"/>
        <v>2075</v>
      </c>
      <c r="DQ105" s="85">
        <f t="shared" si="364"/>
        <v>0</v>
      </c>
      <c r="DR105" s="147">
        <f t="shared" si="365"/>
        <v>0</v>
      </c>
      <c r="DS105" s="147">
        <f t="shared" si="366"/>
        <v>0</v>
      </c>
      <c r="DT105" s="147">
        <f t="shared" si="367"/>
        <v>0</v>
      </c>
      <c r="DU105" s="147">
        <f t="shared" si="368"/>
        <v>0</v>
      </c>
      <c r="DV105" s="85">
        <f t="shared" si="369"/>
        <v>0</v>
      </c>
      <c r="DW105" s="151">
        <f t="shared" si="370"/>
        <v>0</v>
      </c>
      <c r="DX105" s="102">
        <f t="shared" si="371"/>
        <v>0</v>
      </c>
      <c r="DY105" s="102">
        <f t="shared" si="372"/>
        <v>0</v>
      </c>
      <c r="DZ105" s="102">
        <f t="shared" si="373"/>
        <v>0</v>
      </c>
      <c r="EA105" s="102">
        <f t="shared" si="374"/>
        <v>0</v>
      </c>
      <c r="EB105" s="151">
        <f t="shared" si="375"/>
        <v>0</v>
      </c>
      <c r="EC105" s="85">
        <f t="shared" si="376"/>
        <v>0</v>
      </c>
      <c r="ED105" s="147">
        <f t="shared" si="377"/>
        <v>0</v>
      </c>
      <c r="EE105" s="147">
        <f t="shared" si="378"/>
        <v>0</v>
      </c>
      <c r="EF105" s="147">
        <f t="shared" si="379"/>
        <v>0</v>
      </c>
      <c r="EG105" s="147">
        <f t="shared" si="380"/>
        <v>0</v>
      </c>
      <c r="EH105" s="85">
        <f t="shared" si="381"/>
        <v>0</v>
      </c>
      <c r="EI105" s="151">
        <f t="shared" si="382"/>
        <v>0</v>
      </c>
      <c r="EJ105" s="102">
        <f t="shared" si="383"/>
        <v>0</v>
      </c>
      <c r="EK105" s="102">
        <f t="shared" si="384"/>
        <v>0</v>
      </c>
      <c r="EL105" s="102">
        <f t="shared" si="385"/>
        <v>0</v>
      </c>
      <c r="EM105" s="102">
        <f t="shared" si="386"/>
        <v>0</v>
      </c>
      <c r="EN105" s="151">
        <f t="shared" si="387"/>
        <v>0</v>
      </c>
      <c r="EO105" s="85">
        <f t="shared" si="388"/>
        <v>0</v>
      </c>
      <c r="EP105" s="145">
        <f t="shared" si="389"/>
        <v>0</v>
      </c>
      <c r="EQ105" s="145">
        <f t="shared" si="390"/>
        <v>0</v>
      </c>
      <c r="ER105" s="145">
        <f t="shared" si="391"/>
        <v>0</v>
      </c>
      <c r="ES105" s="145">
        <f t="shared" si="392"/>
        <v>0</v>
      </c>
      <c r="ET105" s="85">
        <f t="shared" si="393"/>
        <v>0</v>
      </c>
      <c r="EU105" s="102">
        <f t="shared" si="394"/>
        <v>0</v>
      </c>
      <c r="EV105" s="102">
        <f t="shared" si="395"/>
        <v>0</v>
      </c>
      <c r="EW105" s="102">
        <f t="shared" si="396"/>
        <v>0</v>
      </c>
      <c r="EX105" s="102">
        <f t="shared" si="397"/>
        <v>0</v>
      </c>
      <c r="EY105" s="102">
        <f t="shared" si="398"/>
        <v>0</v>
      </c>
      <c r="EZ105" s="564">
        <f t="shared" si="399"/>
        <v>0</v>
      </c>
    </row>
    <row r="106" spans="82:156">
      <c r="CD106" s="10">
        <f t="shared" si="314"/>
        <v>2076</v>
      </c>
      <c r="CE106" s="85">
        <f t="shared" si="328"/>
        <v>0</v>
      </c>
      <c r="CF106" s="147">
        <f t="shared" si="329"/>
        <v>0</v>
      </c>
      <c r="CG106" s="147">
        <f t="shared" si="330"/>
        <v>0</v>
      </c>
      <c r="CH106" s="147">
        <f t="shared" si="331"/>
        <v>0</v>
      </c>
      <c r="CI106" s="147">
        <f t="shared" si="332"/>
        <v>0</v>
      </c>
      <c r="CJ106" s="85">
        <f t="shared" si="333"/>
        <v>0</v>
      </c>
      <c r="CK106" s="151">
        <f t="shared" si="334"/>
        <v>0</v>
      </c>
      <c r="CL106" s="102">
        <f t="shared" si="335"/>
        <v>0</v>
      </c>
      <c r="CM106" s="102">
        <f t="shared" si="336"/>
        <v>0</v>
      </c>
      <c r="CN106" s="102">
        <f t="shared" si="337"/>
        <v>0</v>
      </c>
      <c r="CO106" s="102">
        <f t="shared" si="338"/>
        <v>0</v>
      </c>
      <c r="CP106" s="151">
        <f t="shared" si="339"/>
        <v>0</v>
      </c>
      <c r="CQ106" s="85">
        <f t="shared" si="340"/>
        <v>0</v>
      </c>
      <c r="CR106" s="147">
        <f t="shared" si="341"/>
        <v>0</v>
      </c>
      <c r="CS106" s="147">
        <f t="shared" si="342"/>
        <v>0</v>
      </c>
      <c r="CT106" s="147">
        <f t="shared" si="343"/>
        <v>0</v>
      </c>
      <c r="CU106" s="147">
        <f t="shared" si="344"/>
        <v>0</v>
      </c>
      <c r="CV106" s="85">
        <f t="shared" si="345"/>
        <v>0</v>
      </c>
      <c r="CW106" s="151">
        <f t="shared" si="346"/>
        <v>0</v>
      </c>
      <c r="CX106" s="102">
        <f t="shared" si="347"/>
        <v>0</v>
      </c>
      <c r="CY106" s="102">
        <f t="shared" si="348"/>
        <v>0</v>
      </c>
      <c r="CZ106" s="102">
        <f t="shared" si="349"/>
        <v>0</v>
      </c>
      <c r="DA106" s="102">
        <f t="shared" si="350"/>
        <v>0</v>
      </c>
      <c r="DB106" s="151">
        <f t="shared" si="351"/>
        <v>0</v>
      </c>
      <c r="DC106" s="85">
        <f t="shared" si="352"/>
        <v>0</v>
      </c>
      <c r="DD106" s="147">
        <f t="shared" si="353"/>
        <v>0</v>
      </c>
      <c r="DE106" s="147">
        <f t="shared" si="354"/>
        <v>0</v>
      </c>
      <c r="DF106" s="147">
        <f t="shared" si="355"/>
        <v>0</v>
      </c>
      <c r="DG106" s="147">
        <f t="shared" si="356"/>
        <v>0</v>
      </c>
      <c r="DH106" s="85">
        <f t="shared" si="357"/>
        <v>0</v>
      </c>
      <c r="DI106" s="151">
        <f t="shared" si="358"/>
        <v>0</v>
      </c>
      <c r="DJ106" s="102">
        <f t="shared" si="359"/>
        <v>0</v>
      </c>
      <c r="DK106" s="102">
        <f t="shared" si="360"/>
        <v>0</v>
      </c>
      <c r="DL106" s="102">
        <f t="shared" si="361"/>
        <v>0</v>
      </c>
      <c r="DM106" s="102">
        <f t="shared" si="362"/>
        <v>0</v>
      </c>
      <c r="DN106" s="564">
        <f t="shared" si="363"/>
        <v>0</v>
      </c>
      <c r="DP106" s="10">
        <f t="shared" si="315"/>
        <v>2076</v>
      </c>
      <c r="DQ106" s="85">
        <f t="shared" si="364"/>
        <v>0</v>
      </c>
      <c r="DR106" s="147">
        <f t="shared" si="365"/>
        <v>0</v>
      </c>
      <c r="DS106" s="147">
        <f t="shared" si="366"/>
        <v>0</v>
      </c>
      <c r="DT106" s="147">
        <f t="shared" si="367"/>
        <v>0</v>
      </c>
      <c r="DU106" s="147">
        <f t="shared" si="368"/>
        <v>0</v>
      </c>
      <c r="DV106" s="85">
        <f t="shared" si="369"/>
        <v>0</v>
      </c>
      <c r="DW106" s="151">
        <f t="shared" si="370"/>
        <v>0</v>
      </c>
      <c r="DX106" s="102">
        <f t="shared" si="371"/>
        <v>0</v>
      </c>
      <c r="DY106" s="102">
        <f t="shared" si="372"/>
        <v>0</v>
      </c>
      <c r="DZ106" s="102">
        <f t="shared" si="373"/>
        <v>0</v>
      </c>
      <c r="EA106" s="102">
        <f t="shared" si="374"/>
        <v>0</v>
      </c>
      <c r="EB106" s="151">
        <f t="shared" si="375"/>
        <v>0</v>
      </c>
      <c r="EC106" s="85">
        <f t="shared" si="376"/>
        <v>0</v>
      </c>
      <c r="ED106" s="147">
        <f t="shared" si="377"/>
        <v>0</v>
      </c>
      <c r="EE106" s="147">
        <f t="shared" si="378"/>
        <v>0</v>
      </c>
      <c r="EF106" s="147">
        <f t="shared" si="379"/>
        <v>0</v>
      </c>
      <c r="EG106" s="147">
        <f t="shared" si="380"/>
        <v>0</v>
      </c>
      <c r="EH106" s="85">
        <f t="shared" si="381"/>
        <v>0</v>
      </c>
      <c r="EI106" s="151">
        <f t="shared" si="382"/>
        <v>0</v>
      </c>
      <c r="EJ106" s="102">
        <f t="shared" si="383"/>
        <v>0</v>
      </c>
      <c r="EK106" s="102">
        <f t="shared" si="384"/>
        <v>0</v>
      </c>
      <c r="EL106" s="102">
        <f t="shared" si="385"/>
        <v>0</v>
      </c>
      <c r="EM106" s="102">
        <f t="shared" si="386"/>
        <v>0</v>
      </c>
      <c r="EN106" s="151">
        <f t="shared" si="387"/>
        <v>0</v>
      </c>
      <c r="EO106" s="85">
        <f t="shared" si="388"/>
        <v>0</v>
      </c>
      <c r="EP106" s="145">
        <f t="shared" si="389"/>
        <v>0</v>
      </c>
      <c r="EQ106" s="145">
        <f t="shared" si="390"/>
        <v>0</v>
      </c>
      <c r="ER106" s="145">
        <f t="shared" si="391"/>
        <v>0</v>
      </c>
      <c r="ES106" s="145">
        <f t="shared" si="392"/>
        <v>0</v>
      </c>
      <c r="ET106" s="85">
        <f t="shared" si="393"/>
        <v>0</v>
      </c>
      <c r="EU106" s="102">
        <f t="shared" si="394"/>
        <v>0</v>
      </c>
      <c r="EV106" s="102">
        <f t="shared" si="395"/>
        <v>0</v>
      </c>
      <c r="EW106" s="102">
        <f t="shared" si="396"/>
        <v>0</v>
      </c>
      <c r="EX106" s="102">
        <f t="shared" si="397"/>
        <v>0</v>
      </c>
      <c r="EY106" s="102">
        <f t="shared" si="398"/>
        <v>0</v>
      </c>
      <c r="EZ106" s="564">
        <f t="shared" si="399"/>
        <v>0</v>
      </c>
    </row>
    <row r="107" spans="82:156">
      <c r="CD107" s="10">
        <f t="shared" si="314"/>
        <v>2077</v>
      </c>
      <c r="CE107" s="85">
        <f t="shared" si="328"/>
        <v>0</v>
      </c>
      <c r="CF107" s="147">
        <f t="shared" si="329"/>
        <v>0</v>
      </c>
      <c r="CG107" s="147">
        <f t="shared" si="330"/>
        <v>0</v>
      </c>
      <c r="CH107" s="147">
        <f t="shared" si="331"/>
        <v>0</v>
      </c>
      <c r="CI107" s="147">
        <f t="shared" si="332"/>
        <v>0</v>
      </c>
      <c r="CJ107" s="85">
        <f t="shared" si="333"/>
        <v>0</v>
      </c>
      <c r="CK107" s="151">
        <f t="shared" si="334"/>
        <v>0</v>
      </c>
      <c r="CL107" s="102">
        <f t="shared" si="335"/>
        <v>0</v>
      </c>
      <c r="CM107" s="102">
        <f t="shared" si="336"/>
        <v>0</v>
      </c>
      <c r="CN107" s="102">
        <f t="shared" si="337"/>
        <v>0</v>
      </c>
      <c r="CO107" s="102">
        <f t="shared" si="338"/>
        <v>0</v>
      </c>
      <c r="CP107" s="151">
        <f t="shared" si="339"/>
        <v>0</v>
      </c>
      <c r="CQ107" s="85">
        <f t="shared" si="340"/>
        <v>0</v>
      </c>
      <c r="CR107" s="147">
        <f t="shared" si="341"/>
        <v>0</v>
      </c>
      <c r="CS107" s="147">
        <f t="shared" si="342"/>
        <v>0</v>
      </c>
      <c r="CT107" s="147">
        <f t="shared" si="343"/>
        <v>0</v>
      </c>
      <c r="CU107" s="147">
        <f t="shared" si="344"/>
        <v>0</v>
      </c>
      <c r="CV107" s="85">
        <f t="shared" si="345"/>
        <v>0</v>
      </c>
      <c r="CW107" s="151">
        <f t="shared" si="346"/>
        <v>0</v>
      </c>
      <c r="CX107" s="102">
        <f t="shared" si="347"/>
        <v>0</v>
      </c>
      <c r="CY107" s="102">
        <f t="shared" si="348"/>
        <v>0</v>
      </c>
      <c r="CZ107" s="102">
        <f t="shared" si="349"/>
        <v>0</v>
      </c>
      <c r="DA107" s="102">
        <f t="shared" si="350"/>
        <v>0</v>
      </c>
      <c r="DB107" s="151">
        <f t="shared" si="351"/>
        <v>0</v>
      </c>
      <c r="DC107" s="85">
        <f t="shared" si="352"/>
        <v>0</v>
      </c>
      <c r="DD107" s="147">
        <f t="shared" si="353"/>
        <v>0</v>
      </c>
      <c r="DE107" s="147">
        <f t="shared" si="354"/>
        <v>0</v>
      </c>
      <c r="DF107" s="147">
        <f t="shared" si="355"/>
        <v>0</v>
      </c>
      <c r="DG107" s="147">
        <f t="shared" si="356"/>
        <v>0</v>
      </c>
      <c r="DH107" s="85">
        <f t="shared" si="357"/>
        <v>0</v>
      </c>
      <c r="DI107" s="151">
        <f t="shared" si="358"/>
        <v>0</v>
      </c>
      <c r="DJ107" s="102">
        <f t="shared" si="359"/>
        <v>0</v>
      </c>
      <c r="DK107" s="102">
        <f t="shared" si="360"/>
        <v>0</v>
      </c>
      <c r="DL107" s="102">
        <f t="shared" si="361"/>
        <v>0</v>
      </c>
      <c r="DM107" s="102">
        <f t="shared" si="362"/>
        <v>0</v>
      </c>
      <c r="DN107" s="564">
        <f t="shared" si="363"/>
        <v>0</v>
      </c>
      <c r="DP107" s="10">
        <f t="shared" si="315"/>
        <v>2077</v>
      </c>
      <c r="DQ107" s="85">
        <f t="shared" si="364"/>
        <v>0</v>
      </c>
      <c r="DR107" s="147">
        <f t="shared" si="365"/>
        <v>0</v>
      </c>
      <c r="DS107" s="147">
        <f t="shared" si="366"/>
        <v>0</v>
      </c>
      <c r="DT107" s="147">
        <f t="shared" si="367"/>
        <v>0</v>
      </c>
      <c r="DU107" s="147">
        <f t="shared" si="368"/>
        <v>0</v>
      </c>
      <c r="DV107" s="85">
        <f t="shared" si="369"/>
        <v>0</v>
      </c>
      <c r="DW107" s="151">
        <f t="shared" si="370"/>
        <v>0</v>
      </c>
      <c r="DX107" s="102">
        <f t="shared" si="371"/>
        <v>0</v>
      </c>
      <c r="DY107" s="102">
        <f t="shared" si="372"/>
        <v>0</v>
      </c>
      <c r="DZ107" s="102">
        <f t="shared" si="373"/>
        <v>0</v>
      </c>
      <c r="EA107" s="102">
        <f t="shared" si="374"/>
        <v>0</v>
      </c>
      <c r="EB107" s="151">
        <f t="shared" si="375"/>
        <v>0</v>
      </c>
      <c r="EC107" s="85">
        <f t="shared" si="376"/>
        <v>0</v>
      </c>
      <c r="ED107" s="147">
        <f t="shared" si="377"/>
        <v>0</v>
      </c>
      <c r="EE107" s="147">
        <f t="shared" si="378"/>
        <v>0</v>
      </c>
      <c r="EF107" s="147">
        <f t="shared" si="379"/>
        <v>0</v>
      </c>
      <c r="EG107" s="147">
        <f t="shared" si="380"/>
        <v>0</v>
      </c>
      <c r="EH107" s="85">
        <f t="shared" si="381"/>
        <v>0</v>
      </c>
      <c r="EI107" s="151">
        <f t="shared" si="382"/>
        <v>0</v>
      </c>
      <c r="EJ107" s="102">
        <f t="shared" si="383"/>
        <v>0</v>
      </c>
      <c r="EK107" s="102">
        <f t="shared" si="384"/>
        <v>0</v>
      </c>
      <c r="EL107" s="102">
        <f t="shared" si="385"/>
        <v>0</v>
      </c>
      <c r="EM107" s="102">
        <f t="shared" si="386"/>
        <v>0</v>
      </c>
      <c r="EN107" s="151">
        <f t="shared" si="387"/>
        <v>0</v>
      </c>
      <c r="EO107" s="85">
        <f t="shared" si="388"/>
        <v>0</v>
      </c>
      <c r="EP107" s="145">
        <f t="shared" si="389"/>
        <v>0</v>
      </c>
      <c r="EQ107" s="145">
        <f t="shared" si="390"/>
        <v>0</v>
      </c>
      <c r="ER107" s="145">
        <f t="shared" si="391"/>
        <v>0</v>
      </c>
      <c r="ES107" s="145">
        <f t="shared" si="392"/>
        <v>0</v>
      </c>
      <c r="ET107" s="85">
        <f t="shared" si="393"/>
        <v>0</v>
      </c>
      <c r="EU107" s="102">
        <f t="shared" si="394"/>
        <v>0</v>
      </c>
      <c r="EV107" s="102">
        <f t="shared" si="395"/>
        <v>0</v>
      </c>
      <c r="EW107" s="102">
        <f t="shared" si="396"/>
        <v>0</v>
      </c>
      <c r="EX107" s="102">
        <f t="shared" si="397"/>
        <v>0</v>
      </c>
      <c r="EY107" s="102">
        <f t="shared" si="398"/>
        <v>0</v>
      </c>
      <c r="EZ107" s="564">
        <f t="shared" si="399"/>
        <v>0</v>
      </c>
    </row>
    <row r="108" spans="82:156">
      <c r="CD108" s="10">
        <f t="shared" si="314"/>
        <v>2078</v>
      </c>
      <c r="CE108" s="85">
        <f t="shared" si="328"/>
        <v>0</v>
      </c>
      <c r="CF108" s="147">
        <f t="shared" si="329"/>
        <v>0</v>
      </c>
      <c r="CG108" s="147">
        <f t="shared" si="330"/>
        <v>0</v>
      </c>
      <c r="CH108" s="147">
        <f t="shared" si="331"/>
        <v>0</v>
      </c>
      <c r="CI108" s="147">
        <f t="shared" si="332"/>
        <v>0</v>
      </c>
      <c r="CJ108" s="85">
        <f t="shared" si="333"/>
        <v>0</v>
      </c>
      <c r="CK108" s="151">
        <f t="shared" si="334"/>
        <v>0</v>
      </c>
      <c r="CL108" s="102">
        <f t="shared" si="335"/>
        <v>0</v>
      </c>
      <c r="CM108" s="102">
        <f t="shared" si="336"/>
        <v>0</v>
      </c>
      <c r="CN108" s="102">
        <f t="shared" si="337"/>
        <v>0</v>
      </c>
      <c r="CO108" s="102">
        <f t="shared" si="338"/>
        <v>0</v>
      </c>
      <c r="CP108" s="151">
        <f t="shared" si="339"/>
        <v>0</v>
      </c>
      <c r="CQ108" s="85">
        <f t="shared" si="340"/>
        <v>0</v>
      </c>
      <c r="CR108" s="147">
        <f t="shared" si="341"/>
        <v>0</v>
      </c>
      <c r="CS108" s="147">
        <f t="shared" si="342"/>
        <v>0</v>
      </c>
      <c r="CT108" s="147">
        <f t="shared" si="343"/>
        <v>0</v>
      </c>
      <c r="CU108" s="147">
        <f t="shared" si="344"/>
        <v>0</v>
      </c>
      <c r="CV108" s="85">
        <f t="shared" si="345"/>
        <v>0</v>
      </c>
      <c r="CW108" s="151">
        <f t="shared" si="346"/>
        <v>0</v>
      </c>
      <c r="CX108" s="102">
        <f t="shared" si="347"/>
        <v>0</v>
      </c>
      <c r="CY108" s="102">
        <f t="shared" si="348"/>
        <v>0</v>
      </c>
      <c r="CZ108" s="102">
        <f t="shared" si="349"/>
        <v>0</v>
      </c>
      <c r="DA108" s="102">
        <f t="shared" si="350"/>
        <v>0</v>
      </c>
      <c r="DB108" s="151">
        <f t="shared" si="351"/>
        <v>0</v>
      </c>
      <c r="DC108" s="85">
        <f t="shared" si="352"/>
        <v>0</v>
      </c>
      <c r="DD108" s="147">
        <f t="shared" si="353"/>
        <v>0</v>
      </c>
      <c r="DE108" s="147">
        <f t="shared" si="354"/>
        <v>0</v>
      </c>
      <c r="DF108" s="147">
        <f t="shared" si="355"/>
        <v>0</v>
      </c>
      <c r="DG108" s="147">
        <f t="shared" si="356"/>
        <v>0</v>
      </c>
      <c r="DH108" s="85">
        <f t="shared" si="357"/>
        <v>0</v>
      </c>
      <c r="DI108" s="151">
        <f t="shared" si="358"/>
        <v>0</v>
      </c>
      <c r="DJ108" s="102">
        <f t="shared" si="359"/>
        <v>0</v>
      </c>
      <c r="DK108" s="102">
        <f t="shared" si="360"/>
        <v>0</v>
      </c>
      <c r="DL108" s="102">
        <f t="shared" si="361"/>
        <v>0</v>
      </c>
      <c r="DM108" s="102">
        <f t="shared" si="362"/>
        <v>0</v>
      </c>
      <c r="DN108" s="564">
        <f t="shared" si="363"/>
        <v>0</v>
      </c>
      <c r="DP108" s="10">
        <f t="shared" si="315"/>
        <v>2078</v>
      </c>
      <c r="DQ108" s="85">
        <f t="shared" si="364"/>
        <v>0</v>
      </c>
      <c r="DR108" s="147">
        <f t="shared" si="365"/>
        <v>0</v>
      </c>
      <c r="DS108" s="147">
        <f t="shared" si="366"/>
        <v>0</v>
      </c>
      <c r="DT108" s="147">
        <f t="shared" si="367"/>
        <v>0</v>
      </c>
      <c r="DU108" s="147">
        <f t="shared" si="368"/>
        <v>0</v>
      </c>
      <c r="DV108" s="85">
        <f t="shared" si="369"/>
        <v>0</v>
      </c>
      <c r="DW108" s="151">
        <f t="shared" si="370"/>
        <v>0</v>
      </c>
      <c r="DX108" s="102">
        <f t="shared" si="371"/>
        <v>0</v>
      </c>
      <c r="DY108" s="102">
        <f t="shared" si="372"/>
        <v>0</v>
      </c>
      <c r="DZ108" s="102">
        <f t="shared" si="373"/>
        <v>0</v>
      </c>
      <c r="EA108" s="102">
        <f t="shared" si="374"/>
        <v>0</v>
      </c>
      <c r="EB108" s="151">
        <f t="shared" si="375"/>
        <v>0</v>
      </c>
      <c r="EC108" s="85">
        <f t="shared" si="376"/>
        <v>0</v>
      </c>
      <c r="ED108" s="147">
        <f t="shared" si="377"/>
        <v>0</v>
      </c>
      <c r="EE108" s="147">
        <f t="shared" si="378"/>
        <v>0</v>
      </c>
      <c r="EF108" s="147">
        <f t="shared" si="379"/>
        <v>0</v>
      </c>
      <c r="EG108" s="147">
        <f t="shared" si="380"/>
        <v>0</v>
      </c>
      <c r="EH108" s="85">
        <f t="shared" si="381"/>
        <v>0</v>
      </c>
      <c r="EI108" s="151">
        <f t="shared" si="382"/>
        <v>0</v>
      </c>
      <c r="EJ108" s="102">
        <f t="shared" si="383"/>
        <v>0</v>
      </c>
      <c r="EK108" s="102">
        <f t="shared" si="384"/>
        <v>0</v>
      </c>
      <c r="EL108" s="102">
        <f t="shared" si="385"/>
        <v>0</v>
      </c>
      <c r="EM108" s="102">
        <f t="shared" si="386"/>
        <v>0</v>
      </c>
      <c r="EN108" s="151">
        <f t="shared" si="387"/>
        <v>0</v>
      </c>
      <c r="EO108" s="85">
        <f t="shared" si="388"/>
        <v>0</v>
      </c>
      <c r="EP108" s="145">
        <f t="shared" si="389"/>
        <v>0</v>
      </c>
      <c r="EQ108" s="145">
        <f t="shared" si="390"/>
        <v>0</v>
      </c>
      <c r="ER108" s="145">
        <f t="shared" si="391"/>
        <v>0</v>
      </c>
      <c r="ES108" s="145">
        <f t="shared" si="392"/>
        <v>0</v>
      </c>
      <c r="ET108" s="85">
        <f t="shared" si="393"/>
        <v>0</v>
      </c>
      <c r="EU108" s="102">
        <f t="shared" si="394"/>
        <v>0</v>
      </c>
      <c r="EV108" s="102">
        <f t="shared" si="395"/>
        <v>0</v>
      </c>
      <c r="EW108" s="102">
        <f t="shared" si="396"/>
        <v>0</v>
      </c>
      <c r="EX108" s="102">
        <f t="shared" si="397"/>
        <v>0</v>
      </c>
      <c r="EY108" s="102">
        <f t="shared" si="398"/>
        <v>0</v>
      </c>
      <c r="EZ108" s="564">
        <f t="shared" si="399"/>
        <v>0</v>
      </c>
    </row>
    <row r="109" spans="82:156">
      <c r="CD109" s="10">
        <f t="shared" si="314"/>
        <v>2079</v>
      </c>
      <c r="CE109" s="85">
        <f t="shared" si="328"/>
        <v>0</v>
      </c>
      <c r="CF109" s="147">
        <f t="shared" si="329"/>
        <v>0</v>
      </c>
      <c r="CG109" s="147">
        <f t="shared" si="330"/>
        <v>0</v>
      </c>
      <c r="CH109" s="147">
        <f t="shared" si="331"/>
        <v>0</v>
      </c>
      <c r="CI109" s="147">
        <f t="shared" si="332"/>
        <v>0</v>
      </c>
      <c r="CJ109" s="85">
        <f t="shared" si="333"/>
        <v>0</v>
      </c>
      <c r="CK109" s="151">
        <f t="shared" si="334"/>
        <v>0</v>
      </c>
      <c r="CL109" s="102">
        <f t="shared" si="335"/>
        <v>0</v>
      </c>
      <c r="CM109" s="102">
        <f t="shared" si="336"/>
        <v>0</v>
      </c>
      <c r="CN109" s="102">
        <f t="shared" si="337"/>
        <v>0</v>
      </c>
      <c r="CO109" s="102">
        <f t="shared" si="338"/>
        <v>0</v>
      </c>
      <c r="CP109" s="151">
        <f t="shared" si="339"/>
        <v>0</v>
      </c>
      <c r="CQ109" s="85">
        <f t="shared" si="340"/>
        <v>0</v>
      </c>
      <c r="CR109" s="147">
        <f t="shared" si="341"/>
        <v>0</v>
      </c>
      <c r="CS109" s="147">
        <f t="shared" si="342"/>
        <v>0</v>
      </c>
      <c r="CT109" s="147">
        <f t="shared" si="343"/>
        <v>0</v>
      </c>
      <c r="CU109" s="147">
        <f t="shared" si="344"/>
        <v>0</v>
      </c>
      <c r="CV109" s="85">
        <f t="shared" si="345"/>
        <v>0</v>
      </c>
      <c r="CW109" s="151">
        <f t="shared" si="346"/>
        <v>0</v>
      </c>
      <c r="CX109" s="102">
        <f t="shared" si="347"/>
        <v>0</v>
      </c>
      <c r="CY109" s="102">
        <f t="shared" si="348"/>
        <v>0</v>
      </c>
      <c r="CZ109" s="102">
        <f t="shared" si="349"/>
        <v>0</v>
      </c>
      <c r="DA109" s="102">
        <f t="shared" si="350"/>
        <v>0</v>
      </c>
      <c r="DB109" s="151">
        <f t="shared" si="351"/>
        <v>0</v>
      </c>
      <c r="DC109" s="85">
        <f t="shared" si="352"/>
        <v>0</v>
      </c>
      <c r="DD109" s="147">
        <f t="shared" si="353"/>
        <v>0</v>
      </c>
      <c r="DE109" s="147">
        <f t="shared" si="354"/>
        <v>0</v>
      </c>
      <c r="DF109" s="147">
        <f t="shared" si="355"/>
        <v>0</v>
      </c>
      <c r="DG109" s="147">
        <f t="shared" si="356"/>
        <v>0</v>
      </c>
      <c r="DH109" s="85">
        <f t="shared" si="357"/>
        <v>0</v>
      </c>
      <c r="DI109" s="151">
        <f t="shared" si="358"/>
        <v>0</v>
      </c>
      <c r="DJ109" s="102">
        <f t="shared" si="359"/>
        <v>0</v>
      </c>
      <c r="DK109" s="102">
        <f t="shared" si="360"/>
        <v>0</v>
      </c>
      <c r="DL109" s="102">
        <f t="shared" si="361"/>
        <v>0</v>
      </c>
      <c r="DM109" s="102">
        <f t="shared" si="362"/>
        <v>0</v>
      </c>
      <c r="DN109" s="564">
        <f t="shared" si="363"/>
        <v>0</v>
      </c>
      <c r="DP109" s="10">
        <f t="shared" si="315"/>
        <v>2079</v>
      </c>
      <c r="DQ109" s="85">
        <f t="shared" si="364"/>
        <v>0</v>
      </c>
      <c r="DR109" s="147">
        <f t="shared" si="365"/>
        <v>0</v>
      </c>
      <c r="DS109" s="147">
        <f t="shared" si="366"/>
        <v>0</v>
      </c>
      <c r="DT109" s="147">
        <f t="shared" si="367"/>
        <v>0</v>
      </c>
      <c r="DU109" s="147">
        <f t="shared" si="368"/>
        <v>0</v>
      </c>
      <c r="DV109" s="85">
        <f t="shared" si="369"/>
        <v>0</v>
      </c>
      <c r="DW109" s="151">
        <f t="shared" si="370"/>
        <v>0</v>
      </c>
      <c r="DX109" s="102">
        <f t="shared" si="371"/>
        <v>0</v>
      </c>
      <c r="DY109" s="102">
        <f t="shared" si="372"/>
        <v>0</v>
      </c>
      <c r="DZ109" s="102">
        <f t="shared" si="373"/>
        <v>0</v>
      </c>
      <c r="EA109" s="102">
        <f t="shared" si="374"/>
        <v>0</v>
      </c>
      <c r="EB109" s="151">
        <f t="shared" si="375"/>
        <v>0</v>
      </c>
      <c r="EC109" s="85">
        <f t="shared" si="376"/>
        <v>0</v>
      </c>
      <c r="ED109" s="147">
        <f t="shared" si="377"/>
        <v>0</v>
      </c>
      <c r="EE109" s="147">
        <f t="shared" si="378"/>
        <v>0</v>
      </c>
      <c r="EF109" s="147">
        <f t="shared" si="379"/>
        <v>0</v>
      </c>
      <c r="EG109" s="147">
        <f t="shared" si="380"/>
        <v>0</v>
      </c>
      <c r="EH109" s="85">
        <f t="shared" si="381"/>
        <v>0</v>
      </c>
      <c r="EI109" s="151">
        <f t="shared" si="382"/>
        <v>0</v>
      </c>
      <c r="EJ109" s="102">
        <f t="shared" si="383"/>
        <v>0</v>
      </c>
      <c r="EK109" s="102">
        <f t="shared" si="384"/>
        <v>0</v>
      </c>
      <c r="EL109" s="102">
        <f t="shared" si="385"/>
        <v>0</v>
      </c>
      <c r="EM109" s="102">
        <f t="shared" si="386"/>
        <v>0</v>
      </c>
      <c r="EN109" s="151">
        <f t="shared" si="387"/>
        <v>0</v>
      </c>
      <c r="EO109" s="85">
        <f t="shared" si="388"/>
        <v>0</v>
      </c>
      <c r="EP109" s="145">
        <f t="shared" si="389"/>
        <v>0</v>
      </c>
      <c r="EQ109" s="145">
        <f t="shared" si="390"/>
        <v>0</v>
      </c>
      <c r="ER109" s="145">
        <f t="shared" si="391"/>
        <v>0</v>
      </c>
      <c r="ES109" s="145">
        <f t="shared" si="392"/>
        <v>0</v>
      </c>
      <c r="ET109" s="85">
        <f t="shared" si="393"/>
        <v>0</v>
      </c>
      <c r="EU109" s="102">
        <f t="shared" si="394"/>
        <v>0</v>
      </c>
      <c r="EV109" s="102">
        <f t="shared" si="395"/>
        <v>0</v>
      </c>
      <c r="EW109" s="102">
        <f t="shared" si="396"/>
        <v>0</v>
      </c>
      <c r="EX109" s="102">
        <f t="shared" si="397"/>
        <v>0</v>
      </c>
      <c r="EY109" s="102">
        <f t="shared" si="398"/>
        <v>0</v>
      </c>
      <c r="EZ109" s="564">
        <f t="shared" si="399"/>
        <v>0</v>
      </c>
    </row>
    <row r="110" spans="82:156">
      <c r="CD110" s="10">
        <f t="shared" si="314"/>
        <v>2080</v>
      </c>
      <c r="CE110" s="85">
        <f t="shared" si="328"/>
        <v>0</v>
      </c>
      <c r="CF110" s="147">
        <f t="shared" si="329"/>
        <v>0</v>
      </c>
      <c r="CG110" s="147">
        <f t="shared" si="330"/>
        <v>0</v>
      </c>
      <c r="CH110" s="147">
        <f t="shared" si="331"/>
        <v>0</v>
      </c>
      <c r="CI110" s="147">
        <f t="shared" si="332"/>
        <v>0</v>
      </c>
      <c r="CJ110" s="85">
        <f t="shared" si="333"/>
        <v>0</v>
      </c>
      <c r="CK110" s="151">
        <f t="shared" si="334"/>
        <v>0</v>
      </c>
      <c r="CL110" s="102">
        <f t="shared" si="335"/>
        <v>0</v>
      </c>
      <c r="CM110" s="102">
        <f t="shared" si="336"/>
        <v>0</v>
      </c>
      <c r="CN110" s="102">
        <f t="shared" si="337"/>
        <v>0</v>
      </c>
      <c r="CO110" s="102">
        <f t="shared" si="338"/>
        <v>0</v>
      </c>
      <c r="CP110" s="151">
        <f t="shared" si="339"/>
        <v>0</v>
      </c>
      <c r="CQ110" s="85">
        <f t="shared" si="340"/>
        <v>0</v>
      </c>
      <c r="CR110" s="147">
        <f t="shared" si="341"/>
        <v>0</v>
      </c>
      <c r="CS110" s="147">
        <f t="shared" si="342"/>
        <v>0</v>
      </c>
      <c r="CT110" s="147">
        <f t="shared" si="343"/>
        <v>0</v>
      </c>
      <c r="CU110" s="147">
        <f t="shared" si="344"/>
        <v>0</v>
      </c>
      <c r="CV110" s="85">
        <f t="shared" si="345"/>
        <v>0</v>
      </c>
      <c r="CW110" s="151">
        <f t="shared" si="346"/>
        <v>0</v>
      </c>
      <c r="CX110" s="102">
        <f t="shared" si="347"/>
        <v>0</v>
      </c>
      <c r="CY110" s="102">
        <f t="shared" si="348"/>
        <v>0</v>
      </c>
      <c r="CZ110" s="102">
        <f t="shared" si="349"/>
        <v>0</v>
      </c>
      <c r="DA110" s="102">
        <f t="shared" si="350"/>
        <v>0</v>
      </c>
      <c r="DB110" s="151">
        <f t="shared" si="351"/>
        <v>0</v>
      </c>
      <c r="DC110" s="85">
        <f t="shared" si="352"/>
        <v>0</v>
      </c>
      <c r="DD110" s="147">
        <f t="shared" si="353"/>
        <v>0</v>
      </c>
      <c r="DE110" s="147">
        <f t="shared" si="354"/>
        <v>0</v>
      </c>
      <c r="DF110" s="147">
        <f t="shared" si="355"/>
        <v>0</v>
      </c>
      <c r="DG110" s="147">
        <f t="shared" si="356"/>
        <v>0</v>
      </c>
      <c r="DH110" s="85">
        <f t="shared" si="357"/>
        <v>0</v>
      </c>
      <c r="DI110" s="151">
        <f t="shared" si="358"/>
        <v>0</v>
      </c>
      <c r="DJ110" s="102">
        <f t="shared" si="359"/>
        <v>0</v>
      </c>
      <c r="DK110" s="102">
        <f t="shared" si="360"/>
        <v>0</v>
      </c>
      <c r="DL110" s="102">
        <f t="shared" si="361"/>
        <v>0</v>
      </c>
      <c r="DM110" s="102">
        <f t="shared" si="362"/>
        <v>0</v>
      </c>
      <c r="DN110" s="564">
        <f t="shared" si="363"/>
        <v>0</v>
      </c>
      <c r="DP110" s="10">
        <f t="shared" si="315"/>
        <v>2080</v>
      </c>
      <c r="DQ110" s="85">
        <f t="shared" si="364"/>
        <v>0</v>
      </c>
      <c r="DR110" s="147">
        <f t="shared" si="365"/>
        <v>0</v>
      </c>
      <c r="DS110" s="147">
        <f t="shared" si="366"/>
        <v>0</v>
      </c>
      <c r="DT110" s="147">
        <f t="shared" si="367"/>
        <v>0</v>
      </c>
      <c r="DU110" s="147">
        <f t="shared" si="368"/>
        <v>0</v>
      </c>
      <c r="DV110" s="85">
        <f t="shared" si="369"/>
        <v>0</v>
      </c>
      <c r="DW110" s="151">
        <f t="shared" si="370"/>
        <v>0</v>
      </c>
      <c r="DX110" s="102">
        <f t="shared" si="371"/>
        <v>0</v>
      </c>
      <c r="DY110" s="102">
        <f t="shared" si="372"/>
        <v>0</v>
      </c>
      <c r="DZ110" s="102">
        <f t="shared" si="373"/>
        <v>0</v>
      </c>
      <c r="EA110" s="102">
        <f t="shared" si="374"/>
        <v>0</v>
      </c>
      <c r="EB110" s="151">
        <f t="shared" si="375"/>
        <v>0</v>
      </c>
      <c r="EC110" s="85">
        <f t="shared" si="376"/>
        <v>0</v>
      </c>
      <c r="ED110" s="147">
        <f t="shared" si="377"/>
        <v>0</v>
      </c>
      <c r="EE110" s="147">
        <f t="shared" si="378"/>
        <v>0</v>
      </c>
      <c r="EF110" s="147">
        <f t="shared" si="379"/>
        <v>0</v>
      </c>
      <c r="EG110" s="147">
        <f t="shared" si="380"/>
        <v>0</v>
      </c>
      <c r="EH110" s="85">
        <f t="shared" si="381"/>
        <v>0</v>
      </c>
      <c r="EI110" s="151">
        <f t="shared" si="382"/>
        <v>0</v>
      </c>
      <c r="EJ110" s="102">
        <f t="shared" si="383"/>
        <v>0</v>
      </c>
      <c r="EK110" s="102">
        <f t="shared" si="384"/>
        <v>0</v>
      </c>
      <c r="EL110" s="102">
        <f t="shared" si="385"/>
        <v>0</v>
      </c>
      <c r="EM110" s="102">
        <f t="shared" si="386"/>
        <v>0</v>
      </c>
      <c r="EN110" s="151">
        <f t="shared" si="387"/>
        <v>0</v>
      </c>
      <c r="EO110" s="85">
        <f t="shared" si="388"/>
        <v>0</v>
      </c>
      <c r="EP110" s="145">
        <f t="shared" si="389"/>
        <v>0</v>
      </c>
      <c r="EQ110" s="145">
        <f t="shared" si="390"/>
        <v>0</v>
      </c>
      <c r="ER110" s="145">
        <f t="shared" si="391"/>
        <v>0</v>
      </c>
      <c r="ES110" s="145">
        <f t="shared" si="392"/>
        <v>0</v>
      </c>
      <c r="ET110" s="85">
        <f t="shared" si="393"/>
        <v>0</v>
      </c>
      <c r="EU110" s="102">
        <f t="shared" si="394"/>
        <v>0</v>
      </c>
      <c r="EV110" s="102">
        <f t="shared" si="395"/>
        <v>0</v>
      </c>
      <c r="EW110" s="102">
        <f t="shared" si="396"/>
        <v>0</v>
      </c>
      <c r="EX110" s="102">
        <f t="shared" si="397"/>
        <v>0</v>
      </c>
      <c r="EY110" s="102">
        <f t="shared" si="398"/>
        <v>0</v>
      </c>
      <c r="EZ110" s="564">
        <f t="shared" si="399"/>
        <v>0</v>
      </c>
    </row>
    <row r="111" spans="82:156">
      <c r="CD111" s="10">
        <f t="shared" si="314"/>
        <v>2081</v>
      </c>
      <c r="CE111" s="85">
        <f t="shared" si="328"/>
        <v>0</v>
      </c>
      <c r="CF111" s="147">
        <f t="shared" si="329"/>
        <v>0</v>
      </c>
      <c r="CG111" s="147">
        <f t="shared" si="330"/>
        <v>0</v>
      </c>
      <c r="CH111" s="147">
        <f t="shared" si="331"/>
        <v>0</v>
      </c>
      <c r="CI111" s="147">
        <f t="shared" si="332"/>
        <v>0</v>
      </c>
      <c r="CJ111" s="85">
        <f t="shared" si="333"/>
        <v>0</v>
      </c>
      <c r="CK111" s="151">
        <f t="shared" si="334"/>
        <v>0</v>
      </c>
      <c r="CL111" s="102">
        <f t="shared" si="335"/>
        <v>0</v>
      </c>
      <c r="CM111" s="102">
        <f t="shared" si="336"/>
        <v>0</v>
      </c>
      <c r="CN111" s="102">
        <f t="shared" si="337"/>
        <v>0</v>
      </c>
      <c r="CO111" s="102">
        <f t="shared" si="338"/>
        <v>0</v>
      </c>
      <c r="CP111" s="151">
        <f t="shared" si="339"/>
        <v>0</v>
      </c>
      <c r="CQ111" s="85">
        <f t="shared" si="340"/>
        <v>0</v>
      </c>
      <c r="CR111" s="147">
        <f t="shared" si="341"/>
        <v>0</v>
      </c>
      <c r="CS111" s="147">
        <f t="shared" si="342"/>
        <v>0</v>
      </c>
      <c r="CT111" s="147">
        <f t="shared" si="343"/>
        <v>0</v>
      </c>
      <c r="CU111" s="147">
        <f t="shared" si="344"/>
        <v>0</v>
      </c>
      <c r="CV111" s="85">
        <f t="shared" si="345"/>
        <v>0</v>
      </c>
      <c r="CW111" s="151">
        <f t="shared" si="346"/>
        <v>0</v>
      </c>
      <c r="CX111" s="102">
        <f t="shared" si="347"/>
        <v>0</v>
      </c>
      <c r="CY111" s="102">
        <f t="shared" si="348"/>
        <v>0</v>
      </c>
      <c r="CZ111" s="102">
        <f t="shared" si="349"/>
        <v>0</v>
      </c>
      <c r="DA111" s="102">
        <f t="shared" si="350"/>
        <v>0</v>
      </c>
      <c r="DB111" s="151">
        <f t="shared" si="351"/>
        <v>0</v>
      </c>
      <c r="DC111" s="85">
        <f t="shared" si="352"/>
        <v>0</v>
      </c>
      <c r="DD111" s="147">
        <f t="shared" si="353"/>
        <v>0</v>
      </c>
      <c r="DE111" s="147">
        <f t="shared" si="354"/>
        <v>0</v>
      </c>
      <c r="DF111" s="147">
        <f t="shared" si="355"/>
        <v>0</v>
      </c>
      <c r="DG111" s="147">
        <f t="shared" si="356"/>
        <v>0</v>
      </c>
      <c r="DH111" s="85">
        <f t="shared" si="357"/>
        <v>0</v>
      </c>
      <c r="DI111" s="151">
        <f t="shared" si="358"/>
        <v>0</v>
      </c>
      <c r="DJ111" s="102">
        <f t="shared" si="359"/>
        <v>0</v>
      </c>
      <c r="DK111" s="102">
        <f t="shared" si="360"/>
        <v>0</v>
      </c>
      <c r="DL111" s="102">
        <f t="shared" si="361"/>
        <v>0</v>
      </c>
      <c r="DM111" s="102">
        <f t="shared" si="362"/>
        <v>0</v>
      </c>
      <c r="DN111" s="564">
        <f t="shared" si="363"/>
        <v>0</v>
      </c>
      <c r="DP111" s="10">
        <f t="shared" si="315"/>
        <v>2081</v>
      </c>
      <c r="DQ111" s="85">
        <f t="shared" si="364"/>
        <v>0</v>
      </c>
      <c r="DR111" s="147">
        <f t="shared" si="365"/>
        <v>0</v>
      </c>
      <c r="DS111" s="147">
        <f t="shared" si="366"/>
        <v>0</v>
      </c>
      <c r="DT111" s="147">
        <f t="shared" si="367"/>
        <v>0</v>
      </c>
      <c r="DU111" s="147">
        <f t="shared" si="368"/>
        <v>0</v>
      </c>
      <c r="DV111" s="85">
        <f t="shared" si="369"/>
        <v>0</v>
      </c>
      <c r="DW111" s="151">
        <f t="shared" si="370"/>
        <v>0</v>
      </c>
      <c r="DX111" s="102">
        <f t="shared" si="371"/>
        <v>0</v>
      </c>
      <c r="DY111" s="102">
        <f t="shared" si="372"/>
        <v>0</v>
      </c>
      <c r="DZ111" s="102">
        <f t="shared" si="373"/>
        <v>0</v>
      </c>
      <c r="EA111" s="102">
        <f t="shared" si="374"/>
        <v>0</v>
      </c>
      <c r="EB111" s="151">
        <f t="shared" si="375"/>
        <v>0</v>
      </c>
      <c r="EC111" s="85">
        <f t="shared" si="376"/>
        <v>0</v>
      </c>
      <c r="ED111" s="147">
        <f t="shared" si="377"/>
        <v>0</v>
      </c>
      <c r="EE111" s="147">
        <f t="shared" si="378"/>
        <v>0</v>
      </c>
      <c r="EF111" s="147">
        <f t="shared" si="379"/>
        <v>0</v>
      </c>
      <c r="EG111" s="147">
        <f t="shared" si="380"/>
        <v>0</v>
      </c>
      <c r="EH111" s="85">
        <f t="shared" si="381"/>
        <v>0</v>
      </c>
      <c r="EI111" s="151">
        <f t="shared" si="382"/>
        <v>0</v>
      </c>
      <c r="EJ111" s="102">
        <f t="shared" si="383"/>
        <v>0</v>
      </c>
      <c r="EK111" s="102">
        <f t="shared" si="384"/>
        <v>0</v>
      </c>
      <c r="EL111" s="102">
        <f t="shared" si="385"/>
        <v>0</v>
      </c>
      <c r="EM111" s="102">
        <f t="shared" si="386"/>
        <v>0</v>
      </c>
      <c r="EN111" s="151">
        <f t="shared" si="387"/>
        <v>0</v>
      </c>
      <c r="EO111" s="85">
        <f t="shared" si="388"/>
        <v>0</v>
      </c>
      <c r="EP111" s="145">
        <f t="shared" si="389"/>
        <v>0</v>
      </c>
      <c r="EQ111" s="145">
        <f t="shared" si="390"/>
        <v>0</v>
      </c>
      <c r="ER111" s="145">
        <f t="shared" si="391"/>
        <v>0</v>
      </c>
      <c r="ES111" s="145">
        <f t="shared" si="392"/>
        <v>0</v>
      </c>
      <c r="ET111" s="85">
        <f t="shared" si="393"/>
        <v>0</v>
      </c>
      <c r="EU111" s="102">
        <f t="shared" si="394"/>
        <v>0</v>
      </c>
      <c r="EV111" s="102">
        <f t="shared" si="395"/>
        <v>0</v>
      </c>
      <c r="EW111" s="102">
        <f t="shared" si="396"/>
        <v>0</v>
      </c>
      <c r="EX111" s="102">
        <f t="shared" si="397"/>
        <v>0</v>
      </c>
      <c r="EY111" s="102">
        <f t="shared" si="398"/>
        <v>0</v>
      </c>
      <c r="EZ111" s="564">
        <f t="shared" si="399"/>
        <v>0</v>
      </c>
    </row>
    <row r="112" spans="82:156">
      <c r="CD112" s="10">
        <f t="shared" si="314"/>
        <v>2082</v>
      </c>
      <c r="CE112" s="85">
        <f t="shared" si="328"/>
        <v>0</v>
      </c>
      <c r="CF112" s="147">
        <f t="shared" si="329"/>
        <v>0</v>
      </c>
      <c r="CG112" s="147">
        <f t="shared" si="330"/>
        <v>0</v>
      </c>
      <c r="CH112" s="147">
        <f t="shared" si="331"/>
        <v>0</v>
      </c>
      <c r="CI112" s="147">
        <f t="shared" si="332"/>
        <v>0</v>
      </c>
      <c r="CJ112" s="85">
        <f t="shared" si="333"/>
        <v>0</v>
      </c>
      <c r="CK112" s="151">
        <f t="shared" si="334"/>
        <v>0</v>
      </c>
      <c r="CL112" s="102">
        <f t="shared" si="335"/>
        <v>0</v>
      </c>
      <c r="CM112" s="102">
        <f t="shared" si="336"/>
        <v>0</v>
      </c>
      <c r="CN112" s="102">
        <f t="shared" si="337"/>
        <v>0</v>
      </c>
      <c r="CO112" s="102">
        <f t="shared" si="338"/>
        <v>0</v>
      </c>
      <c r="CP112" s="151">
        <f t="shared" si="339"/>
        <v>0</v>
      </c>
      <c r="CQ112" s="85">
        <f t="shared" si="340"/>
        <v>0</v>
      </c>
      <c r="CR112" s="147">
        <f t="shared" si="341"/>
        <v>0</v>
      </c>
      <c r="CS112" s="147">
        <f t="shared" si="342"/>
        <v>0</v>
      </c>
      <c r="CT112" s="147">
        <f t="shared" si="343"/>
        <v>0</v>
      </c>
      <c r="CU112" s="147">
        <f t="shared" si="344"/>
        <v>0</v>
      </c>
      <c r="CV112" s="85">
        <f t="shared" si="345"/>
        <v>0</v>
      </c>
      <c r="CW112" s="151">
        <f t="shared" si="346"/>
        <v>0</v>
      </c>
      <c r="CX112" s="102">
        <f t="shared" si="347"/>
        <v>0</v>
      </c>
      <c r="CY112" s="102">
        <f t="shared" si="348"/>
        <v>0</v>
      </c>
      <c r="CZ112" s="102">
        <f t="shared" si="349"/>
        <v>0</v>
      </c>
      <c r="DA112" s="102">
        <f t="shared" si="350"/>
        <v>0</v>
      </c>
      <c r="DB112" s="151">
        <f t="shared" si="351"/>
        <v>0</v>
      </c>
      <c r="DC112" s="85">
        <f t="shared" si="352"/>
        <v>0</v>
      </c>
      <c r="DD112" s="147">
        <f t="shared" si="353"/>
        <v>0</v>
      </c>
      <c r="DE112" s="147">
        <f t="shared" si="354"/>
        <v>0</v>
      </c>
      <c r="DF112" s="147">
        <f t="shared" si="355"/>
        <v>0</v>
      </c>
      <c r="DG112" s="147">
        <f t="shared" si="356"/>
        <v>0</v>
      </c>
      <c r="DH112" s="85">
        <f t="shared" si="357"/>
        <v>0</v>
      </c>
      <c r="DI112" s="151">
        <f t="shared" si="358"/>
        <v>0</v>
      </c>
      <c r="DJ112" s="102">
        <f t="shared" si="359"/>
        <v>0</v>
      </c>
      <c r="DK112" s="102">
        <f t="shared" si="360"/>
        <v>0</v>
      </c>
      <c r="DL112" s="102">
        <f t="shared" si="361"/>
        <v>0</v>
      </c>
      <c r="DM112" s="102">
        <f t="shared" si="362"/>
        <v>0</v>
      </c>
      <c r="DN112" s="564">
        <f t="shared" si="363"/>
        <v>0</v>
      </c>
      <c r="DP112" s="10">
        <f t="shared" si="315"/>
        <v>2082</v>
      </c>
      <c r="DQ112" s="85">
        <f t="shared" si="364"/>
        <v>0</v>
      </c>
      <c r="DR112" s="147">
        <f t="shared" si="365"/>
        <v>0</v>
      </c>
      <c r="DS112" s="147">
        <f t="shared" si="366"/>
        <v>0</v>
      </c>
      <c r="DT112" s="147">
        <f t="shared" si="367"/>
        <v>0</v>
      </c>
      <c r="DU112" s="147">
        <f t="shared" si="368"/>
        <v>0</v>
      </c>
      <c r="DV112" s="85">
        <f t="shared" si="369"/>
        <v>0</v>
      </c>
      <c r="DW112" s="151">
        <f t="shared" si="370"/>
        <v>0</v>
      </c>
      <c r="DX112" s="102">
        <f t="shared" si="371"/>
        <v>0</v>
      </c>
      <c r="DY112" s="102">
        <f t="shared" si="372"/>
        <v>0</v>
      </c>
      <c r="DZ112" s="102">
        <f t="shared" si="373"/>
        <v>0</v>
      </c>
      <c r="EA112" s="102">
        <f t="shared" si="374"/>
        <v>0</v>
      </c>
      <c r="EB112" s="151">
        <f t="shared" si="375"/>
        <v>0</v>
      </c>
      <c r="EC112" s="85">
        <f t="shared" si="376"/>
        <v>0</v>
      </c>
      <c r="ED112" s="147">
        <f t="shared" si="377"/>
        <v>0</v>
      </c>
      <c r="EE112" s="147">
        <f t="shared" si="378"/>
        <v>0</v>
      </c>
      <c r="EF112" s="147">
        <f t="shared" si="379"/>
        <v>0</v>
      </c>
      <c r="EG112" s="147">
        <f t="shared" si="380"/>
        <v>0</v>
      </c>
      <c r="EH112" s="85">
        <f t="shared" si="381"/>
        <v>0</v>
      </c>
      <c r="EI112" s="151">
        <f t="shared" si="382"/>
        <v>0</v>
      </c>
      <c r="EJ112" s="102">
        <f t="shared" si="383"/>
        <v>0</v>
      </c>
      <c r="EK112" s="102">
        <f t="shared" si="384"/>
        <v>0</v>
      </c>
      <c r="EL112" s="102">
        <f t="shared" si="385"/>
        <v>0</v>
      </c>
      <c r="EM112" s="102">
        <f t="shared" si="386"/>
        <v>0</v>
      </c>
      <c r="EN112" s="151">
        <f t="shared" si="387"/>
        <v>0</v>
      </c>
      <c r="EO112" s="85">
        <f t="shared" si="388"/>
        <v>0</v>
      </c>
      <c r="EP112" s="145">
        <f t="shared" si="389"/>
        <v>0</v>
      </c>
      <c r="EQ112" s="145">
        <f t="shared" si="390"/>
        <v>0</v>
      </c>
      <c r="ER112" s="145">
        <f t="shared" si="391"/>
        <v>0</v>
      </c>
      <c r="ES112" s="145">
        <f t="shared" si="392"/>
        <v>0</v>
      </c>
      <c r="ET112" s="85">
        <f t="shared" si="393"/>
        <v>0</v>
      </c>
      <c r="EU112" s="102">
        <f t="shared" si="394"/>
        <v>0</v>
      </c>
      <c r="EV112" s="102">
        <f t="shared" si="395"/>
        <v>0</v>
      </c>
      <c r="EW112" s="102">
        <f t="shared" si="396"/>
        <v>0</v>
      </c>
      <c r="EX112" s="102">
        <f t="shared" si="397"/>
        <v>0</v>
      </c>
      <c r="EY112" s="102">
        <f t="shared" si="398"/>
        <v>0</v>
      </c>
      <c r="EZ112" s="564">
        <f t="shared" si="399"/>
        <v>0</v>
      </c>
    </row>
    <row r="113" spans="82:156">
      <c r="CD113" s="10">
        <f t="shared" si="314"/>
        <v>2083</v>
      </c>
      <c r="CE113" s="85">
        <f t="shared" si="328"/>
        <v>0</v>
      </c>
      <c r="CF113" s="147">
        <f t="shared" si="329"/>
        <v>0</v>
      </c>
      <c r="CG113" s="147">
        <f t="shared" si="330"/>
        <v>0</v>
      </c>
      <c r="CH113" s="147">
        <f t="shared" si="331"/>
        <v>0</v>
      </c>
      <c r="CI113" s="147">
        <f t="shared" si="332"/>
        <v>0</v>
      </c>
      <c r="CJ113" s="85">
        <f t="shared" si="333"/>
        <v>0</v>
      </c>
      <c r="CK113" s="151">
        <f t="shared" si="334"/>
        <v>0</v>
      </c>
      <c r="CL113" s="102">
        <f t="shared" si="335"/>
        <v>0</v>
      </c>
      <c r="CM113" s="102">
        <f t="shared" si="336"/>
        <v>0</v>
      </c>
      <c r="CN113" s="102">
        <f t="shared" si="337"/>
        <v>0</v>
      </c>
      <c r="CO113" s="102">
        <f t="shared" si="338"/>
        <v>0</v>
      </c>
      <c r="CP113" s="151">
        <f t="shared" si="339"/>
        <v>0</v>
      </c>
      <c r="CQ113" s="85">
        <f t="shared" si="340"/>
        <v>0</v>
      </c>
      <c r="CR113" s="147">
        <f t="shared" si="341"/>
        <v>0</v>
      </c>
      <c r="CS113" s="147">
        <f t="shared" si="342"/>
        <v>0</v>
      </c>
      <c r="CT113" s="147">
        <f t="shared" si="343"/>
        <v>0</v>
      </c>
      <c r="CU113" s="147">
        <f t="shared" si="344"/>
        <v>0</v>
      </c>
      <c r="CV113" s="85">
        <f t="shared" si="345"/>
        <v>0</v>
      </c>
      <c r="CW113" s="151">
        <f t="shared" si="346"/>
        <v>0</v>
      </c>
      <c r="CX113" s="102">
        <f t="shared" si="347"/>
        <v>0</v>
      </c>
      <c r="CY113" s="102">
        <f t="shared" si="348"/>
        <v>0</v>
      </c>
      <c r="CZ113" s="102">
        <f t="shared" si="349"/>
        <v>0</v>
      </c>
      <c r="DA113" s="102">
        <f t="shared" si="350"/>
        <v>0</v>
      </c>
      <c r="DB113" s="151">
        <f t="shared" si="351"/>
        <v>0</v>
      </c>
      <c r="DC113" s="85">
        <f t="shared" si="352"/>
        <v>0</v>
      </c>
      <c r="DD113" s="147">
        <f t="shared" si="353"/>
        <v>0</v>
      </c>
      <c r="DE113" s="147">
        <f t="shared" si="354"/>
        <v>0</v>
      </c>
      <c r="DF113" s="147">
        <f t="shared" si="355"/>
        <v>0</v>
      </c>
      <c r="DG113" s="147">
        <f t="shared" si="356"/>
        <v>0</v>
      </c>
      <c r="DH113" s="85">
        <f t="shared" si="357"/>
        <v>0</v>
      </c>
      <c r="DI113" s="151">
        <f t="shared" si="358"/>
        <v>0</v>
      </c>
      <c r="DJ113" s="102">
        <f t="shared" si="359"/>
        <v>0</v>
      </c>
      <c r="DK113" s="102">
        <f t="shared" si="360"/>
        <v>0</v>
      </c>
      <c r="DL113" s="102">
        <f t="shared" si="361"/>
        <v>0</v>
      </c>
      <c r="DM113" s="102">
        <f t="shared" si="362"/>
        <v>0</v>
      </c>
      <c r="DN113" s="564">
        <f t="shared" si="363"/>
        <v>0</v>
      </c>
      <c r="DP113" s="10">
        <f t="shared" si="315"/>
        <v>2083</v>
      </c>
      <c r="DQ113" s="85">
        <f t="shared" si="364"/>
        <v>0</v>
      </c>
      <c r="DR113" s="147">
        <f t="shared" si="365"/>
        <v>0</v>
      </c>
      <c r="DS113" s="147">
        <f t="shared" si="366"/>
        <v>0</v>
      </c>
      <c r="DT113" s="147">
        <f t="shared" si="367"/>
        <v>0</v>
      </c>
      <c r="DU113" s="147">
        <f t="shared" si="368"/>
        <v>0</v>
      </c>
      <c r="DV113" s="85">
        <f t="shared" si="369"/>
        <v>0</v>
      </c>
      <c r="DW113" s="151">
        <f t="shared" si="370"/>
        <v>0</v>
      </c>
      <c r="DX113" s="102">
        <f t="shared" si="371"/>
        <v>0</v>
      </c>
      <c r="DY113" s="102">
        <f t="shared" si="372"/>
        <v>0</v>
      </c>
      <c r="DZ113" s="102">
        <f t="shared" si="373"/>
        <v>0</v>
      </c>
      <c r="EA113" s="102">
        <f t="shared" si="374"/>
        <v>0</v>
      </c>
      <c r="EB113" s="151">
        <f t="shared" si="375"/>
        <v>0</v>
      </c>
      <c r="EC113" s="85">
        <f t="shared" si="376"/>
        <v>0</v>
      </c>
      <c r="ED113" s="147">
        <f t="shared" si="377"/>
        <v>0</v>
      </c>
      <c r="EE113" s="147">
        <f t="shared" si="378"/>
        <v>0</v>
      </c>
      <c r="EF113" s="147">
        <f t="shared" si="379"/>
        <v>0</v>
      </c>
      <c r="EG113" s="147">
        <f t="shared" si="380"/>
        <v>0</v>
      </c>
      <c r="EH113" s="85">
        <f t="shared" si="381"/>
        <v>0</v>
      </c>
      <c r="EI113" s="151">
        <f t="shared" si="382"/>
        <v>0</v>
      </c>
      <c r="EJ113" s="102">
        <f t="shared" si="383"/>
        <v>0</v>
      </c>
      <c r="EK113" s="102">
        <f t="shared" si="384"/>
        <v>0</v>
      </c>
      <c r="EL113" s="102">
        <f t="shared" si="385"/>
        <v>0</v>
      </c>
      <c r="EM113" s="102">
        <f t="shared" si="386"/>
        <v>0</v>
      </c>
      <c r="EN113" s="151">
        <f t="shared" si="387"/>
        <v>0</v>
      </c>
      <c r="EO113" s="85">
        <f t="shared" si="388"/>
        <v>0</v>
      </c>
      <c r="EP113" s="145">
        <f t="shared" si="389"/>
        <v>0</v>
      </c>
      <c r="EQ113" s="145">
        <f t="shared" si="390"/>
        <v>0</v>
      </c>
      <c r="ER113" s="145">
        <f t="shared" si="391"/>
        <v>0</v>
      </c>
      <c r="ES113" s="145">
        <f t="shared" si="392"/>
        <v>0</v>
      </c>
      <c r="ET113" s="85">
        <f t="shared" si="393"/>
        <v>0</v>
      </c>
      <c r="EU113" s="102">
        <f t="shared" si="394"/>
        <v>0</v>
      </c>
      <c r="EV113" s="102">
        <f t="shared" si="395"/>
        <v>0</v>
      </c>
      <c r="EW113" s="102">
        <f t="shared" si="396"/>
        <v>0</v>
      </c>
      <c r="EX113" s="102">
        <f t="shared" si="397"/>
        <v>0</v>
      </c>
      <c r="EY113" s="102">
        <f t="shared" si="398"/>
        <v>0</v>
      </c>
      <c r="EZ113" s="564">
        <f t="shared" si="399"/>
        <v>0</v>
      </c>
    </row>
    <row r="114" spans="82:156">
      <c r="CD114" s="10">
        <f t="shared" si="314"/>
        <v>2084</v>
      </c>
      <c r="CE114" s="85">
        <f t="shared" ref="CE114:CE127" si="400">IF($CD114&gt;$D$5,0,-PMT(VLOOKUP(CE$49,$C$9:$D$14,2,FALSE),VLOOKUP(CE$49,$C$15:$D$20,2,FALSE),SUMIFS(AS$50:AS$70,$AR$50:$AR$70,"&gt;"&amp;($CD114-VLOOKUP(CE$49,$C$15:$D$20,2,FALSE)),$AR$50:$AR$70,"&lt;="&amp;($CD114))))</f>
        <v>0</v>
      </c>
      <c r="CF114" s="147">
        <f t="shared" ref="CF114:CF127" si="401">IF($CD114&gt;$D$5,0,-PMT(VLOOKUP(CF$49,$C$9:$D$14,2,FALSE),VLOOKUP(CF$49,$C$15:$D$20,2,FALSE),SUMIFS(AT$50:AT$70,$AR$50:$AR$70,"&gt;"&amp;($CD114-VLOOKUP(CF$49,$C$15:$D$20,2,FALSE)),$AR$50:$AR$70,"&lt;="&amp;($CD114))))</f>
        <v>0</v>
      </c>
      <c r="CG114" s="147">
        <f t="shared" ref="CG114:CG127" si="402">IF($CD114&gt;$D$5,0,-PMT(VLOOKUP(CG$49,$C$9:$D$14,2,FALSE),VLOOKUP(CG$49,$C$15:$D$20,2,FALSE),SUMIFS(AU$50:AU$70,$AR$50:$AR$70,"&gt;"&amp;($CD114-VLOOKUP(CG$49,$C$15:$D$20,2,FALSE)),$AR$50:$AR$70,"&lt;="&amp;($CD114))))</f>
        <v>0</v>
      </c>
      <c r="CH114" s="147">
        <f t="shared" ref="CH114:CH127" si="403">IF($CD114&gt;$D$5,0,-PMT(VLOOKUP(CH$49,$C$9:$D$14,2,FALSE),VLOOKUP(CH$49,$C$15:$D$20,2,FALSE),SUMIFS(AV$50:AV$70,$AR$50:$AR$70,"&gt;"&amp;($CD114-VLOOKUP(CH$49,$C$15:$D$20,2,FALSE)),$AR$50:$AR$70,"&lt;="&amp;($CD114))))</f>
        <v>0</v>
      </c>
      <c r="CI114" s="147">
        <f t="shared" ref="CI114:CI127" si="404">IF($CD114&gt;$D$5,0,-PMT(VLOOKUP(CI$49,$C$9:$D$14,2,FALSE),VLOOKUP(CI$49,$C$15:$D$20,2,FALSE),SUMIFS(AW$50:AW$70,$AR$50:$AR$70,"&gt;"&amp;($CD114-VLOOKUP(CI$49,$C$15:$D$20,2,FALSE)),$AR$50:$AR$70,"&lt;="&amp;($CD114))))</f>
        <v>0</v>
      </c>
      <c r="CJ114" s="85">
        <f t="shared" ref="CJ114:CJ127" si="405">IF($CD114&gt;$D$5,0,-PMT(VLOOKUP(CJ$49,$C$9:$D$14,2,FALSE),VLOOKUP(CJ$49,$C$15:$D$20,2,FALSE),SUMIFS(AX$50:AX$70,$AR$50:$AR$70,"&gt;"&amp;($CD114-VLOOKUP(CJ$49,$C$15:$D$20,2,FALSE)),$AR$50:$AR$70,"&lt;="&amp;($CD114))))</f>
        <v>0</v>
      </c>
      <c r="CK114" s="151">
        <f t="shared" ref="CK114:CK127" si="406">IF($CD114&gt;$D$5,0,-PMT(VLOOKUP(CK$49,$C$9:$D$14,2,FALSE),VLOOKUP(CK$49,$C$15:$D$20,2,FALSE),SUMIFS(AY$50:AY$70,$AR$50:$AR$70,"&gt;"&amp;($CD114-VLOOKUP(CK$49,$C$15:$D$20,2,FALSE)),$AR$50:$AR$70,"&lt;="&amp;($CD114))))</f>
        <v>0</v>
      </c>
      <c r="CL114" s="102">
        <f t="shared" ref="CL114:CL127" si="407">IF($CD114&gt;$D$5,0,-PMT(VLOOKUP(CL$49,$C$9:$D$14,2,FALSE),VLOOKUP(CL$49,$C$15:$D$20,2,FALSE),SUMIFS(AZ$50:AZ$70,$AR$50:$AR$70,"&gt;"&amp;($CD114-VLOOKUP(CL$49,$C$15:$D$20,2,FALSE)),$AR$50:$AR$70,"&lt;="&amp;($CD114))))</f>
        <v>0</v>
      </c>
      <c r="CM114" s="102">
        <f t="shared" ref="CM114:CM127" si="408">IF($CD114&gt;$D$5,0,-PMT(VLOOKUP(CM$49,$C$9:$D$14,2,FALSE),VLOOKUP(CM$49,$C$15:$D$20,2,FALSE),SUMIFS(BA$50:BA$70,$AR$50:$AR$70,"&gt;"&amp;($CD114-VLOOKUP(CM$49,$C$15:$D$20,2,FALSE)),$AR$50:$AR$70,"&lt;="&amp;($CD114))))</f>
        <v>0</v>
      </c>
      <c r="CN114" s="102">
        <f t="shared" ref="CN114:CN127" si="409">IF($CD114&gt;$D$5,0,-PMT(VLOOKUP(CN$49,$C$9:$D$14,2,FALSE),VLOOKUP(CN$49,$C$15:$D$20,2,FALSE),SUMIFS(BB$50:BB$70,$AR$50:$AR$70,"&gt;"&amp;($CD114-VLOOKUP(CN$49,$C$15:$D$20,2,FALSE)),$AR$50:$AR$70,"&lt;="&amp;($CD114))))</f>
        <v>0</v>
      </c>
      <c r="CO114" s="102">
        <f t="shared" ref="CO114:CO127" si="410">IF($CD114&gt;$D$5,0,-PMT(VLOOKUP(CO$49,$C$9:$D$14,2,FALSE),VLOOKUP(CO$49,$C$15:$D$20,2,FALSE),SUMIFS(BC$50:BC$70,$AR$50:$AR$70,"&gt;"&amp;($CD114-VLOOKUP(CO$49,$C$15:$D$20,2,FALSE)),$AR$50:$AR$70,"&lt;="&amp;($CD114))))</f>
        <v>0</v>
      </c>
      <c r="CP114" s="151">
        <f t="shared" ref="CP114:CP127" si="411">IF($CD114&gt;$D$5,0,-PMT(VLOOKUP(CP$49,$C$9:$D$14,2,FALSE),VLOOKUP(CP$49,$C$15:$D$20,2,FALSE),SUMIFS(BD$50:BD$70,$AR$50:$AR$70,"&gt;"&amp;($CD114-VLOOKUP(CP$49,$C$15:$D$20,2,FALSE)),$AR$50:$AR$70,"&lt;="&amp;($CD114))))</f>
        <v>0</v>
      </c>
      <c r="CQ114" s="85">
        <f t="shared" ref="CQ114:CQ127" si="412">IF($CD114&gt;$D$5,0,-PMT(VLOOKUP(CQ$49,$C$9:$D$14,2,FALSE),VLOOKUP(CQ$49,$C$15:$D$20,2,FALSE),SUMIFS(BE$50:BE$70,$AR$50:$AR$70,"&gt;"&amp;($CD114-VLOOKUP(CQ$49,$C$15:$D$20,2,FALSE)),$AR$50:$AR$70,"&lt;="&amp;($CD114))))</f>
        <v>0</v>
      </c>
      <c r="CR114" s="147">
        <f t="shared" ref="CR114:CR127" si="413">IF($CD114&gt;$D$5,0,-PMT(VLOOKUP(CR$49,$C$9:$D$14,2,FALSE),VLOOKUP(CR$49,$C$15:$D$20,2,FALSE),SUMIFS(BF$50:BF$70,$AR$50:$AR$70,"&gt;"&amp;($CD114-VLOOKUP(CR$49,$C$15:$D$20,2,FALSE)),$AR$50:$AR$70,"&lt;="&amp;($CD114))))</f>
        <v>0</v>
      </c>
      <c r="CS114" s="147">
        <f t="shared" ref="CS114:CS127" si="414">IF($CD114&gt;$D$5,0,-PMT(VLOOKUP(CS$49,$C$9:$D$14,2,FALSE),VLOOKUP(CS$49,$C$15:$D$20,2,FALSE),SUMIFS(BG$50:BG$70,$AR$50:$AR$70,"&gt;"&amp;($CD114-VLOOKUP(CS$49,$C$15:$D$20,2,FALSE)),$AR$50:$AR$70,"&lt;="&amp;($CD114))))</f>
        <v>0</v>
      </c>
      <c r="CT114" s="147">
        <f t="shared" ref="CT114:CT127" si="415">IF($CD114&gt;$D$5,0,-PMT(VLOOKUP(CT$49,$C$9:$D$14,2,FALSE),VLOOKUP(CT$49,$C$15:$D$20,2,FALSE),SUMIFS(BH$50:BH$70,$AR$50:$AR$70,"&gt;"&amp;($CD114-VLOOKUP(CT$49,$C$15:$D$20,2,FALSE)),$AR$50:$AR$70,"&lt;="&amp;($CD114))))</f>
        <v>0</v>
      </c>
      <c r="CU114" s="147">
        <f t="shared" ref="CU114:CU127" si="416">IF($CD114&gt;$D$5,0,-PMT(VLOOKUP(CU$49,$C$9:$D$14,2,FALSE),VLOOKUP(CU$49,$C$15:$D$20,2,FALSE),SUMIFS(BI$50:BI$70,$AR$50:$AR$70,"&gt;"&amp;($CD114-VLOOKUP(CU$49,$C$15:$D$20,2,FALSE)),$AR$50:$AR$70,"&lt;="&amp;($CD114))))</f>
        <v>0</v>
      </c>
      <c r="CV114" s="85">
        <f t="shared" ref="CV114:CV127" si="417">IF($CD114&gt;$D$5,0,-PMT(VLOOKUP(CV$49,$C$9:$D$14,2,FALSE),VLOOKUP(CV$49,$C$15:$D$20,2,FALSE),SUMIFS(BJ$50:BJ$70,$AR$50:$AR$70,"&gt;"&amp;($CD114-VLOOKUP(CV$49,$C$15:$D$20,2,FALSE)),$AR$50:$AR$70,"&lt;="&amp;($CD114))))</f>
        <v>0</v>
      </c>
      <c r="CW114" s="151">
        <f t="shared" ref="CW114:CW127" si="418">IF($CD114&gt;$D$5,0,-PMT(VLOOKUP(CW$49,$C$9:$D$14,2,FALSE),VLOOKUP(CW$49,$C$15:$D$20,2,FALSE),SUMIFS(BK$50:BK$70,$AR$50:$AR$70,"&gt;"&amp;($CD114-VLOOKUP(CW$49,$C$15:$D$20,2,FALSE)),$AR$50:$AR$70,"&lt;="&amp;($CD114))))</f>
        <v>0</v>
      </c>
      <c r="CX114" s="102">
        <f t="shared" ref="CX114:CX127" si="419">IF($CD114&gt;$D$5,0,-PMT(VLOOKUP(CX$49,$C$9:$D$14,2,FALSE),VLOOKUP(CX$49,$C$15:$D$20,2,FALSE),SUMIFS(BL$50:BL$70,$AR$50:$AR$70,"&gt;"&amp;($CD114-VLOOKUP(CX$49,$C$15:$D$20,2,FALSE)),$AR$50:$AR$70,"&lt;="&amp;($CD114))))</f>
        <v>0</v>
      </c>
      <c r="CY114" s="102">
        <f t="shared" ref="CY114:CY127" si="420">IF($CD114&gt;$D$5,0,-PMT(VLOOKUP(CY$49,$C$9:$D$14,2,FALSE),VLOOKUP(CY$49,$C$15:$D$20,2,FALSE),SUMIFS(BM$50:BM$70,$AR$50:$AR$70,"&gt;"&amp;($CD114-VLOOKUP(CY$49,$C$15:$D$20,2,FALSE)),$AR$50:$AR$70,"&lt;="&amp;($CD114))))</f>
        <v>0</v>
      </c>
      <c r="CZ114" s="102">
        <f t="shared" ref="CZ114:CZ127" si="421">IF($CD114&gt;$D$5,0,-PMT(VLOOKUP(CZ$49,$C$9:$D$14,2,FALSE),VLOOKUP(CZ$49,$C$15:$D$20,2,FALSE),SUMIFS(BN$50:BN$70,$AR$50:$AR$70,"&gt;"&amp;($CD114-VLOOKUP(CZ$49,$C$15:$D$20,2,FALSE)),$AR$50:$AR$70,"&lt;="&amp;($CD114))))</f>
        <v>0</v>
      </c>
      <c r="DA114" s="102">
        <f t="shared" ref="DA114:DA127" si="422">IF($CD114&gt;$D$5,0,-PMT(VLOOKUP(DA$49,$C$9:$D$14,2,FALSE),VLOOKUP(DA$49,$C$15:$D$20,2,FALSE),SUMIFS(BO$50:BO$70,$AR$50:$AR$70,"&gt;"&amp;($CD114-VLOOKUP(DA$49,$C$15:$D$20,2,FALSE)),$AR$50:$AR$70,"&lt;="&amp;($CD114))))</f>
        <v>0</v>
      </c>
      <c r="DB114" s="151">
        <f t="shared" ref="DB114:DB127" si="423">IF($CD114&gt;$D$5,0,-PMT(VLOOKUP(DB$49,$C$9:$D$14,2,FALSE),VLOOKUP(DB$49,$C$15:$D$20,2,FALSE),SUMIFS(BP$50:BP$70,$AR$50:$AR$70,"&gt;"&amp;($CD114-VLOOKUP(DB$49,$C$15:$D$20,2,FALSE)),$AR$50:$AR$70,"&lt;="&amp;($CD114))))</f>
        <v>0</v>
      </c>
      <c r="DC114" s="85">
        <f t="shared" ref="DC114:DC127" si="424">IF($CD114&gt;$D$5,0,-PMT(VLOOKUP(DC$49,$C$9:$D$14,2,FALSE),VLOOKUP(DC$49,$C$15:$D$20,2,FALSE),SUMIFS(BQ$50:BQ$70,$AR$50:$AR$70,"&gt;"&amp;($CD114-VLOOKUP(DC$49,$C$15:$D$20,2,FALSE)),$AR$50:$AR$70,"&lt;="&amp;($CD114))))</f>
        <v>0</v>
      </c>
      <c r="DD114" s="147">
        <f t="shared" ref="DD114:DD127" si="425">IF($CD114&gt;$D$5,0,-PMT(VLOOKUP(DD$49,$C$9:$D$14,2,FALSE),VLOOKUP(DD$49,$C$15:$D$20,2,FALSE),SUMIFS(BR$50:BR$70,$AR$50:$AR$70,"&gt;"&amp;($CD114-VLOOKUP(DD$49,$C$15:$D$20,2,FALSE)),$AR$50:$AR$70,"&lt;="&amp;($CD114))))</f>
        <v>0</v>
      </c>
      <c r="DE114" s="147">
        <f t="shared" ref="DE114:DE127" si="426">IF($CD114&gt;$D$5,0,-PMT(VLOOKUP(DE$49,$C$9:$D$14,2,FALSE),VLOOKUP(DE$49,$C$15:$D$20,2,FALSE),SUMIFS(BS$50:BS$70,$AR$50:$AR$70,"&gt;"&amp;($CD114-VLOOKUP(DE$49,$C$15:$D$20,2,FALSE)),$AR$50:$AR$70,"&lt;="&amp;($CD114))))</f>
        <v>0</v>
      </c>
      <c r="DF114" s="147">
        <f t="shared" ref="DF114:DF127" si="427">IF($CD114&gt;$D$5,0,-PMT(VLOOKUP(DF$49,$C$9:$D$14,2,FALSE),VLOOKUP(DF$49,$C$15:$D$20,2,FALSE),SUMIFS(BT$50:BT$70,$AR$50:$AR$70,"&gt;"&amp;($CD114-VLOOKUP(DF$49,$C$15:$D$20,2,FALSE)),$AR$50:$AR$70,"&lt;="&amp;($CD114))))</f>
        <v>0</v>
      </c>
      <c r="DG114" s="147">
        <f t="shared" ref="DG114:DG127" si="428">IF($CD114&gt;$D$5,0,-PMT(VLOOKUP(DG$49,$C$9:$D$14,2,FALSE),VLOOKUP(DG$49,$C$15:$D$20,2,FALSE),SUMIFS(BU$50:BU$70,$AR$50:$AR$70,"&gt;"&amp;($CD114-VLOOKUP(DG$49,$C$15:$D$20,2,FALSE)),$AR$50:$AR$70,"&lt;="&amp;($CD114))))</f>
        <v>0</v>
      </c>
      <c r="DH114" s="85">
        <f t="shared" ref="DH114:DH127" si="429">IF($CD114&gt;$D$5,0,-PMT(VLOOKUP(DH$49,$C$9:$D$14,2,FALSE),VLOOKUP(DH$49,$C$15:$D$20,2,FALSE),SUMIFS(BV$50:BV$70,$AR$50:$AR$70,"&gt;"&amp;($CD114-VLOOKUP(DH$49,$C$15:$D$20,2,FALSE)),$AR$50:$AR$70,"&lt;="&amp;($CD114))))</f>
        <v>0</v>
      </c>
      <c r="DI114" s="151">
        <f t="shared" ref="DI114:DI127" si="430">IF($CD114&gt;$D$5,0,-PMT(VLOOKUP(DI$49,$C$9:$D$14,2,FALSE),VLOOKUP(DI$49,$C$15:$D$20,2,FALSE),SUMIFS(BW$50:BW$70,$AR$50:$AR$70,"&gt;"&amp;($CD114-VLOOKUP(DI$49,$C$15:$D$20,2,FALSE)),$AR$50:$AR$70,"&lt;="&amp;($CD114))))</f>
        <v>0</v>
      </c>
      <c r="DJ114" s="102">
        <f t="shared" ref="DJ114:DJ127" si="431">IF($CD114&gt;$D$5,0,-PMT(VLOOKUP(DJ$49,$C$9:$D$14,2,FALSE),VLOOKUP(DJ$49,$C$15:$D$20,2,FALSE),SUMIFS(BX$50:BX$70,$AR$50:$AR$70,"&gt;"&amp;($CD114-VLOOKUP(DJ$49,$C$15:$D$20,2,FALSE)),$AR$50:$AR$70,"&lt;="&amp;($CD114))))</f>
        <v>0</v>
      </c>
      <c r="DK114" s="102">
        <f t="shared" ref="DK114:DK127" si="432">IF($CD114&gt;$D$5,0,-PMT(VLOOKUP(DK$49,$C$9:$D$14,2,FALSE),VLOOKUP(DK$49,$C$15:$D$20,2,FALSE),SUMIFS(BY$50:BY$70,$AR$50:$AR$70,"&gt;"&amp;($CD114-VLOOKUP(DK$49,$C$15:$D$20,2,FALSE)),$AR$50:$AR$70,"&lt;="&amp;($CD114))))</f>
        <v>0</v>
      </c>
      <c r="DL114" s="102">
        <f t="shared" ref="DL114:DL127" si="433">IF($CD114&gt;$D$5,0,-PMT(VLOOKUP(DL$49,$C$9:$D$14,2,FALSE),VLOOKUP(DL$49,$C$15:$D$20,2,FALSE),SUMIFS(BZ$50:BZ$70,$AR$50:$AR$70,"&gt;"&amp;($CD114-VLOOKUP(DL$49,$C$15:$D$20,2,FALSE)),$AR$50:$AR$70,"&lt;="&amp;($CD114))))</f>
        <v>0</v>
      </c>
      <c r="DM114" s="102">
        <f t="shared" ref="DM114:DM127" si="434">IF($CD114&gt;$D$5,0,-PMT(VLOOKUP(DM$49,$C$9:$D$14,2,FALSE),VLOOKUP(DM$49,$C$15:$D$20,2,FALSE),SUMIFS(CA$50:CA$70,$AR$50:$AR$70,"&gt;"&amp;($CD114-VLOOKUP(DM$49,$C$15:$D$20,2,FALSE)),$AR$50:$AR$70,"&lt;="&amp;($CD114))))</f>
        <v>0</v>
      </c>
      <c r="DN114" s="564">
        <f t="shared" ref="DN114:DN127" si="435">IF($CD114&gt;$D$5,0,-PMT(VLOOKUP(DN$49,$C$9:$D$14,2,FALSE),VLOOKUP(DN$49,$C$15:$D$20,2,FALSE),SUMIFS(CB$50:CB$70,$AR$50:$AR$70,"&gt;"&amp;($CD114-VLOOKUP(DN$49,$C$15:$D$20,2,FALSE)),$AR$50:$AR$70,"&lt;="&amp;($CD114))))</f>
        <v>0</v>
      </c>
      <c r="DP114" s="10">
        <f t="shared" si="315"/>
        <v>2084</v>
      </c>
      <c r="DQ114" s="85">
        <f t="shared" ref="DQ114:DQ127" si="436">IF($DP114&gt;$D$5,0,SUMIFS(FC$50:FC$70,$FB$50:$FB$70,"&gt;"&amp;($DP114-VLOOKUP(DQ$49,$C$15:$D$20,2,FALSE)),$FB$50:$FB$70,"&lt;="&amp;($DP114)))</f>
        <v>0</v>
      </c>
      <c r="DR114" s="147">
        <f t="shared" ref="DR114:DR127" si="437">IF($DP114&gt;$D$5,0,SUMIFS(FD$50:FD$70,$FB$50:$FB$70,"&gt;"&amp;($DP114-VLOOKUP(DR$49,$C$15:$D$20,2,FALSE)),$FB$50:$FB$70,"&lt;="&amp;($DP114)))</f>
        <v>0</v>
      </c>
      <c r="DS114" s="147">
        <f t="shared" ref="DS114:DS127" si="438">IF($DP114&gt;$D$5,0,SUMIFS(FE$50:FE$70,$FB$50:$FB$70,"&gt;"&amp;($DP114-VLOOKUP(DS$49,$C$15:$D$20,2,FALSE)),$FB$50:$FB$70,"&lt;="&amp;($DP114)))</f>
        <v>0</v>
      </c>
      <c r="DT114" s="147">
        <f t="shared" ref="DT114:DT127" si="439">IF($DP114&gt;$D$5,0,SUMIFS(FF$50:FF$70,$FB$50:$FB$70,"&gt;"&amp;($DP114-VLOOKUP(DT$49,$C$15:$D$20,2,FALSE)),$FB$50:$FB$70,"&lt;="&amp;($DP114)))</f>
        <v>0</v>
      </c>
      <c r="DU114" s="147">
        <f t="shared" ref="DU114:DU127" si="440">IF($DP114&gt;$D$5,0,SUMIFS(FG$50:FG$70,$FB$50:$FB$70,"&gt;"&amp;($DP114-VLOOKUP(DU$49,$C$15:$D$20,2,FALSE)),$FB$50:$FB$70,"&lt;="&amp;($DP114)))</f>
        <v>0</v>
      </c>
      <c r="DV114" s="85">
        <f t="shared" ref="DV114:DV127" si="441">IF($DP114&gt;$D$5,0,SUMIFS(FH$50:FH$70,$FB$50:$FB$70,"&gt;"&amp;($DP114-VLOOKUP(DV$49,$C$15:$D$20,2,FALSE)),$FB$50:$FB$70,"&lt;="&amp;($DP114)))</f>
        <v>0</v>
      </c>
      <c r="DW114" s="151">
        <f t="shared" ref="DW114:DW127" si="442">IF($DP114&gt;$D$5,0,SUMIFS(FI$50:FI$70,$FB$50:$FB$70,"&gt;"&amp;($DP114-VLOOKUP(DW$49,$C$15:$D$20,2,FALSE)),$FB$50:$FB$70,"&lt;="&amp;($DP114)))</f>
        <v>0</v>
      </c>
      <c r="DX114" s="102">
        <f t="shared" ref="DX114:DX127" si="443">IF($DP114&gt;$D$5,0,SUMIFS(FJ$50:FJ$70,$FB$50:$FB$70,"&gt;"&amp;($DP114-VLOOKUP(DX$49,$C$15:$D$20,2,FALSE)),$FB$50:$FB$70,"&lt;="&amp;($DP114)))</f>
        <v>0</v>
      </c>
      <c r="DY114" s="102">
        <f t="shared" ref="DY114:DY127" si="444">IF($DP114&gt;$D$5,0,SUMIFS(FK$50:FK$70,$FB$50:$FB$70,"&gt;"&amp;($DP114-VLOOKUP(DY$49,$C$15:$D$20,2,FALSE)),$FB$50:$FB$70,"&lt;="&amp;($DP114)))</f>
        <v>0</v>
      </c>
      <c r="DZ114" s="102">
        <f t="shared" ref="DZ114:DZ127" si="445">IF($DP114&gt;$D$5,0,SUMIFS(FL$50:FL$70,$FB$50:$FB$70,"&gt;"&amp;($DP114-VLOOKUP(DZ$49,$C$15:$D$20,2,FALSE)),$FB$50:$FB$70,"&lt;="&amp;($DP114)))</f>
        <v>0</v>
      </c>
      <c r="EA114" s="102">
        <f t="shared" ref="EA114:EA127" si="446">IF($DP114&gt;$D$5,0,SUMIFS(FM$50:FM$70,$FB$50:$FB$70,"&gt;"&amp;($DP114-VLOOKUP(EA$49,$C$15:$D$20,2,FALSE)),$FB$50:$FB$70,"&lt;="&amp;($DP114)))</f>
        <v>0</v>
      </c>
      <c r="EB114" s="151">
        <f t="shared" ref="EB114:EB127" si="447">IF($DP114&gt;$D$5,0,SUMIFS(FN$50:FN$70,$FB$50:$FB$70,"&gt;"&amp;($DP114-VLOOKUP(EB$49,$C$15:$D$20,2,FALSE)),$FB$50:$FB$70,"&lt;="&amp;($DP114)))</f>
        <v>0</v>
      </c>
      <c r="EC114" s="85">
        <f t="shared" ref="EC114:EC127" si="448">IF($DP114&gt;$D$5,0,SUMIFS(FO$50:FO$70,$FB$50:$FB$70,"&gt;"&amp;($DP114-VLOOKUP(EC$49,$C$15:$D$20,2,FALSE)),$FB$50:$FB$70,"&lt;="&amp;($DP114)))</f>
        <v>0</v>
      </c>
      <c r="ED114" s="147">
        <f t="shared" ref="ED114:ED127" si="449">IF($DP114&gt;$D$5,0,SUMIFS(FP$50:FP$70,$FB$50:$FB$70,"&gt;"&amp;($DP114-VLOOKUP(ED$49,$C$15:$D$20,2,FALSE)),$FB$50:$FB$70,"&lt;="&amp;($DP114)))</f>
        <v>0</v>
      </c>
      <c r="EE114" s="147">
        <f t="shared" ref="EE114:EE127" si="450">IF($DP114&gt;$D$5,0,SUMIFS(FQ$50:FQ$70,$FB$50:$FB$70,"&gt;"&amp;($DP114-VLOOKUP(EE$49,$C$15:$D$20,2,FALSE)),$FB$50:$FB$70,"&lt;="&amp;($DP114)))</f>
        <v>0</v>
      </c>
      <c r="EF114" s="147">
        <f t="shared" ref="EF114:EF127" si="451">IF($DP114&gt;$D$5,0,SUMIFS(FR$50:FR$70,$FB$50:$FB$70,"&gt;"&amp;($DP114-VLOOKUP(EF$49,$C$15:$D$20,2,FALSE)),$FB$50:$FB$70,"&lt;="&amp;($DP114)))</f>
        <v>0</v>
      </c>
      <c r="EG114" s="147">
        <f t="shared" ref="EG114:EG127" si="452">IF($DP114&gt;$D$5,0,SUMIFS(FS$50:FS$70,$FB$50:$FB$70,"&gt;"&amp;($DP114-VLOOKUP(EG$49,$C$15:$D$20,2,FALSE)),$FB$50:$FB$70,"&lt;="&amp;($DP114)))</f>
        <v>0</v>
      </c>
      <c r="EH114" s="85">
        <f t="shared" ref="EH114:EH127" si="453">IF($DP114&gt;$D$5,0,SUMIFS(FT$50:FT$70,$FB$50:$FB$70,"&gt;"&amp;($DP114-VLOOKUP(EH$49,$C$15:$D$20,2,FALSE)),$FB$50:$FB$70,"&lt;="&amp;($DP114)))</f>
        <v>0</v>
      </c>
      <c r="EI114" s="151">
        <f t="shared" ref="EI114:EI127" si="454">IF($DP114&gt;$D$5,0,SUMIFS(FU$50:FU$70,$FB$50:$FB$70,"&gt;"&amp;($DP114-VLOOKUP(EI$49,$C$15:$D$20,2,FALSE)),$FB$50:$FB$70,"&lt;="&amp;($DP114)))</f>
        <v>0</v>
      </c>
      <c r="EJ114" s="102">
        <f t="shared" ref="EJ114:EJ127" si="455">IF($DP114&gt;$D$5,0,SUMIFS(FV$50:FV$70,$FB$50:$FB$70,"&gt;"&amp;($DP114-VLOOKUP(EJ$49,$C$15:$D$20,2,FALSE)),$FB$50:$FB$70,"&lt;="&amp;($DP114)))</f>
        <v>0</v>
      </c>
      <c r="EK114" s="102">
        <f t="shared" ref="EK114:EK127" si="456">IF($DP114&gt;$D$5,0,SUMIFS(FW$50:FW$70,$FB$50:$FB$70,"&gt;"&amp;($DP114-VLOOKUP(EK$49,$C$15:$D$20,2,FALSE)),$FB$50:$FB$70,"&lt;="&amp;($DP114)))</f>
        <v>0</v>
      </c>
      <c r="EL114" s="102">
        <f t="shared" ref="EL114:EL127" si="457">IF($DP114&gt;$D$5,0,SUMIFS(FX$50:FX$70,$FB$50:$FB$70,"&gt;"&amp;($DP114-VLOOKUP(EL$49,$C$15:$D$20,2,FALSE)),$FB$50:$FB$70,"&lt;="&amp;($DP114)))</f>
        <v>0</v>
      </c>
      <c r="EM114" s="102">
        <f t="shared" ref="EM114:EM127" si="458">IF($DP114&gt;$D$5,0,SUMIFS(FY$50:FY$70,$FB$50:$FB$70,"&gt;"&amp;($DP114-VLOOKUP(EM$49,$C$15:$D$20,2,FALSE)),$FB$50:$FB$70,"&lt;="&amp;($DP114)))</f>
        <v>0</v>
      </c>
      <c r="EN114" s="151">
        <f t="shared" ref="EN114:EN127" si="459">IF($DP114&gt;$D$5,0,SUMIFS(FZ$50:FZ$70,$FB$50:$FB$70,"&gt;"&amp;($DP114-VLOOKUP(EN$49,$C$15:$D$20,2,FALSE)),$FB$50:$FB$70,"&lt;="&amp;($DP114)))</f>
        <v>0</v>
      </c>
      <c r="EO114" s="85">
        <f t="shared" ref="EO114:EO127" si="460">IF($DP114&gt;$D$5,0,SUMIFS(GA$50:GA$70,$FB$50:$FB$70,"&gt;"&amp;($DP114-VLOOKUP(EO$49,$C$15:$D$20,2,FALSE)),$FB$50:$FB$70,"&lt;="&amp;($DP114)))</f>
        <v>0</v>
      </c>
      <c r="EP114" s="145">
        <f t="shared" ref="EP114:EP127" si="461">IF($DP114&gt;$D$5,0,SUMIFS(GB$50:GB$70,$FB$50:$FB$70,"&gt;"&amp;($DP114-VLOOKUP(EP$49,$C$15:$D$20,2,FALSE)),$FB$50:$FB$70,"&lt;="&amp;($DP114)))</f>
        <v>0</v>
      </c>
      <c r="EQ114" s="145">
        <f t="shared" ref="EQ114:EQ127" si="462">IF($DP114&gt;$D$5,0,SUMIFS(GC$50:GC$70,$FB$50:$FB$70,"&gt;"&amp;($DP114-VLOOKUP(EQ$49,$C$15:$D$20,2,FALSE)),$FB$50:$FB$70,"&lt;="&amp;($DP114)))</f>
        <v>0</v>
      </c>
      <c r="ER114" s="145">
        <f t="shared" ref="ER114:ER127" si="463">IF($DP114&gt;$D$5,0,SUMIFS(GD$50:GD$70,$FB$50:$FB$70,"&gt;"&amp;($DP114-VLOOKUP(ER$49,$C$15:$D$20,2,FALSE)),$FB$50:$FB$70,"&lt;="&amp;($DP114)))</f>
        <v>0</v>
      </c>
      <c r="ES114" s="145">
        <f t="shared" ref="ES114:ES127" si="464">IF($DP114&gt;$D$5,0,SUMIFS(GE$50:GE$70,$FB$50:$FB$70,"&gt;"&amp;($DP114-VLOOKUP(ES$49,$C$15:$D$20,2,FALSE)),$FB$50:$FB$70,"&lt;="&amp;($DP114)))</f>
        <v>0</v>
      </c>
      <c r="ET114" s="85">
        <f t="shared" ref="ET114:ET127" si="465">IF($DP114&gt;$D$5,0,SUMIFS(GF$50:GF$70,$FB$50:$FB$70,"&gt;"&amp;($DP114-VLOOKUP(ET$49,$C$15:$D$20,2,FALSE)),$FB$50:$FB$70,"&lt;="&amp;($DP114)))</f>
        <v>0</v>
      </c>
      <c r="EU114" s="102">
        <f t="shared" ref="EU114:EU127" si="466">IF($DP114&gt;$D$5,0,SUMIFS(GG$50:GG$70,$FB$50:$FB$70,"&gt;"&amp;($DP114-VLOOKUP(EU$49,$C$15:$D$20,2,FALSE)),$FB$50:$FB$70,"&lt;="&amp;($DP114)))</f>
        <v>0</v>
      </c>
      <c r="EV114" s="102">
        <f t="shared" ref="EV114:EV127" si="467">IF($DP114&gt;$D$5,0,SUMIFS(GH$50:GH$70,$FB$50:$FB$70,"&gt;"&amp;($DP114-VLOOKUP(EV$49,$C$15:$D$20,2,FALSE)),$FB$50:$FB$70,"&lt;="&amp;($DP114)))</f>
        <v>0</v>
      </c>
      <c r="EW114" s="102">
        <f t="shared" ref="EW114:EW127" si="468">IF($DP114&gt;$D$5,0,SUMIFS(GI$50:GI$70,$FB$50:$FB$70,"&gt;"&amp;($DP114-VLOOKUP(EW$49,$C$15:$D$20,2,FALSE)),$FB$50:$FB$70,"&lt;="&amp;($DP114)))</f>
        <v>0</v>
      </c>
      <c r="EX114" s="102">
        <f t="shared" ref="EX114:EX127" si="469">IF($DP114&gt;$D$5,0,SUMIFS(GJ$50:GJ$70,$FB$50:$FB$70,"&gt;"&amp;($DP114-VLOOKUP(EX$49,$C$15:$D$20,2,FALSE)),$FB$50:$FB$70,"&lt;="&amp;($DP114)))</f>
        <v>0</v>
      </c>
      <c r="EY114" s="102">
        <f t="shared" ref="EY114:EY127" si="470">IF($DP114&gt;$D$5,0,SUMIFS(GK$50:GK$70,$FB$50:$FB$70,"&gt;"&amp;($DP114-VLOOKUP(EY$49,$C$15:$D$20,2,FALSE)),$FB$50:$FB$70,"&lt;="&amp;($DP114)))</f>
        <v>0</v>
      </c>
      <c r="EZ114" s="564">
        <f t="shared" ref="EZ114:EZ127" si="471">IF($DP114&gt;$D$5,0,SUMIFS(GL$50:GL$70,$FB$50:$FB$70,"&gt;"&amp;($DP114-VLOOKUP(EZ$49,$C$15:$D$20,2,FALSE)),$FB$50:$FB$70,"&lt;="&amp;($DP114)))</f>
        <v>0</v>
      </c>
    </row>
    <row r="115" spans="82:156">
      <c r="CD115" s="10">
        <f t="shared" ref="CD115:CD127" si="472">+CD114+1</f>
        <v>2085</v>
      </c>
      <c r="CE115" s="85">
        <f t="shared" si="400"/>
        <v>0</v>
      </c>
      <c r="CF115" s="147">
        <f t="shared" si="401"/>
        <v>0</v>
      </c>
      <c r="CG115" s="147">
        <f t="shared" si="402"/>
        <v>0</v>
      </c>
      <c r="CH115" s="147">
        <f t="shared" si="403"/>
        <v>0</v>
      </c>
      <c r="CI115" s="147">
        <f t="shared" si="404"/>
        <v>0</v>
      </c>
      <c r="CJ115" s="85">
        <f t="shared" si="405"/>
        <v>0</v>
      </c>
      <c r="CK115" s="151">
        <f t="shared" si="406"/>
        <v>0</v>
      </c>
      <c r="CL115" s="102">
        <f t="shared" si="407"/>
        <v>0</v>
      </c>
      <c r="CM115" s="102">
        <f t="shared" si="408"/>
        <v>0</v>
      </c>
      <c r="CN115" s="102">
        <f t="shared" si="409"/>
        <v>0</v>
      </c>
      <c r="CO115" s="102">
        <f t="shared" si="410"/>
        <v>0</v>
      </c>
      <c r="CP115" s="151">
        <f t="shared" si="411"/>
        <v>0</v>
      </c>
      <c r="CQ115" s="85">
        <f t="shared" si="412"/>
        <v>0</v>
      </c>
      <c r="CR115" s="147">
        <f t="shared" si="413"/>
        <v>0</v>
      </c>
      <c r="CS115" s="147">
        <f t="shared" si="414"/>
        <v>0</v>
      </c>
      <c r="CT115" s="147">
        <f t="shared" si="415"/>
        <v>0</v>
      </c>
      <c r="CU115" s="147">
        <f t="shared" si="416"/>
        <v>0</v>
      </c>
      <c r="CV115" s="85">
        <f t="shared" si="417"/>
        <v>0</v>
      </c>
      <c r="CW115" s="151">
        <f t="shared" si="418"/>
        <v>0</v>
      </c>
      <c r="CX115" s="102">
        <f t="shared" si="419"/>
        <v>0</v>
      </c>
      <c r="CY115" s="102">
        <f t="shared" si="420"/>
        <v>0</v>
      </c>
      <c r="CZ115" s="102">
        <f t="shared" si="421"/>
        <v>0</v>
      </c>
      <c r="DA115" s="102">
        <f t="shared" si="422"/>
        <v>0</v>
      </c>
      <c r="DB115" s="151">
        <f t="shared" si="423"/>
        <v>0</v>
      </c>
      <c r="DC115" s="85">
        <f t="shared" si="424"/>
        <v>0</v>
      </c>
      <c r="DD115" s="147">
        <f t="shared" si="425"/>
        <v>0</v>
      </c>
      <c r="DE115" s="147">
        <f t="shared" si="426"/>
        <v>0</v>
      </c>
      <c r="DF115" s="147">
        <f t="shared" si="427"/>
        <v>0</v>
      </c>
      <c r="DG115" s="147">
        <f t="shared" si="428"/>
        <v>0</v>
      </c>
      <c r="DH115" s="85">
        <f t="shared" si="429"/>
        <v>0</v>
      </c>
      <c r="DI115" s="151">
        <f t="shared" si="430"/>
        <v>0</v>
      </c>
      <c r="DJ115" s="102">
        <f t="shared" si="431"/>
        <v>0</v>
      </c>
      <c r="DK115" s="102">
        <f t="shared" si="432"/>
        <v>0</v>
      </c>
      <c r="DL115" s="102">
        <f t="shared" si="433"/>
        <v>0</v>
      </c>
      <c r="DM115" s="102">
        <f t="shared" si="434"/>
        <v>0</v>
      </c>
      <c r="DN115" s="564">
        <f t="shared" si="435"/>
        <v>0</v>
      </c>
      <c r="DP115" s="10">
        <f t="shared" ref="DP115:DP127" si="473">+DP114+1</f>
        <v>2085</v>
      </c>
      <c r="DQ115" s="85">
        <f t="shared" si="436"/>
        <v>0</v>
      </c>
      <c r="DR115" s="147">
        <f t="shared" si="437"/>
        <v>0</v>
      </c>
      <c r="DS115" s="147">
        <f t="shared" si="438"/>
        <v>0</v>
      </c>
      <c r="DT115" s="147">
        <f t="shared" si="439"/>
        <v>0</v>
      </c>
      <c r="DU115" s="147">
        <f t="shared" si="440"/>
        <v>0</v>
      </c>
      <c r="DV115" s="85">
        <f t="shared" si="441"/>
        <v>0</v>
      </c>
      <c r="DW115" s="151">
        <f t="shared" si="442"/>
        <v>0</v>
      </c>
      <c r="DX115" s="102">
        <f t="shared" si="443"/>
        <v>0</v>
      </c>
      <c r="DY115" s="102">
        <f t="shared" si="444"/>
        <v>0</v>
      </c>
      <c r="DZ115" s="102">
        <f t="shared" si="445"/>
        <v>0</v>
      </c>
      <c r="EA115" s="102">
        <f t="shared" si="446"/>
        <v>0</v>
      </c>
      <c r="EB115" s="151">
        <f t="shared" si="447"/>
        <v>0</v>
      </c>
      <c r="EC115" s="85">
        <f t="shared" si="448"/>
        <v>0</v>
      </c>
      <c r="ED115" s="147">
        <f t="shared" si="449"/>
        <v>0</v>
      </c>
      <c r="EE115" s="147">
        <f t="shared" si="450"/>
        <v>0</v>
      </c>
      <c r="EF115" s="147">
        <f t="shared" si="451"/>
        <v>0</v>
      </c>
      <c r="EG115" s="147">
        <f t="shared" si="452"/>
        <v>0</v>
      </c>
      <c r="EH115" s="85">
        <f t="shared" si="453"/>
        <v>0</v>
      </c>
      <c r="EI115" s="151">
        <f t="shared" si="454"/>
        <v>0</v>
      </c>
      <c r="EJ115" s="102">
        <f t="shared" si="455"/>
        <v>0</v>
      </c>
      <c r="EK115" s="102">
        <f t="shared" si="456"/>
        <v>0</v>
      </c>
      <c r="EL115" s="102">
        <f t="shared" si="457"/>
        <v>0</v>
      </c>
      <c r="EM115" s="102">
        <f t="shared" si="458"/>
        <v>0</v>
      </c>
      <c r="EN115" s="151">
        <f t="shared" si="459"/>
        <v>0</v>
      </c>
      <c r="EO115" s="85">
        <f t="shared" si="460"/>
        <v>0</v>
      </c>
      <c r="EP115" s="145">
        <f t="shared" si="461"/>
        <v>0</v>
      </c>
      <c r="EQ115" s="145">
        <f t="shared" si="462"/>
        <v>0</v>
      </c>
      <c r="ER115" s="145">
        <f t="shared" si="463"/>
        <v>0</v>
      </c>
      <c r="ES115" s="145">
        <f t="shared" si="464"/>
        <v>0</v>
      </c>
      <c r="ET115" s="85">
        <f t="shared" si="465"/>
        <v>0</v>
      </c>
      <c r="EU115" s="102">
        <f t="shared" si="466"/>
        <v>0</v>
      </c>
      <c r="EV115" s="102">
        <f t="shared" si="467"/>
        <v>0</v>
      </c>
      <c r="EW115" s="102">
        <f t="shared" si="468"/>
        <v>0</v>
      </c>
      <c r="EX115" s="102">
        <f t="shared" si="469"/>
        <v>0</v>
      </c>
      <c r="EY115" s="102">
        <f t="shared" si="470"/>
        <v>0</v>
      </c>
      <c r="EZ115" s="564">
        <f t="shared" si="471"/>
        <v>0</v>
      </c>
    </row>
    <row r="116" spans="82:156">
      <c r="CD116" s="10">
        <f t="shared" si="472"/>
        <v>2086</v>
      </c>
      <c r="CE116" s="85">
        <f t="shared" si="400"/>
        <v>0</v>
      </c>
      <c r="CF116" s="147">
        <f t="shared" si="401"/>
        <v>0</v>
      </c>
      <c r="CG116" s="147">
        <f t="shared" si="402"/>
        <v>0</v>
      </c>
      <c r="CH116" s="147">
        <f t="shared" si="403"/>
        <v>0</v>
      </c>
      <c r="CI116" s="147">
        <f t="shared" si="404"/>
        <v>0</v>
      </c>
      <c r="CJ116" s="85">
        <f t="shared" si="405"/>
        <v>0</v>
      </c>
      <c r="CK116" s="151">
        <f t="shared" si="406"/>
        <v>0</v>
      </c>
      <c r="CL116" s="102">
        <f t="shared" si="407"/>
        <v>0</v>
      </c>
      <c r="CM116" s="102">
        <f t="shared" si="408"/>
        <v>0</v>
      </c>
      <c r="CN116" s="102">
        <f t="shared" si="409"/>
        <v>0</v>
      </c>
      <c r="CO116" s="102">
        <f t="shared" si="410"/>
        <v>0</v>
      </c>
      <c r="CP116" s="151">
        <f t="shared" si="411"/>
        <v>0</v>
      </c>
      <c r="CQ116" s="85">
        <f t="shared" si="412"/>
        <v>0</v>
      </c>
      <c r="CR116" s="147">
        <f t="shared" si="413"/>
        <v>0</v>
      </c>
      <c r="CS116" s="147">
        <f t="shared" si="414"/>
        <v>0</v>
      </c>
      <c r="CT116" s="147">
        <f t="shared" si="415"/>
        <v>0</v>
      </c>
      <c r="CU116" s="147">
        <f t="shared" si="416"/>
        <v>0</v>
      </c>
      <c r="CV116" s="85">
        <f t="shared" si="417"/>
        <v>0</v>
      </c>
      <c r="CW116" s="151">
        <f t="shared" si="418"/>
        <v>0</v>
      </c>
      <c r="CX116" s="102">
        <f t="shared" si="419"/>
        <v>0</v>
      </c>
      <c r="CY116" s="102">
        <f t="shared" si="420"/>
        <v>0</v>
      </c>
      <c r="CZ116" s="102">
        <f t="shared" si="421"/>
        <v>0</v>
      </c>
      <c r="DA116" s="102">
        <f t="shared" si="422"/>
        <v>0</v>
      </c>
      <c r="DB116" s="151">
        <f t="shared" si="423"/>
        <v>0</v>
      </c>
      <c r="DC116" s="85">
        <f t="shared" si="424"/>
        <v>0</v>
      </c>
      <c r="DD116" s="147">
        <f t="shared" si="425"/>
        <v>0</v>
      </c>
      <c r="DE116" s="147">
        <f t="shared" si="426"/>
        <v>0</v>
      </c>
      <c r="DF116" s="147">
        <f t="shared" si="427"/>
        <v>0</v>
      </c>
      <c r="DG116" s="147">
        <f t="shared" si="428"/>
        <v>0</v>
      </c>
      <c r="DH116" s="85">
        <f t="shared" si="429"/>
        <v>0</v>
      </c>
      <c r="DI116" s="151">
        <f t="shared" si="430"/>
        <v>0</v>
      </c>
      <c r="DJ116" s="102">
        <f t="shared" si="431"/>
        <v>0</v>
      </c>
      <c r="DK116" s="102">
        <f t="shared" si="432"/>
        <v>0</v>
      </c>
      <c r="DL116" s="102">
        <f t="shared" si="433"/>
        <v>0</v>
      </c>
      <c r="DM116" s="102">
        <f t="shared" si="434"/>
        <v>0</v>
      </c>
      <c r="DN116" s="564">
        <f t="shared" si="435"/>
        <v>0</v>
      </c>
      <c r="DP116" s="10">
        <f t="shared" si="473"/>
        <v>2086</v>
      </c>
      <c r="DQ116" s="85">
        <f t="shared" si="436"/>
        <v>0</v>
      </c>
      <c r="DR116" s="147">
        <f t="shared" si="437"/>
        <v>0</v>
      </c>
      <c r="DS116" s="147">
        <f t="shared" si="438"/>
        <v>0</v>
      </c>
      <c r="DT116" s="147">
        <f t="shared" si="439"/>
        <v>0</v>
      </c>
      <c r="DU116" s="147">
        <f t="shared" si="440"/>
        <v>0</v>
      </c>
      <c r="DV116" s="85">
        <f t="shared" si="441"/>
        <v>0</v>
      </c>
      <c r="DW116" s="151">
        <f t="shared" si="442"/>
        <v>0</v>
      </c>
      <c r="DX116" s="102">
        <f t="shared" si="443"/>
        <v>0</v>
      </c>
      <c r="DY116" s="102">
        <f t="shared" si="444"/>
        <v>0</v>
      </c>
      <c r="DZ116" s="102">
        <f t="shared" si="445"/>
        <v>0</v>
      </c>
      <c r="EA116" s="102">
        <f t="shared" si="446"/>
        <v>0</v>
      </c>
      <c r="EB116" s="151">
        <f t="shared" si="447"/>
        <v>0</v>
      </c>
      <c r="EC116" s="85">
        <f t="shared" si="448"/>
        <v>0</v>
      </c>
      <c r="ED116" s="147">
        <f t="shared" si="449"/>
        <v>0</v>
      </c>
      <c r="EE116" s="147">
        <f t="shared" si="450"/>
        <v>0</v>
      </c>
      <c r="EF116" s="147">
        <f t="shared" si="451"/>
        <v>0</v>
      </c>
      <c r="EG116" s="147">
        <f t="shared" si="452"/>
        <v>0</v>
      </c>
      <c r="EH116" s="85">
        <f t="shared" si="453"/>
        <v>0</v>
      </c>
      <c r="EI116" s="151">
        <f t="shared" si="454"/>
        <v>0</v>
      </c>
      <c r="EJ116" s="102">
        <f t="shared" si="455"/>
        <v>0</v>
      </c>
      <c r="EK116" s="102">
        <f t="shared" si="456"/>
        <v>0</v>
      </c>
      <c r="EL116" s="102">
        <f t="shared" si="457"/>
        <v>0</v>
      </c>
      <c r="EM116" s="102">
        <f t="shared" si="458"/>
        <v>0</v>
      </c>
      <c r="EN116" s="151">
        <f t="shared" si="459"/>
        <v>0</v>
      </c>
      <c r="EO116" s="85">
        <f t="shared" si="460"/>
        <v>0</v>
      </c>
      <c r="EP116" s="145">
        <f t="shared" si="461"/>
        <v>0</v>
      </c>
      <c r="EQ116" s="145">
        <f t="shared" si="462"/>
        <v>0</v>
      </c>
      <c r="ER116" s="145">
        <f t="shared" si="463"/>
        <v>0</v>
      </c>
      <c r="ES116" s="145">
        <f t="shared" si="464"/>
        <v>0</v>
      </c>
      <c r="ET116" s="85">
        <f t="shared" si="465"/>
        <v>0</v>
      </c>
      <c r="EU116" s="102">
        <f t="shared" si="466"/>
        <v>0</v>
      </c>
      <c r="EV116" s="102">
        <f t="shared" si="467"/>
        <v>0</v>
      </c>
      <c r="EW116" s="102">
        <f t="shared" si="468"/>
        <v>0</v>
      </c>
      <c r="EX116" s="102">
        <f t="shared" si="469"/>
        <v>0</v>
      </c>
      <c r="EY116" s="102">
        <f t="shared" si="470"/>
        <v>0</v>
      </c>
      <c r="EZ116" s="564">
        <f t="shared" si="471"/>
        <v>0</v>
      </c>
    </row>
    <row r="117" spans="82:156">
      <c r="CD117" s="10">
        <f t="shared" si="472"/>
        <v>2087</v>
      </c>
      <c r="CE117" s="85">
        <f t="shared" si="400"/>
        <v>0</v>
      </c>
      <c r="CF117" s="147">
        <f t="shared" si="401"/>
        <v>0</v>
      </c>
      <c r="CG117" s="147">
        <f t="shared" si="402"/>
        <v>0</v>
      </c>
      <c r="CH117" s="147">
        <f t="shared" si="403"/>
        <v>0</v>
      </c>
      <c r="CI117" s="147">
        <f t="shared" si="404"/>
        <v>0</v>
      </c>
      <c r="CJ117" s="85">
        <f t="shared" si="405"/>
        <v>0</v>
      </c>
      <c r="CK117" s="151">
        <f t="shared" si="406"/>
        <v>0</v>
      </c>
      <c r="CL117" s="102">
        <f t="shared" si="407"/>
        <v>0</v>
      </c>
      <c r="CM117" s="102">
        <f t="shared" si="408"/>
        <v>0</v>
      </c>
      <c r="CN117" s="102">
        <f t="shared" si="409"/>
        <v>0</v>
      </c>
      <c r="CO117" s="102">
        <f t="shared" si="410"/>
        <v>0</v>
      </c>
      <c r="CP117" s="151">
        <f t="shared" si="411"/>
        <v>0</v>
      </c>
      <c r="CQ117" s="85">
        <f t="shared" si="412"/>
        <v>0</v>
      </c>
      <c r="CR117" s="147">
        <f t="shared" si="413"/>
        <v>0</v>
      </c>
      <c r="CS117" s="147">
        <f t="shared" si="414"/>
        <v>0</v>
      </c>
      <c r="CT117" s="147">
        <f t="shared" si="415"/>
        <v>0</v>
      </c>
      <c r="CU117" s="147">
        <f t="shared" si="416"/>
        <v>0</v>
      </c>
      <c r="CV117" s="85">
        <f t="shared" si="417"/>
        <v>0</v>
      </c>
      <c r="CW117" s="151">
        <f t="shared" si="418"/>
        <v>0</v>
      </c>
      <c r="CX117" s="102">
        <f t="shared" si="419"/>
        <v>0</v>
      </c>
      <c r="CY117" s="102">
        <f t="shared" si="420"/>
        <v>0</v>
      </c>
      <c r="CZ117" s="102">
        <f t="shared" si="421"/>
        <v>0</v>
      </c>
      <c r="DA117" s="102">
        <f t="shared" si="422"/>
        <v>0</v>
      </c>
      <c r="DB117" s="151">
        <f t="shared" si="423"/>
        <v>0</v>
      </c>
      <c r="DC117" s="85">
        <f t="shared" si="424"/>
        <v>0</v>
      </c>
      <c r="DD117" s="147">
        <f t="shared" si="425"/>
        <v>0</v>
      </c>
      <c r="DE117" s="147">
        <f t="shared" si="426"/>
        <v>0</v>
      </c>
      <c r="DF117" s="147">
        <f t="shared" si="427"/>
        <v>0</v>
      </c>
      <c r="DG117" s="147">
        <f t="shared" si="428"/>
        <v>0</v>
      </c>
      <c r="DH117" s="85">
        <f t="shared" si="429"/>
        <v>0</v>
      </c>
      <c r="DI117" s="151">
        <f t="shared" si="430"/>
        <v>0</v>
      </c>
      <c r="DJ117" s="102">
        <f t="shared" si="431"/>
        <v>0</v>
      </c>
      <c r="DK117" s="102">
        <f t="shared" si="432"/>
        <v>0</v>
      </c>
      <c r="DL117" s="102">
        <f t="shared" si="433"/>
        <v>0</v>
      </c>
      <c r="DM117" s="102">
        <f t="shared" si="434"/>
        <v>0</v>
      </c>
      <c r="DN117" s="564">
        <f t="shared" si="435"/>
        <v>0</v>
      </c>
      <c r="DP117" s="10">
        <f t="shared" si="473"/>
        <v>2087</v>
      </c>
      <c r="DQ117" s="85">
        <f t="shared" si="436"/>
        <v>0</v>
      </c>
      <c r="DR117" s="147">
        <f t="shared" si="437"/>
        <v>0</v>
      </c>
      <c r="DS117" s="147">
        <f t="shared" si="438"/>
        <v>0</v>
      </c>
      <c r="DT117" s="147">
        <f t="shared" si="439"/>
        <v>0</v>
      </c>
      <c r="DU117" s="147">
        <f t="shared" si="440"/>
        <v>0</v>
      </c>
      <c r="DV117" s="85">
        <f t="shared" si="441"/>
        <v>0</v>
      </c>
      <c r="DW117" s="151">
        <f t="shared" si="442"/>
        <v>0</v>
      </c>
      <c r="DX117" s="102">
        <f t="shared" si="443"/>
        <v>0</v>
      </c>
      <c r="DY117" s="102">
        <f t="shared" si="444"/>
        <v>0</v>
      </c>
      <c r="DZ117" s="102">
        <f t="shared" si="445"/>
        <v>0</v>
      </c>
      <c r="EA117" s="102">
        <f t="shared" si="446"/>
        <v>0</v>
      </c>
      <c r="EB117" s="151">
        <f t="shared" si="447"/>
        <v>0</v>
      </c>
      <c r="EC117" s="85">
        <f t="shared" si="448"/>
        <v>0</v>
      </c>
      <c r="ED117" s="147">
        <f t="shared" si="449"/>
        <v>0</v>
      </c>
      <c r="EE117" s="147">
        <f t="shared" si="450"/>
        <v>0</v>
      </c>
      <c r="EF117" s="147">
        <f t="shared" si="451"/>
        <v>0</v>
      </c>
      <c r="EG117" s="147">
        <f t="shared" si="452"/>
        <v>0</v>
      </c>
      <c r="EH117" s="85">
        <f t="shared" si="453"/>
        <v>0</v>
      </c>
      <c r="EI117" s="151">
        <f t="shared" si="454"/>
        <v>0</v>
      </c>
      <c r="EJ117" s="102">
        <f t="shared" si="455"/>
        <v>0</v>
      </c>
      <c r="EK117" s="102">
        <f t="shared" si="456"/>
        <v>0</v>
      </c>
      <c r="EL117" s="102">
        <f t="shared" si="457"/>
        <v>0</v>
      </c>
      <c r="EM117" s="102">
        <f t="shared" si="458"/>
        <v>0</v>
      </c>
      <c r="EN117" s="151">
        <f t="shared" si="459"/>
        <v>0</v>
      </c>
      <c r="EO117" s="85">
        <f t="shared" si="460"/>
        <v>0</v>
      </c>
      <c r="EP117" s="145">
        <f t="shared" si="461"/>
        <v>0</v>
      </c>
      <c r="EQ117" s="145">
        <f t="shared" si="462"/>
        <v>0</v>
      </c>
      <c r="ER117" s="145">
        <f t="shared" si="463"/>
        <v>0</v>
      </c>
      <c r="ES117" s="145">
        <f t="shared" si="464"/>
        <v>0</v>
      </c>
      <c r="ET117" s="85">
        <f t="shared" si="465"/>
        <v>0</v>
      </c>
      <c r="EU117" s="102">
        <f t="shared" si="466"/>
        <v>0</v>
      </c>
      <c r="EV117" s="102">
        <f t="shared" si="467"/>
        <v>0</v>
      </c>
      <c r="EW117" s="102">
        <f t="shared" si="468"/>
        <v>0</v>
      </c>
      <c r="EX117" s="102">
        <f t="shared" si="469"/>
        <v>0</v>
      </c>
      <c r="EY117" s="102">
        <f t="shared" si="470"/>
        <v>0</v>
      </c>
      <c r="EZ117" s="564">
        <f t="shared" si="471"/>
        <v>0</v>
      </c>
    </row>
    <row r="118" spans="82:156">
      <c r="CD118" s="10">
        <f t="shared" si="472"/>
        <v>2088</v>
      </c>
      <c r="CE118" s="85">
        <f t="shared" si="400"/>
        <v>0</v>
      </c>
      <c r="CF118" s="147">
        <f t="shared" si="401"/>
        <v>0</v>
      </c>
      <c r="CG118" s="147">
        <f t="shared" si="402"/>
        <v>0</v>
      </c>
      <c r="CH118" s="147">
        <f t="shared" si="403"/>
        <v>0</v>
      </c>
      <c r="CI118" s="147">
        <f t="shared" si="404"/>
        <v>0</v>
      </c>
      <c r="CJ118" s="85">
        <f t="shared" si="405"/>
        <v>0</v>
      </c>
      <c r="CK118" s="151">
        <f t="shared" si="406"/>
        <v>0</v>
      </c>
      <c r="CL118" s="102">
        <f t="shared" si="407"/>
        <v>0</v>
      </c>
      <c r="CM118" s="102">
        <f t="shared" si="408"/>
        <v>0</v>
      </c>
      <c r="CN118" s="102">
        <f t="shared" si="409"/>
        <v>0</v>
      </c>
      <c r="CO118" s="102">
        <f t="shared" si="410"/>
        <v>0</v>
      </c>
      <c r="CP118" s="151">
        <f t="shared" si="411"/>
        <v>0</v>
      </c>
      <c r="CQ118" s="85">
        <f t="shared" si="412"/>
        <v>0</v>
      </c>
      <c r="CR118" s="147">
        <f t="shared" si="413"/>
        <v>0</v>
      </c>
      <c r="CS118" s="147">
        <f t="shared" si="414"/>
        <v>0</v>
      </c>
      <c r="CT118" s="147">
        <f t="shared" si="415"/>
        <v>0</v>
      </c>
      <c r="CU118" s="147">
        <f t="shared" si="416"/>
        <v>0</v>
      </c>
      <c r="CV118" s="85">
        <f t="shared" si="417"/>
        <v>0</v>
      </c>
      <c r="CW118" s="151">
        <f t="shared" si="418"/>
        <v>0</v>
      </c>
      <c r="CX118" s="102">
        <f t="shared" si="419"/>
        <v>0</v>
      </c>
      <c r="CY118" s="102">
        <f t="shared" si="420"/>
        <v>0</v>
      </c>
      <c r="CZ118" s="102">
        <f t="shared" si="421"/>
        <v>0</v>
      </c>
      <c r="DA118" s="102">
        <f t="shared" si="422"/>
        <v>0</v>
      </c>
      <c r="DB118" s="151">
        <f t="shared" si="423"/>
        <v>0</v>
      </c>
      <c r="DC118" s="85">
        <f t="shared" si="424"/>
        <v>0</v>
      </c>
      <c r="DD118" s="147">
        <f t="shared" si="425"/>
        <v>0</v>
      </c>
      <c r="DE118" s="147">
        <f t="shared" si="426"/>
        <v>0</v>
      </c>
      <c r="DF118" s="147">
        <f t="shared" si="427"/>
        <v>0</v>
      </c>
      <c r="DG118" s="147">
        <f t="shared" si="428"/>
        <v>0</v>
      </c>
      <c r="DH118" s="85">
        <f t="shared" si="429"/>
        <v>0</v>
      </c>
      <c r="DI118" s="151">
        <f t="shared" si="430"/>
        <v>0</v>
      </c>
      <c r="DJ118" s="102">
        <f t="shared" si="431"/>
        <v>0</v>
      </c>
      <c r="DK118" s="102">
        <f t="shared" si="432"/>
        <v>0</v>
      </c>
      <c r="DL118" s="102">
        <f t="shared" si="433"/>
        <v>0</v>
      </c>
      <c r="DM118" s="102">
        <f t="shared" si="434"/>
        <v>0</v>
      </c>
      <c r="DN118" s="564">
        <f t="shared" si="435"/>
        <v>0</v>
      </c>
      <c r="DP118" s="10">
        <f t="shared" si="473"/>
        <v>2088</v>
      </c>
      <c r="DQ118" s="85">
        <f t="shared" si="436"/>
        <v>0</v>
      </c>
      <c r="DR118" s="147">
        <f t="shared" si="437"/>
        <v>0</v>
      </c>
      <c r="DS118" s="147">
        <f t="shared" si="438"/>
        <v>0</v>
      </c>
      <c r="DT118" s="147">
        <f t="shared" si="439"/>
        <v>0</v>
      </c>
      <c r="DU118" s="147">
        <f t="shared" si="440"/>
        <v>0</v>
      </c>
      <c r="DV118" s="85">
        <f t="shared" si="441"/>
        <v>0</v>
      </c>
      <c r="DW118" s="151">
        <f t="shared" si="442"/>
        <v>0</v>
      </c>
      <c r="DX118" s="102">
        <f t="shared" si="443"/>
        <v>0</v>
      </c>
      <c r="DY118" s="102">
        <f t="shared" si="444"/>
        <v>0</v>
      </c>
      <c r="DZ118" s="102">
        <f t="shared" si="445"/>
        <v>0</v>
      </c>
      <c r="EA118" s="102">
        <f t="shared" si="446"/>
        <v>0</v>
      </c>
      <c r="EB118" s="151">
        <f t="shared" si="447"/>
        <v>0</v>
      </c>
      <c r="EC118" s="85">
        <f t="shared" si="448"/>
        <v>0</v>
      </c>
      <c r="ED118" s="147">
        <f t="shared" si="449"/>
        <v>0</v>
      </c>
      <c r="EE118" s="147">
        <f t="shared" si="450"/>
        <v>0</v>
      </c>
      <c r="EF118" s="147">
        <f t="shared" si="451"/>
        <v>0</v>
      </c>
      <c r="EG118" s="147">
        <f t="shared" si="452"/>
        <v>0</v>
      </c>
      <c r="EH118" s="85">
        <f t="shared" si="453"/>
        <v>0</v>
      </c>
      <c r="EI118" s="151">
        <f t="shared" si="454"/>
        <v>0</v>
      </c>
      <c r="EJ118" s="102">
        <f t="shared" si="455"/>
        <v>0</v>
      </c>
      <c r="EK118" s="102">
        <f t="shared" si="456"/>
        <v>0</v>
      </c>
      <c r="EL118" s="102">
        <f t="shared" si="457"/>
        <v>0</v>
      </c>
      <c r="EM118" s="102">
        <f t="shared" si="458"/>
        <v>0</v>
      </c>
      <c r="EN118" s="151">
        <f t="shared" si="459"/>
        <v>0</v>
      </c>
      <c r="EO118" s="85">
        <f t="shared" si="460"/>
        <v>0</v>
      </c>
      <c r="EP118" s="145">
        <f t="shared" si="461"/>
        <v>0</v>
      </c>
      <c r="EQ118" s="145">
        <f t="shared" si="462"/>
        <v>0</v>
      </c>
      <c r="ER118" s="145">
        <f t="shared" si="463"/>
        <v>0</v>
      </c>
      <c r="ES118" s="145">
        <f t="shared" si="464"/>
        <v>0</v>
      </c>
      <c r="ET118" s="85">
        <f t="shared" si="465"/>
        <v>0</v>
      </c>
      <c r="EU118" s="102">
        <f t="shared" si="466"/>
        <v>0</v>
      </c>
      <c r="EV118" s="102">
        <f t="shared" si="467"/>
        <v>0</v>
      </c>
      <c r="EW118" s="102">
        <f t="shared" si="468"/>
        <v>0</v>
      </c>
      <c r="EX118" s="102">
        <f t="shared" si="469"/>
        <v>0</v>
      </c>
      <c r="EY118" s="102">
        <f t="shared" si="470"/>
        <v>0</v>
      </c>
      <c r="EZ118" s="564">
        <f t="shared" si="471"/>
        <v>0</v>
      </c>
    </row>
    <row r="119" spans="82:156">
      <c r="CD119" s="10">
        <f t="shared" si="472"/>
        <v>2089</v>
      </c>
      <c r="CE119" s="85">
        <f t="shared" si="400"/>
        <v>0</v>
      </c>
      <c r="CF119" s="147">
        <f t="shared" si="401"/>
        <v>0</v>
      </c>
      <c r="CG119" s="147">
        <f t="shared" si="402"/>
        <v>0</v>
      </c>
      <c r="CH119" s="147">
        <f t="shared" si="403"/>
        <v>0</v>
      </c>
      <c r="CI119" s="147">
        <f t="shared" si="404"/>
        <v>0</v>
      </c>
      <c r="CJ119" s="85">
        <f t="shared" si="405"/>
        <v>0</v>
      </c>
      <c r="CK119" s="151">
        <f t="shared" si="406"/>
        <v>0</v>
      </c>
      <c r="CL119" s="102">
        <f t="shared" si="407"/>
        <v>0</v>
      </c>
      <c r="CM119" s="102">
        <f t="shared" si="408"/>
        <v>0</v>
      </c>
      <c r="CN119" s="102">
        <f t="shared" si="409"/>
        <v>0</v>
      </c>
      <c r="CO119" s="102">
        <f t="shared" si="410"/>
        <v>0</v>
      </c>
      <c r="CP119" s="151">
        <f t="shared" si="411"/>
        <v>0</v>
      </c>
      <c r="CQ119" s="85">
        <f t="shared" si="412"/>
        <v>0</v>
      </c>
      <c r="CR119" s="147">
        <f t="shared" si="413"/>
        <v>0</v>
      </c>
      <c r="CS119" s="147">
        <f t="shared" si="414"/>
        <v>0</v>
      </c>
      <c r="CT119" s="147">
        <f t="shared" si="415"/>
        <v>0</v>
      </c>
      <c r="CU119" s="147">
        <f t="shared" si="416"/>
        <v>0</v>
      </c>
      <c r="CV119" s="85">
        <f t="shared" si="417"/>
        <v>0</v>
      </c>
      <c r="CW119" s="151">
        <f t="shared" si="418"/>
        <v>0</v>
      </c>
      <c r="CX119" s="102">
        <f t="shared" si="419"/>
        <v>0</v>
      </c>
      <c r="CY119" s="102">
        <f t="shared" si="420"/>
        <v>0</v>
      </c>
      <c r="CZ119" s="102">
        <f t="shared" si="421"/>
        <v>0</v>
      </c>
      <c r="DA119" s="102">
        <f t="shared" si="422"/>
        <v>0</v>
      </c>
      <c r="DB119" s="151">
        <f t="shared" si="423"/>
        <v>0</v>
      </c>
      <c r="DC119" s="85">
        <f t="shared" si="424"/>
        <v>0</v>
      </c>
      <c r="DD119" s="147">
        <f t="shared" si="425"/>
        <v>0</v>
      </c>
      <c r="DE119" s="147">
        <f t="shared" si="426"/>
        <v>0</v>
      </c>
      <c r="DF119" s="147">
        <f t="shared" si="427"/>
        <v>0</v>
      </c>
      <c r="DG119" s="147">
        <f t="shared" si="428"/>
        <v>0</v>
      </c>
      <c r="DH119" s="85">
        <f t="shared" si="429"/>
        <v>0</v>
      </c>
      <c r="DI119" s="151">
        <f t="shared" si="430"/>
        <v>0</v>
      </c>
      <c r="DJ119" s="102">
        <f t="shared" si="431"/>
        <v>0</v>
      </c>
      <c r="DK119" s="102">
        <f t="shared" si="432"/>
        <v>0</v>
      </c>
      <c r="DL119" s="102">
        <f t="shared" si="433"/>
        <v>0</v>
      </c>
      <c r="DM119" s="102">
        <f t="shared" si="434"/>
        <v>0</v>
      </c>
      <c r="DN119" s="564">
        <f t="shared" si="435"/>
        <v>0</v>
      </c>
      <c r="DP119" s="10">
        <f t="shared" si="473"/>
        <v>2089</v>
      </c>
      <c r="DQ119" s="85">
        <f t="shared" si="436"/>
        <v>0</v>
      </c>
      <c r="DR119" s="147">
        <f t="shared" si="437"/>
        <v>0</v>
      </c>
      <c r="DS119" s="147">
        <f t="shared" si="438"/>
        <v>0</v>
      </c>
      <c r="DT119" s="147">
        <f t="shared" si="439"/>
        <v>0</v>
      </c>
      <c r="DU119" s="147">
        <f t="shared" si="440"/>
        <v>0</v>
      </c>
      <c r="DV119" s="85">
        <f t="shared" si="441"/>
        <v>0</v>
      </c>
      <c r="DW119" s="151">
        <f t="shared" si="442"/>
        <v>0</v>
      </c>
      <c r="DX119" s="102">
        <f t="shared" si="443"/>
        <v>0</v>
      </c>
      <c r="DY119" s="102">
        <f t="shared" si="444"/>
        <v>0</v>
      </c>
      <c r="DZ119" s="102">
        <f t="shared" si="445"/>
        <v>0</v>
      </c>
      <c r="EA119" s="102">
        <f t="shared" si="446"/>
        <v>0</v>
      </c>
      <c r="EB119" s="151">
        <f t="shared" si="447"/>
        <v>0</v>
      </c>
      <c r="EC119" s="85">
        <f t="shared" si="448"/>
        <v>0</v>
      </c>
      <c r="ED119" s="147">
        <f t="shared" si="449"/>
        <v>0</v>
      </c>
      <c r="EE119" s="147">
        <f t="shared" si="450"/>
        <v>0</v>
      </c>
      <c r="EF119" s="147">
        <f t="shared" si="451"/>
        <v>0</v>
      </c>
      <c r="EG119" s="147">
        <f t="shared" si="452"/>
        <v>0</v>
      </c>
      <c r="EH119" s="85">
        <f t="shared" si="453"/>
        <v>0</v>
      </c>
      <c r="EI119" s="151">
        <f t="shared" si="454"/>
        <v>0</v>
      </c>
      <c r="EJ119" s="102">
        <f t="shared" si="455"/>
        <v>0</v>
      </c>
      <c r="EK119" s="102">
        <f t="shared" si="456"/>
        <v>0</v>
      </c>
      <c r="EL119" s="102">
        <f t="shared" si="457"/>
        <v>0</v>
      </c>
      <c r="EM119" s="102">
        <f t="shared" si="458"/>
        <v>0</v>
      </c>
      <c r="EN119" s="151">
        <f t="shared" si="459"/>
        <v>0</v>
      </c>
      <c r="EO119" s="85">
        <f t="shared" si="460"/>
        <v>0</v>
      </c>
      <c r="EP119" s="145">
        <f t="shared" si="461"/>
        <v>0</v>
      </c>
      <c r="EQ119" s="145">
        <f t="shared" si="462"/>
        <v>0</v>
      </c>
      <c r="ER119" s="145">
        <f t="shared" si="463"/>
        <v>0</v>
      </c>
      <c r="ES119" s="145">
        <f t="shared" si="464"/>
        <v>0</v>
      </c>
      <c r="ET119" s="85">
        <f t="shared" si="465"/>
        <v>0</v>
      </c>
      <c r="EU119" s="102">
        <f t="shared" si="466"/>
        <v>0</v>
      </c>
      <c r="EV119" s="102">
        <f t="shared" si="467"/>
        <v>0</v>
      </c>
      <c r="EW119" s="102">
        <f t="shared" si="468"/>
        <v>0</v>
      </c>
      <c r="EX119" s="102">
        <f t="shared" si="469"/>
        <v>0</v>
      </c>
      <c r="EY119" s="102">
        <f t="shared" si="470"/>
        <v>0</v>
      </c>
      <c r="EZ119" s="564">
        <f t="shared" si="471"/>
        <v>0</v>
      </c>
    </row>
    <row r="120" spans="82:156">
      <c r="CD120" s="10">
        <f t="shared" si="472"/>
        <v>2090</v>
      </c>
      <c r="CE120" s="85">
        <f t="shared" si="400"/>
        <v>0</v>
      </c>
      <c r="CF120" s="147">
        <f t="shared" si="401"/>
        <v>0</v>
      </c>
      <c r="CG120" s="147">
        <f t="shared" si="402"/>
        <v>0</v>
      </c>
      <c r="CH120" s="147">
        <f t="shared" si="403"/>
        <v>0</v>
      </c>
      <c r="CI120" s="147">
        <f t="shared" si="404"/>
        <v>0</v>
      </c>
      <c r="CJ120" s="85">
        <f t="shared" si="405"/>
        <v>0</v>
      </c>
      <c r="CK120" s="151">
        <f t="shared" si="406"/>
        <v>0</v>
      </c>
      <c r="CL120" s="102">
        <f t="shared" si="407"/>
        <v>0</v>
      </c>
      <c r="CM120" s="102">
        <f t="shared" si="408"/>
        <v>0</v>
      </c>
      <c r="CN120" s="102">
        <f t="shared" si="409"/>
        <v>0</v>
      </c>
      <c r="CO120" s="102">
        <f t="shared" si="410"/>
        <v>0</v>
      </c>
      <c r="CP120" s="151">
        <f t="shared" si="411"/>
        <v>0</v>
      </c>
      <c r="CQ120" s="85">
        <f t="shared" si="412"/>
        <v>0</v>
      </c>
      <c r="CR120" s="147">
        <f t="shared" si="413"/>
        <v>0</v>
      </c>
      <c r="CS120" s="147">
        <f t="shared" si="414"/>
        <v>0</v>
      </c>
      <c r="CT120" s="147">
        <f t="shared" si="415"/>
        <v>0</v>
      </c>
      <c r="CU120" s="147">
        <f t="shared" si="416"/>
        <v>0</v>
      </c>
      <c r="CV120" s="85">
        <f t="shared" si="417"/>
        <v>0</v>
      </c>
      <c r="CW120" s="151">
        <f t="shared" si="418"/>
        <v>0</v>
      </c>
      <c r="CX120" s="102">
        <f t="shared" si="419"/>
        <v>0</v>
      </c>
      <c r="CY120" s="102">
        <f t="shared" si="420"/>
        <v>0</v>
      </c>
      <c r="CZ120" s="102">
        <f t="shared" si="421"/>
        <v>0</v>
      </c>
      <c r="DA120" s="102">
        <f t="shared" si="422"/>
        <v>0</v>
      </c>
      <c r="DB120" s="151">
        <f t="shared" si="423"/>
        <v>0</v>
      </c>
      <c r="DC120" s="85">
        <f t="shared" si="424"/>
        <v>0</v>
      </c>
      <c r="DD120" s="147">
        <f t="shared" si="425"/>
        <v>0</v>
      </c>
      <c r="DE120" s="147">
        <f t="shared" si="426"/>
        <v>0</v>
      </c>
      <c r="DF120" s="147">
        <f t="shared" si="427"/>
        <v>0</v>
      </c>
      <c r="DG120" s="147">
        <f t="shared" si="428"/>
        <v>0</v>
      </c>
      <c r="DH120" s="85">
        <f t="shared" si="429"/>
        <v>0</v>
      </c>
      <c r="DI120" s="151">
        <f t="shared" si="430"/>
        <v>0</v>
      </c>
      <c r="DJ120" s="102">
        <f t="shared" si="431"/>
        <v>0</v>
      </c>
      <c r="DK120" s="102">
        <f t="shared" si="432"/>
        <v>0</v>
      </c>
      <c r="DL120" s="102">
        <f t="shared" si="433"/>
        <v>0</v>
      </c>
      <c r="DM120" s="102">
        <f t="shared" si="434"/>
        <v>0</v>
      </c>
      <c r="DN120" s="564">
        <f t="shared" si="435"/>
        <v>0</v>
      </c>
      <c r="DP120" s="10">
        <f t="shared" si="473"/>
        <v>2090</v>
      </c>
      <c r="DQ120" s="85">
        <f t="shared" si="436"/>
        <v>0</v>
      </c>
      <c r="DR120" s="147">
        <f t="shared" si="437"/>
        <v>0</v>
      </c>
      <c r="DS120" s="147">
        <f t="shared" si="438"/>
        <v>0</v>
      </c>
      <c r="DT120" s="147">
        <f t="shared" si="439"/>
        <v>0</v>
      </c>
      <c r="DU120" s="147">
        <f t="shared" si="440"/>
        <v>0</v>
      </c>
      <c r="DV120" s="85">
        <f t="shared" si="441"/>
        <v>0</v>
      </c>
      <c r="DW120" s="151">
        <f t="shared" si="442"/>
        <v>0</v>
      </c>
      <c r="DX120" s="102">
        <f t="shared" si="443"/>
        <v>0</v>
      </c>
      <c r="DY120" s="102">
        <f t="shared" si="444"/>
        <v>0</v>
      </c>
      <c r="DZ120" s="102">
        <f t="shared" si="445"/>
        <v>0</v>
      </c>
      <c r="EA120" s="102">
        <f t="shared" si="446"/>
        <v>0</v>
      </c>
      <c r="EB120" s="151">
        <f t="shared" si="447"/>
        <v>0</v>
      </c>
      <c r="EC120" s="85">
        <f t="shared" si="448"/>
        <v>0</v>
      </c>
      <c r="ED120" s="147">
        <f t="shared" si="449"/>
        <v>0</v>
      </c>
      <c r="EE120" s="147">
        <f t="shared" si="450"/>
        <v>0</v>
      </c>
      <c r="EF120" s="147">
        <f t="shared" si="451"/>
        <v>0</v>
      </c>
      <c r="EG120" s="147">
        <f t="shared" si="452"/>
        <v>0</v>
      </c>
      <c r="EH120" s="85">
        <f t="shared" si="453"/>
        <v>0</v>
      </c>
      <c r="EI120" s="151">
        <f t="shared" si="454"/>
        <v>0</v>
      </c>
      <c r="EJ120" s="102">
        <f t="shared" si="455"/>
        <v>0</v>
      </c>
      <c r="EK120" s="102">
        <f t="shared" si="456"/>
        <v>0</v>
      </c>
      <c r="EL120" s="102">
        <f t="shared" si="457"/>
        <v>0</v>
      </c>
      <c r="EM120" s="102">
        <f t="shared" si="458"/>
        <v>0</v>
      </c>
      <c r="EN120" s="151">
        <f t="shared" si="459"/>
        <v>0</v>
      </c>
      <c r="EO120" s="85">
        <f t="shared" si="460"/>
        <v>0</v>
      </c>
      <c r="EP120" s="145">
        <f t="shared" si="461"/>
        <v>0</v>
      </c>
      <c r="EQ120" s="145">
        <f t="shared" si="462"/>
        <v>0</v>
      </c>
      <c r="ER120" s="145">
        <f t="shared" si="463"/>
        <v>0</v>
      </c>
      <c r="ES120" s="145">
        <f t="shared" si="464"/>
        <v>0</v>
      </c>
      <c r="ET120" s="85">
        <f t="shared" si="465"/>
        <v>0</v>
      </c>
      <c r="EU120" s="102">
        <f t="shared" si="466"/>
        <v>0</v>
      </c>
      <c r="EV120" s="102">
        <f t="shared" si="467"/>
        <v>0</v>
      </c>
      <c r="EW120" s="102">
        <f t="shared" si="468"/>
        <v>0</v>
      </c>
      <c r="EX120" s="102">
        <f t="shared" si="469"/>
        <v>0</v>
      </c>
      <c r="EY120" s="102">
        <f t="shared" si="470"/>
        <v>0</v>
      </c>
      <c r="EZ120" s="564">
        <f t="shared" si="471"/>
        <v>0</v>
      </c>
    </row>
    <row r="121" spans="82:156">
      <c r="CD121" s="10">
        <f t="shared" si="472"/>
        <v>2091</v>
      </c>
      <c r="CE121" s="85">
        <f t="shared" si="400"/>
        <v>0</v>
      </c>
      <c r="CF121" s="147">
        <f t="shared" si="401"/>
        <v>0</v>
      </c>
      <c r="CG121" s="147">
        <f t="shared" si="402"/>
        <v>0</v>
      </c>
      <c r="CH121" s="147">
        <f t="shared" si="403"/>
        <v>0</v>
      </c>
      <c r="CI121" s="147">
        <f t="shared" si="404"/>
        <v>0</v>
      </c>
      <c r="CJ121" s="85">
        <f t="shared" si="405"/>
        <v>0</v>
      </c>
      <c r="CK121" s="151">
        <f t="shared" si="406"/>
        <v>0</v>
      </c>
      <c r="CL121" s="102">
        <f t="shared" si="407"/>
        <v>0</v>
      </c>
      <c r="CM121" s="102">
        <f t="shared" si="408"/>
        <v>0</v>
      </c>
      <c r="CN121" s="102">
        <f t="shared" si="409"/>
        <v>0</v>
      </c>
      <c r="CO121" s="102">
        <f t="shared" si="410"/>
        <v>0</v>
      </c>
      <c r="CP121" s="151">
        <f t="shared" si="411"/>
        <v>0</v>
      </c>
      <c r="CQ121" s="85">
        <f t="shared" si="412"/>
        <v>0</v>
      </c>
      <c r="CR121" s="147">
        <f t="shared" si="413"/>
        <v>0</v>
      </c>
      <c r="CS121" s="147">
        <f t="shared" si="414"/>
        <v>0</v>
      </c>
      <c r="CT121" s="147">
        <f t="shared" si="415"/>
        <v>0</v>
      </c>
      <c r="CU121" s="147">
        <f t="shared" si="416"/>
        <v>0</v>
      </c>
      <c r="CV121" s="85">
        <f t="shared" si="417"/>
        <v>0</v>
      </c>
      <c r="CW121" s="151">
        <f t="shared" si="418"/>
        <v>0</v>
      </c>
      <c r="CX121" s="102">
        <f t="shared" si="419"/>
        <v>0</v>
      </c>
      <c r="CY121" s="102">
        <f t="shared" si="420"/>
        <v>0</v>
      </c>
      <c r="CZ121" s="102">
        <f t="shared" si="421"/>
        <v>0</v>
      </c>
      <c r="DA121" s="102">
        <f t="shared" si="422"/>
        <v>0</v>
      </c>
      <c r="DB121" s="151">
        <f t="shared" si="423"/>
        <v>0</v>
      </c>
      <c r="DC121" s="85">
        <f t="shared" si="424"/>
        <v>0</v>
      </c>
      <c r="DD121" s="147">
        <f t="shared" si="425"/>
        <v>0</v>
      </c>
      <c r="DE121" s="147">
        <f t="shared" si="426"/>
        <v>0</v>
      </c>
      <c r="DF121" s="147">
        <f t="shared" si="427"/>
        <v>0</v>
      </c>
      <c r="DG121" s="147">
        <f t="shared" si="428"/>
        <v>0</v>
      </c>
      <c r="DH121" s="85">
        <f t="shared" si="429"/>
        <v>0</v>
      </c>
      <c r="DI121" s="151">
        <f t="shared" si="430"/>
        <v>0</v>
      </c>
      <c r="DJ121" s="102">
        <f t="shared" si="431"/>
        <v>0</v>
      </c>
      <c r="DK121" s="102">
        <f t="shared" si="432"/>
        <v>0</v>
      </c>
      <c r="DL121" s="102">
        <f t="shared" si="433"/>
        <v>0</v>
      </c>
      <c r="DM121" s="102">
        <f t="shared" si="434"/>
        <v>0</v>
      </c>
      <c r="DN121" s="564">
        <f t="shared" si="435"/>
        <v>0</v>
      </c>
      <c r="DP121" s="10">
        <f t="shared" si="473"/>
        <v>2091</v>
      </c>
      <c r="DQ121" s="85">
        <f t="shared" si="436"/>
        <v>0</v>
      </c>
      <c r="DR121" s="147">
        <f t="shared" si="437"/>
        <v>0</v>
      </c>
      <c r="DS121" s="147">
        <f t="shared" si="438"/>
        <v>0</v>
      </c>
      <c r="DT121" s="147">
        <f t="shared" si="439"/>
        <v>0</v>
      </c>
      <c r="DU121" s="147">
        <f t="shared" si="440"/>
        <v>0</v>
      </c>
      <c r="DV121" s="85">
        <f t="shared" si="441"/>
        <v>0</v>
      </c>
      <c r="DW121" s="151">
        <f t="shared" si="442"/>
        <v>0</v>
      </c>
      <c r="DX121" s="102">
        <f t="shared" si="443"/>
        <v>0</v>
      </c>
      <c r="DY121" s="102">
        <f t="shared" si="444"/>
        <v>0</v>
      </c>
      <c r="DZ121" s="102">
        <f t="shared" si="445"/>
        <v>0</v>
      </c>
      <c r="EA121" s="102">
        <f t="shared" si="446"/>
        <v>0</v>
      </c>
      <c r="EB121" s="151">
        <f t="shared" si="447"/>
        <v>0</v>
      </c>
      <c r="EC121" s="85">
        <f t="shared" si="448"/>
        <v>0</v>
      </c>
      <c r="ED121" s="147">
        <f t="shared" si="449"/>
        <v>0</v>
      </c>
      <c r="EE121" s="147">
        <f t="shared" si="450"/>
        <v>0</v>
      </c>
      <c r="EF121" s="147">
        <f t="shared" si="451"/>
        <v>0</v>
      </c>
      <c r="EG121" s="147">
        <f t="shared" si="452"/>
        <v>0</v>
      </c>
      <c r="EH121" s="85">
        <f t="shared" si="453"/>
        <v>0</v>
      </c>
      <c r="EI121" s="151">
        <f t="shared" si="454"/>
        <v>0</v>
      </c>
      <c r="EJ121" s="102">
        <f t="shared" si="455"/>
        <v>0</v>
      </c>
      <c r="EK121" s="102">
        <f t="shared" si="456"/>
        <v>0</v>
      </c>
      <c r="EL121" s="102">
        <f t="shared" si="457"/>
        <v>0</v>
      </c>
      <c r="EM121" s="102">
        <f t="shared" si="458"/>
        <v>0</v>
      </c>
      <c r="EN121" s="151">
        <f t="shared" si="459"/>
        <v>0</v>
      </c>
      <c r="EO121" s="85">
        <f t="shared" si="460"/>
        <v>0</v>
      </c>
      <c r="EP121" s="145">
        <f t="shared" si="461"/>
        <v>0</v>
      </c>
      <c r="EQ121" s="145">
        <f t="shared" si="462"/>
        <v>0</v>
      </c>
      <c r="ER121" s="145">
        <f t="shared" si="463"/>
        <v>0</v>
      </c>
      <c r="ES121" s="145">
        <f t="shared" si="464"/>
        <v>0</v>
      </c>
      <c r="ET121" s="85">
        <f t="shared" si="465"/>
        <v>0</v>
      </c>
      <c r="EU121" s="102">
        <f t="shared" si="466"/>
        <v>0</v>
      </c>
      <c r="EV121" s="102">
        <f t="shared" si="467"/>
        <v>0</v>
      </c>
      <c r="EW121" s="102">
        <f t="shared" si="468"/>
        <v>0</v>
      </c>
      <c r="EX121" s="102">
        <f t="shared" si="469"/>
        <v>0</v>
      </c>
      <c r="EY121" s="102">
        <f t="shared" si="470"/>
        <v>0</v>
      </c>
      <c r="EZ121" s="564">
        <f t="shared" si="471"/>
        <v>0</v>
      </c>
    </row>
    <row r="122" spans="82:156">
      <c r="CD122" s="10">
        <f t="shared" si="472"/>
        <v>2092</v>
      </c>
      <c r="CE122" s="85">
        <f t="shared" si="400"/>
        <v>0</v>
      </c>
      <c r="CF122" s="147">
        <f t="shared" si="401"/>
        <v>0</v>
      </c>
      <c r="CG122" s="147">
        <f t="shared" si="402"/>
        <v>0</v>
      </c>
      <c r="CH122" s="147">
        <f t="shared" si="403"/>
        <v>0</v>
      </c>
      <c r="CI122" s="147">
        <f t="shared" si="404"/>
        <v>0</v>
      </c>
      <c r="CJ122" s="85">
        <f t="shared" si="405"/>
        <v>0</v>
      </c>
      <c r="CK122" s="151">
        <f t="shared" si="406"/>
        <v>0</v>
      </c>
      <c r="CL122" s="102">
        <f t="shared" si="407"/>
        <v>0</v>
      </c>
      <c r="CM122" s="102">
        <f t="shared" si="408"/>
        <v>0</v>
      </c>
      <c r="CN122" s="102">
        <f t="shared" si="409"/>
        <v>0</v>
      </c>
      <c r="CO122" s="102">
        <f t="shared" si="410"/>
        <v>0</v>
      </c>
      <c r="CP122" s="151">
        <f t="shared" si="411"/>
        <v>0</v>
      </c>
      <c r="CQ122" s="85">
        <f t="shared" si="412"/>
        <v>0</v>
      </c>
      <c r="CR122" s="147">
        <f t="shared" si="413"/>
        <v>0</v>
      </c>
      <c r="CS122" s="147">
        <f t="shared" si="414"/>
        <v>0</v>
      </c>
      <c r="CT122" s="147">
        <f t="shared" si="415"/>
        <v>0</v>
      </c>
      <c r="CU122" s="147">
        <f t="shared" si="416"/>
        <v>0</v>
      </c>
      <c r="CV122" s="85">
        <f t="shared" si="417"/>
        <v>0</v>
      </c>
      <c r="CW122" s="151">
        <f t="shared" si="418"/>
        <v>0</v>
      </c>
      <c r="CX122" s="102">
        <f t="shared" si="419"/>
        <v>0</v>
      </c>
      <c r="CY122" s="102">
        <f t="shared" si="420"/>
        <v>0</v>
      </c>
      <c r="CZ122" s="102">
        <f t="shared" si="421"/>
        <v>0</v>
      </c>
      <c r="DA122" s="102">
        <f t="shared" si="422"/>
        <v>0</v>
      </c>
      <c r="DB122" s="151">
        <f t="shared" si="423"/>
        <v>0</v>
      </c>
      <c r="DC122" s="85">
        <f t="shared" si="424"/>
        <v>0</v>
      </c>
      <c r="DD122" s="147">
        <f t="shared" si="425"/>
        <v>0</v>
      </c>
      <c r="DE122" s="147">
        <f t="shared" si="426"/>
        <v>0</v>
      </c>
      <c r="DF122" s="147">
        <f t="shared" si="427"/>
        <v>0</v>
      </c>
      <c r="DG122" s="147">
        <f t="shared" si="428"/>
        <v>0</v>
      </c>
      <c r="DH122" s="85">
        <f t="shared" si="429"/>
        <v>0</v>
      </c>
      <c r="DI122" s="151">
        <f t="shared" si="430"/>
        <v>0</v>
      </c>
      <c r="DJ122" s="102">
        <f t="shared" si="431"/>
        <v>0</v>
      </c>
      <c r="DK122" s="102">
        <f t="shared" si="432"/>
        <v>0</v>
      </c>
      <c r="DL122" s="102">
        <f t="shared" si="433"/>
        <v>0</v>
      </c>
      <c r="DM122" s="102">
        <f t="shared" si="434"/>
        <v>0</v>
      </c>
      <c r="DN122" s="564">
        <f t="shared" si="435"/>
        <v>0</v>
      </c>
      <c r="DP122" s="10">
        <f t="shared" si="473"/>
        <v>2092</v>
      </c>
      <c r="DQ122" s="85">
        <f t="shared" si="436"/>
        <v>0</v>
      </c>
      <c r="DR122" s="147">
        <f t="shared" si="437"/>
        <v>0</v>
      </c>
      <c r="DS122" s="147">
        <f t="shared" si="438"/>
        <v>0</v>
      </c>
      <c r="DT122" s="147">
        <f t="shared" si="439"/>
        <v>0</v>
      </c>
      <c r="DU122" s="147">
        <f t="shared" si="440"/>
        <v>0</v>
      </c>
      <c r="DV122" s="85">
        <f t="shared" si="441"/>
        <v>0</v>
      </c>
      <c r="DW122" s="151">
        <f t="shared" si="442"/>
        <v>0</v>
      </c>
      <c r="DX122" s="102">
        <f t="shared" si="443"/>
        <v>0</v>
      </c>
      <c r="DY122" s="102">
        <f t="shared" si="444"/>
        <v>0</v>
      </c>
      <c r="DZ122" s="102">
        <f t="shared" si="445"/>
        <v>0</v>
      </c>
      <c r="EA122" s="102">
        <f t="shared" si="446"/>
        <v>0</v>
      </c>
      <c r="EB122" s="151">
        <f t="shared" si="447"/>
        <v>0</v>
      </c>
      <c r="EC122" s="85">
        <f t="shared" si="448"/>
        <v>0</v>
      </c>
      <c r="ED122" s="147">
        <f t="shared" si="449"/>
        <v>0</v>
      </c>
      <c r="EE122" s="147">
        <f t="shared" si="450"/>
        <v>0</v>
      </c>
      <c r="EF122" s="147">
        <f t="shared" si="451"/>
        <v>0</v>
      </c>
      <c r="EG122" s="147">
        <f t="shared" si="452"/>
        <v>0</v>
      </c>
      <c r="EH122" s="85">
        <f t="shared" si="453"/>
        <v>0</v>
      </c>
      <c r="EI122" s="151">
        <f t="shared" si="454"/>
        <v>0</v>
      </c>
      <c r="EJ122" s="102">
        <f t="shared" si="455"/>
        <v>0</v>
      </c>
      <c r="EK122" s="102">
        <f t="shared" si="456"/>
        <v>0</v>
      </c>
      <c r="EL122" s="102">
        <f t="shared" si="457"/>
        <v>0</v>
      </c>
      <c r="EM122" s="102">
        <f t="shared" si="458"/>
        <v>0</v>
      </c>
      <c r="EN122" s="151">
        <f t="shared" si="459"/>
        <v>0</v>
      </c>
      <c r="EO122" s="85">
        <f t="shared" si="460"/>
        <v>0</v>
      </c>
      <c r="EP122" s="145">
        <f t="shared" si="461"/>
        <v>0</v>
      </c>
      <c r="EQ122" s="145">
        <f t="shared" si="462"/>
        <v>0</v>
      </c>
      <c r="ER122" s="145">
        <f t="shared" si="463"/>
        <v>0</v>
      </c>
      <c r="ES122" s="145">
        <f t="shared" si="464"/>
        <v>0</v>
      </c>
      <c r="ET122" s="85">
        <f t="shared" si="465"/>
        <v>0</v>
      </c>
      <c r="EU122" s="102">
        <f t="shared" si="466"/>
        <v>0</v>
      </c>
      <c r="EV122" s="102">
        <f t="shared" si="467"/>
        <v>0</v>
      </c>
      <c r="EW122" s="102">
        <f t="shared" si="468"/>
        <v>0</v>
      </c>
      <c r="EX122" s="102">
        <f t="shared" si="469"/>
        <v>0</v>
      </c>
      <c r="EY122" s="102">
        <f t="shared" si="470"/>
        <v>0</v>
      </c>
      <c r="EZ122" s="564">
        <f t="shared" si="471"/>
        <v>0</v>
      </c>
    </row>
    <row r="123" spans="82:156">
      <c r="CD123" s="10">
        <f t="shared" si="472"/>
        <v>2093</v>
      </c>
      <c r="CE123" s="85">
        <f t="shared" si="400"/>
        <v>0</v>
      </c>
      <c r="CF123" s="147">
        <f t="shared" si="401"/>
        <v>0</v>
      </c>
      <c r="CG123" s="147">
        <f t="shared" si="402"/>
        <v>0</v>
      </c>
      <c r="CH123" s="147">
        <f t="shared" si="403"/>
        <v>0</v>
      </c>
      <c r="CI123" s="147">
        <f t="shared" si="404"/>
        <v>0</v>
      </c>
      <c r="CJ123" s="85">
        <f t="shared" si="405"/>
        <v>0</v>
      </c>
      <c r="CK123" s="151">
        <f t="shared" si="406"/>
        <v>0</v>
      </c>
      <c r="CL123" s="102">
        <f t="shared" si="407"/>
        <v>0</v>
      </c>
      <c r="CM123" s="102">
        <f t="shared" si="408"/>
        <v>0</v>
      </c>
      <c r="CN123" s="102">
        <f t="shared" si="409"/>
        <v>0</v>
      </c>
      <c r="CO123" s="102">
        <f t="shared" si="410"/>
        <v>0</v>
      </c>
      <c r="CP123" s="151">
        <f t="shared" si="411"/>
        <v>0</v>
      </c>
      <c r="CQ123" s="85">
        <f t="shared" si="412"/>
        <v>0</v>
      </c>
      <c r="CR123" s="147">
        <f t="shared" si="413"/>
        <v>0</v>
      </c>
      <c r="CS123" s="147">
        <f t="shared" si="414"/>
        <v>0</v>
      </c>
      <c r="CT123" s="147">
        <f t="shared" si="415"/>
        <v>0</v>
      </c>
      <c r="CU123" s="147">
        <f t="shared" si="416"/>
        <v>0</v>
      </c>
      <c r="CV123" s="85">
        <f t="shared" si="417"/>
        <v>0</v>
      </c>
      <c r="CW123" s="151">
        <f t="shared" si="418"/>
        <v>0</v>
      </c>
      <c r="CX123" s="102">
        <f t="shared" si="419"/>
        <v>0</v>
      </c>
      <c r="CY123" s="102">
        <f t="shared" si="420"/>
        <v>0</v>
      </c>
      <c r="CZ123" s="102">
        <f t="shared" si="421"/>
        <v>0</v>
      </c>
      <c r="DA123" s="102">
        <f t="shared" si="422"/>
        <v>0</v>
      </c>
      <c r="DB123" s="151">
        <f t="shared" si="423"/>
        <v>0</v>
      </c>
      <c r="DC123" s="85">
        <f t="shared" si="424"/>
        <v>0</v>
      </c>
      <c r="DD123" s="147">
        <f t="shared" si="425"/>
        <v>0</v>
      </c>
      <c r="DE123" s="147">
        <f t="shared" si="426"/>
        <v>0</v>
      </c>
      <c r="DF123" s="147">
        <f t="shared" si="427"/>
        <v>0</v>
      </c>
      <c r="DG123" s="147">
        <f t="shared" si="428"/>
        <v>0</v>
      </c>
      <c r="DH123" s="85">
        <f t="shared" si="429"/>
        <v>0</v>
      </c>
      <c r="DI123" s="151">
        <f t="shared" si="430"/>
        <v>0</v>
      </c>
      <c r="DJ123" s="102">
        <f t="shared" si="431"/>
        <v>0</v>
      </c>
      <c r="DK123" s="102">
        <f t="shared" si="432"/>
        <v>0</v>
      </c>
      <c r="DL123" s="102">
        <f t="shared" si="433"/>
        <v>0</v>
      </c>
      <c r="DM123" s="102">
        <f t="shared" si="434"/>
        <v>0</v>
      </c>
      <c r="DN123" s="564">
        <f t="shared" si="435"/>
        <v>0</v>
      </c>
      <c r="DP123" s="10">
        <f t="shared" si="473"/>
        <v>2093</v>
      </c>
      <c r="DQ123" s="85">
        <f t="shared" si="436"/>
        <v>0</v>
      </c>
      <c r="DR123" s="147">
        <f t="shared" si="437"/>
        <v>0</v>
      </c>
      <c r="DS123" s="147">
        <f t="shared" si="438"/>
        <v>0</v>
      </c>
      <c r="DT123" s="147">
        <f t="shared" si="439"/>
        <v>0</v>
      </c>
      <c r="DU123" s="147">
        <f t="shared" si="440"/>
        <v>0</v>
      </c>
      <c r="DV123" s="85">
        <f t="shared" si="441"/>
        <v>0</v>
      </c>
      <c r="DW123" s="151">
        <f t="shared" si="442"/>
        <v>0</v>
      </c>
      <c r="DX123" s="102">
        <f t="shared" si="443"/>
        <v>0</v>
      </c>
      <c r="DY123" s="102">
        <f t="shared" si="444"/>
        <v>0</v>
      </c>
      <c r="DZ123" s="102">
        <f t="shared" si="445"/>
        <v>0</v>
      </c>
      <c r="EA123" s="102">
        <f t="shared" si="446"/>
        <v>0</v>
      </c>
      <c r="EB123" s="151">
        <f t="shared" si="447"/>
        <v>0</v>
      </c>
      <c r="EC123" s="85">
        <f t="shared" si="448"/>
        <v>0</v>
      </c>
      <c r="ED123" s="147">
        <f t="shared" si="449"/>
        <v>0</v>
      </c>
      <c r="EE123" s="147">
        <f t="shared" si="450"/>
        <v>0</v>
      </c>
      <c r="EF123" s="147">
        <f t="shared" si="451"/>
        <v>0</v>
      </c>
      <c r="EG123" s="147">
        <f t="shared" si="452"/>
        <v>0</v>
      </c>
      <c r="EH123" s="85">
        <f t="shared" si="453"/>
        <v>0</v>
      </c>
      <c r="EI123" s="151">
        <f t="shared" si="454"/>
        <v>0</v>
      </c>
      <c r="EJ123" s="102">
        <f t="shared" si="455"/>
        <v>0</v>
      </c>
      <c r="EK123" s="102">
        <f t="shared" si="456"/>
        <v>0</v>
      </c>
      <c r="EL123" s="102">
        <f t="shared" si="457"/>
        <v>0</v>
      </c>
      <c r="EM123" s="102">
        <f t="shared" si="458"/>
        <v>0</v>
      </c>
      <c r="EN123" s="151">
        <f t="shared" si="459"/>
        <v>0</v>
      </c>
      <c r="EO123" s="85">
        <f t="shared" si="460"/>
        <v>0</v>
      </c>
      <c r="EP123" s="145">
        <f t="shared" si="461"/>
        <v>0</v>
      </c>
      <c r="EQ123" s="145">
        <f t="shared" si="462"/>
        <v>0</v>
      </c>
      <c r="ER123" s="145">
        <f t="shared" si="463"/>
        <v>0</v>
      </c>
      <c r="ES123" s="145">
        <f t="shared" si="464"/>
        <v>0</v>
      </c>
      <c r="ET123" s="85">
        <f t="shared" si="465"/>
        <v>0</v>
      </c>
      <c r="EU123" s="102">
        <f t="shared" si="466"/>
        <v>0</v>
      </c>
      <c r="EV123" s="102">
        <f t="shared" si="467"/>
        <v>0</v>
      </c>
      <c r="EW123" s="102">
        <f t="shared" si="468"/>
        <v>0</v>
      </c>
      <c r="EX123" s="102">
        <f t="shared" si="469"/>
        <v>0</v>
      </c>
      <c r="EY123" s="102">
        <f t="shared" si="470"/>
        <v>0</v>
      </c>
      <c r="EZ123" s="564">
        <f t="shared" si="471"/>
        <v>0</v>
      </c>
    </row>
    <row r="124" spans="82:156">
      <c r="CD124" s="10">
        <f t="shared" si="472"/>
        <v>2094</v>
      </c>
      <c r="CE124" s="85">
        <f t="shared" si="400"/>
        <v>0</v>
      </c>
      <c r="CF124" s="147">
        <f t="shared" si="401"/>
        <v>0</v>
      </c>
      <c r="CG124" s="147">
        <f t="shared" si="402"/>
        <v>0</v>
      </c>
      <c r="CH124" s="147">
        <f t="shared" si="403"/>
        <v>0</v>
      </c>
      <c r="CI124" s="147">
        <f t="shared" si="404"/>
        <v>0</v>
      </c>
      <c r="CJ124" s="85">
        <f t="shared" si="405"/>
        <v>0</v>
      </c>
      <c r="CK124" s="151">
        <f t="shared" si="406"/>
        <v>0</v>
      </c>
      <c r="CL124" s="102">
        <f t="shared" si="407"/>
        <v>0</v>
      </c>
      <c r="CM124" s="102">
        <f t="shared" si="408"/>
        <v>0</v>
      </c>
      <c r="CN124" s="102">
        <f t="shared" si="409"/>
        <v>0</v>
      </c>
      <c r="CO124" s="102">
        <f t="shared" si="410"/>
        <v>0</v>
      </c>
      <c r="CP124" s="151">
        <f t="shared" si="411"/>
        <v>0</v>
      </c>
      <c r="CQ124" s="85">
        <f t="shared" si="412"/>
        <v>0</v>
      </c>
      <c r="CR124" s="147">
        <f t="shared" si="413"/>
        <v>0</v>
      </c>
      <c r="CS124" s="147">
        <f t="shared" si="414"/>
        <v>0</v>
      </c>
      <c r="CT124" s="147">
        <f t="shared" si="415"/>
        <v>0</v>
      </c>
      <c r="CU124" s="147">
        <f t="shared" si="416"/>
        <v>0</v>
      </c>
      <c r="CV124" s="85">
        <f t="shared" si="417"/>
        <v>0</v>
      </c>
      <c r="CW124" s="151">
        <f t="shared" si="418"/>
        <v>0</v>
      </c>
      <c r="CX124" s="102">
        <f t="shared" si="419"/>
        <v>0</v>
      </c>
      <c r="CY124" s="102">
        <f t="shared" si="420"/>
        <v>0</v>
      </c>
      <c r="CZ124" s="102">
        <f t="shared" si="421"/>
        <v>0</v>
      </c>
      <c r="DA124" s="102">
        <f t="shared" si="422"/>
        <v>0</v>
      </c>
      <c r="DB124" s="151">
        <f t="shared" si="423"/>
        <v>0</v>
      </c>
      <c r="DC124" s="85">
        <f t="shared" si="424"/>
        <v>0</v>
      </c>
      <c r="DD124" s="147">
        <f t="shared" si="425"/>
        <v>0</v>
      </c>
      <c r="DE124" s="147">
        <f t="shared" si="426"/>
        <v>0</v>
      </c>
      <c r="DF124" s="147">
        <f t="shared" si="427"/>
        <v>0</v>
      </c>
      <c r="DG124" s="147">
        <f t="shared" si="428"/>
        <v>0</v>
      </c>
      <c r="DH124" s="85">
        <f t="shared" si="429"/>
        <v>0</v>
      </c>
      <c r="DI124" s="151">
        <f t="shared" si="430"/>
        <v>0</v>
      </c>
      <c r="DJ124" s="102">
        <f t="shared" si="431"/>
        <v>0</v>
      </c>
      <c r="DK124" s="102">
        <f t="shared" si="432"/>
        <v>0</v>
      </c>
      <c r="DL124" s="102">
        <f t="shared" si="433"/>
        <v>0</v>
      </c>
      <c r="DM124" s="102">
        <f t="shared" si="434"/>
        <v>0</v>
      </c>
      <c r="DN124" s="564">
        <f t="shared" si="435"/>
        <v>0</v>
      </c>
      <c r="DP124" s="10">
        <f t="shared" si="473"/>
        <v>2094</v>
      </c>
      <c r="DQ124" s="85">
        <f t="shared" si="436"/>
        <v>0</v>
      </c>
      <c r="DR124" s="147">
        <f t="shared" si="437"/>
        <v>0</v>
      </c>
      <c r="DS124" s="147">
        <f t="shared" si="438"/>
        <v>0</v>
      </c>
      <c r="DT124" s="147">
        <f t="shared" si="439"/>
        <v>0</v>
      </c>
      <c r="DU124" s="147">
        <f t="shared" si="440"/>
        <v>0</v>
      </c>
      <c r="DV124" s="85">
        <f t="shared" si="441"/>
        <v>0</v>
      </c>
      <c r="DW124" s="151">
        <f t="shared" si="442"/>
        <v>0</v>
      </c>
      <c r="DX124" s="102">
        <f t="shared" si="443"/>
        <v>0</v>
      </c>
      <c r="DY124" s="102">
        <f t="shared" si="444"/>
        <v>0</v>
      </c>
      <c r="DZ124" s="102">
        <f t="shared" si="445"/>
        <v>0</v>
      </c>
      <c r="EA124" s="102">
        <f t="shared" si="446"/>
        <v>0</v>
      </c>
      <c r="EB124" s="151">
        <f t="shared" si="447"/>
        <v>0</v>
      </c>
      <c r="EC124" s="85">
        <f t="shared" si="448"/>
        <v>0</v>
      </c>
      <c r="ED124" s="147">
        <f t="shared" si="449"/>
        <v>0</v>
      </c>
      <c r="EE124" s="147">
        <f t="shared" si="450"/>
        <v>0</v>
      </c>
      <c r="EF124" s="147">
        <f t="shared" si="451"/>
        <v>0</v>
      </c>
      <c r="EG124" s="147">
        <f t="shared" si="452"/>
        <v>0</v>
      </c>
      <c r="EH124" s="85">
        <f t="shared" si="453"/>
        <v>0</v>
      </c>
      <c r="EI124" s="151">
        <f t="shared" si="454"/>
        <v>0</v>
      </c>
      <c r="EJ124" s="102">
        <f t="shared" si="455"/>
        <v>0</v>
      </c>
      <c r="EK124" s="102">
        <f t="shared" si="456"/>
        <v>0</v>
      </c>
      <c r="EL124" s="102">
        <f t="shared" si="457"/>
        <v>0</v>
      </c>
      <c r="EM124" s="102">
        <f t="shared" si="458"/>
        <v>0</v>
      </c>
      <c r="EN124" s="151">
        <f t="shared" si="459"/>
        <v>0</v>
      </c>
      <c r="EO124" s="85">
        <f t="shared" si="460"/>
        <v>0</v>
      </c>
      <c r="EP124" s="145">
        <f t="shared" si="461"/>
        <v>0</v>
      </c>
      <c r="EQ124" s="145">
        <f t="shared" si="462"/>
        <v>0</v>
      </c>
      <c r="ER124" s="145">
        <f t="shared" si="463"/>
        <v>0</v>
      </c>
      <c r="ES124" s="145">
        <f t="shared" si="464"/>
        <v>0</v>
      </c>
      <c r="ET124" s="85">
        <f t="shared" si="465"/>
        <v>0</v>
      </c>
      <c r="EU124" s="102">
        <f t="shared" si="466"/>
        <v>0</v>
      </c>
      <c r="EV124" s="102">
        <f t="shared" si="467"/>
        <v>0</v>
      </c>
      <c r="EW124" s="102">
        <f t="shared" si="468"/>
        <v>0</v>
      </c>
      <c r="EX124" s="102">
        <f t="shared" si="469"/>
        <v>0</v>
      </c>
      <c r="EY124" s="102">
        <f t="shared" si="470"/>
        <v>0</v>
      </c>
      <c r="EZ124" s="564">
        <f t="shared" si="471"/>
        <v>0</v>
      </c>
    </row>
    <row r="125" spans="82:156">
      <c r="CD125" s="10">
        <f t="shared" si="472"/>
        <v>2095</v>
      </c>
      <c r="CE125" s="85">
        <f t="shared" si="400"/>
        <v>0</v>
      </c>
      <c r="CF125" s="147">
        <f t="shared" si="401"/>
        <v>0</v>
      </c>
      <c r="CG125" s="147">
        <f t="shared" si="402"/>
        <v>0</v>
      </c>
      <c r="CH125" s="147">
        <f t="shared" si="403"/>
        <v>0</v>
      </c>
      <c r="CI125" s="147">
        <f t="shared" si="404"/>
        <v>0</v>
      </c>
      <c r="CJ125" s="85">
        <f t="shared" si="405"/>
        <v>0</v>
      </c>
      <c r="CK125" s="151">
        <f t="shared" si="406"/>
        <v>0</v>
      </c>
      <c r="CL125" s="102">
        <f t="shared" si="407"/>
        <v>0</v>
      </c>
      <c r="CM125" s="102">
        <f t="shared" si="408"/>
        <v>0</v>
      </c>
      <c r="CN125" s="102">
        <f t="shared" si="409"/>
        <v>0</v>
      </c>
      <c r="CO125" s="102">
        <f t="shared" si="410"/>
        <v>0</v>
      </c>
      <c r="CP125" s="151">
        <f t="shared" si="411"/>
        <v>0</v>
      </c>
      <c r="CQ125" s="85">
        <f t="shared" si="412"/>
        <v>0</v>
      </c>
      <c r="CR125" s="147">
        <f t="shared" si="413"/>
        <v>0</v>
      </c>
      <c r="CS125" s="147">
        <f t="shared" si="414"/>
        <v>0</v>
      </c>
      <c r="CT125" s="147">
        <f t="shared" si="415"/>
        <v>0</v>
      </c>
      <c r="CU125" s="147">
        <f t="shared" si="416"/>
        <v>0</v>
      </c>
      <c r="CV125" s="85">
        <f t="shared" si="417"/>
        <v>0</v>
      </c>
      <c r="CW125" s="151">
        <f t="shared" si="418"/>
        <v>0</v>
      </c>
      <c r="CX125" s="102">
        <f t="shared" si="419"/>
        <v>0</v>
      </c>
      <c r="CY125" s="102">
        <f t="shared" si="420"/>
        <v>0</v>
      </c>
      <c r="CZ125" s="102">
        <f t="shared" si="421"/>
        <v>0</v>
      </c>
      <c r="DA125" s="102">
        <f t="shared" si="422"/>
        <v>0</v>
      </c>
      <c r="DB125" s="151">
        <f t="shared" si="423"/>
        <v>0</v>
      </c>
      <c r="DC125" s="85">
        <f t="shared" si="424"/>
        <v>0</v>
      </c>
      <c r="DD125" s="147">
        <f t="shared" si="425"/>
        <v>0</v>
      </c>
      <c r="DE125" s="147">
        <f t="shared" si="426"/>
        <v>0</v>
      </c>
      <c r="DF125" s="147">
        <f t="shared" si="427"/>
        <v>0</v>
      </c>
      <c r="DG125" s="147">
        <f t="shared" si="428"/>
        <v>0</v>
      </c>
      <c r="DH125" s="85">
        <f t="shared" si="429"/>
        <v>0</v>
      </c>
      <c r="DI125" s="151">
        <f t="shared" si="430"/>
        <v>0</v>
      </c>
      <c r="DJ125" s="102">
        <f t="shared" si="431"/>
        <v>0</v>
      </c>
      <c r="DK125" s="102">
        <f t="shared" si="432"/>
        <v>0</v>
      </c>
      <c r="DL125" s="102">
        <f t="shared" si="433"/>
        <v>0</v>
      </c>
      <c r="DM125" s="102">
        <f t="shared" si="434"/>
        <v>0</v>
      </c>
      <c r="DN125" s="564">
        <f t="shared" si="435"/>
        <v>0</v>
      </c>
      <c r="DP125" s="10">
        <f t="shared" si="473"/>
        <v>2095</v>
      </c>
      <c r="DQ125" s="85">
        <f t="shared" si="436"/>
        <v>0</v>
      </c>
      <c r="DR125" s="147">
        <f t="shared" si="437"/>
        <v>0</v>
      </c>
      <c r="DS125" s="147">
        <f t="shared" si="438"/>
        <v>0</v>
      </c>
      <c r="DT125" s="147">
        <f t="shared" si="439"/>
        <v>0</v>
      </c>
      <c r="DU125" s="147">
        <f t="shared" si="440"/>
        <v>0</v>
      </c>
      <c r="DV125" s="85">
        <f t="shared" si="441"/>
        <v>0</v>
      </c>
      <c r="DW125" s="151">
        <f t="shared" si="442"/>
        <v>0</v>
      </c>
      <c r="DX125" s="102">
        <f t="shared" si="443"/>
        <v>0</v>
      </c>
      <c r="DY125" s="102">
        <f t="shared" si="444"/>
        <v>0</v>
      </c>
      <c r="DZ125" s="102">
        <f t="shared" si="445"/>
        <v>0</v>
      </c>
      <c r="EA125" s="102">
        <f t="shared" si="446"/>
        <v>0</v>
      </c>
      <c r="EB125" s="151">
        <f t="shared" si="447"/>
        <v>0</v>
      </c>
      <c r="EC125" s="85">
        <f t="shared" si="448"/>
        <v>0</v>
      </c>
      <c r="ED125" s="147">
        <f t="shared" si="449"/>
        <v>0</v>
      </c>
      <c r="EE125" s="147">
        <f t="shared" si="450"/>
        <v>0</v>
      </c>
      <c r="EF125" s="147">
        <f t="shared" si="451"/>
        <v>0</v>
      </c>
      <c r="EG125" s="147">
        <f t="shared" si="452"/>
        <v>0</v>
      </c>
      <c r="EH125" s="85">
        <f t="shared" si="453"/>
        <v>0</v>
      </c>
      <c r="EI125" s="151">
        <f t="shared" si="454"/>
        <v>0</v>
      </c>
      <c r="EJ125" s="102">
        <f t="shared" si="455"/>
        <v>0</v>
      </c>
      <c r="EK125" s="102">
        <f t="shared" si="456"/>
        <v>0</v>
      </c>
      <c r="EL125" s="102">
        <f t="shared" si="457"/>
        <v>0</v>
      </c>
      <c r="EM125" s="102">
        <f t="shared" si="458"/>
        <v>0</v>
      </c>
      <c r="EN125" s="151">
        <f t="shared" si="459"/>
        <v>0</v>
      </c>
      <c r="EO125" s="85">
        <f t="shared" si="460"/>
        <v>0</v>
      </c>
      <c r="EP125" s="145">
        <f t="shared" si="461"/>
        <v>0</v>
      </c>
      <c r="EQ125" s="145">
        <f t="shared" si="462"/>
        <v>0</v>
      </c>
      <c r="ER125" s="145">
        <f t="shared" si="463"/>
        <v>0</v>
      </c>
      <c r="ES125" s="145">
        <f t="shared" si="464"/>
        <v>0</v>
      </c>
      <c r="ET125" s="85">
        <f t="shared" si="465"/>
        <v>0</v>
      </c>
      <c r="EU125" s="102">
        <f t="shared" si="466"/>
        <v>0</v>
      </c>
      <c r="EV125" s="102">
        <f t="shared" si="467"/>
        <v>0</v>
      </c>
      <c r="EW125" s="102">
        <f t="shared" si="468"/>
        <v>0</v>
      </c>
      <c r="EX125" s="102">
        <f t="shared" si="469"/>
        <v>0</v>
      </c>
      <c r="EY125" s="102">
        <f t="shared" si="470"/>
        <v>0</v>
      </c>
      <c r="EZ125" s="564">
        <f t="shared" si="471"/>
        <v>0</v>
      </c>
    </row>
    <row r="126" spans="82:156">
      <c r="CD126" s="10">
        <f t="shared" si="472"/>
        <v>2096</v>
      </c>
      <c r="CE126" s="85">
        <f t="shared" si="400"/>
        <v>0</v>
      </c>
      <c r="CF126" s="147">
        <f t="shared" si="401"/>
        <v>0</v>
      </c>
      <c r="CG126" s="147">
        <f t="shared" si="402"/>
        <v>0</v>
      </c>
      <c r="CH126" s="147">
        <f t="shared" si="403"/>
        <v>0</v>
      </c>
      <c r="CI126" s="147">
        <f t="shared" si="404"/>
        <v>0</v>
      </c>
      <c r="CJ126" s="85">
        <f t="shared" si="405"/>
        <v>0</v>
      </c>
      <c r="CK126" s="151">
        <f t="shared" si="406"/>
        <v>0</v>
      </c>
      <c r="CL126" s="102">
        <f t="shared" si="407"/>
        <v>0</v>
      </c>
      <c r="CM126" s="102">
        <f t="shared" si="408"/>
        <v>0</v>
      </c>
      <c r="CN126" s="102">
        <f t="shared" si="409"/>
        <v>0</v>
      </c>
      <c r="CO126" s="102">
        <f t="shared" si="410"/>
        <v>0</v>
      </c>
      <c r="CP126" s="151">
        <f t="shared" si="411"/>
        <v>0</v>
      </c>
      <c r="CQ126" s="85">
        <f t="shared" si="412"/>
        <v>0</v>
      </c>
      <c r="CR126" s="147">
        <f t="shared" si="413"/>
        <v>0</v>
      </c>
      <c r="CS126" s="147">
        <f t="shared" si="414"/>
        <v>0</v>
      </c>
      <c r="CT126" s="147">
        <f t="shared" si="415"/>
        <v>0</v>
      </c>
      <c r="CU126" s="147">
        <f t="shared" si="416"/>
        <v>0</v>
      </c>
      <c r="CV126" s="85">
        <f t="shared" si="417"/>
        <v>0</v>
      </c>
      <c r="CW126" s="151">
        <f t="shared" si="418"/>
        <v>0</v>
      </c>
      <c r="CX126" s="102">
        <f t="shared" si="419"/>
        <v>0</v>
      </c>
      <c r="CY126" s="102">
        <f t="shared" si="420"/>
        <v>0</v>
      </c>
      <c r="CZ126" s="102">
        <f t="shared" si="421"/>
        <v>0</v>
      </c>
      <c r="DA126" s="102">
        <f t="shared" si="422"/>
        <v>0</v>
      </c>
      <c r="DB126" s="151">
        <f t="shared" si="423"/>
        <v>0</v>
      </c>
      <c r="DC126" s="85">
        <f t="shared" si="424"/>
        <v>0</v>
      </c>
      <c r="DD126" s="147">
        <f t="shared" si="425"/>
        <v>0</v>
      </c>
      <c r="DE126" s="147">
        <f t="shared" si="426"/>
        <v>0</v>
      </c>
      <c r="DF126" s="147">
        <f t="shared" si="427"/>
        <v>0</v>
      </c>
      <c r="DG126" s="147">
        <f t="shared" si="428"/>
        <v>0</v>
      </c>
      <c r="DH126" s="85">
        <f t="shared" si="429"/>
        <v>0</v>
      </c>
      <c r="DI126" s="151">
        <f t="shared" si="430"/>
        <v>0</v>
      </c>
      <c r="DJ126" s="102">
        <f t="shared" si="431"/>
        <v>0</v>
      </c>
      <c r="DK126" s="102">
        <f t="shared" si="432"/>
        <v>0</v>
      </c>
      <c r="DL126" s="102">
        <f t="shared" si="433"/>
        <v>0</v>
      </c>
      <c r="DM126" s="102">
        <f t="shared" si="434"/>
        <v>0</v>
      </c>
      <c r="DN126" s="564">
        <f t="shared" si="435"/>
        <v>0</v>
      </c>
      <c r="DP126" s="10">
        <f t="shared" si="473"/>
        <v>2096</v>
      </c>
      <c r="DQ126" s="85">
        <f t="shared" si="436"/>
        <v>0</v>
      </c>
      <c r="DR126" s="147">
        <f t="shared" si="437"/>
        <v>0</v>
      </c>
      <c r="DS126" s="147">
        <f t="shared" si="438"/>
        <v>0</v>
      </c>
      <c r="DT126" s="147">
        <f t="shared" si="439"/>
        <v>0</v>
      </c>
      <c r="DU126" s="147">
        <f t="shared" si="440"/>
        <v>0</v>
      </c>
      <c r="DV126" s="85">
        <f t="shared" si="441"/>
        <v>0</v>
      </c>
      <c r="DW126" s="151">
        <f t="shared" si="442"/>
        <v>0</v>
      </c>
      <c r="DX126" s="102">
        <f t="shared" si="443"/>
        <v>0</v>
      </c>
      <c r="DY126" s="102">
        <f t="shared" si="444"/>
        <v>0</v>
      </c>
      <c r="DZ126" s="102">
        <f t="shared" si="445"/>
        <v>0</v>
      </c>
      <c r="EA126" s="102">
        <f t="shared" si="446"/>
        <v>0</v>
      </c>
      <c r="EB126" s="151">
        <f t="shared" si="447"/>
        <v>0</v>
      </c>
      <c r="EC126" s="85">
        <f t="shared" si="448"/>
        <v>0</v>
      </c>
      <c r="ED126" s="147">
        <f t="shared" si="449"/>
        <v>0</v>
      </c>
      <c r="EE126" s="147">
        <f t="shared" si="450"/>
        <v>0</v>
      </c>
      <c r="EF126" s="147">
        <f t="shared" si="451"/>
        <v>0</v>
      </c>
      <c r="EG126" s="147">
        <f t="shared" si="452"/>
        <v>0</v>
      </c>
      <c r="EH126" s="85">
        <f t="shared" si="453"/>
        <v>0</v>
      </c>
      <c r="EI126" s="151">
        <f t="shared" si="454"/>
        <v>0</v>
      </c>
      <c r="EJ126" s="102">
        <f t="shared" si="455"/>
        <v>0</v>
      </c>
      <c r="EK126" s="102">
        <f t="shared" si="456"/>
        <v>0</v>
      </c>
      <c r="EL126" s="102">
        <f t="shared" si="457"/>
        <v>0</v>
      </c>
      <c r="EM126" s="102">
        <f t="shared" si="458"/>
        <v>0</v>
      </c>
      <c r="EN126" s="151">
        <f t="shared" si="459"/>
        <v>0</v>
      </c>
      <c r="EO126" s="85">
        <f t="shared" si="460"/>
        <v>0</v>
      </c>
      <c r="EP126" s="145">
        <f t="shared" si="461"/>
        <v>0</v>
      </c>
      <c r="EQ126" s="145">
        <f t="shared" si="462"/>
        <v>0</v>
      </c>
      <c r="ER126" s="145">
        <f t="shared" si="463"/>
        <v>0</v>
      </c>
      <c r="ES126" s="145">
        <f t="shared" si="464"/>
        <v>0</v>
      </c>
      <c r="ET126" s="85">
        <f t="shared" si="465"/>
        <v>0</v>
      </c>
      <c r="EU126" s="102">
        <f t="shared" si="466"/>
        <v>0</v>
      </c>
      <c r="EV126" s="102">
        <f t="shared" si="467"/>
        <v>0</v>
      </c>
      <c r="EW126" s="102">
        <f t="shared" si="468"/>
        <v>0</v>
      </c>
      <c r="EX126" s="102">
        <f t="shared" si="469"/>
        <v>0</v>
      </c>
      <c r="EY126" s="102">
        <f t="shared" si="470"/>
        <v>0</v>
      </c>
      <c r="EZ126" s="564">
        <f t="shared" si="471"/>
        <v>0</v>
      </c>
    </row>
    <row r="127" spans="82:156" ht="16.5" thickBot="1">
      <c r="CD127" s="11">
        <f t="shared" si="472"/>
        <v>2097</v>
      </c>
      <c r="CE127" s="87">
        <f t="shared" si="400"/>
        <v>0</v>
      </c>
      <c r="CF127" s="149">
        <f t="shared" si="401"/>
        <v>0</v>
      </c>
      <c r="CG127" s="149">
        <f t="shared" si="402"/>
        <v>0</v>
      </c>
      <c r="CH127" s="149">
        <f t="shared" si="403"/>
        <v>0</v>
      </c>
      <c r="CI127" s="149">
        <f t="shared" si="404"/>
        <v>0</v>
      </c>
      <c r="CJ127" s="87">
        <f t="shared" si="405"/>
        <v>0</v>
      </c>
      <c r="CK127" s="152">
        <f t="shared" si="406"/>
        <v>0</v>
      </c>
      <c r="CL127" s="103">
        <f t="shared" si="407"/>
        <v>0</v>
      </c>
      <c r="CM127" s="103">
        <f t="shared" si="408"/>
        <v>0</v>
      </c>
      <c r="CN127" s="103">
        <f t="shared" si="409"/>
        <v>0</v>
      </c>
      <c r="CO127" s="103">
        <f t="shared" si="410"/>
        <v>0</v>
      </c>
      <c r="CP127" s="152">
        <f t="shared" si="411"/>
        <v>0</v>
      </c>
      <c r="CQ127" s="87">
        <f t="shared" si="412"/>
        <v>0</v>
      </c>
      <c r="CR127" s="149">
        <f t="shared" si="413"/>
        <v>0</v>
      </c>
      <c r="CS127" s="149">
        <f t="shared" si="414"/>
        <v>0</v>
      </c>
      <c r="CT127" s="149">
        <f t="shared" si="415"/>
        <v>0</v>
      </c>
      <c r="CU127" s="149">
        <f t="shared" si="416"/>
        <v>0</v>
      </c>
      <c r="CV127" s="87">
        <f t="shared" si="417"/>
        <v>0</v>
      </c>
      <c r="CW127" s="152">
        <f t="shared" si="418"/>
        <v>0</v>
      </c>
      <c r="CX127" s="103">
        <f t="shared" si="419"/>
        <v>0</v>
      </c>
      <c r="CY127" s="103">
        <f t="shared" si="420"/>
        <v>0</v>
      </c>
      <c r="CZ127" s="103">
        <f t="shared" si="421"/>
        <v>0</v>
      </c>
      <c r="DA127" s="103">
        <f t="shared" si="422"/>
        <v>0</v>
      </c>
      <c r="DB127" s="152">
        <f t="shared" si="423"/>
        <v>0</v>
      </c>
      <c r="DC127" s="87">
        <f t="shared" si="424"/>
        <v>0</v>
      </c>
      <c r="DD127" s="149">
        <f t="shared" si="425"/>
        <v>0</v>
      </c>
      <c r="DE127" s="149">
        <f t="shared" si="426"/>
        <v>0</v>
      </c>
      <c r="DF127" s="149">
        <f t="shared" si="427"/>
        <v>0</v>
      </c>
      <c r="DG127" s="149">
        <f t="shared" si="428"/>
        <v>0</v>
      </c>
      <c r="DH127" s="87">
        <f t="shared" si="429"/>
        <v>0</v>
      </c>
      <c r="DI127" s="152">
        <f t="shared" si="430"/>
        <v>0</v>
      </c>
      <c r="DJ127" s="103">
        <f t="shared" si="431"/>
        <v>0</v>
      </c>
      <c r="DK127" s="103">
        <f t="shared" si="432"/>
        <v>0</v>
      </c>
      <c r="DL127" s="103">
        <f t="shared" si="433"/>
        <v>0</v>
      </c>
      <c r="DM127" s="103">
        <f t="shared" si="434"/>
        <v>0</v>
      </c>
      <c r="DN127" s="565">
        <f t="shared" si="435"/>
        <v>0</v>
      </c>
      <c r="DP127" s="11">
        <f t="shared" si="473"/>
        <v>2097</v>
      </c>
      <c r="DQ127" s="87">
        <f t="shared" si="436"/>
        <v>0</v>
      </c>
      <c r="DR127" s="149">
        <f t="shared" si="437"/>
        <v>0</v>
      </c>
      <c r="DS127" s="149">
        <f t="shared" si="438"/>
        <v>0</v>
      </c>
      <c r="DT127" s="149">
        <f t="shared" si="439"/>
        <v>0</v>
      </c>
      <c r="DU127" s="149">
        <f t="shared" si="440"/>
        <v>0</v>
      </c>
      <c r="DV127" s="87">
        <f t="shared" si="441"/>
        <v>0</v>
      </c>
      <c r="DW127" s="152">
        <f t="shared" si="442"/>
        <v>0</v>
      </c>
      <c r="DX127" s="103">
        <f t="shared" si="443"/>
        <v>0</v>
      </c>
      <c r="DY127" s="103">
        <f t="shared" si="444"/>
        <v>0</v>
      </c>
      <c r="DZ127" s="103">
        <f t="shared" si="445"/>
        <v>0</v>
      </c>
      <c r="EA127" s="103">
        <f t="shared" si="446"/>
        <v>0</v>
      </c>
      <c r="EB127" s="152">
        <f t="shared" si="447"/>
        <v>0</v>
      </c>
      <c r="EC127" s="87">
        <f t="shared" si="448"/>
        <v>0</v>
      </c>
      <c r="ED127" s="149">
        <f t="shared" si="449"/>
        <v>0</v>
      </c>
      <c r="EE127" s="149">
        <f t="shared" si="450"/>
        <v>0</v>
      </c>
      <c r="EF127" s="149">
        <f t="shared" si="451"/>
        <v>0</v>
      </c>
      <c r="EG127" s="149">
        <f t="shared" si="452"/>
        <v>0</v>
      </c>
      <c r="EH127" s="87">
        <f t="shared" si="453"/>
        <v>0</v>
      </c>
      <c r="EI127" s="152">
        <f t="shared" si="454"/>
        <v>0</v>
      </c>
      <c r="EJ127" s="103">
        <f t="shared" si="455"/>
        <v>0</v>
      </c>
      <c r="EK127" s="103">
        <f t="shared" si="456"/>
        <v>0</v>
      </c>
      <c r="EL127" s="103">
        <f t="shared" si="457"/>
        <v>0</v>
      </c>
      <c r="EM127" s="103">
        <f t="shared" si="458"/>
        <v>0</v>
      </c>
      <c r="EN127" s="152">
        <f t="shared" si="459"/>
        <v>0</v>
      </c>
      <c r="EO127" s="87">
        <f t="shared" si="460"/>
        <v>0</v>
      </c>
      <c r="EP127" s="146">
        <f t="shared" si="461"/>
        <v>0</v>
      </c>
      <c r="EQ127" s="146">
        <f t="shared" si="462"/>
        <v>0</v>
      </c>
      <c r="ER127" s="146">
        <f t="shared" si="463"/>
        <v>0</v>
      </c>
      <c r="ES127" s="146">
        <f t="shared" si="464"/>
        <v>0</v>
      </c>
      <c r="ET127" s="87">
        <f t="shared" si="465"/>
        <v>0</v>
      </c>
      <c r="EU127" s="103">
        <f t="shared" si="466"/>
        <v>0</v>
      </c>
      <c r="EV127" s="103">
        <f t="shared" si="467"/>
        <v>0</v>
      </c>
      <c r="EW127" s="103">
        <f t="shared" si="468"/>
        <v>0</v>
      </c>
      <c r="EX127" s="103">
        <f t="shared" si="469"/>
        <v>0</v>
      </c>
      <c r="EY127" s="103">
        <f t="shared" si="470"/>
        <v>0</v>
      </c>
      <c r="EZ127" s="565">
        <f t="shared" si="471"/>
        <v>0</v>
      </c>
    </row>
    <row r="128" spans="82:156" ht="16.5" thickBot="1">
      <c r="CD128" s="82" t="s">
        <v>4</v>
      </c>
      <c r="CE128" s="93">
        <f t="shared" ref="CE128:DN128" ca="1" si="474">NPV($D$6,CE50:CE127)</f>
        <v>12477.354780201515</v>
      </c>
      <c r="CF128" s="93">
        <f t="shared" ca="1" si="474"/>
        <v>0</v>
      </c>
      <c r="CG128" s="93">
        <f t="shared" ca="1" si="474"/>
        <v>2639.1442024084577</v>
      </c>
      <c r="CH128" s="93">
        <f t="shared" ca="1" si="474"/>
        <v>235.41376536810222</v>
      </c>
      <c r="CI128" s="93">
        <f t="shared" ca="1" si="474"/>
        <v>0</v>
      </c>
      <c r="CJ128" s="93">
        <f t="shared" ca="1" si="474"/>
        <v>0</v>
      </c>
      <c r="CK128" s="104">
        <f t="shared" ca="1" si="474"/>
        <v>0</v>
      </c>
      <c r="CL128" s="104">
        <f t="shared" ca="1" si="474"/>
        <v>15164.794441150178</v>
      </c>
      <c r="CM128" s="104">
        <f t="shared" ca="1" si="474"/>
        <v>2639.1442024084577</v>
      </c>
      <c r="CN128" s="104">
        <f t="shared" ca="1" si="474"/>
        <v>235.41376536810222</v>
      </c>
      <c r="CO128" s="104">
        <f t="shared" ca="1" si="474"/>
        <v>0</v>
      </c>
      <c r="CP128" s="104">
        <f t="shared" ca="1" si="474"/>
        <v>0</v>
      </c>
      <c r="CQ128" s="93">
        <f t="shared" ref="CQ128:DB128" ca="1" si="475">NPV($D$6,CQ50:CQ127)</f>
        <v>20973.20089446595</v>
      </c>
      <c r="CR128" s="93">
        <f t="shared" ca="1" si="475"/>
        <v>0</v>
      </c>
      <c r="CS128" s="93">
        <f t="shared" ca="1" si="475"/>
        <v>2639.1442024084577</v>
      </c>
      <c r="CT128" s="93">
        <f t="shared" ca="1" si="475"/>
        <v>235.41376536810222</v>
      </c>
      <c r="CU128" s="93">
        <f t="shared" ca="1" si="475"/>
        <v>0</v>
      </c>
      <c r="CV128" s="93">
        <f t="shared" ca="1" si="475"/>
        <v>0</v>
      </c>
      <c r="CW128" s="104">
        <f t="shared" ca="1" si="475"/>
        <v>0</v>
      </c>
      <c r="CX128" s="104">
        <f t="shared" ca="1" si="475"/>
        <v>25724.078445582643</v>
      </c>
      <c r="CY128" s="104">
        <f t="shared" ca="1" si="475"/>
        <v>2639.1442024084577</v>
      </c>
      <c r="CZ128" s="104">
        <f t="shared" ca="1" si="475"/>
        <v>235.41376536810222</v>
      </c>
      <c r="DA128" s="104">
        <f t="shared" ca="1" si="475"/>
        <v>0</v>
      </c>
      <c r="DB128" s="104">
        <f t="shared" ca="1" si="475"/>
        <v>0</v>
      </c>
      <c r="DC128" s="93">
        <f t="shared" ca="1" si="474"/>
        <v>26116.645335218578</v>
      </c>
      <c r="DD128" s="93">
        <f t="shared" ca="1" si="474"/>
        <v>0</v>
      </c>
      <c r="DE128" s="93">
        <f t="shared" ca="1" si="474"/>
        <v>2639.1442024084577</v>
      </c>
      <c r="DF128" s="93">
        <f t="shared" ca="1" si="474"/>
        <v>235.41376536810222</v>
      </c>
      <c r="DG128" s="93">
        <f t="shared" ca="1" si="474"/>
        <v>0</v>
      </c>
      <c r="DH128" s="93">
        <f t="shared" ca="1" si="474"/>
        <v>0</v>
      </c>
      <c r="DI128" s="104">
        <f t="shared" ca="1" si="474"/>
        <v>0</v>
      </c>
      <c r="DJ128" s="104">
        <f t="shared" ca="1" si="474"/>
        <v>32120.374547602452</v>
      </c>
      <c r="DK128" s="104">
        <f t="shared" ca="1" si="474"/>
        <v>2639.1442024084577</v>
      </c>
      <c r="DL128" s="104">
        <f t="shared" ca="1" si="474"/>
        <v>235.41376536810222</v>
      </c>
      <c r="DM128" s="104">
        <f t="shared" ca="1" si="474"/>
        <v>0</v>
      </c>
      <c r="DN128" s="104">
        <f t="shared" ca="1" si="474"/>
        <v>0</v>
      </c>
      <c r="DP128" s="82" t="s">
        <v>4</v>
      </c>
      <c r="DQ128" s="93">
        <f t="shared" ref="DQ128:EZ128" ca="1" si="476">NPV($D$6,DQ50:DQ127)</f>
        <v>3869.5525244897021</v>
      </c>
      <c r="DR128" s="93">
        <f t="shared" ca="1" si="476"/>
        <v>0</v>
      </c>
      <c r="DS128" s="93">
        <f t="shared" ca="1" si="476"/>
        <v>746.76442023383663</v>
      </c>
      <c r="DT128" s="93">
        <f t="shared" ca="1" si="476"/>
        <v>76.635575252440489</v>
      </c>
      <c r="DU128" s="93">
        <f t="shared" ca="1" si="476"/>
        <v>0</v>
      </c>
      <c r="DV128" s="93">
        <f t="shared" ca="1" si="476"/>
        <v>0</v>
      </c>
      <c r="DW128" s="104">
        <f t="shared" ca="1" si="476"/>
        <v>0</v>
      </c>
      <c r="DX128" s="104">
        <f t="shared" ca="1" si="476"/>
        <v>4337.5255850755029</v>
      </c>
      <c r="DY128" s="104">
        <f t="shared" ca="1" si="476"/>
        <v>746.76442023383663</v>
      </c>
      <c r="DZ128" s="104">
        <f t="shared" ca="1" si="476"/>
        <v>76.635575252440489</v>
      </c>
      <c r="EA128" s="104">
        <f t="shared" ca="1" si="476"/>
        <v>0</v>
      </c>
      <c r="EB128" s="104">
        <f t="shared" ca="1" si="476"/>
        <v>0</v>
      </c>
      <c r="EC128" s="93">
        <f t="shared" ref="EC128:EN128" ca="1" si="477">NPV($D$6,EC50:EC127)</f>
        <v>6661.9416877897074</v>
      </c>
      <c r="ED128" s="93">
        <f t="shared" ca="1" si="477"/>
        <v>0</v>
      </c>
      <c r="EE128" s="93">
        <f t="shared" ca="1" si="477"/>
        <v>746.76442023383663</v>
      </c>
      <c r="EF128" s="93">
        <f t="shared" ca="1" si="477"/>
        <v>76.635575252440489</v>
      </c>
      <c r="EG128" s="93">
        <f t="shared" ca="1" si="477"/>
        <v>0</v>
      </c>
      <c r="EH128" s="93">
        <f t="shared" ca="1" si="477"/>
        <v>0</v>
      </c>
      <c r="EI128" s="104">
        <f t="shared" ca="1" si="477"/>
        <v>0</v>
      </c>
      <c r="EJ128" s="104">
        <f t="shared" ca="1" si="477"/>
        <v>7515.1250627544641</v>
      </c>
      <c r="EK128" s="104">
        <f t="shared" ca="1" si="477"/>
        <v>746.76442023383663</v>
      </c>
      <c r="EL128" s="104">
        <f t="shared" ca="1" si="477"/>
        <v>76.635575252440489</v>
      </c>
      <c r="EM128" s="104">
        <f t="shared" ca="1" si="477"/>
        <v>0</v>
      </c>
      <c r="EN128" s="104">
        <f t="shared" ca="1" si="477"/>
        <v>0</v>
      </c>
      <c r="EO128" s="93">
        <f t="shared" ca="1" si="476"/>
        <v>8367.018640136881</v>
      </c>
      <c r="EP128" s="93">
        <f t="shared" ca="1" si="476"/>
        <v>0</v>
      </c>
      <c r="EQ128" s="93">
        <f t="shared" ca="1" si="476"/>
        <v>746.76442023383663</v>
      </c>
      <c r="ER128" s="93">
        <f t="shared" ca="1" si="476"/>
        <v>76.635575252440489</v>
      </c>
      <c r="ES128" s="93">
        <f t="shared" ca="1" si="476"/>
        <v>0</v>
      </c>
      <c r="ET128" s="93">
        <f t="shared" ca="1" si="476"/>
        <v>0</v>
      </c>
      <c r="EU128" s="104">
        <f t="shared" ca="1" si="476"/>
        <v>0</v>
      </c>
      <c r="EV128" s="104">
        <f t="shared" ca="1" si="476"/>
        <v>9455.417520693185</v>
      </c>
      <c r="EW128" s="104">
        <f t="shared" ca="1" si="476"/>
        <v>746.76442023383663</v>
      </c>
      <c r="EX128" s="104">
        <f t="shared" ca="1" si="476"/>
        <v>76.635575252440489</v>
      </c>
      <c r="EY128" s="104">
        <f t="shared" ca="1" si="476"/>
        <v>0</v>
      </c>
      <c r="EZ128" s="104">
        <f t="shared" ca="1" si="476"/>
        <v>0</v>
      </c>
    </row>
    <row r="129" spans="82:156" ht="16.5" thickBot="1">
      <c r="CE129" s="1309">
        <f ca="1">SUM(CE128:CJ128)</f>
        <v>15351.912747978075</v>
      </c>
      <c r="CF129" s="1310"/>
      <c r="CG129" s="1310"/>
      <c r="CH129" s="1310"/>
      <c r="CI129" s="1310"/>
      <c r="CJ129" s="1310"/>
      <c r="CK129" s="1309">
        <f ca="1">SUM(CK128:CP128)</f>
        <v>18039.352408926738</v>
      </c>
      <c r="CL129" s="1310"/>
      <c r="CM129" s="1310"/>
      <c r="CN129" s="1310"/>
      <c r="CO129" s="1310"/>
      <c r="CP129" s="1310"/>
      <c r="CQ129" s="1309">
        <f t="shared" ref="CQ129" ca="1" si="478">SUM(CQ128:CV128)</f>
        <v>23847.75886224251</v>
      </c>
      <c r="CR129" s="1310"/>
      <c r="CS129" s="1310"/>
      <c r="CT129" s="1310"/>
      <c r="CU129" s="1310"/>
      <c r="CV129" s="1310"/>
      <c r="CW129" s="1309">
        <f t="shared" ref="CW129" ca="1" si="479">SUM(CW128:DB128)</f>
        <v>28598.636413359203</v>
      </c>
      <c r="CX129" s="1310"/>
      <c r="CY129" s="1310"/>
      <c r="CZ129" s="1310"/>
      <c r="DA129" s="1310"/>
      <c r="DB129" s="1310"/>
      <c r="DC129" s="1309">
        <f ca="1">SUM(DC128:DH128)</f>
        <v>28991.203302995138</v>
      </c>
      <c r="DD129" s="1310"/>
      <c r="DE129" s="1310"/>
      <c r="DF129" s="1310"/>
      <c r="DG129" s="1310"/>
      <c r="DH129" s="1310"/>
      <c r="DI129" s="1309">
        <f ca="1">SUM(DI128:DN128)</f>
        <v>34994.932515379012</v>
      </c>
      <c r="DJ129" s="1310"/>
      <c r="DK129" s="1310"/>
      <c r="DL129" s="1310"/>
      <c r="DM129" s="1310"/>
      <c r="DN129" s="1310"/>
      <c r="DQ129" s="1309">
        <f ca="1">SUM(DQ128:DV128)</f>
        <v>4692.9525199759792</v>
      </c>
      <c r="DR129" s="1310"/>
      <c r="DS129" s="1310"/>
      <c r="DT129" s="1310"/>
      <c r="DU129" s="1310"/>
      <c r="DV129" s="1310"/>
      <c r="DW129" s="1309">
        <f ca="1">SUM(DW128:EB128)</f>
        <v>5160.9255805617804</v>
      </c>
      <c r="DX129" s="1310"/>
      <c r="DY129" s="1310"/>
      <c r="DZ129" s="1310"/>
      <c r="EA129" s="1310"/>
      <c r="EB129" s="1310"/>
      <c r="EC129" s="1309">
        <f t="shared" ref="EC129" ca="1" si="480">SUM(EC128:EH128)</f>
        <v>7485.3416832759849</v>
      </c>
      <c r="ED129" s="1310"/>
      <c r="EE129" s="1310"/>
      <c r="EF129" s="1310"/>
      <c r="EG129" s="1310"/>
      <c r="EH129" s="1310"/>
      <c r="EI129" s="1309">
        <f t="shared" ref="EI129" ca="1" si="481">SUM(EI128:EN128)</f>
        <v>8338.5250582407407</v>
      </c>
      <c r="EJ129" s="1310"/>
      <c r="EK129" s="1310"/>
      <c r="EL129" s="1310"/>
      <c r="EM129" s="1310"/>
      <c r="EN129" s="1310"/>
      <c r="EO129" s="1309">
        <f ca="1">SUM(EO128:ET128)</f>
        <v>9190.4186356231567</v>
      </c>
      <c r="EP129" s="1310"/>
      <c r="EQ129" s="1310"/>
      <c r="ER129" s="1310"/>
      <c r="ES129" s="1310"/>
      <c r="ET129" s="1310"/>
      <c r="EU129" s="1309">
        <f ca="1">SUM(EU128:EZ128)</f>
        <v>10278.817516179461</v>
      </c>
      <c r="EV129" s="1310"/>
      <c r="EW129" s="1310"/>
      <c r="EX129" s="1310"/>
      <c r="EY129" s="1310"/>
      <c r="EZ129" s="1310"/>
    </row>
    <row r="130" spans="82:156" ht="16.5" thickBot="1">
      <c r="CD130" s="82" t="s">
        <v>304</v>
      </c>
      <c r="CE130" s="93">
        <f ca="1">SUM(CE50:CE127)</f>
        <v>17912.500618082038</v>
      </c>
      <c r="CF130" s="93">
        <f t="shared" ref="CF130:DN130" ca="1" si="482">SUM(CF50:CF127)</f>
        <v>0</v>
      </c>
      <c r="CG130" s="93">
        <f t="shared" ca="1" si="482"/>
        <v>3794.7624528539745</v>
      </c>
      <c r="CH130" s="93">
        <f t="shared" ca="1" si="482"/>
        <v>337.47264571796939</v>
      </c>
      <c r="CI130" s="93">
        <f t="shared" ca="1" si="482"/>
        <v>0</v>
      </c>
      <c r="CJ130" s="93">
        <f t="shared" ca="1" si="482"/>
        <v>0</v>
      </c>
      <c r="CK130" s="104">
        <f t="shared" ca="1" si="482"/>
        <v>0</v>
      </c>
      <c r="CL130" s="104">
        <f t="shared" ca="1" si="482"/>
        <v>21674.164666639073</v>
      </c>
      <c r="CM130" s="104">
        <f t="shared" ca="1" si="482"/>
        <v>3794.7624528539745</v>
      </c>
      <c r="CN130" s="104">
        <f t="shared" ca="1" si="482"/>
        <v>337.47264571796939</v>
      </c>
      <c r="CO130" s="104">
        <f t="shared" ca="1" si="482"/>
        <v>0</v>
      </c>
      <c r="CP130" s="104">
        <f t="shared" ca="1" si="482"/>
        <v>0</v>
      </c>
      <c r="CQ130" s="93">
        <f t="shared" ref="CQ130:DB130" ca="1" si="483">SUM(CQ50:CQ127)</f>
        <v>30420.310849696758</v>
      </c>
      <c r="CR130" s="93">
        <f t="shared" ca="1" si="483"/>
        <v>0</v>
      </c>
      <c r="CS130" s="93">
        <f t="shared" ca="1" si="483"/>
        <v>3794.7624528539745</v>
      </c>
      <c r="CT130" s="93">
        <f t="shared" ca="1" si="483"/>
        <v>337.47264571796939</v>
      </c>
      <c r="CU130" s="93">
        <f t="shared" ca="1" si="483"/>
        <v>0</v>
      </c>
      <c r="CV130" s="93">
        <f t="shared" ca="1" si="483"/>
        <v>0</v>
      </c>
      <c r="CW130" s="104">
        <f t="shared" ca="1" si="483"/>
        <v>0</v>
      </c>
      <c r="CX130" s="104">
        <f t="shared" ca="1" si="483"/>
        <v>37224.347709409107</v>
      </c>
      <c r="CY130" s="104">
        <f t="shared" ca="1" si="483"/>
        <v>3794.7624528539745</v>
      </c>
      <c r="CZ130" s="104">
        <f t="shared" ca="1" si="483"/>
        <v>337.47264571796939</v>
      </c>
      <c r="DA130" s="104">
        <f t="shared" ca="1" si="483"/>
        <v>0</v>
      </c>
      <c r="DB130" s="104">
        <f t="shared" ca="1" si="483"/>
        <v>0</v>
      </c>
      <c r="DC130" s="93">
        <f t="shared" ca="1" si="482"/>
        <v>38023.759780724416</v>
      </c>
      <c r="DD130" s="93">
        <f t="shared" ca="1" si="482"/>
        <v>0</v>
      </c>
      <c r="DE130" s="93">
        <f t="shared" ca="1" si="482"/>
        <v>3794.7624528539745</v>
      </c>
      <c r="DF130" s="93">
        <f t="shared" ca="1" si="482"/>
        <v>337.47264571796939</v>
      </c>
      <c r="DG130" s="93">
        <f t="shared" ca="1" si="482"/>
        <v>0</v>
      </c>
      <c r="DH130" s="93">
        <f t="shared" ca="1" si="482"/>
        <v>0</v>
      </c>
      <c r="DI130" s="104">
        <f t="shared" ca="1" si="482"/>
        <v>0</v>
      </c>
      <c r="DJ130" s="104">
        <f t="shared" ca="1" si="482"/>
        <v>46682.669132328956</v>
      </c>
      <c r="DK130" s="104">
        <f t="shared" ca="1" si="482"/>
        <v>3794.7624528539745</v>
      </c>
      <c r="DL130" s="104">
        <f t="shared" ca="1" si="482"/>
        <v>337.47264571796939</v>
      </c>
      <c r="DM130" s="104">
        <f t="shared" ca="1" si="482"/>
        <v>0</v>
      </c>
      <c r="DN130" s="104">
        <f t="shared" ca="1" si="482"/>
        <v>0</v>
      </c>
      <c r="DP130" s="82" t="s">
        <v>304</v>
      </c>
      <c r="DQ130" s="93">
        <f ca="1">SUM(DQ50:DQ127)</f>
        <v>5600.0864811992133</v>
      </c>
      <c r="DR130" s="93">
        <f t="shared" ref="DR130:EZ130" ca="1" si="484">SUM(DR50:DR127)</f>
        <v>0</v>
      </c>
      <c r="DS130" s="93">
        <f t="shared" ca="1" si="484"/>
        <v>1074.4151612903495</v>
      </c>
      <c r="DT130" s="93">
        <f t="shared" ca="1" si="484"/>
        <v>110.17205490149554</v>
      </c>
      <c r="DU130" s="93">
        <f t="shared" ca="1" si="484"/>
        <v>0</v>
      </c>
      <c r="DV130" s="93">
        <f t="shared" ca="1" si="484"/>
        <v>0</v>
      </c>
      <c r="DW130" s="104">
        <f t="shared" ca="1" si="484"/>
        <v>0</v>
      </c>
      <c r="DX130" s="104">
        <f t="shared" ca="1" si="484"/>
        <v>6250.1519069525639</v>
      </c>
      <c r="DY130" s="104">
        <f t="shared" ca="1" si="484"/>
        <v>1074.4151612903495</v>
      </c>
      <c r="DZ130" s="104">
        <f t="shared" ca="1" si="484"/>
        <v>110.17205490149554</v>
      </c>
      <c r="EA130" s="104">
        <f t="shared" ca="1" si="484"/>
        <v>0</v>
      </c>
      <c r="EB130" s="104">
        <f t="shared" ca="1" si="484"/>
        <v>0</v>
      </c>
      <c r="EC130" s="93">
        <f t="shared" ref="EC130:EN130" ca="1" si="485">SUM(EC50:EC127)</f>
        <v>9728.550342081995</v>
      </c>
      <c r="ED130" s="93">
        <f t="shared" ca="1" si="485"/>
        <v>0</v>
      </c>
      <c r="EE130" s="93">
        <f t="shared" ca="1" si="485"/>
        <v>1074.4151612903495</v>
      </c>
      <c r="EF130" s="93">
        <f t="shared" ca="1" si="485"/>
        <v>110.17205490149554</v>
      </c>
      <c r="EG130" s="93">
        <f t="shared" ca="1" si="485"/>
        <v>0</v>
      </c>
      <c r="EH130" s="93">
        <f t="shared" ca="1" si="485"/>
        <v>0</v>
      </c>
      <c r="EI130" s="104">
        <f t="shared" ca="1" si="485"/>
        <v>0</v>
      </c>
      <c r="EJ130" s="104">
        <f t="shared" ca="1" si="485"/>
        <v>10948.137696459864</v>
      </c>
      <c r="EK130" s="104">
        <f t="shared" ca="1" si="485"/>
        <v>1074.4151612903495</v>
      </c>
      <c r="EL130" s="104">
        <f t="shared" ca="1" si="485"/>
        <v>110.17205490149554</v>
      </c>
      <c r="EM130" s="104">
        <f t="shared" ca="1" si="485"/>
        <v>0</v>
      </c>
      <c r="EN130" s="104">
        <f t="shared" ca="1" si="485"/>
        <v>0</v>
      </c>
      <c r="EO130" s="93">
        <f t="shared" ca="1" si="484"/>
        <v>12260.006593232814</v>
      </c>
      <c r="EP130" s="93">
        <f t="shared" ca="1" si="484"/>
        <v>0</v>
      </c>
      <c r="EQ130" s="93">
        <f t="shared" ca="1" si="484"/>
        <v>1074.4151612903495</v>
      </c>
      <c r="ER130" s="93">
        <f t="shared" ca="1" si="484"/>
        <v>110.17205490149554</v>
      </c>
      <c r="ES130" s="93">
        <f t="shared" ca="1" si="484"/>
        <v>0</v>
      </c>
      <c r="ET130" s="93">
        <f t="shared" ca="1" si="484"/>
        <v>0</v>
      </c>
      <c r="EU130" s="104">
        <f t="shared" ca="1" si="484"/>
        <v>0</v>
      </c>
      <c r="EV130" s="104">
        <f t="shared" ca="1" si="484"/>
        <v>13828.808545331703</v>
      </c>
      <c r="EW130" s="104">
        <f t="shared" ca="1" si="484"/>
        <v>1074.4151612903495</v>
      </c>
      <c r="EX130" s="104">
        <f t="shared" ca="1" si="484"/>
        <v>110.17205490149554</v>
      </c>
      <c r="EY130" s="104">
        <f t="shared" ca="1" si="484"/>
        <v>0</v>
      </c>
      <c r="EZ130" s="104">
        <f t="shared" ca="1" si="484"/>
        <v>0</v>
      </c>
    </row>
    <row r="131" spans="82:156" ht="16.5" thickBot="1">
      <c r="CE131" s="1309">
        <f ca="1">SUM(CE130:CJ130)</f>
        <v>22044.73571665398</v>
      </c>
      <c r="CF131" s="1310"/>
      <c r="CG131" s="1310"/>
      <c r="CH131" s="1310"/>
      <c r="CI131" s="1310"/>
      <c r="CJ131" s="1310"/>
      <c r="CK131" s="1309">
        <f ca="1">SUM(CK130:CP130)</f>
        <v>25806.399765211016</v>
      </c>
      <c r="CL131" s="1310"/>
      <c r="CM131" s="1310"/>
      <c r="CN131" s="1310"/>
      <c r="CO131" s="1310"/>
      <c r="CP131" s="1310"/>
      <c r="CQ131" s="1309">
        <f t="shared" ref="CQ131" ca="1" si="486">SUM(CQ130:CV130)</f>
        <v>34552.545948268707</v>
      </c>
      <c r="CR131" s="1310"/>
      <c r="CS131" s="1310"/>
      <c r="CT131" s="1310"/>
      <c r="CU131" s="1310"/>
      <c r="CV131" s="1310"/>
      <c r="CW131" s="1309">
        <f t="shared" ref="CW131" ca="1" si="487">SUM(CW130:DB130)</f>
        <v>41356.582807981053</v>
      </c>
      <c r="CX131" s="1310"/>
      <c r="CY131" s="1310"/>
      <c r="CZ131" s="1310"/>
      <c r="DA131" s="1310"/>
      <c r="DB131" s="1310"/>
      <c r="DC131" s="1309">
        <f ca="1">SUM(DC130:DH130)</f>
        <v>42155.994879296362</v>
      </c>
      <c r="DD131" s="1310"/>
      <c r="DE131" s="1310"/>
      <c r="DF131" s="1310"/>
      <c r="DG131" s="1310"/>
      <c r="DH131" s="1310"/>
      <c r="DI131" s="1309">
        <f ca="1">SUM(DI130:DN130)</f>
        <v>50814.904230900902</v>
      </c>
      <c r="DJ131" s="1310"/>
      <c r="DK131" s="1310"/>
      <c r="DL131" s="1310"/>
      <c r="DM131" s="1310"/>
      <c r="DN131" s="1310"/>
      <c r="DQ131" s="1309">
        <f ca="1">SUM(DQ130:DV130)</f>
        <v>6784.6736973910583</v>
      </c>
      <c r="DR131" s="1310"/>
      <c r="DS131" s="1310"/>
      <c r="DT131" s="1310"/>
      <c r="DU131" s="1310"/>
      <c r="DV131" s="1310"/>
      <c r="DW131" s="1309">
        <f ca="1">SUM(DW130:EB130)</f>
        <v>7434.7391231444089</v>
      </c>
      <c r="DX131" s="1310"/>
      <c r="DY131" s="1310"/>
      <c r="DZ131" s="1310"/>
      <c r="EA131" s="1310"/>
      <c r="EB131" s="1310"/>
      <c r="EC131" s="1309">
        <f t="shared" ref="EC131" ca="1" si="488">SUM(EC130:EH130)</f>
        <v>10913.13755827384</v>
      </c>
      <c r="ED131" s="1310"/>
      <c r="EE131" s="1310"/>
      <c r="EF131" s="1310"/>
      <c r="EG131" s="1310"/>
      <c r="EH131" s="1310"/>
      <c r="EI131" s="1309">
        <f t="shared" ref="EI131" ca="1" si="489">SUM(EI130:EN130)</f>
        <v>12132.724912651709</v>
      </c>
      <c r="EJ131" s="1310"/>
      <c r="EK131" s="1310"/>
      <c r="EL131" s="1310"/>
      <c r="EM131" s="1310"/>
      <c r="EN131" s="1310"/>
      <c r="EO131" s="1309">
        <f ca="1">SUM(EO130:ET130)</f>
        <v>13444.593809424659</v>
      </c>
      <c r="EP131" s="1310"/>
      <c r="EQ131" s="1310"/>
      <c r="ER131" s="1310"/>
      <c r="ES131" s="1310"/>
      <c r="ET131" s="1310"/>
      <c r="EU131" s="1309">
        <f ca="1">SUM(EU130:EZ130)</f>
        <v>15013.395761523549</v>
      </c>
      <c r="EV131" s="1310"/>
      <c r="EW131" s="1310"/>
      <c r="EX131" s="1310"/>
      <c r="EY131" s="1310"/>
      <c r="EZ131" s="1310"/>
    </row>
  </sheetData>
  <mergeCells count="76">
    <mergeCell ref="B6:B8"/>
    <mergeCell ref="G23:L23"/>
    <mergeCell ref="AR47:CB47"/>
    <mergeCell ref="B9:B14"/>
    <mergeCell ref="B15:B20"/>
    <mergeCell ref="O23:T23"/>
    <mergeCell ref="FB47:GL47"/>
    <mergeCell ref="G48:L48"/>
    <mergeCell ref="M48:R48"/>
    <mergeCell ref="AE48:AJ48"/>
    <mergeCell ref="AK48:AP48"/>
    <mergeCell ref="AS48:AX48"/>
    <mergeCell ref="AY48:BD48"/>
    <mergeCell ref="BQ48:BV48"/>
    <mergeCell ref="GG48:GL48"/>
    <mergeCell ref="F47:AP47"/>
    <mergeCell ref="DW48:EB48"/>
    <mergeCell ref="EO48:ET48"/>
    <mergeCell ref="EU48:EZ48"/>
    <mergeCell ref="FC48:FH48"/>
    <mergeCell ref="FI48:FN48"/>
    <mergeCell ref="GA48:GF48"/>
    <mergeCell ref="G72:L72"/>
    <mergeCell ref="DQ48:DV48"/>
    <mergeCell ref="CD47:DN47"/>
    <mergeCell ref="DP47:EZ47"/>
    <mergeCell ref="BW48:CB48"/>
    <mergeCell ref="CE48:CJ48"/>
    <mergeCell ref="CK48:CP48"/>
    <mergeCell ref="DC48:DH48"/>
    <mergeCell ref="DI48:DN48"/>
    <mergeCell ref="M72:R72"/>
    <mergeCell ref="AE72:AJ72"/>
    <mergeCell ref="AK72:AP72"/>
    <mergeCell ref="AS72:AX72"/>
    <mergeCell ref="AY72:BD72"/>
    <mergeCell ref="BQ72:BV72"/>
    <mergeCell ref="BW72:CB72"/>
    <mergeCell ref="CE129:CJ129"/>
    <mergeCell ref="CK129:CP129"/>
    <mergeCell ref="DC129:DH129"/>
    <mergeCell ref="DI129:DN129"/>
    <mergeCell ref="DQ129:DV129"/>
    <mergeCell ref="DW131:EB131"/>
    <mergeCell ref="EO131:ET131"/>
    <mergeCell ref="EU131:EZ131"/>
    <mergeCell ref="DW129:EB129"/>
    <mergeCell ref="EO129:ET129"/>
    <mergeCell ref="EU129:EZ129"/>
    <mergeCell ref="EC131:EH131"/>
    <mergeCell ref="EI131:EN131"/>
    <mergeCell ref="CE131:CJ131"/>
    <mergeCell ref="CK131:CP131"/>
    <mergeCell ref="DC131:DH131"/>
    <mergeCell ref="DI131:DN131"/>
    <mergeCell ref="DQ131:DV131"/>
    <mergeCell ref="CQ131:CV131"/>
    <mergeCell ref="CW131:DB131"/>
    <mergeCell ref="S48:X48"/>
    <mergeCell ref="Y48:AD48"/>
    <mergeCell ref="S72:X72"/>
    <mergeCell ref="Y72:AD72"/>
    <mergeCell ref="BE72:BJ72"/>
    <mergeCell ref="BK72:BP72"/>
    <mergeCell ref="BE48:BJ48"/>
    <mergeCell ref="BK48:BP48"/>
    <mergeCell ref="CQ48:CV48"/>
    <mergeCell ref="CW48:DB48"/>
    <mergeCell ref="EC48:EH48"/>
    <mergeCell ref="EI48:EN48"/>
    <mergeCell ref="FO48:FT48"/>
    <mergeCell ref="FU48:FZ48"/>
    <mergeCell ref="CQ129:CV129"/>
    <mergeCell ref="CW129:DB129"/>
    <mergeCell ref="EC129:EH129"/>
    <mergeCell ref="EI129:EN129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900-000000000000}">
          <x14:formula1>
            <xm:f>'הנחות עבודה'!$C$25:$C$32</xm:f>
          </x14:formula1>
          <xm:sqref>F10:F15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F98"/>
  <sheetViews>
    <sheetView rightToLeft="1" topLeftCell="E11" zoomScale="115" zoomScaleNormal="115" workbookViewId="0">
      <selection activeCell="E14" sqref="E14"/>
    </sheetView>
  </sheetViews>
  <sheetFormatPr defaultColWidth="36.7109375" defaultRowHeight="15"/>
  <cols>
    <col min="1" max="1" width="2.140625" bestFit="1" customWidth="1"/>
    <col min="2" max="2" width="28.28515625" bestFit="1" customWidth="1"/>
    <col min="3" max="3" width="13" bestFit="1" customWidth="1"/>
    <col min="4" max="4" width="13" customWidth="1"/>
    <col min="5" max="5" width="13.7109375" customWidth="1"/>
    <col min="6" max="6" width="26.28515625" bestFit="1" customWidth="1"/>
    <col min="7" max="7" width="26.42578125" bestFit="1" customWidth="1"/>
    <col min="8" max="8" width="26.28515625" bestFit="1" customWidth="1"/>
    <col min="9" max="9" width="26.42578125" bestFit="1" customWidth="1"/>
    <col min="10" max="10" width="26.28515625" bestFit="1" customWidth="1"/>
    <col min="11" max="11" width="26.42578125" bestFit="1" customWidth="1"/>
    <col min="12" max="12" width="11.28515625" customWidth="1"/>
    <col min="13" max="13" width="15.7109375" bestFit="1" customWidth="1"/>
    <col min="14" max="23" width="10.7109375" customWidth="1"/>
    <col min="24" max="84" width="3.140625" bestFit="1" customWidth="1"/>
  </cols>
  <sheetData>
    <row r="1" spans="1:84" ht="15.75" thickBot="1"/>
    <row r="2" spans="1:84" s="3" customFormat="1" ht="16.5" thickBot="1">
      <c r="A2" s="2">
        <v>1</v>
      </c>
      <c r="B2" s="2">
        <f>+A2+1</f>
        <v>2</v>
      </c>
      <c r="C2" s="2">
        <f t="shared" ref="C2:BI2" si="0">+B2+1</f>
        <v>3</v>
      </c>
      <c r="D2" s="2"/>
      <c r="E2" s="2">
        <f t="shared" ref="E2" si="1">+C2+1</f>
        <v>4</v>
      </c>
      <c r="F2" s="2">
        <f t="shared" ref="F2" si="2">+E2+1</f>
        <v>5</v>
      </c>
      <c r="G2" s="2">
        <f t="shared" ref="G2" si="3">+F2+1</f>
        <v>6</v>
      </c>
      <c r="H2" s="2">
        <f t="shared" ref="H2" si="4">+G2+1</f>
        <v>7</v>
      </c>
      <c r="I2" s="2">
        <f t="shared" ref="I2" si="5">+H2+1</f>
        <v>8</v>
      </c>
      <c r="J2" s="2">
        <f t="shared" si="0"/>
        <v>9</v>
      </c>
      <c r="K2" s="2">
        <f t="shared" si="0"/>
        <v>10</v>
      </c>
      <c r="L2" s="2">
        <f t="shared" ref="L2" si="6">+K2+1</f>
        <v>11</v>
      </c>
      <c r="M2" s="2">
        <f t="shared" ref="M2" si="7">+L2+1</f>
        <v>12</v>
      </c>
      <c r="N2" s="2">
        <f t="shared" ref="N2" si="8">+M2+1</f>
        <v>13</v>
      </c>
      <c r="O2" s="2">
        <f t="shared" ref="O2" si="9">+N2+1</f>
        <v>14</v>
      </c>
      <c r="P2" s="2">
        <f t="shared" si="0"/>
        <v>15</v>
      </c>
      <c r="Q2" s="2">
        <f t="shared" si="0"/>
        <v>16</v>
      </c>
      <c r="R2" s="2">
        <f t="shared" si="0"/>
        <v>17</v>
      </c>
      <c r="S2" s="2">
        <f t="shared" si="0"/>
        <v>18</v>
      </c>
      <c r="T2" s="2">
        <f t="shared" si="0"/>
        <v>19</v>
      </c>
      <c r="U2" s="2">
        <f t="shared" si="0"/>
        <v>20</v>
      </c>
      <c r="V2" s="2">
        <f t="shared" si="0"/>
        <v>21</v>
      </c>
      <c r="W2" s="2">
        <f t="shared" si="0"/>
        <v>22</v>
      </c>
      <c r="X2" s="2">
        <f t="shared" si="0"/>
        <v>23</v>
      </c>
      <c r="Y2" s="2">
        <f t="shared" si="0"/>
        <v>24</v>
      </c>
      <c r="Z2" s="2">
        <f t="shared" si="0"/>
        <v>25</v>
      </c>
      <c r="AA2" s="2">
        <f t="shared" si="0"/>
        <v>26</v>
      </c>
      <c r="AB2" s="2">
        <f t="shared" si="0"/>
        <v>27</v>
      </c>
      <c r="AC2" s="2">
        <f t="shared" si="0"/>
        <v>28</v>
      </c>
      <c r="AD2" s="2">
        <f t="shared" si="0"/>
        <v>29</v>
      </c>
      <c r="AE2" s="2">
        <f t="shared" si="0"/>
        <v>30</v>
      </c>
      <c r="AF2" s="2">
        <f t="shared" si="0"/>
        <v>31</v>
      </c>
      <c r="AG2" s="2">
        <f t="shared" si="0"/>
        <v>32</v>
      </c>
      <c r="AH2" s="2">
        <f t="shared" si="0"/>
        <v>33</v>
      </c>
      <c r="AI2" s="2">
        <f t="shared" si="0"/>
        <v>34</v>
      </c>
      <c r="AJ2" s="2">
        <f t="shared" si="0"/>
        <v>35</v>
      </c>
      <c r="AK2" s="2">
        <f t="shared" si="0"/>
        <v>36</v>
      </c>
      <c r="AL2" s="2">
        <f t="shared" si="0"/>
        <v>37</v>
      </c>
      <c r="AM2" s="2">
        <f t="shared" si="0"/>
        <v>38</v>
      </c>
      <c r="AN2" s="2">
        <f t="shared" si="0"/>
        <v>39</v>
      </c>
      <c r="AO2" s="2">
        <f t="shared" si="0"/>
        <v>40</v>
      </c>
      <c r="AP2" s="2">
        <f t="shared" si="0"/>
        <v>41</v>
      </c>
      <c r="AQ2" s="2">
        <f t="shared" si="0"/>
        <v>42</v>
      </c>
      <c r="AR2" s="2">
        <f t="shared" si="0"/>
        <v>43</v>
      </c>
      <c r="AS2" s="2">
        <f t="shared" si="0"/>
        <v>44</v>
      </c>
      <c r="AT2" s="2">
        <f t="shared" si="0"/>
        <v>45</v>
      </c>
      <c r="AU2" s="2">
        <f t="shared" si="0"/>
        <v>46</v>
      </c>
      <c r="AV2" s="2">
        <f t="shared" si="0"/>
        <v>47</v>
      </c>
      <c r="AW2" s="2">
        <f t="shared" si="0"/>
        <v>48</v>
      </c>
      <c r="AX2" s="2">
        <f t="shared" si="0"/>
        <v>49</v>
      </c>
      <c r="AY2" s="2">
        <f t="shared" si="0"/>
        <v>50</v>
      </c>
      <c r="AZ2" s="2">
        <f t="shared" si="0"/>
        <v>51</v>
      </c>
      <c r="BA2" s="2">
        <f t="shared" si="0"/>
        <v>52</v>
      </c>
      <c r="BB2" s="2">
        <f t="shared" si="0"/>
        <v>53</v>
      </c>
      <c r="BC2" s="2">
        <f t="shared" si="0"/>
        <v>54</v>
      </c>
      <c r="BD2" s="2">
        <f t="shared" si="0"/>
        <v>55</v>
      </c>
      <c r="BE2" s="2">
        <f t="shared" si="0"/>
        <v>56</v>
      </c>
      <c r="BF2" s="2">
        <f t="shared" si="0"/>
        <v>57</v>
      </c>
      <c r="BG2" s="2">
        <f t="shared" si="0"/>
        <v>58</v>
      </c>
      <c r="BH2" s="2">
        <f t="shared" si="0"/>
        <v>59</v>
      </c>
      <c r="BI2" s="2">
        <f t="shared" si="0"/>
        <v>60</v>
      </c>
      <c r="BJ2" s="2">
        <f t="shared" ref="BJ2:CF2" si="10">+BI2+1</f>
        <v>61</v>
      </c>
      <c r="BK2" s="2">
        <f t="shared" si="10"/>
        <v>62</v>
      </c>
      <c r="BL2" s="2">
        <f t="shared" si="10"/>
        <v>63</v>
      </c>
      <c r="BM2" s="2">
        <f t="shared" si="10"/>
        <v>64</v>
      </c>
      <c r="BN2" s="2">
        <f t="shared" si="10"/>
        <v>65</v>
      </c>
      <c r="BO2" s="2">
        <f t="shared" si="10"/>
        <v>66</v>
      </c>
      <c r="BP2" s="2">
        <f t="shared" si="10"/>
        <v>67</v>
      </c>
      <c r="BQ2" s="2">
        <f t="shared" si="10"/>
        <v>68</v>
      </c>
      <c r="BR2" s="2">
        <f t="shared" si="10"/>
        <v>69</v>
      </c>
      <c r="BS2" s="2">
        <f t="shared" si="10"/>
        <v>70</v>
      </c>
      <c r="BT2" s="2">
        <f t="shared" si="10"/>
        <v>71</v>
      </c>
      <c r="BU2" s="2">
        <f t="shared" si="10"/>
        <v>72</v>
      </c>
      <c r="BV2" s="2">
        <f t="shared" si="10"/>
        <v>73</v>
      </c>
      <c r="BW2" s="2">
        <f t="shared" si="10"/>
        <v>74</v>
      </c>
      <c r="BX2" s="2">
        <f t="shared" si="10"/>
        <v>75</v>
      </c>
      <c r="BY2" s="2">
        <f t="shared" si="10"/>
        <v>76</v>
      </c>
      <c r="BZ2" s="2">
        <f t="shared" si="10"/>
        <v>77</v>
      </c>
      <c r="CA2" s="2">
        <f t="shared" si="10"/>
        <v>78</v>
      </c>
      <c r="CB2" s="2">
        <f t="shared" si="10"/>
        <v>79</v>
      </c>
      <c r="CC2" s="2">
        <f t="shared" si="10"/>
        <v>80</v>
      </c>
      <c r="CD2" s="2">
        <f t="shared" si="10"/>
        <v>81</v>
      </c>
      <c r="CE2" s="2">
        <f t="shared" si="10"/>
        <v>82</v>
      </c>
      <c r="CF2" s="2">
        <f t="shared" si="10"/>
        <v>83</v>
      </c>
    </row>
    <row r="3" spans="1:84" ht="15.75" thickBot="1"/>
    <row r="4" spans="1:84" ht="15.75" thickBot="1">
      <c r="B4" s="1330" t="str">
        <f>'הנחות עבודה'!L45</f>
        <v>עלויות רשת הולכה</v>
      </c>
      <c r="C4" s="1331"/>
      <c r="D4" s="568"/>
      <c r="E4" s="568"/>
    </row>
    <row r="5" spans="1:84">
      <c r="B5" s="847" t="str">
        <f>'הנחות עבודה'!B6</f>
        <v>שנת התחלת חישוב תזרים</v>
      </c>
      <c r="C5" s="836">
        <f>'הנחות עבודה'!C6</f>
        <v>2020</v>
      </c>
      <c r="D5" s="742"/>
      <c r="E5" s="742"/>
    </row>
    <row r="6" spans="1:84">
      <c r="B6" s="848" t="str">
        <f>'הנחות עבודה'!B8</f>
        <v>שנת היוון מקסימלית - השקעות</v>
      </c>
      <c r="C6" s="837">
        <f>'הנחות עבודה'!C8</f>
        <v>2040</v>
      </c>
      <c r="D6" s="742"/>
      <c r="E6" s="742"/>
    </row>
    <row r="7" spans="1:84">
      <c r="B7" s="848" t="str">
        <f>'הנחות עבודה'!H57</f>
        <v>Wacc רשת</v>
      </c>
      <c r="C7" s="851">
        <f>'הנחות עבודה'!I57</f>
        <v>3.5000000000000003E-2</v>
      </c>
      <c r="D7" s="742"/>
      <c r="E7" s="742"/>
    </row>
    <row r="8" spans="1:84">
      <c r="B8" s="848" t="str">
        <f>'הנחות עבודה'!H58</f>
        <v>אורך חיים</v>
      </c>
      <c r="C8" s="837">
        <f>'הנחות עבודה'!I58</f>
        <v>45</v>
      </c>
      <c r="D8" s="742"/>
      <c r="E8" s="742"/>
    </row>
    <row r="9" spans="1:84">
      <c r="B9" s="848" t="str">
        <f>'הנחות עבודה'!C9</f>
        <v>ריבית שנתית להיוון</v>
      </c>
      <c r="C9" s="851">
        <f>'הנחות עבודה'!D9</f>
        <v>0.03</v>
      </c>
      <c r="D9" s="742"/>
      <c r="E9" s="742"/>
    </row>
    <row r="10" spans="1:84">
      <c r="B10" s="848" t="str">
        <f>'הנחות עבודה'!C16</f>
        <v>מלש"ח ל- ₪ / טון לגר' / מיליון טון לטון</v>
      </c>
      <c r="C10" s="846">
        <f>'הנחות עבודה'!D16</f>
        <v>1000000</v>
      </c>
      <c r="D10" s="742"/>
      <c r="E10" s="742"/>
    </row>
    <row r="11" spans="1:84" ht="15.75" thickBot="1">
      <c r="B11" s="849" t="str">
        <f>'הנחות עבודה'!C13</f>
        <v>MW TO KW / KW TO W</v>
      </c>
      <c r="C11" s="850">
        <f>'הנחות עבודה'!D13</f>
        <v>1000</v>
      </c>
      <c r="D11" s="742"/>
      <c r="E11" s="742"/>
    </row>
    <row r="12" spans="1:84" ht="54" customHeight="1" thickBot="1"/>
    <row r="13" spans="1:84" ht="32.25" thickBot="1">
      <c r="F13" s="763" t="s">
        <v>46</v>
      </c>
      <c r="G13" s="764" t="s">
        <v>47</v>
      </c>
      <c r="H13" s="763" t="s">
        <v>342</v>
      </c>
      <c r="I13" s="764" t="s">
        <v>343</v>
      </c>
      <c r="J13" s="763" t="s">
        <v>344</v>
      </c>
      <c r="K13" s="772" t="s">
        <v>345</v>
      </c>
    </row>
    <row r="14" spans="1:84" ht="45.75" thickBot="1">
      <c r="E14" s="249" t="s">
        <v>410</v>
      </c>
      <c r="F14" s="774">
        <f>('הנחות עבודה'!J148/'הנחות עבודה'!D148)/$C$11</f>
        <v>1391.9571971004489</v>
      </c>
      <c r="G14" s="774">
        <f>('הנחות עבודה'!K148/'הנחות עבודה'!E148)/$C$11</f>
        <v>1223.162670899846</v>
      </c>
      <c r="H14" s="774">
        <f>('הנחות עבודה'!L148/'הנחות עבודה'!F148)/$C$11</f>
        <v>1391.9571971004486</v>
      </c>
      <c r="I14" s="774">
        <f>('הנחות עבודה'!M148/'הנחות עבודה'!G148)/$C$11</f>
        <v>1223.162670899846</v>
      </c>
      <c r="J14" s="774">
        <f>('הנחות עבודה'!N148/'הנחות עבודה'!H148)/$C$11</f>
        <v>1391.9571971004489</v>
      </c>
      <c r="K14" s="774">
        <f>('הנחות עבודה'!O148/'הנחות עבודה'!I148)/$C$11</f>
        <v>1223.1626708998463</v>
      </c>
    </row>
    <row r="15" spans="1:84" ht="15.75" thickBot="1"/>
    <row r="16" spans="1:84" ht="16.5" thickBot="1">
      <c r="F16" s="1243" t="s">
        <v>414</v>
      </c>
      <c r="G16" s="1244"/>
      <c r="H16" s="1244"/>
      <c r="I16" s="1244"/>
      <c r="J16" s="1244"/>
      <c r="K16" s="1245"/>
      <c r="N16" s="1243" t="s">
        <v>415</v>
      </c>
      <c r="O16" s="1244"/>
      <c r="P16" s="1244"/>
      <c r="Q16" s="1244"/>
      <c r="R16" s="1244"/>
      <c r="S16" s="1245"/>
    </row>
    <row r="17" spans="5:19" ht="16.5" thickBot="1">
      <c r="F17" s="756" t="str">
        <f>'הספק קיים ותחזית יצור'!J112</f>
        <v>PV 17%</v>
      </c>
      <c r="G17" s="764" t="str">
        <f>F17</f>
        <v>PV 17%</v>
      </c>
      <c r="H17" s="756" t="str">
        <f>'הספק קיים ותחזית יצור'!K112</f>
        <v>PV 25%</v>
      </c>
      <c r="I17" s="764" t="str">
        <f>H17</f>
        <v>PV 25%</v>
      </c>
      <c r="J17" s="756" t="str">
        <f>'הספק קיים ותחזית יצור'!L112</f>
        <v>PV 30%</v>
      </c>
      <c r="K17" s="838" t="str">
        <f>J17</f>
        <v>PV 30%</v>
      </c>
      <c r="N17" s="756" t="str">
        <f>F17</f>
        <v>PV 17%</v>
      </c>
      <c r="O17" s="764" t="str">
        <f t="shared" ref="O17:S18" si="11">G17</f>
        <v>PV 17%</v>
      </c>
      <c r="P17" s="756" t="str">
        <f t="shared" si="11"/>
        <v>PV 25%</v>
      </c>
      <c r="Q17" s="764" t="str">
        <f t="shared" si="11"/>
        <v>PV 25%</v>
      </c>
      <c r="R17" s="756" t="str">
        <f t="shared" si="11"/>
        <v>PV 30%</v>
      </c>
      <c r="S17" s="838" t="str">
        <f t="shared" si="11"/>
        <v>PV 30%</v>
      </c>
    </row>
    <row r="18" spans="5:19" ht="79.5" thickBot="1">
      <c r="E18" s="7" t="s">
        <v>0</v>
      </c>
      <c r="F18" s="763" t="str">
        <f>F13</f>
        <v>תרחיש 1- 17% מתחדשות (מוטה קרקע)</v>
      </c>
      <c r="G18" s="764" t="str">
        <f t="shared" ref="G18:K18" si="12">G13</f>
        <v>תרחיש 2- 17% מתחדשות (מוטה דואלי)</v>
      </c>
      <c r="H18" s="763" t="str">
        <f t="shared" si="12"/>
        <v>תרחיש 3- 25% מתחדשות (מוטה קרקע)</v>
      </c>
      <c r="I18" s="764" t="str">
        <f t="shared" si="12"/>
        <v>תרחיש 4- 25% מתחדשות (מוטה דואלי)</v>
      </c>
      <c r="J18" s="763" t="str">
        <f t="shared" si="12"/>
        <v>תרחיש 5- 30% מתחדשות (מוטה קרקע)</v>
      </c>
      <c r="K18" s="772" t="str">
        <f t="shared" si="12"/>
        <v>תרחיש 6- 30% מתחדשות (מוטה דואלי)</v>
      </c>
      <c r="M18" s="7" t="str">
        <f>E18</f>
        <v>שנה</v>
      </c>
      <c r="N18" s="763" t="str">
        <f>F18</f>
        <v>תרחיש 1- 17% מתחדשות (מוטה קרקע)</v>
      </c>
      <c r="O18" s="764" t="str">
        <f t="shared" si="11"/>
        <v>תרחיש 2- 17% מתחדשות (מוטה דואלי)</v>
      </c>
      <c r="P18" s="763" t="str">
        <f t="shared" si="11"/>
        <v>תרחיש 3- 25% מתחדשות (מוטה קרקע)</v>
      </c>
      <c r="Q18" s="764" t="str">
        <f t="shared" si="11"/>
        <v>תרחיש 4- 25% מתחדשות (מוטה דואלי)</v>
      </c>
      <c r="R18" s="763" t="str">
        <f t="shared" si="11"/>
        <v>תרחיש 5- 30% מתחדשות (מוטה קרקע)</v>
      </c>
      <c r="S18" s="772" t="str">
        <f t="shared" si="11"/>
        <v>תרחיש 6- 30% מתחדשות (מוטה דואלי)</v>
      </c>
    </row>
    <row r="19" spans="5:19" ht="15.75">
      <c r="E19" s="8">
        <f>C5</f>
        <v>2020</v>
      </c>
      <c r="F19" s="78">
        <f>IF($E19&gt;$C$6,0,(VLOOKUP($E19,'הספק קיים ותחזית יצור'!$I$112:$L$134,MATCH(F$17,'הספק קיים ותחזית יצור'!$I$112:$L$112,0),FALSE)-VLOOKUP($E19-1,'הספק קיים ותחזית יצור'!$I$112:$L$134,MATCH(F$17,'הספק קיים ותחזית יצור'!$I$112:$L$112,0),FALSE))*$C$11*F$14/$C$10)</f>
        <v>2698.5432662719018</v>
      </c>
      <c r="G19" s="839">
        <f>IF($E19&gt;$C$6,0,(VLOOKUP($E19,'הספק קיים ותחזית יצור'!$I$112:$L$134,MATCH(G$17,'הספק קיים ותחזית יצור'!$I$112:$L$112,0),FALSE)-VLOOKUP($E19-1,'הספק קיים ותחזית יצור'!$I$112:$L$134,MATCH(G$17,'הספק קיים ותחזית יצור'!$I$112:$L$112,0),FALSE))*$C$11*G$14/$C$10)</f>
        <v>2371.3066723514621</v>
      </c>
      <c r="H19" s="78">
        <f>IF($E19&gt;$C$6,0,(VLOOKUP($E19,'הספק קיים ותחזית יצור'!$I$112:$L$134,MATCH(H$17,'הספק קיים ותחזית יצור'!$I$112:$L$112,0),FALSE)-VLOOKUP($E19-1,'הספק קיים ותחזית יצור'!$I$112:$L$134,MATCH(H$17,'הספק קיים ותחזית יצור'!$I$112:$L$112,0),FALSE))*$C$11*H$14/$C$10)</f>
        <v>2698.5432662719013</v>
      </c>
      <c r="I19" s="839">
        <f>IF($E19&gt;$C$6,0,(VLOOKUP($E19,'הספק קיים ותחזית יצור'!$I$112:$L$134,MATCH(I$17,'הספק קיים ותחזית יצור'!$I$112:$L$112,0),FALSE)-VLOOKUP($E19-1,'הספק קיים ותחזית יצור'!$I$112:$L$134,MATCH(I$17,'הספק קיים ותחזית יצור'!$I$112:$L$112,0),FALSE))*$C$11*I$14/$C$10)</f>
        <v>2371.3066723514621</v>
      </c>
      <c r="J19" s="78">
        <f>IF($E19&gt;$C$6,0,(VLOOKUP($E19,'הספק קיים ותחזית יצור'!$I$112:$L$134,MATCH(J$17,'הספק קיים ותחזית יצור'!$I$112:$L$112,0),FALSE)-VLOOKUP($E19-1,'הספק קיים ותחזית יצור'!$I$112:$L$134,MATCH(J$17,'הספק קיים ותחזית יצור'!$I$112:$L$112,0),FALSE))*$C$11*J$14/$C$10)</f>
        <v>2698.5432662719018</v>
      </c>
      <c r="K19" s="839">
        <f>IF($E19&gt;$C$6,0,(VLOOKUP($E19,'הספק קיים ותחזית יצור'!$I$112:$L$134,MATCH(K$17,'הספק קיים ותחזית יצור'!$I$112:$L$112,0),FALSE)-VLOOKUP($E19-1,'הספק קיים ותחזית יצור'!$I$112:$L$134,MATCH(K$17,'הספק קיים ותחזית יצור'!$I$112:$L$112,0),FALSE))*$C$11*K$14/$C$10)</f>
        <v>2371.3066723514626</v>
      </c>
      <c r="M19" s="24">
        <f>E19</f>
        <v>2020</v>
      </c>
      <c r="N19" s="78">
        <f>IF($M19&gt;$C$6,0,-PMT($C$7,$C$8,SUMIFS(F$19:F$39,$E$19:$E$39,"&gt;"&amp;($M19-$C$8),$E$19:$E$39,"&lt;="&amp;$M19)))</f>
        <v>119.95951337300031</v>
      </c>
      <c r="O19" s="839">
        <f t="shared" ref="O19:S34" si="13">IF($M19&gt;$C$6,0,-PMT($C$7,$C$8,SUMIFS(G$19:G$39,$E$19:$E$39,"&gt;"&amp;($M19-$C$8),$E$19:$E$39,"&lt;="&amp;$M19)))</f>
        <v>105.41272323805245</v>
      </c>
      <c r="P19" s="78">
        <f t="shared" si="13"/>
        <v>119.95951337300028</v>
      </c>
      <c r="Q19" s="839">
        <f t="shared" si="13"/>
        <v>105.41272323805245</v>
      </c>
      <c r="R19" s="78">
        <f t="shared" si="13"/>
        <v>119.95951337300031</v>
      </c>
      <c r="S19" s="839">
        <f t="shared" si="13"/>
        <v>105.41272323805246</v>
      </c>
    </row>
    <row r="20" spans="5:19" ht="15.75">
      <c r="E20" s="10">
        <f>E19+1</f>
        <v>2021</v>
      </c>
      <c r="F20" s="79">
        <f>IF($E20&gt;$C$6,0,(VLOOKUP($E20,'הספק קיים ותחזית יצור'!$I$112:$L$134,MATCH(F$17,'הספק קיים ותחזית יצור'!$I$112:$L$112,0),FALSE)-VLOOKUP($E20-1,'הספק קיים ותחזית יצור'!$I$112:$L$134,MATCH(F$17,'הספק קיים ותחזית יצור'!$I$112:$L$112,0),FALSE))*$C$11*F$14/$C$10)</f>
        <v>450.87477254032433</v>
      </c>
      <c r="G20" s="840">
        <f>IF($E20&gt;$C$6,0,(VLOOKUP($E20,'הספק קיים ותחזית יצור'!$I$112:$L$134,MATCH(G$17,'הספק קיים ותחזית יצור'!$I$112:$L$112,0),FALSE)-VLOOKUP($E20-1,'הספק קיים ותחזית יצור'!$I$112:$L$134,MATCH(G$17,'הספק קיים ותחזית יצור'!$I$112:$L$112,0),FALSE))*$C$11*G$14/$C$10)</f>
        <v>396.19982005954301</v>
      </c>
      <c r="H20" s="79">
        <f>IF($E20&gt;$C$6,0,(VLOOKUP($E20,'הספק קיים ותחזית יצור'!$I$112:$L$134,MATCH(H$17,'הספק קיים ותחזית יצור'!$I$112:$L$112,0),FALSE)-VLOOKUP($E20-1,'הספק קיים ותחזית יצור'!$I$112:$L$134,MATCH(H$17,'הספק קיים ותחזית יצור'!$I$112:$L$112,0),FALSE))*$C$11*H$14/$C$10)</f>
        <v>1031.2679231264131</v>
      </c>
      <c r="I20" s="840">
        <f>IF($E20&gt;$C$6,0,(VLOOKUP($E20,'הספק קיים ותחזית יצור'!$I$112:$L$134,MATCH(I$17,'הספק קיים ותחזית יצור'!$I$112:$L$112,0),FALSE)-VLOOKUP($E20-1,'הספק קיים ותחזית יצור'!$I$112:$L$134,MATCH(I$17,'הספק קיים ותחזית יצור'!$I$112:$L$112,0),FALSE))*$C$11*I$14/$C$10)</f>
        <v>906.21208029402692</v>
      </c>
      <c r="J20" s="79">
        <f>IF($E20&gt;$C$6,0,(VLOOKUP($E20,'הספק קיים ותחזית יצור'!$I$112:$L$134,MATCH(J$17,'הספק קיים ותחזית יצור'!$I$112:$L$112,0),FALSE)-VLOOKUP($E20-1,'הספק קיים ותחזית יצור'!$I$112:$L$134,MATCH(J$17,'הספק קיים ותחזית יצור'!$I$112:$L$112,0),FALSE))*$C$11*J$14/$C$10)</f>
        <v>1353.7085623409084</v>
      </c>
      <c r="K20" s="840">
        <f>IF($E20&gt;$C$6,0,(VLOOKUP($E20,'הספק קיים ותחזית יצור'!$I$112:$L$134,MATCH(K$17,'הספק קיים ותחזית יצור'!$I$112:$L$112,0),FALSE)-VLOOKUP($E20-1,'הספק קיים ותחזית יצור'!$I$112:$L$134,MATCH(K$17,'הספק קיים ותחזית יצור'!$I$112:$L$112,0),FALSE))*$C$11*K$14/$C$10)</f>
        <v>1189.5522248687419</v>
      </c>
      <c r="M20" s="10">
        <f>M19+1</f>
        <v>2021</v>
      </c>
      <c r="N20" s="79">
        <f t="shared" ref="N20:N83" si="14">IF($M20&gt;$C$6,0,-PMT($C$7,$C$8,SUMIFS(F$19:F$39,$E$19:$E$39,"&gt;"&amp;($M20-$C$8),$E$19:$E$39,"&lt;="&amp;$M20)))</f>
        <v>140.00244504732601</v>
      </c>
      <c r="O20" s="840">
        <f t="shared" si="13"/>
        <v>123.02516555344805</v>
      </c>
      <c r="P20" s="79">
        <f t="shared" si="13"/>
        <v>165.80291331460575</v>
      </c>
      <c r="Q20" s="840">
        <f t="shared" si="13"/>
        <v>145.69696159862147</v>
      </c>
      <c r="R20" s="79">
        <f t="shared" si="13"/>
        <v>180.13650679642794</v>
      </c>
      <c r="S20" s="840">
        <f t="shared" si="13"/>
        <v>158.29240384594013</v>
      </c>
    </row>
    <row r="21" spans="5:19" ht="15.75">
      <c r="E21" s="10">
        <f t="shared" ref="E21:E38" si="15">E20+1</f>
        <v>2022</v>
      </c>
      <c r="F21" s="79">
        <f>IF($E21&gt;$C$6,0,(VLOOKUP($E21,'הספק קיים ותחזית יצור'!$I$112:$L$134,MATCH(F$17,'הספק קיים ותחזית יצור'!$I$112:$L$112,0),FALSE)-VLOOKUP($E21-1,'הספק קיים ותחזית יצור'!$I$112:$L$134,MATCH(F$17,'הספק קיים ותחזית יצור'!$I$112:$L$112,0),FALSE))*$C$11*F$14/$C$10)</f>
        <v>159.79456987894889</v>
      </c>
      <c r="G21" s="840">
        <f>IF($E21&gt;$C$6,0,(VLOOKUP($E21,'הספק קיים ותחזית יצור'!$I$112:$L$134,MATCH(G$17,'הספק קיים ותחזית יצור'!$I$112:$L$112,0),FALSE)-VLOOKUP($E21-1,'הספק קיים ותחזית יצור'!$I$112:$L$134,MATCH(G$17,'הספק קיים ותחזית יצור'!$I$112:$L$112,0),FALSE))*$C$11*G$14/$C$10)</f>
        <v>140.41721490831335</v>
      </c>
      <c r="H21" s="79">
        <f>IF($E21&gt;$C$6,0,(VLOOKUP($E21,'הספק קיים ותחזית יצור'!$I$112:$L$134,MATCH(H$17,'הספק קיים ותחזית יצור'!$I$112:$L$112,0),FALSE)-VLOOKUP($E21-1,'הספק קיים ותחזית יצור'!$I$112:$L$134,MATCH(H$17,'הספק קיים ותחזית יצור'!$I$112:$L$112,0),FALSE))*$C$11*H$14/$C$10)</f>
        <v>775.45762115166042</v>
      </c>
      <c r="I21" s="840">
        <f>IF($E21&gt;$C$6,0,(VLOOKUP($E21,'הספק קיים ותחזית יצור'!$I$112:$L$134,MATCH(I$17,'הספק קיים ותחזית יצור'!$I$112:$L$112,0),FALSE)-VLOOKUP($E21-1,'הספק קיים ותחזית יצור'!$I$112:$L$134,MATCH(I$17,'הספק קיים ותחזית יצור'!$I$112:$L$112,0),FALSE))*$C$11*I$14/$C$10)</f>
        <v>681.42240079890769</v>
      </c>
      <c r="J21" s="79">
        <f>IF($E21&gt;$C$6,0,(VLOOKUP($E21,'הספק קיים ותחזית יצור'!$I$112:$L$134,MATCH(J$17,'הספק קיים ותחזית יצור'!$I$112:$L$112,0),FALSE)-VLOOKUP($E21-1,'הספק קיים ותחזית יצור'!$I$112:$L$134,MATCH(J$17,'הספק קיים ותחזית יצור'!$I$112:$L$112,0),FALSE))*$C$11*J$14/$C$10)</f>
        <v>1117.4926496364988</v>
      </c>
      <c r="K21" s="840">
        <f>IF($E21&gt;$C$6,0,(VLOOKUP($E21,'הספק קיים ותחזית יצור'!$I$112:$L$134,MATCH(K$17,'הספק קיים ותחזית יצור'!$I$112:$L$112,0),FALSE)-VLOOKUP($E21-1,'הספק קיים ותחזית יצור'!$I$112:$L$134,MATCH(K$17,'הספק קיים ותחזית יצור'!$I$112:$L$112,0),FALSE))*$C$11*K$14/$C$10)</f>
        <v>981.98083740479194</v>
      </c>
      <c r="M21" s="10">
        <f t="shared" ref="M21:M84" si="16">M20+1</f>
        <v>2022</v>
      </c>
      <c r="N21" s="79">
        <f t="shared" si="14"/>
        <v>147.10586231764049</v>
      </c>
      <c r="O21" s="840">
        <f t="shared" si="13"/>
        <v>129.26719286504425</v>
      </c>
      <c r="P21" s="79">
        <f t="shared" si="13"/>
        <v>200.27466703351192</v>
      </c>
      <c r="Q21" s="840">
        <f t="shared" si="13"/>
        <v>175.98852691201682</v>
      </c>
      <c r="R21" s="79">
        <f t="shared" si="13"/>
        <v>229.81289187566281</v>
      </c>
      <c r="S21" s="840">
        <f t="shared" si="13"/>
        <v>201.94482360477937</v>
      </c>
    </row>
    <row r="22" spans="5:19" ht="15.75">
      <c r="E22" s="10">
        <f t="shared" si="15"/>
        <v>2023</v>
      </c>
      <c r="F22" s="79">
        <f>IF($E22&gt;$C$6,0,(VLOOKUP($E22,'הספק קיים ותחזית יצור'!$I$112:$L$134,MATCH(F$17,'הספק קיים ותחזית יצור'!$I$112:$L$112,0),FALSE)-VLOOKUP($E22-1,'הספק קיים ותחזית יצור'!$I$112:$L$134,MATCH(F$17,'הספק קיים ותחזית יצור'!$I$112:$L$112,0),FALSE))*$C$11*F$14/$C$10)</f>
        <v>170.04064472981659</v>
      </c>
      <c r="G22" s="840">
        <f>IF($E22&gt;$C$6,0,(VLOOKUP($E22,'הספק קיים ותחזית יצור'!$I$112:$L$134,MATCH(G$17,'הספק קיים ותחזית יצור'!$I$112:$L$112,0),FALSE)-VLOOKUP($E22-1,'הספק קיים ותחזית יצור'!$I$112:$L$134,MATCH(G$17,'הספק קיים ותחזית יצור'!$I$112:$L$112,0),FALSE))*$C$11*G$14/$C$10)</f>
        <v>149.42080805538242</v>
      </c>
      <c r="H22" s="79">
        <f>IF($E22&gt;$C$6,0,(VLOOKUP($E22,'הספק קיים ותחזית יצור'!$I$112:$L$134,MATCH(H$17,'הספק קיים ותחזית יצור'!$I$112:$L$112,0),FALSE)-VLOOKUP($E22-1,'הספק קיים ותחזית יצור'!$I$112:$L$134,MATCH(H$17,'הספק קיים ותחזית יצור'!$I$112:$L$112,0),FALSE))*$C$11*H$14/$C$10)</f>
        <v>822.57830726094119</v>
      </c>
      <c r="I22" s="840">
        <f>IF($E22&gt;$C$6,0,(VLOOKUP($E22,'הספק קיים ותחזית יצור'!$I$112:$L$134,MATCH(I$17,'הספק קיים ותחזית יצור'!$I$112:$L$112,0),FALSE)-VLOOKUP($E22-1,'הספק קיים ותחזית יצור'!$I$112:$L$134,MATCH(I$17,'הספק קיים ותחזית יצור'!$I$112:$L$112,0),FALSE))*$C$11*I$14/$C$10)</f>
        <v>722.8290362875</v>
      </c>
      <c r="J22" s="79">
        <f>IF($E22&gt;$C$6,0,(VLOOKUP($E22,'הספק קיים ותחזית יצור'!$I$112:$L$134,MATCH(J$17,'הספק קיים ותחזית יצור'!$I$112:$L$112,0),FALSE)-VLOOKUP($E22-1,'הספק קיים ותחזית יצור'!$I$112:$L$134,MATCH(J$17,'הספק קיים ותחזית יצור'!$I$112:$L$112,0),FALSE))*$C$11*J$14/$C$10)</f>
        <v>1185.0992308893444</v>
      </c>
      <c r="K22" s="840">
        <f>IF($E22&gt;$C$6,0,(VLOOKUP($E22,'הספק קיים ותחזית יצור'!$I$112:$L$134,MATCH(K$17,'הספק קיים ותחזית יצור'!$I$112:$L$112,0),FALSE)-VLOOKUP($E22-1,'הספק קיים ותחזית יצור'!$I$112:$L$134,MATCH(K$17,'הספק קיים ותחזית יצור'!$I$112:$L$112,0),FALSE))*$C$11*K$14/$C$10)</f>
        <v>1041.3891630831215</v>
      </c>
      <c r="M22" s="10">
        <f t="shared" si="16"/>
        <v>2023</v>
      </c>
      <c r="N22" s="79">
        <f t="shared" si="14"/>
        <v>154.66475279398264</v>
      </c>
      <c r="O22" s="840">
        <f t="shared" si="13"/>
        <v>135.90946080499364</v>
      </c>
      <c r="P22" s="79">
        <f t="shared" si="13"/>
        <v>236.84109703429235</v>
      </c>
      <c r="Q22" s="840">
        <f t="shared" si="13"/>
        <v>208.12075933855687</v>
      </c>
      <c r="R22" s="79">
        <f t="shared" si="13"/>
        <v>282.49462161224227</v>
      </c>
      <c r="S22" s="840">
        <f t="shared" si="13"/>
        <v>248.23814741275868</v>
      </c>
    </row>
    <row r="23" spans="5:19" ht="15.75">
      <c r="E23" s="10">
        <f t="shared" si="15"/>
        <v>2024</v>
      </c>
      <c r="F23" s="79">
        <f>IF($E23&gt;$C$6,0,(VLOOKUP($E23,'הספק קיים ותחזית יצור'!$I$112:$L$134,MATCH(F$17,'הספק קיים ותחזית יצור'!$I$112:$L$112,0),FALSE)-VLOOKUP($E23-1,'הספק קיים ותחזית יצור'!$I$112:$L$134,MATCH(F$17,'הספק קיים ותחזית יצור'!$I$112:$L$112,0),FALSE))*$C$11*F$14/$C$10)</f>
        <v>174.09547372369832</v>
      </c>
      <c r="G23" s="840">
        <f>IF($E23&gt;$C$6,0,(VLOOKUP($E23,'הספק קיים ותחזית יצור'!$I$112:$L$134,MATCH(G$17,'הספק קיים ותחזית יצור'!$I$112:$L$112,0),FALSE)-VLOOKUP($E23-1,'הספק קיים ותחזית יצור'!$I$112:$L$134,MATCH(G$17,'הספק קיים ותחזית יצור'!$I$112:$L$112,0),FALSE))*$C$11*G$14/$C$10)</f>
        <v>152.98393160007902</v>
      </c>
      <c r="H23" s="79">
        <f>IF($E23&gt;$C$6,0,(VLOOKUP($E23,'הספק קיים ותחזית יצור'!$I$112:$L$134,MATCH(H$17,'הספק קיים ותחזית יצור'!$I$112:$L$112,0),FALSE)-VLOOKUP($E23-1,'הספק קיים ותחזית יצור'!$I$112:$L$134,MATCH(H$17,'הספק קיים ותחזית יצור'!$I$112:$L$112,0),FALSE))*$C$11*H$14/$C$10)</f>
        <v>858.58552924915693</v>
      </c>
      <c r="I23" s="840">
        <f>IF($E23&gt;$C$6,0,(VLOOKUP($E23,'הספק קיים ותחזית יצור'!$I$112:$L$134,MATCH(I$17,'הספק קיים ותחזית יצור'!$I$112:$L$112,0),FALSE)-VLOOKUP($E23-1,'הספק קיים ותחזית יצור'!$I$112:$L$134,MATCH(I$17,'הספק קיים ותחזית יצור'!$I$112:$L$112,0),FALSE))*$C$11*I$14/$C$10)</f>
        <v>754.46987259376999</v>
      </c>
      <c r="J23" s="79">
        <f>IF($E23&gt;$C$6,0,(VLOOKUP($E23,'הספק קיים ותחזית יצור'!$I$112:$L$134,MATCH(J$17,'הספק קיים ותחזית יצור'!$I$112:$L$112,0),FALSE)-VLOOKUP($E23-1,'הספק קיים ותחזית יצור'!$I$112:$L$134,MATCH(J$17,'הספק קיים ותחזית יצור'!$I$112:$L$112,0),FALSE))*$C$11*J$14/$C$10)</f>
        <v>1238.8577823188584</v>
      </c>
      <c r="K23" s="840">
        <f>IF($E23&gt;$C$6,0,(VLOOKUP($E23,'הספק קיים ותחזית יצור'!$I$112:$L$134,MATCH(K$17,'הספק קיים ותחזית יצור'!$I$112:$L$112,0),FALSE)-VLOOKUP($E23-1,'הספק קיים ותחזית יצור'!$I$112:$L$134,MATCH(K$17,'הספק קיים ותחזית יצור'!$I$112:$L$112,0),FALSE))*$C$11*K$14/$C$10)</f>
        <v>1088.6287287013781</v>
      </c>
      <c r="M23" s="10">
        <f t="shared" si="16"/>
        <v>2024</v>
      </c>
      <c r="N23" s="79">
        <f t="shared" si="14"/>
        <v>162.40389434096593</v>
      </c>
      <c r="O23" s="840">
        <f t="shared" si="13"/>
        <v>142.71012182014474</v>
      </c>
      <c r="P23" s="79">
        <f t="shared" si="13"/>
        <v>275.00817167976186</v>
      </c>
      <c r="Q23" s="840">
        <f t="shared" si="13"/>
        <v>241.65953557466071</v>
      </c>
      <c r="R23" s="79">
        <f t="shared" si="13"/>
        <v>337.56610353464868</v>
      </c>
      <c r="S23" s="840">
        <f t="shared" si="13"/>
        <v>296.63143210494752</v>
      </c>
    </row>
    <row r="24" spans="5:19" ht="15.75">
      <c r="E24" s="10">
        <f t="shared" si="15"/>
        <v>2025</v>
      </c>
      <c r="F24" s="79">
        <f>IF($E24&gt;$C$6,0,(VLOOKUP($E24,'הספק קיים ותחזית יצור'!$I$112:$L$134,MATCH(F$17,'הספק קיים ותחזית יצור'!$I$112:$L$112,0),FALSE)-VLOOKUP($E24-1,'הספק קיים ותחזית יצור'!$I$112:$L$134,MATCH(F$17,'הספק קיים ותחזית יצור'!$I$112:$L$112,0),FALSE))*$C$11*F$14/$C$10)</f>
        <v>252.22116179185625</v>
      </c>
      <c r="G24" s="840">
        <f>IF($E24&gt;$C$6,0,(VLOOKUP($E24,'הספק קיים ותחזית יצור'!$I$112:$L$134,MATCH(G$17,'הספק קיים ותחזית יצור'!$I$112:$L$112,0),FALSE)-VLOOKUP($E24-1,'הספק קיים ותחזית יצור'!$I$112:$L$134,MATCH(G$17,'הספק קיים ותחזית יצור'!$I$112:$L$112,0),FALSE))*$C$11*G$14/$C$10)</f>
        <v>221.63577339693589</v>
      </c>
      <c r="H24" s="79">
        <f>IF($E24&gt;$C$6,0,(VLOOKUP($E24,'הספק קיים ותחזית יצור'!$I$112:$L$134,MATCH(H$17,'הספק קיים ותחזית יצור'!$I$112:$L$112,0),FALSE)-VLOOKUP($E24-1,'הספק קיים ותחזית יצור'!$I$112:$L$134,MATCH(H$17,'הספק קיים ותחזית יצור'!$I$112:$L$112,0),FALSE))*$C$11*H$14/$C$10)</f>
        <v>990.01481522752636</v>
      </c>
      <c r="I24" s="840">
        <f>IF($E24&gt;$C$6,0,(VLOOKUP($E24,'הספק קיים ותחזית יצור'!$I$112:$L$134,MATCH(I$17,'הספק קיים ותחזית יצור'!$I$112:$L$112,0),FALSE)-VLOOKUP($E24-1,'הספק קיים ותחזית יצור'!$I$112:$L$134,MATCH(I$17,'הספק קיים ותחזית יצור'!$I$112:$L$112,0),FALSE))*$C$11*I$14/$C$10)</f>
        <v>869.961496047879</v>
      </c>
      <c r="J24" s="79">
        <f>IF($E24&gt;$C$6,0,(VLOOKUP($E24,'הספק קיים ותחזית יצור'!$I$112:$L$134,MATCH(J$17,'הספק קיים ותחזית יצור'!$I$112:$L$112,0),FALSE)-VLOOKUP($E24-1,'הספק קיים ותחזית יצור'!$I$112:$L$134,MATCH(J$17,'הספק קיים ותחזית יצור'!$I$112:$L$112,0),FALSE))*$C$11*J$14/$C$10)</f>
        <v>1399.9001782473431</v>
      </c>
      <c r="K24" s="840">
        <f>IF($E24&gt;$C$6,0,(VLOOKUP($E24,'הספק קיים ותחזית יצור'!$I$112:$L$134,MATCH(K$17,'הספק קיים ותחזית יצור'!$I$112:$L$112,0),FALSE)-VLOOKUP($E24-1,'הספק קיים ותחזית יצור'!$I$112:$L$134,MATCH(K$17,'הספק קיים ותחזית יצור'!$I$112:$L$112,0),FALSE))*$C$11*K$14/$C$10)</f>
        <v>1230.1424530761808</v>
      </c>
      <c r="M24" s="10">
        <f t="shared" si="16"/>
        <v>2025</v>
      </c>
      <c r="N24" s="79">
        <f t="shared" si="14"/>
        <v>173.61599095956996</v>
      </c>
      <c r="O24" s="840">
        <f t="shared" si="13"/>
        <v>152.5625929126227</v>
      </c>
      <c r="P24" s="79">
        <f t="shared" si="13"/>
        <v>319.01772933670719</v>
      </c>
      <c r="Q24" s="840">
        <f t="shared" si="13"/>
        <v>280.3323110026148</v>
      </c>
      <c r="R24" s="79">
        <f t="shared" si="13"/>
        <v>399.79647287956135</v>
      </c>
      <c r="S24" s="840">
        <f t="shared" si="13"/>
        <v>351.31548771927714</v>
      </c>
    </row>
    <row r="25" spans="5:19" ht="15.75">
      <c r="E25" s="10">
        <f t="shared" si="15"/>
        <v>2026</v>
      </c>
      <c r="F25" s="79">
        <f>IF($E25&gt;$C$6,0,(VLOOKUP($E25,'הספק קיים ותחזית יצור'!$I$112:$L$134,MATCH(F$17,'הספק קיים ותחזית יצור'!$I$112:$L$112,0),FALSE)-VLOOKUP($E25-1,'הספק קיים ותחזית יצור'!$I$112:$L$134,MATCH(F$17,'הספק קיים ותחזית יצור'!$I$112:$L$112,0),FALSE))*$C$11*F$14/$C$10)</f>
        <v>861.66634364133517</v>
      </c>
      <c r="G25" s="840">
        <f>IF($E25&gt;$C$6,0,(VLOOKUP($E25,'הספק קיים ותחזית יצור'!$I$112:$L$134,MATCH(G$17,'הספק קיים ותחזית יצור'!$I$112:$L$112,0),FALSE)-VLOOKUP($E25-1,'הספק קיים ותחזית יצור'!$I$112:$L$134,MATCH(G$17,'הספק קיים ותחזית יצור'!$I$112:$L$112,0),FALSE))*$C$11*G$14/$C$10)</f>
        <v>757.17709460342144</v>
      </c>
      <c r="H25" s="79">
        <f>IF($E25&gt;$C$6,0,(VLOOKUP($E25,'הספק קיים ותחזית יצור'!$I$112:$L$134,MATCH(H$17,'הספק קיים ותחזית יצור'!$I$112:$L$112,0),FALSE)-VLOOKUP($E25-1,'הספק קיים ותחזית יצור'!$I$112:$L$134,MATCH(H$17,'הספק קיים ותחזית יצור'!$I$112:$L$112,0),FALSE))*$C$11*H$14/$C$10)</f>
        <v>1487.3684887112338</v>
      </c>
      <c r="I25" s="840">
        <f>IF($E25&gt;$C$6,0,(VLOOKUP($E25,'הספק קיים ותחזית יצור'!$I$112:$L$134,MATCH(I$17,'הספק קיים ותחזית יצור'!$I$112:$L$112,0),FALSE)-VLOOKUP($E25-1,'הספק קיים ותחזית יצור'!$I$112:$L$134,MATCH(I$17,'הספק קיים ותחזית יצור'!$I$112:$L$112,0),FALSE))*$C$11*I$14/$C$10)</f>
        <v>1307.0039919718979</v>
      </c>
      <c r="J25" s="79">
        <f>IF($E25&gt;$C$6,0,(VLOOKUP($E25,'הספק קיים ותחזית יצור'!$I$112:$L$134,MATCH(J$17,'הספק קיים ותחזית יצור'!$I$112:$L$112,0),FALSE)-VLOOKUP($E25-1,'הספק קיים ותחזית יצור'!$I$112:$L$134,MATCH(J$17,'הספק קיים ותחזית יצור'!$I$112:$L$112,0),FALSE))*$C$11*J$14/$C$10)</f>
        <v>1917.0414925673167</v>
      </c>
      <c r="K25" s="840">
        <f>IF($E25&gt;$C$6,0,(VLOOKUP($E25,'הספק קיים ותחזית יצור'!$I$112:$L$134,MATCH(K$17,'הספק קיים ותחזית יצור'!$I$112:$L$112,0),FALSE)-VLOOKUP($E25-1,'הספק קיים ותחזית יצור'!$I$112:$L$134,MATCH(K$17,'הספק קיים ותחזית יצור'!$I$112:$L$112,0),FALSE))*$C$11*K$14/$C$10)</f>
        <v>1684.573058107658</v>
      </c>
      <c r="M25" s="10">
        <f t="shared" si="16"/>
        <v>2026</v>
      </c>
      <c r="N25" s="79">
        <f t="shared" si="14"/>
        <v>211.92001838244994</v>
      </c>
      <c r="O25" s="840">
        <f t="shared" si="13"/>
        <v>186.22171446204041</v>
      </c>
      <c r="P25" s="79">
        <f t="shared" si="13"/>
        <v>385.13636539572104</v>
      </c>
      <c r="Q25" s="840">
        <f t="shared" si="13"/>
        <v>338.43312591751635</v>
      </c>
      <c r="R25" s="79">
        <f t="shared" si="13"/>
        <v>485.01554920066502</v>
      </c>
      <c r="S25" s="840">
        <f t="shared" si="13"/>
        <v>426.20054397077109</v>
      </c>
    </row>
    <row r="26" spans="5:19" ht="15.75">
      <c r="E26" s="10">
        <f t="shared" si="15"/>
        <v>2027</v>
      </c>
      <c r="F26" s="79">
        <f>IF($E26&gt;$C$6,0,(VLOOKUP($E26,'הספק קיים ותחזית יצור'!$I$112:$L$134,MATCH(F$17,'הספק קיים ותחזית יצור'!$I$112:$L$112,0),FALSE)-VLOOKUP($E26-1,'הספק קיים ותחזית יצור'!$I$112:$L$134,MATCH(F$17,'הספק קיים ותחזית יצור'!$I$112:$L$112,0),FALSE))*$C$11*F$14/$C$10)</f>
        <v>906.94566817686655</v>
      </c>
      <c r="G26" s="840">
        <f>IF($E26&gt;$C$6,0,(VLOOKUP($E26,'הספק קיים ותחזית יצור'!$I$112:$L$134,MATCH(G$17,'הספק קיים ותחזית יצור'!$I$112:$L$112,0),FALSE)-VLOOKUP($E26-1,'הספק קיים ותחזית יצור'!$I$112:$L$134,MATCH(G$17,'הספק קיים ותחזית יצור'!$I$112:$L$112,0),FALSE))*$C$11*G$14/$C$10)</f>
        <v>796.96565969061703</v>
      </c>
      <c r="H26" s="79">
        <f>IF($E26&gt;$C$6,0,(VLOOKUP($E26,'הספק קיים ותחזית יצור'!$I$112:$L$134,MATCH(H$17,'הספק קיים ותחזית יצור'!$I$112:$L$112,0),FALSE)-VLOOKUP($E26-1,'הספק קיים ותחזית יצור'!$I$112:$L$134,MATCH(H$17,'הספק קיים ותחזית יצור'!$I$112:$L$112,0),FALSE))*$C$11*H$14/$C$10)</f>
        <v>1567.5419869018792</v>
      </c>
      <c r="I26" s="840">
        <f>IF($E26&gt;$C$6,0,(VLOOKUP($E26,'הספק קיים ותחזית יצור'!$I$112:$L$134,MATCH(I$17,'הספק קיים ותחזית יצור'!$I$112:$L$112,0),FALSE)-VLOOKUP($E26-1,'הספק קיים ותחזית יצור'!$I$112:$L$134,MATCH(I$17,'הספק קיים ותחזית יצור'!$I$112:$L$112,0),FALSE))*$C$11*I$14/$C$10)</f>
        <v>1377.4553179081634</v>
      </c>
      <c r="J26" s="79">
        <f>IF($E26&gt;$C$6,0,(VLOOKUP($E26,'הספק קיים ותחזית יצור'!$I$112:$L$134,MATCH(J$17,'הספק קיים ותחזית יצור'!$I$112:$L$112,0),FALSE)-VLOOKUP($E26-1,'הספק קיים ותחזית יצור'!$I$112:$L$134,MATCH(J$17,'הספק קיים ותחזית יצור'!$I$112:$L$112,0),FALSE))*$C$11*J$14/$C$10)</f>
        <v>2021.6342972895143</v>
      </c>
      <c r="K26" s="840">
        <f>IF($E26&gt;$C$6,0,(VLOOKUP($E26,'הספק קיים ותחזית יצור'!$I$112:$L$134,MATCH(K$17,'הספק קיים ותחזית יצור'!$I$112:$L$112,0),FALSE)-VLOOKUP($E26-1,'הספק קיים ותחזית יצור'!$I$112:$L$134,MATCH(K$17,'הספק קיים ותחזית יצור'!$I$112:$L$112,0),FALSE))*$C$11*K$14/$C$10)</f>
        <v>1776.4825037769683</v>
      </c>
      <c r="M26" s="10">
        <f t="shared" si="16"/>
        <v>2027</v>
      </c>
      <c r="N26" s="79">
        <f t="shared" si="14"/>
        <v>252.23686724311418</v>
      </c>
      <c r="O26" s="840">
        <f t="shared" si="13"/>
        <v>221.64957433977258</v>
      </c>
      <c r="P26" s="79">
        <f t="shared" si="13"/>
        <v>454.81898871725815</v>
      </c>
      <c r="Q26" s="840">
        <f t="shared" si="13"/>
        <v>399.66574415809612</v>
      </c>
      <c r="R26" s="79">
        <f t="shared" si="13"/>
        <v>574.88413480094584</v>
      </c>
      <c r="S26" s="840">
        <f t="shared" si="13"/>
        <v>505.17129064445515</v>
      </c>
    </row>
    <row r="27" spans="5:19" ht="15.75">
      <c r="E27" s="10">
        <f t="shared" si="15"/>
        <v>2028</v>
      </c>
      <c r="F27" s="79">
        <f>IF($E27&gt;$C$6,0,(VLOOKUP($E27,'הספק קיים ותחזית יצור'!$I$112:$L$134,MATCH(F$17,'הספק קיים ותחזית יצור'!$I$112:$L$112,0),FALSE)-VLOOKUP($E27-1,'הספק קיים ותחזית יצור'!$I$112:$L$134,MATCH(F$17,'הספק קיים ותחזית יצור'!$I$112:$L$112,0),FALSE))*$C$11*F$14/$C$10)</f>
        <v>922.15589527929444</v>
      </c>
      <c r="G27" s="840">
        <f>IF($E27&gt;$C$6,0,(VLOOKUP($E27,'הספק קיים ותחזית יצור'!$I$112:$L$134,MATCH(G$17,'הספק קיים ותחזית יצור'!$I$112:$L$112,0),FALSE)-VLOOKUP($E27-1,'הספק קיים ותחזית יצור'!$I$112:$L$134,MATCH(G$17,'הספק קיים ותחזית יצור'!$I$112:$L$112,0),FALSE))*$C$11*G$14/$C$10)</f>
        <v>810.33143131517124</v>
      </c>
      <c r="H27" s="79">
        <f>IF($E27&gt;$C$6,0,(VLOOKUP($E27,'הספק קיים ותחזית יצור'!$I$112:$L$134,MATCH(H$17,'הספק קיים ותחזית יצור'!$I$112:$L$112,0),FALSE)-VLOOKUP($E27-1,'הספק קיים ותחזית יצור'!$I$112:$L$134,MATCH(H$17,'הספק קיים ותחזית יצור'!$I$112:$L$112,0),FALSE))*$C$11*H$14/$C$10)</f>
        <v>1605.473495436242</v>
      </c>
      <c r="I27" s="840">
        <f>IF($E27&gt;$C$6,0,(VLOOKUP($E27,'הספק קיים ותחזית יצור'!$I$112:$L$134,MATCH(I$17,'הספק קיים ותחזית יצור'!$I$112:$L$112,0),FALSE)-VLOOKUP($E27-1,'הספק קיים ותחזית יצור'!$I$112:$L$134,MATCH(I$17,'הספק קיים ותחזית יצור'!$I$112:$L$112,0),FALSE))*$C$11*I$14/$C$10)</f>
        <v>1410.7870937607531</v>
      </c>
      <c r="J27" s="79">
        <f>IF($E27&gt;$C$6,0,(VLOOKUP($E27,'הספק קיים ותחזית יצור'!$I$112:$L$134,MATCH(J$17,'הספק קיים ותחזית יצור'!$I$112:$L$112,0),FALSE)-VLOOKUP($E27-1,'הספק קיים ותחזית יצור'!$I$112:$L$134,MATCH(J$17,'הספק קיים ותחזית יצור'!$I$112:$L$112,0),FALSE))*$C$11*J$14/$C$10)</f>
        <v>2076.7590275758621</v>
      </c>
      <c r="K27" s="840">
        <f>IF($E27&gt;$C$6,0,(VLOOKUP($E27,'הספק קיים ותחזית יצור'!$I$112:$L$134,MATCH(K$17,'הספק קיים ותחזית יצור'!$I$112:$L$112,0),FALSE)-VLOOKUP($E27-1,'הספק קיים ותחזית יצור'!$I$112:$L$134,MATCH(K$17,'הספק קיים ותחזית יצור'!$I$112:$L$112,0),FALSE))*$C$11*K$14/$C$10)</f>
        <v>1824.9225797147465</v>
      </c>
      <c r="M27" s="10">
        <f t="shared" si="16"/>
        <v>2028</v>
      </c>
      <c r="N27" s="79">
        <f t="shared" si="14"/>
        <v>293.22986292132447</v>
      </c>
      <c r="O27" s="840">
        <f t="shared" si="13"/>
        <v>257.67158865629989</v>
      </c>
      <c r="P27" s="79">
        <f t="shared" si="13"/>
        <v>526.18779782731224</v>
      </c>
      <c r="Q27" s="840">
        <f t="shared" si="13"/>
        <v>462.38007427675103</v>
      </c>
      <c r="R27" s="79">
        <f t="shared" si="13"/>
        <v>667.20320392788278</v>
      </c>
      <c r="S27" s="840">
        <f t="shared" si="13"/>
        <v>586.29536500788754</v>
      </c>
    </row>
    <row r="28" spans="5:19" ht="15.75">
      <c r="E28" s="10">
        <f t="shared" si="15"/>
        <v>2029</v>
      </c>
      <c r="F28" s="79">
        <f>IF($E28&gt;$C$6,0,(VLOOKUP($E28,'הספק קיים ותחזית יצור'!$I$112:$L$134,MATCH(F$17,'הספק קיים ותחזית יצור'!$I$112:$L$112,0),FALSE)-VLOOKUP($E28-1,'הספק קיים ותחזית יצור'!$I$112:$L$134,MATCH(F$17,'הספק קיים ותחזית יצור'!$I$112:$L$112,0),FALSE))*$C$11*F$14/$C$10)</f>
        <v>1035.365910868119</v>
      </c>
      <c r="G28" s="840">
        <f>IF($E28&gt;$C$6,0,(VLOOKUP($E28,'הספק קיים ותחזית יצור'!$I$112:$L$134,MATCH(G$17,'הספק קיים ותחזית יצור'!$I$112:$L$112,0),FALSE)-VLOOKUP($E28-1,'הספק קיים ותחזית יצור'!$I$112:$L$134,MATCH(G$17,'הספק קיים ותחזית יצור'!$I$112:$L$112,0),FALSE))*$C$11*G$14/$C$10)</f>
        <v>909.81312897706198</v>
      </c>
      <c r="H28" s="79">
        <f>IF($E28&gt;$C$6,0,(VLOOKUP($E28,'הספק קיים ותחזית יצור'!$I$112:$L$134,MATCH(H$17,'הספק קיים ותחזית יצור'!$I$112:$L$112,0),FALSE)-VLOOKUP($E28-1,'הספק קיים ותחזית יצור'!$I$112:$L$134,MATCH(H$17,'הספק קיים ותחזית יצור'!$I$112:$L$112,0),FALSE))*$C$11*H$14/$C$10)</f>
        <v>1784.1523459351226</v>
      </c>
      <c r="I28" s="840">
        <f>IF($E28&gt;$C$6,0,(VLOOKUP($E28,'הספק קיים ותחזית יצור'!$I$112:$L$134,MATCH(I$17,'הספק קיים ותחזית יצור'!$I$112:$L$112,0),FALSE)-VLOOKUP($E28-1,'הספק קיים ותחזית יצור'!$I$112:$L$134,MATCH(I$17,'הספק קיים ותחזית יצור'!$I$112:$L$112,0),FALSE))*$C$11*I$14/$C$10)</f>
        <v>1567.7986027818552</v>
      </c>
      <c r="J28" s="79">
        <f>IF($E28&gt;$C$6,0,(VLOOKUP($E28,'הספק קיים ותחזית יצור'!$I$112:$L$134,MATCH(J$17,'הספק קיים ותחזית יצור'!$I$112:$L$112,0),FALSE)-VLOOKUP($E28-1,'הספק קיים ותחזית יצור'!$I$112:$L$134,MATCH(J$17,'הספק קיים ותחזית יצור'!$I$112:$L$112,0),FALSE))*$C$11*J$14/$C$10)</f>
        <v>2298.6972991736866</v>
      </c>
      <c r="K28" s="840">
        <f>IF($E28&gt;$C$6,0,(VLOOKUP($E28,'הספק קיים ותחזית יצור'!$I$112:$L$134,MATCH(K$17,'הספק קיים ותחזית יצור'!$I$112:$L$112,0),FALSE)-VLOOKUP($E28-1,'הספק קיים ותחזית יצור'!$I$112:$L$134,MATCH(K$17,'הספק קיים ותחזית יצור'!$I$112:$L$112,0),FALSE))*$C$11*K$14/$C$10)</f>
        <v>2019.9476922885926</v>
      </c>
      <c r="M28" s="10">
        <f t="shared" si="16"/>
        <v>2029</v>
      </c>
      <c r="N28" s="79">
        <f t="shared" si="14"/>
        <v>339.25543248809322</v>
      </c>
      <c r="O28" s="840">
        <f t="shared" si="13"/>
        <v>298.11590599468201</v>
      </c>
      <c r="P28" s="79">
        <f t="shared" si="13"/>
        <v>605.49949531858738</v>
      </c>
      <c r="Q28" s="840">
        <f t="shared" si="13"/>
        <v>532.07410505521887</v>
      </c>
      <c r="R28" s="79">
        <f t="shared" si="13"/>
        <v>769.38819123092537</v>
      </c>
      <c r="S28" s="840">
        <f t="shared" si="13"/>
        <v>676.08897522508209</v>
      </c>
    </row>
    <row r="29" spans="5:19" ht="15.75">
      <c r="E29" s="10">
        <f t="shared" si="15"/>
        <v>2030</v>
      </c>
      <c r="F29" s="79">
        <f>IF($E29&gt;$C$6,0,(VLOOKUP($E29,'הספק קיים ותחזית יצור'!$I$112:$L$134,MATCH(F$17,'הספק קיים ותחזית יצור'!$I$112:$L$112,0),FALSE)-VLOOKUP($E29-1,'הספק קיים ותחזית יצור'!$I$112:$L$134,MATCH(F$17,'הספק קיים ותחזית יצור'!$I$112:$L$112,0),FALSE))*$C$11*F$14/$C$10)</f>
        <v>1055.1148175337296</v>
      </c>
      <c r="G29" s="840">
        <f>IF($E29&gt;$C$6,0,(VLOOKUP($E29,'הספק קיים ותחזית יצור'!$I$112:$L$134,MATCH(G$17,'הספק קיים ותחזית יצור'!$I$112:$L$112,0),FALSE)-VLOOKUP($E29-1,'הספק קיים ותחזית יצור'!$I$112:$L$134,MATCH(G$17,'הספק קיים ותחזית יצור'!$I$112:$L$112,0),FALSE))*$C$11*G$14/$C$10)</f>
        <v>927.16720098069754</v>
      </c>
      <c r="H29" s="79">
        <f>IF($E29&gt;$C$6,0,(VLOOKUP($E29,'הספק קיים ותחזית יצור'!$I$112:$L$134,MATCH(H$17,'הספק קיים ותחזית יצור'!$I$112:$L$112,0),FALSE)-VLOOKUP($E29-1,'הספק קיים ותחזית יצור'!$I$112:$L$134,MATCH(H$17,'הספק קיים ותחזית יצור'!$I$112:$L$112,0),FALSE))*$C$11*H$14/$C$10)</f>
        <v>1830.1036366314183</v>
      </c>
      <c r="I29" s="840">
        <f>IF($E29&gt;$C$6,0,(VLOOKUP($E29,'הספק קיים ותחזית יצור'!$I$112:$L$134,MATCH(I$17,'הספק קיים ותחזית יצור'!$I$112:$L$112,0),FALSE)-VLOOKUP($E29-1,'הספק קיים ותחזית יצור'!$I$112:$L$134,MATCH(I$17,'הספק קיים ותחזית יצור'!$I$112:$L$112,0),FALSE))*$C$11*I$14/$C$10)</f>
        <v>1608.1776486149147</v>
      </c>
      <c r="J29" s="79">
        <f>IF($E29&gt;$C$6,0,(VLOOKUP($E29,'הספק קיים ותחזית יצור'!$I$112:$L$134,MATCH(J$17,'הספק קיים ותחזית יצור'!$I$112:$L$112,0),FALSE)-VLOOKUP($E29-1,'הספק קיים ותחזית יצור'!$I$112:$L$134,MATCH(J$17,'הספק קיים ותחזית יצור'!$I$112:$L$112,0),FALSE))*$C$11*J$14/$C$10)</f>
        <v>2364.2773792424568</v>
      </c>
      <c r="K29" s="840">
        <f>IF($E29&gt;$C$6,0,(VLOOKUP($E29,'הספק קיים ותחזית יצור'!$I$112:$L$134,MATCH(K$17,'הספק קיים ותחזית יצור'!$I$112:$L$112,0),FALSE)-VLOOKUP($E29-1,'הספק קיים ותחזית יצור'!$I$112:$L$134,MATCH(K$17,'הספק קיים ותחזית יצור'!$I$112:$L$112,0),FALSE))*$C$11*K$14/$C$10)</f>
        <v>2077.5752587553184</v>
      </c>
      <c r="M29" s="10">
        <f t="shared" si="16"/>
        <v>2030</v>
      </c>
      <c r="N29" s="79">
        <f t="shared" si="14"/>
        <v>386.15890876210864</v>
      </c>
      <c r="O29" s="840">
        <f t="shared" si="13"/>
        <v>339.33167141715296</v>
      </c>
      <c r="P29" s="79">
        <f t="shared" si="13"/>
        <v>686.85388545062347</v>
      </c>
      <c r="Q29" s="840">
        <f t="shared" si="13"/>
        <v>603.56312305851338</v>
      </c>
      <c r="R29" s="79">
        <f t="shared" si="13"/>
        <v>874.48843825588472</v>
      </c>
      <c r="S29" s="840">
        <f t="shared" si="13"/>
        <v>768.44432863039663</v>
      </c>
    </row>
    <row r="30" spans="5:19" ht="15.75">
      <c r="E30" s="10">
        <f t="shared" si="15"/>
        <v>2031</v>
      </c>
      <c r="F30" s="79">
        <f>IF($E30&gt;$C$6,0,(VLOOKUP($E30,'הספק קיים ותחזית יצור'!$I$112:$L$134,MATCH(F$17,'הספק קיים ותחזית יצור'!$I$112:$L$112,0),FALSE)-VLOOKUP($E30-1,'הספק קיים ותחזית יצור'!$I$112:$L$134,MATCH(F$17,'הספק קיים ותחזית יצור'!$I$112:$L$112,0),FALSE))*$C$11*F$14/$C$10)</f>
        <v>0</v>
      </c>
      <c r="G30" s="840">
        <f>IF($E30&gt;$C$6,0,(VLOOKUP($E30,'הספק קיים ותחזית יצור'!$I$112:$L$134,MATCH(G$17,'הספק קיים ותחזית יצור'!$I$112:$L$112,0),FALSE)-VLOOKUP($E30-1,'הספק קיים ותחזית יצור'!$I$112:$L$134,MATCH(G$17,'הספק קיים ותחזית יצור'!$I$112:$L$112,0),FALSE))*$C$11*G$14/$C$10)</f>
        <v>0</v>
      </c>
      <c r="H30" s="79">
        <f>IF($E30&gt;$C$6,0,(VLOOKUP($E30,'הספק קיים ותחזית יצור'!$I$112:$L$134,MATCH(H$17,'הספק קיים ותחזית יצור'!$I$112:$L$112,0),FALSE)-VLOOKUP($E30-1,'הספק קיים ותחזית יצור'!$I$112:$L$134,MATCH(H$17,'הספק קיים ותחזית יצור'!$I$112:$L$112,0),FALSE))*$C$11*H$14/$C$10)</f>
        <v>0</v>
      </c>
      <c r="I30" s="840">
        <f>IF($E30&gt;$C$6,0,(VLOOKUP($E30,'הספק קיים ותחזית יצור'!$I$112:$L$134,MATCH(I$17,'הספק קיים ותחזית יצור'!$I$112:$L$112,0),FALSE)-VLOOKUP($E30-1,'הספק קיים ותחזית יצור'!$I$112:$L$134,MATCH(I$17,'הספק קיים ותחזית יצור'!$I$112:$L$112,0),FALSE))*$C$11*I$14/$C$10)</f>
        <v>0</v>
      </c>
      <c r="J30" s="79">
        <f>IF($E30&gt;$C$6,0,(VLOOKUP($E30,'הספק קיים ותחזית יצור'!$I$112:$L$134,MATCH(J$17,'הספק קיים ותחזית יצור'!$I$112:$L$112,0),FALSE)-VLOOKUP($E30-1,'הספק קיים ותחזית יצור'!$I$112:$L$134,MATCH(J$17,'הספק קיים ותחזית יצור'!$I$112:$L$112,0),FALSE))*$C$11*J$14/$C$10)</f>
        <v>0</v>
      </c>
      <c r="K30" s="840">
        <f>IF($E30&gt;$C$6,0,(VLOOKUP($E30,'הספק קיים ותחזית יצור'!$I$112:$L$134,MATCH(K$17,'הספק קיים ותחזית יצור'!$I$112:$L$112,0),FALSE)-VLOOKUP($E30-1,'הספק קיים ותחזית יצור'!$I$112:$L$134,MATCH(K$17,'הספק קיים ותחזית יצור'!$I$112:$L$112,0),FALSE))*$C$11*K$14/$C$10)</f>
        <v>0</v>
      </c>
      <c r="M30" s="10">
        <f t="shared" si="16"/>
        <v>2031</v>
      </c>
      <c r="N30" s="79">
        <f t="shared" si="14"/>
        <v>386.15890876210864</v>
      </c>
      <c r="O30" s="840">
        <f t="shared" si="13"/>
        <v>339.33167141715296</v>
      </c>
      <c r="P30" s="79">
        <f t="shared" si="13"/>
        <v>686.85388545062347</v>
      </c>
      <c r="Q30" s="840">
        <f t="shared" si="13"/>
        <v>603.56312305851338</v>
      </c>
      <c r="R30" s="79">
        <f t="shared" si="13"/>
        <v>874.48843825588472</v>
      </c>
      <c r="S30" s="840">
        <f t="shared" si="13"/>
        <v>768.44432863039663</v>
      </c>
    </row>
    <row r="31" spans="5:19" ht="15.75">
      <c r="E31" s="10">
        <f t="shared" si="15"/>
        <v>2032</v>
      </c>
      <c r="F31" s="79">
        <f>IF($E31&gt;$C$6,0,(VLOOKUP($E31,'הספק קיים ותחזית יצור'!$I$112:$L$134,MATCH(F$17,'הספק קיים ותחזית יצור'!$I$112:$L$112,0),FALSE)-VLOOKUP($E31-1,'הספק קיים ותחזית יצור'!$I$112:$L$134,MATCH(F$17,'הספק קיים ותחזית יצור'!$I$112:$L$112,0),FALSE))*$C$11*F$14/$C$10)</f>
        <v>0</v>
      </c>
      <c r="G31" s="840">
        <f>IF($E31&gt;$C$6,0,(VLOOKUP($E31,'הספק קיים ותחזית יצור'!$I$112:$L$134,MATCH(G$17,'הספק קיים ותחזית יצור'!$I$112:$L$112,0),FALSE)-VLOOKUP($E31-1,'הספק קיים ותחזית יצור'!$I$112:$L$134,MATCH(G$17,'הספק קיים ותחזית יצור'!$I$112:$L$112,0),FALSE))*$C$11*G$14/$C$10)</f>
        <v>0</v>
      </c>
      <c r="H31" s="79">
        <f>IF($E31&gt;$C$6,0,(VLOOKUP($E31,'הספק קיים ותחזית יצור'!$I$112:$L$134,MATCH(H$17,'הספק קיים ותחזית יצור'!$I$112:$L$112,0),FALSE)-VLOOKUP($E31-1,'הספק קיים ותחזית יצור'!$I$112:$L$134,MATCH(H$17,'הספק קיים ותחזית יצור'!$I$112:$L$112,0),FALSE))*$C$11*H$14/$C$10)</f>
        <v>0</v>
      </c>
      <c r="I31" s="840">
        <f>IF($E31&gt;$C$6,0,(VLOOKUP($E31,'הספק קיים ותחזית יצור'!$I$112:$L$134,MATCH(I$17,'הספק קיים ותחזית יצור'!$I$112:$L$112,0),FALSE)-VLOOKUP($E31-1,'הספק קיים ותחזית יצור'!$I$112:$L$134,MATCH(I$17,'הספק קיים ותחזית יצור'!$I$112:$L$112,0),FALSE))*$C$11*I$14/$C$10)</f>
        <v>0</v>
      </c>
      <c r="J31" s="79">
        <f>IF($E31&gt;$C$6,0,(VLOOKUP($E31,'הספק קיים ותחזית יצור'!$I$112:$L$134,MATCH(J$17,'הספק קיים ותחזית יצור'!$I$112:$L$112,0),FALSE)-VLOOKUP($E31-1,'הספק קיים ותחזית יצור'!$I$112:$L$134,MATCH(J$17,'הספק קיים ותחזית יצור'!$I$112:$L$112,0),FALSE))*$C$11*J$14/$C$10)</f>
        <v>0</v>
      </c>
      <c r="K31" s="840">
        <f>IF($E31&gt;$C$6,0,(VLOOKUP($E31,'הספק קיים ותחזית יצור'!$I$112:$L$134,MATCH(K$17,'הספק קיים ותחזית יצור'!$I$112:$L$112,0),FALSE)-VLOOKUP($E31-1,'הספק קיים ותחזית יצור'!$I$112:$L$134,MATCH(K$17,'הספק קיים ותחזית יצור'!$I$112:$L$112,0),FALSE))*$C$11*K$14/$C$10)</f>
        <v>0</v>
      </c>
      <c r="M31" s="10">
        <f t="shared" si="16"/>
        <v>2032</v>
      </c>
      <c r="N31" s="79">
        <f t="shared" si="14"/>
        <v>386.15890876210864</v>
      </c>
      <c r="O31" s="840">
        <f t="shared" si="13"/>
        <v>339.33167141715296</v>
      </c>
      <c r="P31" s="79">
        <f t="shared" si="13"/>
        <v>686.85388545062347</v>
      </c>
      <c r="Q31" s="840">
        <f t="shared" si="13"/>
        <v>603.56312305851338</v>
      </c>
      <c r="R31" s="79">
        <f t="shared" si="13"/>
        <v>874.48843825588472</v>
      </c>
      <c r="S31" s="840">
        <f t="shared" si="13"/>
        <v>768.44432863039663</v>
      </c>
    </row>
    <row r="32" spans="5:19" ht="15.75">
      <c r="E32" s="10">
        <f>E31+1</f>
        <v>2033</v>
      </c>
      <c r="F32" s="79">
        <f>IF($E32&gt;$C$6,0,(VLOOKUP($E32,'הספק קיים ותחזית יצור'!$I$112:$L$134,MATCH(F$17,'הספק קיים ותחזית יצור'!$I$112:$L$112,0),FALSE)-VLOOKUP($E32-1,'הספק קיים ותחזית יצור'!$I$112:$L$134,MATCH(F$17,'הספק קיים ותחזית יצור'!$I$112:$L$112,0),FALSE))*$C$11*F$14/$C$10)</f>
        <v>0</v>
      </c>
      <c r="G32" s="840">
        <f>IF($E32&gt;$C$6,0,(VLOOKUP($E32,'הספק קיים ותחזית יצור'!$I$112:$L$134,MATCH(G$17,'הספק קיים ותחזית יצור'!$I$112:$L$112,0),FALSE)-VLOOKUP($E32-1,'הספק קיים ותחזית יצור'!$I$112:$L$134,MATCH(G$17,'הספק קיים ותחזית יצור'!$I$112:$L$112,0),FALSE))*$C$11*G$14/$C$10)</f>
        <v>0</v>
      </c>
      <c r="H32" s="79">
        <f>IF($E32&gt;$C$6,0,(VLOOKUP($E32,'הספק קיים ותחזית יצור'!$I$112:$L$134,MATCH(H$17,'הספק קיים ותחזית יצור'!$I$112:$L$112,0),FALSE)-VLOOKUP($E32-1,'הספק קיים ותחזית יצור'!$I$112:$L$134,MATCH(H$17,'הספק קיים ותחזית יצור'!$I$112:$L$112,0),FALSE))*$C$11*H$14/$C$10)</f>
        <v>0</v>
      </c>
      <c r="I32" s="840">
        <f>IF($E32&gt;$C$6,0,(VLOOKUP($E32,'הספק קיים ותחזית יצור'!$I$112:$L$134,MATCH(I$17,'הספק קיים ותחזית יצור'!$I$112:$L$112,0),FALSE)-VLOOKUP($E32-1,'הספק קיים ותחזית יצור'!$I$112:$L$134,MATCH(I$17,'הספק קיים ותחזית יצור'!$I$112:$L$112,0),FALSE))*$C$11*I$14/$C$10)</f>
        <v>0</v>
      </c>
      <c r="J32" s="79">
        <f>IF($E32&gt;$C$6,0,(VLOOKUP($E32,'הספק קיים ותחזית יצור'!$I$112:$L$134,MATCH(J$17,'הספק קיים ותחזית יצור'!$I$112:$L$112,0),FALSE)-VLOOKUP($E32-1,'הספק קיים ותחזית יצור'!$I$112:$L$134,MATCH(J$17,'הספק קיים ותחזית יצור'!$I$112:$L$112,0),FALSE))*$C$11*J$14/$C$10)</f>
        <v>0</v>
      </c>
      <c r="K32" s="840">
        <f>IF($E32&gt;$C$6,0,(VLOOKUP($E32,'הספק קיים ותחזית יצור'!$I$112:$L$134,MATCH(K$17,'הספק קיים ותחזית יצור'!$I$112:$L$112,0),FALSE)-VLOOKUP($E32-1,'הספק קיים ותחזית יצור'!$I$112:$L$134,MATCH(K$17,'הספק קיים ותחזית יצור'!$I$112:$L$112,0),FALSE))*$C$11*K$14/$C$10)</f>
        <v>0</v>
      </c>
      <c r="M32" s="10">
        <f t="shared" si="16"/>
        <v>2033</v>
      </c>
      <c r="N32" s="79">
        <f t="shared" si="14"/>
        <v>386.15890876210864</v>
      </c>
      <c r="O32" s="840">
        <f t="shared" si="13"/>
        <v>339.33167141715296</v>
      </c>
      <c r="P32" s="79">
        <f t="shared" si="13"/>
        <v>686.85388545062347</v>
      </c>
      <c r="Q32" s="840">
        <f t="shared" si="13"/>
        <v>603.56312305851338</v>
      </c>
      <c r="R32" s="79">
        <f t="shared" si="13"/>
        <v>874.48843825588472</v>
      </c>
      <c r="S32" s="840">
        <f t="shared" si="13"/>
        <v>768.44432863039663</v>
      </c>
    </row>
    <row r="33" spans="5:19" ht="15.75">
      <c r="E33" s="10">
        <f t="shared" si="15"/>
        <v>2034</v>
      </c>
      <c r="F33" s="79">
        <f>IF($E33&gt;$C$6,0,(VLOOKUP($E33,'הספק קיים ותחזית יצור'!$I$112:$L$134,MATCH(F$17,'הספק קיים ותחזית יצור'!$I$112:$L$112,0),FALSE)-VLOOKUP($E33-1,'הספק קיים ותחזית יצור'!$I$112:$L$134,MATCH(F$17,'הספק קיים ותחזית יצור'!$I$112:$L$112,0),FALSE))*$C$11*F$14/$C$10)</f>
        <v>0</v>
      </c>
      <c r="G33" s="840">
        <f>IF($E33&gt;$C$6,0,(VLOOKUP($E33,'הספק קיים ותחזית יצור'!$I$112:$L$134,MATCH(G$17,'הספק קיים ותחזית יצור'!$I$112:$L$112,0),FALSE)-VLOOKUP($E33-1,'הספק קיים ותחזית יצור'!$I$112:$L$134,MATCH(G$17,'הספק קיים ותחזית יצור'!$I$112:$L$112,0),FALSE))*$C$11*G$14/$C$10)</f>
        <v>0</v>
      </c>
      <c r="H33" s="79">
        <f>IF($E33&gt;$C$6,0,(VLOOKUP($E33,'הספק קיים ותחזית יצור'!$I$112:$L$134,MATCH(H$17,'הספק קיים ותחזית יצור'!$I$112:$L$112,0),FALSE)-VLOOKUP($E33-1,'הספק קיים ותחזית יצור'!$I$112:$L$134,MATCH(H$17,'הספק קיים ותחזית יצור'!$I$112:$L$112,0),FALSE))*$C$11*H$14/$C$10)</f>
        <v>0</v>
      </c>
      <c r="I33" s="840">
        <f>IF($E33&gt;$C$6,0,(VLOOKUP($E33,'הספק קיים ותחזית יצור'!$I$112:$L$134,MATCH(I$17,'הספק קיים ותחזית יצור'!$I$112:$L$112,0),FALSE)-VLOOKUP($E33-1,'הספק קיים ותחזית יצור'!$I$112:$L$134,MATCH(I$17,'הספק קיים ותחזית יצור'!$I$112:$L$112,0),FALSE))*$C$11*I$14/$C$10)</f>
        <v>0</v>
      </c>
      <c r="J33" s="79">
        <f>IF($E33&gt;$C$6,0,(VLOOKUP($E33,'הספק קיים ותחזית יצור'!$I$112:$L$134,MATCH(J$17,'הספק קיים ותחזית יצור'!$I$112:$L$112,0),FALSE)-VLOOKUP($E33-1,'הספק קיים ותחזית יצור'!$I$112:$L$134,MATCH(J$17,'הספק קיים ותחזית יצור'!$I$112:$L$112,0),FALSE))*$C$11*J$14/$C$10)</f>
        <v>0</v>
      </c>
      <c r="K33" s="840">
        <f>IF($E33&gt;$C$6,0,(VLOOKUP($E33,'הספק קיים ותחזית יצור'!$I$112:$L$134,MATCH(K$17,'הספק קיים ותחזית יצור'!$I$112:$L$112,0),FALSE)-VLOOKUP($E33-1,'הספק קיים ותחזית יצור'!$I$112:$L$134,MATCH(K$17,'הספק קיים ותחזית יצור'!$I$112:$L$112,0),FALSE))*$C$11*K$14/$C$10)</f>
        <v>0</v>
      </c>
      <c r="M33" s="10">
        <f t="shared" si="16"/>
        <v>2034</v>
      </c>
      <c r="N33" s="79">
        <f t="shared" si="14"/>
        <v>386.15890876210864</v>
      </c>
      <c r="O33" s="840">
        <f t="shared" si="13"/>
        <v>339.33167141715296</v>
      </c>
      <c r="P33" s="79">
        <f t="shared" si="13"/>
        <v>686.85388545062347</v>
      </c>
      <c r="Q33" s="840">
        <f t="shared" si="13"/>
        <v>603.56312305851338</v>
      </c>
      <c r="R33" s="79">
        <f t="shared" si="13"/>
        <v>874.48843825588472</v>
      </c>
      <c r="S33" s="840">
        <f t="shared" si="13"/>
        <v>768.44432863039663</v>
      </c>
    </row>
    <row r="34" spans="5:19" ht="15.75">
      <c r="E34" s="10">
        <f t="shared" si="15"/>
        <v>2035</v>
      </c>
      <c r="F34" s="79">
        <f>IF($E34&gt;$C$6,0,(VLOOKUP($E34,'הספק קיים ותחזית יצור'!$I$112:$L$134,MATCH(F$17,'הספק קיים ותחזית יצור'!$I$112:$L$112,0),FALSE)-VLOOKUP($E34-1,'הספק קיים ותחזית יצור'!$I$112:$L$134,MATCH(F$17,'הספק קיים ותחזית יצור'!$I$112:$L$112,0),FALSE))*$C$11*F$14/$C$10)</f>
        <v>0</v>
      </c>
      <c r="G34" s="840">
        <f>IF($E34&gt;$C$6,0,(VLOOKUP($E34,'הספק קיים ותחזית יצור'!$I$112:$L$134,MATCH(G$17,'הספק קיים ותחזית יצור'!$I$112:$L$112,0),FALSE)-VLOOKUP($E34-1,'הספק קיים ותחזית יצור'!$I$112:$L$134,MATCH(G$17,'הספק קיים ותחזית יצור'!$I$112:$L$112,0),FALSE))*$C$11*G$14/$C$10)</f>
        <v>0</v>
      </c>
      <c r="H34" s="79">
        <f>IF($E34&gt;$C$6,0,(VLOOKUP($E34,'הספק קיים ותחזית יצור'!$I$112:$L$134,MATCH(H$17,'הספק קיים ותחזית יצור'!$I$112:$L$112,0),FALSE)-VLOOKUP($E34-1,'הספק קיים ותחזית יצור'!$I$112:$L$134,MATCH(H$17,'הספק קיים ותחזית יצור'!$I$112:$L$112,0),FALSE))*$C$11*H$14/$C$10)</f>
        <v>0</v>
      </c>
      <c r="I34" s="840">
        <f>IF($E34&gt;$C$6,0,(VLOOKUP($E34,'הספק קיים ותחזית יצור'!$I$112:$L$134,MATCH(I$17,'הספק קיים ותחזית יצור'!$I$112:$L$112,0),FALSE)-VLOOKUP($E34-1,'הספק קיים ותחזית יצור'!$I$112:$L$134,MATCH(I$17,'הספק קיים ותחזית יצור'!$I$112:$L$112,0),FALSE))*$C$11*I$14/$C$10)</f>
        <v>0</v>
      </c>
      <c r="J34" s="79">
        <f>IF($E34&gt;$C$6,0,(VLOOKUP($E34,'הספק קיים ותחזית יצור'!$I$112:$L$134,MATCH(J$17,'הספק קיים ותחזית יצור'!$I$112:$L$112,0),FALSE)-VLOOKUP($E34-1,'הספק קיים ותחזית יצור'!$I$112:$L$134,MATCH(J$17,'הספק קיים ותחזית יצור'!$I$112:$L$112,0),FALSE))*$C$11*J$14/$C$10)</f>
        <v>0</v>
      </c>
      <c r="K34" s="840">
        <f>IF($E34&gt;$C$6,0,(VLOOKUP($E34,'הספק קיים ותחזית יצור'!$I$112:$L$134,MATCH(K$17,'הספק קיים ותחזית יצור'!$I$112:$L$112,0),FALSE)-VLOOKUP($E34-1,'הספק קיים ותחזית יצור'!$I$112:$L$134,MATCH(K$17,'הספק קיים ותחזית יצור'!$I$112:$L$112,0),FALSE))*$C$11*K$14/$C$10)</f>
        <v>0</v>
      </c>
      <c r="M34" s="10">
        <f t="shared" si="16"/>
        <v>2035</v>
      </c>
      <c r="N34" s="79">
        <f t="shared" si="14"/>
        <v>386.15890876210864</v>
      </c>
      <c r="O34" s="840">
        <f t="shared" si="13"/>
        <v>339.33167141715296</v>
      </c>
      <c r="P34" s="79">
        <f t="shared" si="13"/>
        <v>686.85388545062347</v>
      </c>
      <c r="Q34" s="840">
        <f t="shared" si="13"/>
        <v>603.56312305851338</v>
      </c>
      <c r="R34" s="79">
        <f t="shared" si="13"/>
        <v>874.48843825588472</v>
      </c>
      <c r="S34" s="840">
        <f t="shared" si="13"/>
        <v>768.44432863039663</v>
      </c>
    </row>
    <row r="35" spans="5:19" ht="15.75">
      <c r="E35" s="10">
        <f t="shared" si="15"/>
        <v>2036</v>
      </c>
      <c r="F35" s="79">
        <f>IF($E35&gt;$C$6,0,(VLOOKUP($E35,'הספק קיים ותחזית יצור'!$I$112:$L$134,MATCH(F$17,'הספק קיים ותחזית יצור'!$I$112:$L$112,0),FALSE)-VLOOKUP($E35-1,'הספק קיים ותחזית יצור'!$I$112:$L$134,MATCH(F$17,'הספק קיים ותחזית יצור'!$I$112:$L$112,0),FALSE))*$C$11*F$14/$C$10)</f>
        <v>0</v>
      </c>
      <c r="G35" s="840">
        <f>IF($E35&gt;$C$6,0,(VLOOKUP($E35,'הספק קיים ותחזית יצור'!$I$112:$L$134,MATCH(G$17,'הספק קיים ותחזית יצור'!$I$112:$L$112,0),FALSE)-VLOOKUP($E35-1,'הספק קיים ותחזית יצור'!$I$112:$L$134,MATCH(G$17,'הספק קיים ותחזית יצור'!$I$112:$L$112,0),FALSE))*$C$11*G$14/$C$10)</f>
        <v>0</v>
      </c>
      <c r="H35" s="79">
        <f>IF($E35&gt;$C$6,0,(VLOOKUP($E35,'הספק קיים ותחזית יצור'!$I$112:$L$134,MATCH(H$17,'הספק קיים ותחזית יצור'!$I$112:$L$112,0),FALSE)-VLOOKUP($E35-1,'הספק קיים ותחזית יצור'!$I$112:$L$134,MATCH(H$17,'הספק קיים ותחזית יצור'!$I$112:$L$112,0),FALSE))*$C$11*H$14/$C$10)</f>
        <v>0</v>
      </c>
      <c r="I35" s="840">
        <f>IF($E35&gt;$C$6,0,(VLOOKUP($E35,'הספק קיים ותחזית יצור'!$I$112:$L$134,MATCH(I$17,'הספק קיים ותחזית יצור'!$I$112:$L$112,0),FALSE)-VLOOKUP($E35-1,'הספק קיים ותחזית יצור'!$I$112:$L$134,MATCH(I$17,'הספק קיים ותחזית יצור'!$I$112:$L$112,0),FALSE))*$C$11*I$14/$C$10)</f>
        <v>0</v>
      </c>
      <c r="J35" s="79">
        <f>IF($E35&gt;$C$6,0,(VLOOKUP($E35,'הספק קיים ותחזית יצור'!$I$112:$L$134,MATCH(J$17,'הספק קיים ותחזית יצור'!$I$112:$L$112,0),FALSE)-VLOOKUP($E35-1,'הספק קיים ותחזית יצור'!$I$112:$L$134,MATCH(J$17,'הספק קיים ותחזית יצור'!$I$112:$L$112,0),FALSE))*$C$11*J$14/$C$10)</f>
        <v>0</v>
      </c>
      <c r="K35" s="840">
        <f>IF($E35&gt;$C$6,0,(VLOOKUP($E35,'הספק קיים ותחזית יצור'!$I$112:$L$134,MATCH(K$17,'הספק קיים ותחזית יצור'!$I$112:$L$112,0),FALSE)-VLOOKUP($E35-1,'הספק קיים ותחזית יצור'!$I$112:$L$134,MATCH(K$17,'הספק קיים ותחזית יצור'!$I$112:$L$112,0),FALSE))*$C$11*K$14/$C$10)</f>
        <v>0</v>
      </c>
      <c r="M35" s="10">
        <f t="shared" si="16"/>
        <v>2036</v>
      </c>
      <c r="N35" s="79">
        <f t="shared" si="14"/>
        <v>386.15890876210864</v>
      </c>
      <c r="O35" s="840">
        <f t="shared" ref="O35:O96" si="17">IF($M35&gt;$C$6,0,-PMT($C$7,$C$8,SUMIFS(G$19:G$39,$E$19:$E$39,"&gt;"&amp;($M35-$C$8),$E$19:$E$39,"&lt;="&amp;$M35)))</f>
        <v>339.33167141715296</v>
      </c>
      <c r="P35" s="79">
        <f t="shared" ref="P35:P96" si="18">IF($M35&gt;$C$6,0,-PMT($C$7,$C$8,SUMIFS(H$19:H$39,$E$19:$E$39,"&gt;"&amp;($M35-$C$8),$E$19:$E$39,"&lt;="&amp;$M35)))</f>
        <v>686.85388545062347</v>
      </c>
      <c r="Q35" s="840">
        <f t="shared" ref="Q35:Q96" si="19">IF($M35&gt;$C$6,0,-PMT($C$7,$C$8,SUMIFS(I$19:I$39,$E$19:$E$39,"&gt;"&amp;($M35-$C$8),$E$19:$E$39,"&lt;="&amp;$M35)))</f>
        <v>603.56312305851338</v>
      </c>
      <c r="R35" s="79">
        <f t="shared" ref="R35:R96" si="20">IF($M35&gt;$C$6,0,-PMT($C$7,$C$8,SUMIFS(J$19:J$39,$E$19:$E$39,"&gt;"&amp;($M35-$C$8),$E$19:$E$39,"&lt;="&amp;$M35)))</f>
        <v>874.48843825588472</v>
      </c>
      <c r="S35" s="840">
        <f t="shared" ref="S35:S96" si="21">IF($M35&gt;$C$6,0,-PMT($C$7,$C$8,SUMIFS(K$19:K$39,$E$19:$E$39,"&gt;"&amp;($M35-$C$8),$E$19:$E$39,"&lt;="&amp;$M35)))</f>
        <v>768.44432863039663</v>
      </c>
    </row>
    <row r="36" spans="5:19" ht="15.75">
      <c r="E36" s="10">
        <f t="shared" si="15"/>
        <v>2037</v>
      </c>
      <c r="F36" s="79">
        <f>IF($E36&gt;$C$6,0,(VLOOKUP($E36,'הספק קיים ותחזית יצור'!$I$112:$L$134,MATCH(F$17,'הספק קיים ותחזית יצור'!$I$112:$L$112,0),FALSE)-VLOOKUP($E36-1,'הספק קיים ותחזית יצור'!$I$112:$L$134,MATCH(F$17,'הספק קיים ותחזית יצור'!$I$112:$L$112,0),FALSE))*$C$11*F$14/$C$10)</f>
        <v>0</v>
      </c>
      <c r="G36" s="840">
        <f>IF($E36&gt;$C$6,0,(VLOOKUP($E36,'הספק קיים ותחזית יצור'!$I$112:$L$134,MATCH(G$17,'הספק קיים ותחזית יצור'!$I$112:$L$112,0),FALSE)-VLOOKUP($E36-1,'הספק קיים ותחזית יצור'!$I$112:$L$134,MATCH(G$17,'הספק קיים ותחזית יצור'!$I$112:$L$112,0),FALSE))*$C$11*G$14/$C$10)</f>
        <v>0</v>
      </c>
      <c r="H36" s="79">
        <f>IF($E36&gt;$C$6,0,(VLOOKUP($E36,'הספק קיים ותחזית יצור'!$I$112:$L$134,MATCH(H$17,'הספק קיים ותחזית יצור'!$I$112:$L$112,0),FALSE)-VLOOKUP($E36-1,'הספק קיים ותחזית יצור'!$I$112:$L$134,MATCH(H$17,'הספק קיים ותחזית יצור'!$I$112:$L$112,0),FALSE))*$C$11*H$14/$C$10)</f>
        <v>0</v>
      </c>
      <c r="I36" s="840">
        <f>IF($E36&gt;$C$6,0,(VLOOKUP($E36,'הספק קיים ותחזית יצור'!$I$112:$L$134,MATCH(I$17,'הספק קיים ותחזית יצור'!$I$112:$L$112,0),FALSE)-VLOOKUP($E36-1,'הספק קיים ותחזית יצור'!$I$112:$L$134,MATCH(I$17,'הספק קיים ותחזית יצור'!$I$112:$L$112,0),FALSE))*$C$11*I$14/$C$10)</f>
        <v>0</v>
      </c>
      <c r="J36" s="79">
        <f>IF($E36&gt;$C$6,0,(VLOOKUP($E36,'הספק קיים ותחזית יצור'!$I$112:$L$134,MATCH(J$17,'הספק קיים ותחזית יצור'!$I$112:$L$112,0),FALSE)-VLOOKUP($E36-1,'הספק קיים ותחזית יצור'!$I$112:$L$134,MATCH(J$17,'הספק קיים ותחזית יצור'!$I$112:$L$112,0),FALSE))*$C$11*J$14/$C$10)</f>
        <v>0</v>
      </c>
      <c r="K36" s="840">
        <f>IF($E36&gt;$C$6,0,(VLOOKUP($E36,'הספק קיים ותחזית יצור'!$I$112:$L$134,MATCH(K$17,'הספק קיים ותחזית יצור'!$I$112:$L$112,0),FALSE)-VLOOKUP($E36-1,'הספק קיים ותחזית יצור'!$I$112:$L$134,MATCH(K$17,'הספק קיים ותחזית יצור'!$I$112:$L$112,0),FALSE))*$C$11*K$14/$C$10)</f>
        <v>0</v>
      </c>
      <c r="M36" s="10">
        <f t="shared" si="16"/>
        <v>2037</v>
      </c>
      <c r="N36" s="79">
        <f t="shared" si="14"/>
        <v>386.15890876210864</v>
      </c>
      <c r="O36" s="840">
        <f t="shared" si="17"/>
        <v>339.33167141715296</v>
      </c>
      <c r="P36" s="79">
        <f t="shared" si="18"/>
        <v>686.85388545062347</v>
      </c>
      <c r="Q36" s="840">
        <f t="shared" si="19"/>
        <v>603.56312305851338</v>
      </c>
      <c r="R36" s="79">
        <f t="shared" si="20"/>
        <v>874.48843825588472</v>
      </c>
      <c r="S36" s="840">
        <f t="shared" si="21"/>
        <v>768.44432863039663</v>
      </c>
    </row>
    <row r="37" spans="5:19" ht="15.75">
      <c r="E37" s="10">
        <f>E36+1</f>
        <v>2038</v>
      </c>
      <c r="F37" s="79">
        <f>IF($E37&gt;$C$6,0,(VLOOKUP($E37,'הספק קיים ותחזית יצור'!$I$112:$L$134,MATCH(F$17,'הספק קיים ותחזית יצור'!$I$112:$L$112,0),FALSE)-VLOOKUP($E37-1,'הספק קיים ותחזית יצור'!$I$112:$L$134,MATCH(F$17,'הספק קיים ותחזית יצור'!$I$112:$L$112,0),FALSE))*$C$11*F$14/$C$10)</f>
        <v>0</v>
      </c>
      <c r="G37" s="840">
        <f>IF($E37&gt;$C$6,0,(VLOOKUP($E37,'הספק קיים ותחזית יצור'!$I$112:$L$134,MATCH(G$17,'הספק קיים ותחזית יצור'!$I$112:$L$112,0),FALSE)-VLOOKUP($E37-1,'הספק קיים ותחזית יצור'!$I$112:$L$134,MATCH(G$17,'הספק קיים ותחזית יצור'!$I$112:$L$112,0),FALSE))*$C$11*G$14/$C$10)</f>
        <v>0</v>
      </c>
      <c r="H37" s="79">
        <f>IF($E37&gt;$C$6,0,(VLOOKUP($E37,'הספק קיים ותחזית יצור'!$I$112:$L$134,MATCH(H$17,'הספק קיים ותחזית יצור'!$I$112:$L$112,0),FALSE)-VLOOKUP($E37-1,'הספק קיים ותחזית יצור'!$I$112:$L$134,MATCH(H$17,'הספק קיים ותחזית יצור'!$I$112:$L$112,0),FALSE))*$C$11*H$14/$C$10)</f>
        <v>0</v>
      </c>
      <c r="I37" s="840">
        <f>IF($E37&gt;$C$6,0,(VLOOKUP($E37,'הספק קיים ותחזית יצור'!$I$112:$L$134,MATCH(I$17,'הספק קיים ותחזית יצור'!$I$112:$L$112,0),FALSE)-VLOOKUP($E37-1,'הספק קיים ותחזית יצור'!$I$112:$L$134,MATCH(I$17,'הספק קיים ותחזית יצור'!$I$112:$L$112,0),FALSE))*$C$11*I$14/$C$10)</f>
        <v>0</v>
      </c>
      <c r="J37" s="79">
        <f>IF($E37&gt;$C$6,0,(VLOOKUP($E37,'הספק קיים ותחזית יצור'!$I$112:$L$134,MATCH(J$17,'הספק קיים ותחזית יצור'!$I$112:$L$112,0),FALSE)-VLOOKUP($E37-1,'הספק קיים ותחזית יצור'!$I$112:$L$134,MATCH(J$17,'הספק קיים ותחזית יצור'!$I$112:$L$112,0),FALSE))*$C$11*J$14/$C$10)</f>
        <v>0</v>
      </c>
      <c r="K37" s="840">
        <f>IF($E37&gt;$C$6,0,(VLOOKUP($E37,'הספק קיים ותחזית יצור'!$I$112:$L$134,MATCH(K$17,'הספק קיים ותחזית יצור'!$I$112:$L$112,0),FALSE)-VLOOKUP($E37-1,'הספק קיים ותחזית יצור'!$I$112:$L$134,MATCH(K$17,'הספק קיים ותחזית יצור'!$I$112:$L$112,0),FALSE))*$C$11*K$14/$C$10)</f>
        <v>0</v>
      </c>
      <c r="M37" s="10">
        <f t="shared" si="16"/>
        <v>2038</v>
      </c>
      <c r="N37" s="79">
        <f t="shared" si="14"/>
        <v>386.15890876210864</v>
      </c>
      <c r="O37" s="840">
        <f t="shared" si="17"/>
        <v>339.33167141715296</v>
      </c>
      <c r="P37" s="79">
        <f t="shared" si="18"/>
        <v>686.85388545062347</v>
      </c>
      <c r="Q37" s="840">
        <f t="shared" si="19"/>
        <v>603.56312305851338</v>
      </c>
      <c r="R37" s="79">
        <f t="shared" si="20"/>
        <v>874.48843825588472</v>
      </c>
      <c r="S37" s="840">
        <f t="shared" si="21"/>
        <v>768.44432863039663</v>
      </c>
    </row>
    <row r="38" spans="5:19" ht="15.75">
      <c r="E38" s="10">
        <f t="shared" si="15"/>
        <v>2039</v>
      </c>
      <c r="F38" s="79">
        <f>IF($E38&gt;$C$6,0,(VLOOKUP($E38,'הספק קיים ותחזית יצור'!$I$112:$L$134,MATCH(F$17,'הספק קיים ותחזית יצור'!$I$112:$L$112,0),FALSE)-VLOOKUP($E38-1,'הספק קיים ותחזית יצור'!$I$112:$L$134,MATCH(F$17,'הספק קיים ותחזית יצור'!$I$112:$L$112,0),FALSE))*$C$11*F$14/$C$10)</f>
        <v>0</v>
      </c>
      <c r="G38" s="840">
        <f>IF($E38&gt;$C$6,0,(VLOOKUP($E38,'הספק קיים ותחזית יצור'!$I$112:$L$134,MATCH(G$17,'הספק קיים ותחזית יצור'!$I$112:$L$112,0),FALSE)-VLOOKUP($E38-1,'הספק קיים ותחזית יצור'!$I$112:$L$134,MATCH(G$17,'הספק קיים ותחזית יצור'!$I$112:$L$112,0),FALSE))*$C$11*G$14/$C$10)</f>
        <v>0</v>
      </c>
      <c r="H38" s="79">
        <f>IF($E38&gt;$C$6,0,(VLOOKUP($E38,'הספק קיים ותחזית יצור'!$I$112:$L$134,MATCH(H$17,'הספק קיים ותחזית יצור'!$I$112:$L$112,0),FALSE)-VLOOKUP($E38-1,'הספק קיים ותחזית יצור'!$I$112:$L$134,MATCH(H$17,'הספק קיים ותחזית יצור'!$I$112:$L$112,0),FALSE))*$C$11*H$14/$C$10)</f>
        <v>0</v>
      </c>
      <c r="I38" s="840">
        <f>IF($E38&gt;$C$6,0,(VLOOKUP($E38,'הספק קיים ותחזית יצור'!$I$112:$L$134,MATCH(I$17,'הספק קיים ותחזית יצור'!$I$112:$L$112,0),FALSE)-VLOOKUP($E38-1,'הספק קיים ותחזית יצור'!$I$112:$L$134,MATCH(I$17,'הספק קיים ותחזית יצור'!$I$112:$L$112,0),FALSE))*$C$11*I$14/$C$10)</f>
        <v>0</v>
      </c>
      <c r="J38" s="79">
        <f>IF($E38&gt;$C$6,0,(VLOOKUP($E38,'הספק קיים ותחזית יצור'!$I$112:$L$134,MATCH(J$17,'הספק קיים ותחזית יצור'!$I$112:$L$112,0),FALSE)-VLOOKUP($E38-1,'הספק קיים ותחזית יצור'!$I$112:$L$134,MATCH(J$17,'הספק קיים ותחזית יצור'!$I$112:$L$112,0),FALSE))*$C$11*J$14/$C$10)</f>
        <v>0</v>
      </c>
      <c r="K38" s="840">
        <f>IF($E38&gt;$C$6,0,(VLOOKUP($E38,'הספק קיים ותחזית יצור'!$I$112:$L$134,MATCH(K$17,'הספק קיים ותחזית יצור'!$I$112:$L$112,0),FALSE)-VLOOKUP($E38-1,'הספק קיים ותחזית יצור'!$I$112:$L$134,MATCH(K$17,'הספק קיים ותחזית יצור'!$I$112:$L$112,0),FALSE))*$C$11*K$14/$C$10)</f>
        <v>0</v>
      </c>
      <c r="M38" s="10">
        <f t="shared" si="16"/>
        <v>2039</v>
      </c>
      <c r="N38" s="79">
        <f t="shared" si="14"/>
        <v>386.15890876210864</v>
      </c>
      <c r="O38" s="840">
        <f t="shared" si="17"/>
        <v>339.33167141715296</v>
      </c>
      <c r="P38" s="79">
        <f t="shared" si="18"/>
        <v>686.85388545062347</v>
      </c>
      <c r="Q38" s="840">
        <f t="shared" si="19"/>
        <v>603.56312305851338</v>
      </c>
      <c r="R38" s="79">
        <f t="shared" si="20"/>
        <v>874.48843825588472</v>
      </c>
      <c r="S38" s="840">
        <f t="shared" si="21"/>
        <v>768.44432863039663</v>
      </c>
    </row>
    <row r="39" spans="5:19" ht="16.5" thickBot="1">
      <c r="E39" s="11">
        <f>E38+1</f>
        <v>2040</v>
      </c>
      <c r="F39" s="80">
        <f>IF($E39&gt;$C$6,0,(VLOOKUP($E39,'הספק קיים ותחזית יצור'!$I$112:$L$134,MATCH(F$17,'הספק קיים ותחזית יצור'!$I$112:$L$112,0),FALSE)-VLOOKUP($E39-1,'הספק קיים ותחזית יצור'!$I$112:$L$134,MATCH(F$17,'הספק קיים ותחזית יצור'!$I$112:$L$112,0),FALSE))*$C$11*F$14/$C$10)</f>
        <v>0</v>
      </c>
      <c r="G39" s="841">
        <f>IF($E39&gt;$C$6,0,(VLOOKUP($E39,'הספק קיים ותחזית יצור'!$I$112:$L$134,MATCH(G$17,'הספק קיים ותחזית יצור'!$I$112:$L$112,0),FALSE)-VLOOKUP($E39-1,'הספק קיים ותחזית יצור'!$I$112:$L$134,MATCH(G$17,'הספק קיים ותחזית יצור'!$I$112:$L$112,0),FALSE))*$C$11*G$14/$C$10)</f>
        <v>0</v>
      </c>
      <c r="H39" s="80">
        <f>IF($E39&gt;$C$6,0,(VLOOKUP($E39,'הספק קיים ותחזית יצור'!$I$112:$L$134,MATCH(H$17,'הספק קיים ותחזית יצור'!$I$112:$L$112,0),FALSE)-VLOOKUP($E39-1,'הספק קיים ותחזית יצור'!$I$112:$L$134,MATCH(H$17,'הספק קיים ותחזית יצור'!$I$112:$L$112,0),FALSE))*$C$11*H$14/$C$10)</f>
        <v>0</v>
      </c>
      <c r="I39" s="841">
        <f>IF($E39&gt;$C$6,0,(VLOOKUP($E39,'הספק קיים ותחזית יצור'!$I$112:$L$134,MATCH(I$17,'הספק קיים ותחזית יצור'!$I$112:$L$112,0),FALSE)-VLOOKUP($E39-1,'הספק קיים ותחזית יצור'!$I$112:$L$134,MATCH(I$17,'הספק קיים ותחזית יצור'!$I$112:$L$112,0),FALSE))*$C$11*I$14/$C$10)</f>
        <v>0</v>
      </c>
      <c r="J39" s="80">
        <f>IF($E39&gt;$C$6,0,(VLOOKUP($E39,'הספק קיים ותחזית יצור'!$I$112:$L$134,MATCH(J$17,'הספק קיים ותחזית יצור'!$I$112:$L$112,0),FALSE)-VLOOKUP($E39-1,'הספק קיים ותחזית יצור'!$I$112:$L$134,MATCH(J$17,'הספק קיים ותחזית יצור'!$I$112:$L$112,0),FALSE))*$C$11*J$14/$C$10)</f>
        <v>0</v>
      </c>
      <c r="K39" s="841">
        <f>IF($E39&gt;$C$6,0,(VLOOKUP($E39,'הספק קיים ותחזית יצור'!$I$112:$L$134,MATCH(K$17,'הספק קיים ותחזית יצור'!$I$112:$L$112,0),FALSE)-VLOOKUP($E39-1,'הספק קיים ותחזית יצור'!$I$112:$L$134,MATCH(K$17,'הספק קיים ותחזית יצור'!$I$112:$L$112,0),FALSE))*$C$11*K$14/$C$10)</f>
        <v>0</v>
      </c>
      <c r="M39" s="10">
        <f t="shared" si="16"/>
        <v>2040</v>
      </c>
      <c r="N39" s="79">
        <f t="shared" si="14"/>
        <v>386.15890876210864</v>
      </c>
      <c r="O39" s="840">
        <f t="shared" si="17"/>
        <v>339.33167141715296</v>
      </c>
      <c r="P39" s="79">
        <f t="shared" si="18"/>
        <v>686.85388545062347</v>
      </c>
      <c r="Q39" s="840">
        <f t="shared" si="19"/>
        <v>603.56312305851338</v>
      </c>
      <c r="R39" s="79">
        <f t="shared" si="20"/>
        <v>874.48843825588472</v>
      </c>
      <c r="S39" s="840">
        <f t="shared" si="21"/>
        <v>768.44432863039663</v>
      </c>
    </row>
    <row r="40" spans="5:19" ht="16.5" thickBot="1">
      <c r="F40" s="65">
        <f t="shared" ref="F40:K40" si="22">SUBTOTAL(9,F19:F39)</f>
        <v>8686.8185244358901</v>
      </c>
      <c r="G40" s="76">
        <f t="shared" si="22"/>
        <v>7633.4187359386851</v>
      </c>
      <c r="H40" s="65">
        <f t="shared" si="22"/>
        <v>15451.087415903494</v>
      </c>
      <c r="I40" s="76">
        <f t="shared" si="22"/>
        <v>13577.42421341113</v>
      </c>
      <c r="J40" s="65">
        <f t="shared" si="22"/>
        <v>19672.011165553693</v>
      </c>
      <c r="K40" s="76">
        <f t="shared" si="22"/>
        <v>17286.501172128959</v>
      </c>
      <c r="M40" s="10">
        <f t="shared" si="16"/>
        <v>2041</v>
      </c>
      <c r="N40" s="79">
        <f t="shared" si="14"/>
        <v>0</v>
      </c>
      <c r="O40" s="840">
        <f t="shared" si="17"/>
        <v>0</v>
      </c>
      <c r="P40" s="79">
        <f t="shared" si="18"/>
        <v>0</v>
      </c>
      <c r="Q40" s="840">
        <f t="shared" si="19"/>
        <v>0</v>
      </c>
      <c r="R40" s="79">
        <f t="shared" si="20"/>
        <v>0</v>
      </c>
      <c r="S40" s="840">
        <f t="shared" si="21"/>
        <v>0</v>
      </c>
    </row>
    <row r="41" spans="5:19" ht="15.75">
      <c r="M41" s="10">
        <f t="shared" si="16"/>
        <v>2042</v>
      </c>
      <c r="N41" s="79">
        <f t="shared" si="14"/>
        <v>0</v>
      </c>
      <c r="O41" s="840">
        <f t="shared" si="17"/>
        <v>0</v>
      </c>
      <c r="P41" s="79">
        <f t="shared" si="18"/>
        <v>0</v>
      </c>
      <c r="Q41" s="840">
        <f t="shared" si="19"/>
        <v>0</v>
      </c>
      <c r="R41" s="79">
        <f t="shared" si="20"/>
        <v>0</v>
      </c>
      <c r="S41" s="840">
        <f t="shared" si="21"/>
        <v>0</v>
      </c>
    </row>
    <row r="42" spans="5:19" ht="15.75">
      <c r="M42" s="10">
        <f t="shared" si="16"/>
        <v>2043</v>
      </c>
      <c r="N42" s="79">
        <f t="shared" si="14"/>
        <v>0</v>
      </c>
      <c r="O42" s="840">
        <f t="shared" si="17"/>
        <v>0</v>
      </c>
      <c r="P42" s="79">
        <f t="shared" si="18"/>
        <v>0</v>
      </c>
      <c r="Q42" s="840">
        <f t="shared" si="19"/>
        <v>0</v>
      </c>
      <c r="R42" s="79">
        <f t="shared" si="20"/>
        <v>0</v>
      </c>
      <c r="S42" s="840">
        <f t="shared" si="21"/>
        <v>0</v>
      </c>
    </row>
    <row r="43" spans="5:19" ht="15.75">
      <c r="M43" s="10">
        <f t="shared" si="16"/>
        <v>2044</v>
      </c>
      <c r="N43" s="79">
        <f t="shared" si="14"/>
        <v>0</v>
      </c>
      <c r="O43" s="840">
        <f t="shared" si="17"/>
        <v>0</v>
      </c>
      <c r="P43" s="79">
        <f t="shared" si="18"/>
        <v>0</v>
      </c>
      <c r="Q43" s="840">
        <f t="shared" si="19"/>
        <v>0</v>
      </c>
      <c r="R43" s="79">
        <f t="shared" si="20"/>
        <v>0</v>
      </c>
      <c r="S43" s="840">
        <f t="shared" si="21"/>
        <v>0</v>
      </c>
    </row>
    <row r="44" spans="5:19" ht="15.75">
      <c r="M44" s="10">
        <f t="shared" si="16"/>
        <v>2045</v>
      </c>
      <c r="N44" s="79">
        <f t="shared" si="14"/>
        <v>0</v>
      </c>
      <c r="O44" s="840">
        <f t="shared" si="17"/>
        <v>0</v>
      </c>
      <c r="P44" s="79">
        <f t="shared" si="18"/>
        <v>0</v>
      </c>
      <c r="Q44" s="840">
        <f t="shared" si="19"/>
        <v>0</v>
      </c>
      <c r="R44" s="79">
        <f t="shared" si="20"/>
        <v>0</v>
      </c>
      <c r="S44" s="840">
        <f t="shared" si="21"/>
        <v>0</v>
      </c>
    </row>
    <row r="45" spans="5:19" ht="15.75">
      <c r="M45" s="10">
        <f t="shared" si="16"/>
        <v>2046</v>
      </c>
      <c r="N45" s="79">
        <f t="shared" si="14"/>
        <v>0</v>
      </c>
      <c r="O45" s="840">
        <f t="shared" si="17"/>
        <v>0</v>
      </c>
      <c r="P45" s="79">
        <f t="shared" si="18"/>
        <v>0</v>
      </c>
      <c r="Q45" s="840">
        <f t="shared" si="19"/>
        <v>0</v>
      </c>
      <c r="R45" s="79">
        <f t="shared" si="20"/>
        <v>0</v>
      </c>
      <c r="S45" s="840">
        <f t="shared" si="21"/>
        <v>0</v>
      </c>
    </row>
    <row r="46" spans="5:19" ht="15.75">
      <c r="M46" s="10">
        <f t="shared" si="16"/>
        <v>2047</v>
      </c>
      <c r="N46" s="79">
        <f t="shared" si="14"/>
        <v>0</v>
      </c>
      <c r="O46" s="840">
        <f t="shared" si="17"/>
        <v>0</v>
      </c>
      <c r="P46" s="79">
        <f t="shared" si="18"/>
        <v>0</v>
      </c>
      <c r="Q46" s="840">
        <f t="shared" si="19"/>
        <v>0</v>
      </c>
      <c r="R46" s="79">
        <f t="shared" si="20"/>
        <v>0</v>
      </c>
      <c r="S46" s="840">
        <f t="shared" si="21"/>
        <v>0</v>
      </c>
    </row>
    <row r="47" spans="5:19" ht="15.75">
      <c r="M47" s="10">
        <f t="shared" si="16"/>
        <v>2048</v>
      </c>
      <c r="N47" s="79">
        <f t="shared" si="14"/>
        <v>0</v>
      </c>
      <c r="O47" s="840">
        <f t="shared" si="17"/>
        <v>0</v>
      </c>
      <c r="P47" s="79">
        <f t="shared" si="18"/>
        <v>0</v>
      </c>
      <c r="Q47" s="840">
        <f t="shared" si="19"/>
        <v>0</v>
      </c>
      <c r="R47" s="79">
        <f t="shared" si="20"/>
        <v>0</v>
      </c>
      <c r="S47" s="840">
        <f t="shared" si="21"/>
        <v>0</v>
      </c>
    </row>
    <row r="48" spans="5:19" ht="15.75">
      <c r="M48" s="10">
        <f t="shared" si="16"/>
        <v>2049</v>
      </c>
      <c r="N48" s="79">
        <f t="shared" si="14"/>
        <v>0</v>
      </c>
      <c r="O48" s="840">
        <f t="shared" si="17"/>
        <v>0</v>
      </c>
      <c r="P48" s="79">
        <f t="shared" si="18"/>
        <v>0</v>
      </c>
      <c r="Q48" s="840">
        <f t="shared" si="19"/>
        <v>0</v>
      </c>
      <c r="R48" s="79">
        <f t="shared" si="20"/>
        <v>0</v>
      </c>
      <c r="S48" s="840">
        <f t="shared" si="21"/>
        <v>0</v>
      </c>
    </row>
    <row r="49" spans="13:19" ht="15.75">
      <c r="M49" s="10">
        <f t="shared" si="16"/>
        <v>2050</v>
      </c>
      <c r="N49" s="79">
        <f t="shared" si="14"/>
        <v>0</v>
      </c>
      <c r="O49" s="840">
        <f t="shared" si="17"/>
        <v>0</v>
      </c>
      <c r="P49" s="79">
        <f t="shared" si="18"/>
        <v>0</v>
      </c>
      <c r="Q49" s="840">
        <f t="shared" si="19"/>
        <v>0</v>
      </c>
      <c r="R49" s="79">
        <f t="shared" si="20"/>
        <v>0</v>
      </c>
      <c r="S49" s="840">
        <f t="shared" si="21"/>
        <v>0</v>
      </c>
    </row>
    <row r="50" spans="13:19" ht="15.75">
      <c r="M50" s="10">
        <f t="shared" si="16"/>
        <v>2051</v>
      </c>
      <c r="N50" s="79">
        <f t="shared" si="14"/>
        <v>0</v>
      </c>
      <c r="O50" s="840">
        <f t="shared" si="17"/>
        <v>0</v>
      </c>
      <c r="P50" s="79">
        <f t="shared" si="18"/>
        <v>0</v>
      </c>
      <c r="Q50" s="840">
        <f t="shared" si="19"/>
        <v>0</v>
      </c>
      <c r="R50" s="79">
        <f t="shared" si="20"/>
        <v>0</v>
      </c>
      <c r="S50" s="840">
        <f t="shared" si="21"/>
        <v>0</v>
      </c>
    </row>
    <row r="51" spans="13:19" ht="15.75">
      <c r="M51" s="10">
        <f t="shared" si="16"/>
        <v>2052</v>
      </c>
      <c r="N51" s="79">
        <f t="shared" si="14"/>
        <v>0</v>
      </c>
      <c r="O51" s="840">
        <f t="shared" si="17"/>
        <v>0</v>
      </c>
      <c r="P51" s="79">
        <f t="shared" si="18"/>
        <v>0</v>
      </c>
      <c r="Q51" s="840">
        <f t="shared" si="19"/>
        <v>0</v>
      </c>
      <c r="R51" s="79">
        <f t="shared" si="20"/>
        <v>0</v>
      </c>
      <c r="S51" s="840">
        <f t="shared" si="21"/>
        <v>0</v>
      </c>
    </row>
    <row r="52" spans="13:19" ht="15.75">
      <c r="M52" s="10">
        <f t="shared" si="16"/>
        <v>2053</v>
      </c>
      <c r="N52" s="79">
        <f t="shared" si="14"/>
        <v>0</v>
      </c>
      <c r="O52" s="840">
        <f t="shared" si="17"/>
        <v>0</v>
      </c>
      <c r="P52" s="79">
        <f t="shared" si="18"/>
        <v>0</v>
      </c>
      <c r="Q52" s="840">
        <f t="shared" si="19"/>
        <v>0</v>
      </c>
      <c r="R52" s="79">
        <f t="shared" si="20"/>
        <v>0</v>
      </c>
      <c r="S52" s="840">
        <f t="shared" si="21"/>
        <v>0</v>
      </c>
    </row>
    <row r="53" spans="13:19" ht="15.75">
      <c r="M53" s="10">
        <f t="shared" si="16"/>
        <v>2054</v>
      </c>
      <c r="N53" s="79">
        <f t="shared" si="14"/>
        <v>0</v>
      </c>
      <c r="O53" s="840">
        <f t="shared" si="17"/>
        <v>0</v>
      </c>
      <c r="P53" s="79">
        <f t="shared" si="18"/>
        <v>0</v>
      </c>
      <c r="Q53" s="840">
        <f t="shared" si="19"/>
        <v>0</v>
      </c>
      <c r="R53" s="79">
        <f t="shared" si="20"/>
        <v>0</v>
      </c>
      <c r="S53" s="840">
        <f t="shared" si="21"/>
        <v>0</v>
      </c>
    </row>
    <row r="54" spans="13:19" ht="15.75">
      <c r="M54" s="10">
        <f t="shared" si="16"/>
        <v>2055</v>
      </c>
      <c r="N54" s="79">
        <f t="shared" si="14"/>
        <v>0</v>
      </c>
      <c r="O54" s="840">
        <f t="shared" si="17"/>
        <v>0</v>
      </c>
      <c r="P54" s="79">
        <f t="shared" si="18"/>
        <v>0</v>
      </c>
      <c r="Q54" s="840">
        <f t="shared" si="19"/>
        <v>0</v>
      </c>
      <c r="R54" s="79">
        <f t="shared" si="20"/>
        <v>0</v>
      </c>
      <c r="S54" s="840">
        <f t="shared" si="21"/>
        <v>0</v>
      </c>
    </row>
    <row r="55" spans="13:19" ht="15.75">
      <c r="M55" s="10">
        <f t="shared" si="16"/>
        <v>2056</v>
      </c>
      <c r="N55" s="79">
        <f t="shared" si="14"/>
        <v>0</v>
      </c>
      <c r="O55" s="840">
        <f t="shared" si="17"/>
        <v>0</v>
      </c>
      <c r="P55" s="79">
        <f t="shared" si="18"/>
        <v>0</v>
      </c>
      <c r="Q55" s="840">
        <f t="shared" si="19"/>
        <v>0</v>
      </c>
      <c r="R55" s="79">
        <f t="shared" si="20"/>
        <v>0</v>
      </c>
      <c r="S55" s="840">
        <f t="shared" si="21"/>
        <v>0</v>
      </c>
    </row>
    <row r="56" spans="13:19" ht="15.75">
      <c r="M56" s="10">
        <f t="shared" si="16"/>
        <v>2057</v>
      </c>
      <c r="N56" s="79">
        <f t="shared" si="14"/>
        <v>0</v>
      </c>
      <c r="O56" s="840">
        <f t="shared" si="17"/>
        <v>0</v>
      </c>
      <c r="P56" s="79">
        <f t="shared" si="18"/>
        <v>0</v>
      </c>
      <c r="Q56" s="840">
        <f t="shared" si="19"/>
        <v>0</v>
      </c>
      <c r="R56" s="79">
        <f t="shared" si="20"/>
        <v>0</v>
      </c>
      <c r="S56" s="840">
        <f t="shared" si="21"/>
        <v>0</v>
      </c>
    </row>
    <row r="57" spans="13:19" ht="15.75">
      <c r="M57" s="10">
        <f t="shared" si="16"/>
        <v>2058</v>
      </c>
      <c r="N57" s="79">
        <f t="shared" si="14"/>
        <v>0</v>
      </c>
      <c r="O57" s="840">
        <f t="shared" si="17"/>
        <v>0</v>
      </c>
      <c r="P57" s="79">
        <f t="shared" si="18"/>
        <v>0</v>
      </c>
      <c r="Q57" s="840">
        <f t="shared" si="19"/>
        <v>0</v>
      </c>
      <c r="R57" s="79">
        <f t="shared" si="20"/>
        <v>0</v>
      </c>
      <c r="S57" s="840">
        <f t="shared" si="21"/>
        <v>0</v>
      </c>
    </row>
    <row r="58" spans="13:19" ht="15.75">
      <c r="M58" s="10">
        <f t="shared" si="16"/>
        <v>2059</v>
      </c>
      <c r="N58" s="79">
        <f t="shared" si="14"/>
        <v>0</v>
      </c>
      <c r="O58" s="840">
        <f t="shared" si="17"/>
        <v>0</v>
      </c>
      <c r="P58" s="79">
        <f t="shared" si="18"/>
        <v>0</v>
      </c>
      <c r="Q58" s="840">
        <f t="shared" si="19"/>
        <v>0</v>
      </c>
      <c r="R58" s="79">
        <f t="shared" si="20"/>
        <v>0</v>
      </c>
      <c r="S58" s="840">
        <f t="shared" si="21"/>
        <v>0</v>
      </c>
    </row>
    <row r="59" spans="13:19" ht="15.75">
      <c r="M59" s="10">
        <f t="shared" si="16"/>
        <v>2060</v>
      </c>
      <c r="N59" s="79">
        <f t="shared" si="14"/>
        <v>0</v>
      </c>
      <c r="O59" s="840">
        <f t="shared" si="17"/>
        <v>0</v>
      </c>
      <c r="P59" s="79">
        <f t="shared" si="18"/>
        <v>0</v>
      </c>
      <c r="Q59" s="840">
        <f t="shared" si="19"/>
        <v>0</v>
      </c>
      <c r="R59" s="79">
        <f t="shared" si="20"/>
        <v>0</v>
      </c>
      <c r="S59" s="840">
        <f t="shared" si="21"/>
        <v>0</v>
      </c>
    </row>
    <row r="60" spans="13:19" ht="15.75">
      <c r="M60" s="10">
        <f t="shared" si="16"/>
        <v>2061</v>
      </c>
      <c r="N60" s="79">
        <f t="shared" si="14"/>
        <v>0</v>
      </c>
      <c r="O60" s="840">
        <f t="shared" si="17"/>
        <v>0</v>
      </c>
      <c r="P60" s="79">
        <f t="shared" si="18"/>
        <v>0</v>
      </c>
      <c r="Q60" s="840">
        <f t="shared" si="19"/>
        <v>0</v>
      </c>
      <c r="R60" s="79">
        <f t="shared" si="20"/>
        <v>0</v>
      </c>
      <c r="S60" s="840">
        <f t="shared" si="21"/>
        <v>0</v>
      </c>
    </row>
    <row r="61" spans="13:19" ht="15.75">
      <c r="M61" s="10">
        <f t="shared" si="16"/>
        <v>2062</v>
      </c>
      <c r="N61" s="79">
        <f t="shared" si="14"/>
        <v>0</v>
      </c>
      <c r="O61" s="840">
        <f t="shared" si="17"/>
        <v>0</v>
      </c>
      <c r="P61" s="79">
        <f t="shared" si="18"/>
        <v>0</v>
      </c>
      <c r="Q61" s="840">
        <f t="shared" si="19"/>
        <v>0</v>
      </c>
      <c r="R61" s="79">
        <f t="shared" si="20"/>
        <v>0</v>
      </c>
      <c r="S61" s="840">
        <f t="shared" si="21"/>
        <v>0</v>
      </c>
    </row>
    <row r="62" spans="13:19" ht="15.75">
      <c r="M62" s="10">
        <f t="shared" si="16"/>
        <v>2063</v>
      </c>
      <c r="N62" s="79">
        <f t="shared" si="14"/>
        <v>0</v>
      </c>
      <c r="O62" s="840">
        <f t="shared" si="17"/>
        <v>0</v>
      </c>
      <c r="P62" s="79">
        <f t="shared" si="18"/>
        <v>0</v>
      </c>
      <c r="Q62" s="840">
        <f t="shared" si="19"/>
        <v>0</v>
      </c>
      <c r="R62" s="79">
        <f t="shared" si="20"/>
        <v>0</v>
      </c>
      <c r="S62" s="840">
        <f t="shared" si="21"/>
        <v>0</v>
      </c>
    </row>
    <row r="63" spans="13:19" ht="15.75">
      <c r="M63" s="10">
        <f t="shared" si="16"/>
        <v>2064</v>
      </c>
      <c r="N63" s="79">
        <f t="shared" si="14"/>
        <v>0</v>
      </c>
      <c r="O63" s="840">
        <f t="shared" si="17"/>
        <v>0</v>
      </c>
      <c r="P63" s="79">
        <f t="shared" si="18"/>
        <v>0</v>
      </c>
      <c r="Q63" s="840">
        <f t="shared" si="19"/>
        <v>0</v>
      </c>
      <c r="R63" s="79">
        <f t="shared" si="20"/>
        <v>0</v>
      </c>
      <c r="S63" s="840">
        <f t="shared" si="21"/>
        <v>0</v>
      </c>
    </row>
    <row r="64" spans="13:19" ht="15.75">
      <c r="M64" s="10">
        <f t="shared" si="16"/>
        <v>2065</v>
      </c>
      <c r="N64" s="79">
        <f t="shared" si="14"/>
        <v>0</v>
      </c>
      <c r="O64" s="840">
        <f t="shared" si="17"/>
        <v>0</v>
      </c>
      <c r="P64" s="79">
        <f t="shared" si="18"/>
        <v>0</v>
      </c>
      <c r="Q64" s="840">
        <f t="shared" si="19"/>
        <v>0</v>
      </c>
      <c r="R64" s="79">
        <f t="shared" si="20"/>
        <v>0</v>
      </c>
      <c r="S64" s="840">
        <f t="shared" si="21"/>
        <v>0</v>
      </c>
    </row>
    <row r="65" spans="13:19" ht="15.75">
      <c r="M65" s="10">
        <f t="shared" si="16"/>
        <v>2066</v>
      </c>
      <c r="N65" s="79">
        <f t="shared" si="14"/>
        <v>0</v>
      </c>
      <c r="O65" s="840">
        <f t="shared" si="17"/>
        <v>0</v>
      </c>
      <c r="P65" s="79">
        <f t="shared" si="18"/>
        <v>0</v>
      </c>
      <c r="Q65" s="840">
        <f t="shared" si="19"/>
        <v>0</v>
      </c>
      <c r="R65" s="79">
        <f t="shared" si="20"/>
        <v>0</v>
      </c>
      <c r="S65" s="840">
        <f t="shared" si="21"/>
        <v>0</v>
      </c>
    </row>
    <row r="66" spans="13:19" ht="15.75">
      <c r="M66" s="10">
        <f t="shared" si="16"/>
        <v>2067</v>
      </c>
      <c r="N66" s="79">
        <f t="shared" si="14"/>
        <v>0</v>
      </c>
      <c r="O66" s="840">
        <f t="shared" si="17"/>
        <v>0</v>
      </c>
      <c r="P66" s="79">
        <f t="shared" si="18"/>
        <v>0</v>
      </c>
      <c r="Q66" s="840">
        <f t="shared" si="19"/>
        <v>0</v>
      </c>
      <c r="R66" s="79">
        <f t="shared" si="20"/>
        <v>0</v>
      </c>
      <c r="S66" s="840">
        <f t="shared" si="21"/>
        <v>0</v>
      </c>
    </row>
    <row r="67" spans="13:19" ht="15.75">
      <c r="M67" s="10">
        <f t="shared" si="16"/>
        <v>2068</v>
      </c>
      <c r="N67" s="79">
        <f t="shared" si="14"/>
        <v>0</v>
      </c>
      <c r="O67" s="840">
        <f t="shared" si="17"/>
        <v>0</v>
      </c>
      <c r="P67" s="79">
        <f t="shared" si="18"/>
        <v>0</v>
      </c>
      <c r="Q67" s="840">
        <f t="shared" si="19"/>
        <v>0</v>
      </c>
      <c r="R67" s="79">
        <f t="shared" si="20"/>
        <v>0</v>
      </c>
      <c r="S67" s="840">
        <f t="shared" si="21"/>
        <v>0</v>
      </c>
    </row>
    <row r="68" spans="13:19" ht="15.75">
      <c r="M68" s="10">
        <f t="shared" si="16"/>
        <v>2069</v>
      </c>
      <c r="N68" s="79">
        <f t="shared" si="14"/>
        <v>0</v>
      </c>
      <c r="O68" s="840">
        <f t="shared" si="17"/>
        <v>0</v>
      </c>
      <c r="P68" s="79">
        <f t="shared" si="18"/>
        <v>0</v>
      </c>
      <c r="Q68" s="840">
        <f t="shared" si="19"/>
        <v>0</v>
      </c>
      <c r="R68" s="79">
        <f t="shared" si="20"/>
        <v>0</v>
      </c>
      <c r="S68" s="840">
        <f t="shared" si="21"/>
        <v>0</v>
      </c>
    </row>
    <row r="69" spans="13:19" ht="15.75">
      <c r="M69" s="10">
        <f t="shared" si="16"/>
        <v>2070</v>
      </c>
      <c r="N69" s="79">
        <f t="shared" si="14"/>
        <v>0</v>
      </c>
      <c r="O69" s="840">
        <f t="shared" si="17"/>
        <v>0</v>
      </c>
      <c r="P69" s="79">
        <f t="shared" si="18"/>
        <v>0</v>
      </c>
      <c r="Q69" s="840">
        <f t="shared" si="19"/>
        <v>0</v>
      </c>
      <c r="R69" s="79">
        <f t="shared" si="20"/>
        <v>0</v>
      </c>
      <c r="S69" s="840">
        <f t="shared" si="21"/>
        <v>0</v>
      </c>
    </row>
    <row r="70" spans="13:19" ht="15.75">
      <c r="M70" s="10">
        <f t="shared" si="16"/>
        <v>2071</v>
      </c>
      <c r="N70" s="79">
        <f t="shared" si="14"/>
        <v>0</v>
      </c>
      <c r="O70" s="840">
        <f t="shared" si="17"/>
        <v>0</v>
      </c>
      <c r="P70" s="79">
        <f t="shared" si="18"/>
        <v>0</v>
      </c>
      <c r="Q70" s="840">
        <f t="shared" si="19"/>
        <v>0</v>
      </c>
      <c r="R70" s="79">
        <f t="shared" si="20"/>
        <v>0</v>
      </c>
      <c r="S70" s="840">
        <f t="shared" si="21"/>
        <v>0</v>
      </c>
    </row>
    <row r="71" spans="13:19" ht="15.75">
      <c r="M71" s="10">
        <f t="shared" si="16"/>
        <v>2072</v>
      </c>
      <c r="N71" s="79">
        <f t="shared" si="14"/>
        <v>0</v>
      </c>
      <c r="O71" s="840">
        <f t="shared" si="17"/>
        <v>0</v>
      </c>
      <c r="P71" s="79">
        <f t="shared" si="18"/>
        <v>0</v>
      </c>
      <c r="Q71" s="840">
        <f t="shared" si="19"/>
        <v>0</v>
      </c>
      <c r="R71" s="79">
        <f t="shared" si="20"/>
        <v>0</v>
      </c>
      <c r="S71" s="840">
        <f t="shared" si="21"/>
        <v>0</v>
      </c>
    </row>
    <row r="72" spans="13:19" ht="15.75">
      <c r="M72" s="10">
        <f t="shared" si="16"/>
        <v>2073</v>
      </c>
      <c r="N72" s="79">
        <f t="shared" si="14"/>
        <v>0</v>
      </c>
      <c r="O72" s="840">
        <f t="shared" si="17"/>
        <v>0</v>
      </c>
      <c r="P72" s="79">
        <f t="shared" si="18"/>
        <v>0</v>
      </c>
      <c r="Q72" s="840">
        <f t="shared" si="19"/>
        <v>0</v>
      </c>
      <c r="R72" s="79">
        <f t="shared" si="20"/>
        <v>0</v>
      </c>
      <c r="S72" s="840">
        <f t="shared" si="21"/>
        <v>0</v>
      </c>
    </row>
    <row r="73" spans="13:19" ht="15.75">
      <c r="M73" s="10">
        <f t="shared" si="16"/>
        <v>2074</v>
      </c>
      <c r="N73" s="79">
        <f t="shared" si="14"/>
        <v>0</v>
      </c>
      <c r="O73" s="840">
        <f t="shared" si="17"/>
        <v>0</v>
      </c>
      <c r="P73" s="79">
        <f t="shared" si="18"/>
        <v>0</v>
      </c>
      <c r="Q73" s="840">
        <f t="shared" si="19"/>
        <v>0</v>
      </c>
      <c r="R73" s="79">
        <f t="shared" si="20"/>
        <v>0</v>
      </c>
      <c r="S73" s="840">
        <f t="shared" si="21"/>
        <v>0</v>
      </c>
    </row>
    <row r="74" spans="13:19" ht="15.75">
      <c r="M74" s="10">
        <f t="shared" si="16"/>
        <v>2075</v>
      </c>
      <c r="N74" s="79">
        <f t="shared" si="14"/>
        <v>0</v>
      </c>
      <c r="O74" s="840">
        <f t="shared" si="17"/>
        <v>0</v>
      </c>
      <c r="P74" s="79">
        <f t="shared" si="18"/>
        <v>0</v>
      </c>
      <c r="Q74" s="840">
        <f t="shared" si="19"/>
        <v>0</v>
      </c>
      <c r="R74" s="79">
        <f t="shared" si="20"/>
        <v>0</v>
      </c>
      <c r="S74" s="840">
        <f t="shared" si="21"/>
        <v>0</v>
      </c>
    </row>
    <row r="75" spans="13:19" ht="15.75">
      <c r="M75" s="10">
        <f t="shared" si="16"/>
        <v>2076</v>
      </c>
      <c r="N75" s="79">
        <f t="shared" si="14"/>
        <v>0</v>
      </c>
      <c r="O75" s="840">
        <f t="shared" si="17"/>
        <v>0</v>
      </c>
      <c r="P75" s="79">
        <f t="shared" si="18"/>
        <v>0</v>
      </c>
      <c r="Q75" s="840">
        <f t="shared" si="19"/>
        <v>0</v>
      </c>
      <c r="R75" s="79">
        <f t="shared" si="20"/>
        <v>0</v>
      </c>
      <c r="S75" s="840">
        <f t="shared" si="21"/>
        <v>0</v>
      </c>
    </row>
    <row r="76" spans="13:19" ht="15.75">
      <c r="M76" s="10">
        <f t="shared" si="16"/>
        <v>2077</v>
      </c>
      <c r="N76" s="79">
        <f t="shared" si="14"/>
        <v>0</v>
      </c>
      <c r="O76" s="840">
        <f t="shared" si="17"/>
        <v>0</v>
      </c>
      <c r="P76" s="79">
        <f t="shared" si="18"/>
        <v>0</v>
      </c>
      <c r="Q76" s="840">
        <f t="shared" si="19"/>
        <v>0</v>
      </c>
      <c r="R76" s="79">
        <f t="shared" si="20"/>
        <v>0</v>
      </c>
      <c r="S76" s="840">
        <f t="shared" si="21"/>
        <v>0</v>
      </c>
    </row>
    <row r="77" spans="13:19" ht="15.75">
      <c r="M77" s="10">
        <f t="shared" si="16"/>
        <v>2078</v>
      </c>
      <c r="N77" s="79">
        <f t="shared" si="14"/>
        <v>0</v>
      </c>
      <c r="O77" s="840">
        <f t="shared" si="17"/>
        <v>0</v>
      </c>
      <c r="P77" s="79">
        <f t="shared" si="18"/>
        <v>0</v>
      </c>
      <c r="Q77" s="840">
        <f t="shared" si="19"/>
        <v>0</v>
      </c>
      <c r="R77" s="79">
        <f t="shared" si="20"/>
        <v>0</v>
      </c>
      <c r="S77" s="840">
        <f t="shared" si="21"/>
        <v>0</v>
      </c>
    </row>
    <row r="78" spans="13:19" ht="15.75">
      <c r="M78" s="10">
        <f t="shared" si="16"/>
        <v>2079</v>
      </c>
      <c r="N78" s="79">
        <f t="shared" si="14"/>
        <v>0</v>
      </c>
      <c r="O78" s="840">
        <f t="shared" si="17"/>
        <v>0</v>
      </c>
      <c r="P78" s="79">
        <f t="shared" si="18"/>
        <v>0</v>
      </c>
      <c r="Q78" s="840">
        <f t="shared" si="19"/>
        <v>0</v>
      </c>
      <c r="R78" s="79">
        <f t="shared" si="20"/>
        <v>0</v>
      </c>
      <c r="S78" s="840">
        <f t="shared" si="21"/>
        <v>0</v>
      </c>
    </row>
    <row r="79" spans="13:19" ht="15.75">
      <c r="M79" s="10">
        <f t="shared" si="16"/>
        <v>2080</v>
      </c>
      <c r="N79" s="79">
        <f t="shared" si="14"/>
        <v>0</v>
      </c>
      <c r="O79" s="840">
        <f t="shared" si="17"/>
        <v>0</v>
      </c>
      <c r="P79" s="79">
        <f t="shared" si="18"/>
        <v>0</v>
      </c>
      <c r="Q79" s="840">
        <f t="shared" si="19"/>
        <v>0</v>
      </c>
      <c r="R79" s="79">
        <f t="shared" si="20"/>
        <v>0</v>
      </c>
      <c r="S79" s="840">
        <f t="shared" si="21"/>
        <v>0</v>
      </c>
    </row>
    <row r="80" spans="13:19" ht="15.75">
      <c r="M80" s="10">
        <f t="shared" si="16"/>
        <v>2081</v>
      </c>
      <c r="N80" s="79">
        <f t="shared" si="14"/>
        <v>0</v>
      </c>
      <c r="O80" s="840">
        <f t="shared" si="17"/>
        <v>0</v>
      </c>
      <c r="P80" s="79">
        <f t="shared" si="18"/>
        <v>0</v>
      </c>
      <c r="Q80" s="840">
        <f t="shared" si="19"/>
        <v>0</v>
      </c>
      <c r="R80" s="79">
        <f t="shared" si="20"/>
        <v>0</v>
      </c>
      <c r="S80" s="840">
        <f t="shared" si="21"/>
        <v>0</v>
      </c>
    </row>
    <row r="81" spans="13:19" ht="15.75">
      <c r="M81" s="10">
        <f t="shared" si="16"/>
        <v>2082</v>
      </c>
      <c r="N81" s="79">
        <f t="shared" si="14"/>
        <v>0</v>
      </c>
      <c r="O81" s="840">
        <f t="shared" si="17"/>
        <v>0</v>
      </c>
      <c r="P81" s="79">
        <f t="shared" si="18"/>
        <v>0</v>
      </c>
      <c r="Q81" s="840">
        <f t="shared" si="19"/>
        <v>0</v>
      </c>
      <c r="R81" s="79">
        <f t="shared" si="20"/>
        <v>0</v>
      </c>
      <c r="S81" s="840">
        <f t="shared" si="21"/>
        <v>0</v>
      </c>
    </row>
    <row r="82" spans="13:19" ht="15.75">
      <c r="M82" s="10">
        <f t="shared" si="16"/>
        <v>2083</v>
      </c>
      <c r="N82" s="79">
        <f t="shared" si="14"/>
        <v>0</v>
      </c>
      <c r="O82" s="840">
        <f t="shared" si="17"/>
        <v>0</v>
      </c>
      <c r="P82" s="79">
        <f t="shared" si="18"/>
        <v>0</v>
      </c>
      <c r="Q82" s="840">
        <f t="shared" si="19"/>
        <v>0</v>
      </c>
      <c r="R82" s="79">
        <f t="shared" si="20"/>
        <v>0</v>
      </c>
      <c r="S82" s="840">
        <f t="shared" si="21"/>
        <v>0</v>
      </c>
    </row>
    <row r="83" spans="13:19" ht="15.75">
      <c r="M83" s="10">
        <f t="shared" si="16"/>
        <v>2084</v>
      </c>
      <c r="N83" s="79">
        <f t="shared" si="14"/>
        <v>0</v>
      </c>
      <c r="O83" s="840">
        <f t="shared" si="17"/>
        <v>0</v>
      </c>
      <c r="P83" s="79">
        <f t="shared" si="18"/>
        <v>0</v>
      </c>
      <c r="Q83" s="840">
        <f t="shared" si="19"/>
        <v>0</v>
      </c>
      <c r="R83" s="79">
        <f t="shared" si="20"/>
        <v>0</v>
      </c>
      <c r="S83" s="840">
        <f t="shared" si="21"/>
        <v>0</v>
      </c>
    </row>
    <row r="84" spans="13:19" ht="15.75">
      <c r="M84" s="10">
        <f t="shared" si="16"/>
        <v>2085</v>
      </c>
      <c r="N84" s="79">
        <f t="shared" ref="N84:N96" si="23">IF($M84&gt;$C$6,0,-PMT($C$7,$C$8,SUMIFS(F$19:F$39,$E$19:$E$39,"&gt;"&amp;($M84-$C$8),$E$19:$E$39,"&lt;="&amp;$M84)))</f>
        <v>0</v>
      </c>
      <c r="O84" s="840">
        <f t="shared" si="17"/>
        <v>0</v>
      </c>
      <c r="P84" s="79">
        <f t="shared" si="18"/>
        <v>0</v>
      </c>
      <c r="Q84" s="840">
        <f t="shared" si="19"/>
        <v>0</v>
      </c>
      <c r="R84" s="79">
        <f t="shared" si="20"/>
        <v>0</v>
      </c>
      <c r="S84" s="840">
        <f t="shared" si="21"/>
        <v>0</v>
      </c>
    </row>
    <row r="85" spans="13:19" ht="15.75">
      <c r="M85" s="10">
        <f t="shared" ref="M85:M96" si="24">M84+1</f>
        <v>2086</v>
      </c>
      <c r="N85" s="79">
        <f t="shared" si="23"/>
        <v>0</v>
      </c>
      <c r="O85" s="840">
        <f t="shared" si="17"/>
        <v>0</v>
      </c>
      <c r="P85" s="79">
        <f t="shared" si="18"/>
        <v>0</v>
      </c>
      <c r="Q85" s="840">
        <f t="shared" si="19"/>
        <v>0</v>
      </c>
      <c r="R85" s="79">
        <f t="shared" si="20"/>
        <v>0</v>
      </c>
      <c r="S85" s="840">
        <f t="shared" si="21"/>
        <v>0</v>
      </c>
    </row>
    <row r="86" spans="13:19" ht="15.75">
      <c r="M86" s="10">
        <f t="shared" si="24"/>
        <v>2087</v>
      </c>
      <c r="N86" s="79">
        <f t="shared" si="23"/>
        <v>0</v>
      </c>
      <c r="O86" s="840">
        <f t="shared" si="17"/>
        <v>0</v>
      </c>
      <c r="P86" s="79">
        <f t="shared" si="18"/>
        <v>0</v>
      </c>
      <c r="Q86" s="840">
        <f t="shared" si="19"/>
        <v>0</v>
      </c>
      <c r="R86" s="79">
        <f t="shared" si="20"/>
        <v>0</v>
      </c>
      <c r="S86" s="840">
        <f t="shared" si="21"/>
        <v>0</v>
      </c>
    </row>
    <row r="87" spans="13:19" ht="15.75">
      <c r="M87" s="10">
        <f t="shared" si="24"/>
        <v>2088</v>
      </c>
      <c r="N87" s="79">
        <f t="shared" si="23"/>
        <v>0</v>
      </c>
      <c r="O87" s="840">
        <f t="shared" si="17"/>
        <v>0</v>
      </c>
      <c r="P87" s="79">
        <f t="shared" si="18"/>
        <v>0</v>
      </c>
      <c r="Q87" s="840">
        <f t="shared" si="19"/>
        <v>0</v>
      </c>
      <c r="R87" s="79">
        <f t="shared" si="20"/>
        <v>0</v>
      </c>
      <c r="S87" s="840">
        <f t="shared" si="21"/>
        <v>0</v>
      </c>
    </row>
    <row r="88" spans="13:19" ht="15.75">
      <c r="M88" s="10">
        <f t="shared" si="24"/>
        <v>2089</v>
      </c>
      <c r="N88" s="79">
        <f t="shared" si="23"/>
        <v>0</v>
      </c>
      <c r="O88" s="840">
        <f t="shared" si="17"/>
        <v>0</v>
      </c>
      <c r="P88" s="79">
        <f t="shared" si="18"/>
        <v>0</v>
      </c>
      <c r="Q88" s="840">
        <f t="shared" si="19"/>
        <v>0</v>
      </c>
      <c r="R88" s="79">
        <f t="shared" si="20"/>
        <v>0</v>
      </c>
      <c r="S88" s="840">
        <f t="shared" si="21"/>
        <v>0</v>
      </c>
    </row>
    <row r="89" spans="13:19" ht="15.75">
      <c r="M89" s="10">
        <f t="shared" si="24"/>
        <v>2090</v>
      </c>
      <c r="N89" s="79">
        <f t="shared" si="23"/>
        <v>0</v>
      </c>
      <c r="O89" s="840">
        <f t="shared" si="17"/>
        <v>0</v>
      </c>
      <c r="P89" s="79">
        <f t="shared" si="18"/>
        <v>0</v>
      </c>
      <c r="Q89" s="840">
        <f t="shared" si="19"/>
        <v>0</v>
      </c>
      <c r="R89" s="79">
        <f t="shared" si="20"/>
        <v>0</v>
      </c>
      <c r="S89" s="840">
        <f t="shared" si="21"/>
        <v>0</v>
      </c>
    </row>
    <row r="90" spans="13:19" ht="15.75">
      <c r="M90" s="10">
        <f t="shared" si="24"/>
        <v>2091</v>
      </c>
      <c r="N90" s="79">
        <f t="shared" si="23"/>
        <v>0</v>
      </c>
      <c r="O90" s="840">
        <f t="shared" si="17"/>
        <v>0</v>
      </c>
      <c r="P90" s="79">
        <f t="shared" si="18"/>
        <v>0</v>
      </c>
      <c r="Q90" s="840">
        <f t="shared" si="19"/>
        <v>0</v>
      </c>
      <c r="R90" s="79">
        <f t="shared" si="20"/>
        <v>0</v>
      </c>
      <c r="S90" s="840">
        <f t="shared" si="21"/>
        <v>0</v>
      </c>
    </row>
    <row r="91" spans="13:19" ht="15.75">
      <c r="M91" s="10">
        <f t="shared" si="24"/>
        <v>2092</v>
      </c>
      <c r="N91" s="79">
        <f t="shared" si="23"/>
        <v>0</v>
      </c>
      <c r="O91" s="840">
        <f t="shared" si="17"/>
        <v>0</v>
      </c>
      <c r="P91" s="79">
        <f t="shared" si="18"/>
        <v>0</v>
      </c>
      <c r="Q91" s="840">
        <f t="shared" si="19"/>
        <v>0</v>
      </c>
      <c r="R91" s="79">
        <f t="shared" si="20"/>
        <v>0</v>
      </c>
      <c r="S91" s="840">
        <f t="shared" si="21"/>
        <v>0</v>
      </c>
    </row>
    <row r="92" spans="13:19" ht="15.75">
      <c r="M92" s="10">
        <f t="shared" si="24"/>
        <v>2093</v>
      </c>
      <c r="N92" s="79">
        <f t="shared" si="23"/>
        <v>0</v>
      </c>
      <c r="O92" s="840">
        <f t="shared" si="17"/>
        <v>0</v>
      </c>
      <c r="P92" s="79">
        <f t="shared" si="18"/>
        <v>0</v>
      </c>
      <c r="Q92" s="840">
        <f t="shared" si="19"/>
        <v>0</v>
      </c>
      <c r="R92" s="79">
        <f t="shared" si="20"/>
        <v>0</v>
      </c>
      <c r="S92" s="840">
        <f t="shared" si="21"/>
        <v>0</v>
      </c>
    </row>
    <row r="93" spans="13:19" ht="15.75">
      <c r="M93" s="10">
        <f t="shared" si="24"/>
        <v>2094</v>
      </c>
      <c r="N93" s="79">
        <f t="shared" si="23"/>
        <v>0</v>
      </c>
      <c r="O93" s="840">
        <f t="shared" si="17"/>
        <v>0</v>
      </c>
      <c r="P93" s="79">
        <f t="shared" si="18"/>
        <v>0</v>
      </c>
      <c r="Q93" s="840">
        <f t="shared" si="19"/>
        <v>0</v>
      </c>
      <c r="R93" s="79">
        <f t="shared" si="20"/>
        <v>0</v>
      </c>
      <c r="S93" s="840">
        <f t="shared" si="21"/>
        <v>0</v>
      </c>
    </row>
    <row r="94" spans="13:19" ht="15.75">
      <c r="M94" s="10">
        <f t="shared" si="24"/>
        <v>2095</v>
      </c>
      <c r="N94" s="79">
        <f t="shared" si="23"/>
        <v>0</v>
      </c>
      <c r="O94" s="840">
        <f t="shared" si="17"/>
        <v>0</v>
      </c>
      <c r="P94" s="79">
        <f t="shared" si="18"/>
        <v>0</v>
      </c>
      <c r="Q94" s="840">
        <f t="shared" si="19"/>
        <v>0</v>
      </c>
      <c r="R94" s="79">
        <f t="shared" si="20"/>
        <v>0</v>
      </c>
      <c r="S94" s="840">
        <f t="shared" si="21"/>
        <v>0</v>
      </c>
    </row>
    <row r="95" spans="13:19" ht="15.75">
      <c r="M95" s="10">
        <f t="shared" si="24"/>
        <v>2096</v>
      </c>
      <c r="N95" s="79">
        <f t="shared" si="23"/>
        <v>0</v>
      </c>
      <c r="O95" s="840">
        <f t="shared" si="17"/>
        <v>0</v>
      </c>
      <c r="P95" s="79">
        <f t="shared" si="18"/>
        <v>0</v>
      </c>
      <c r="Q95" s="840">
        <f t="shared" si="19"/>
        <v>0</v>
      </c>
      <c r="R95" s="79">
        <f t="shared" si="20"/>
        <v>0</v>
      </c>
      <c r="S95" s="840">
        <f t="shared" si="21"/>
        <v>0</v>
      </c>
    </row>
    <row r="96" spans="13:19" ht="16.5" thickBot="1">
      <c r="M96" s="11">
        <f t="shared" si="24"/>
        <v>2097</v>
      </c>
      <c r="N96" s="80">
        <f t="shared" si="23"/>
        <v>0</v>
      </c>
      <c r="O96" s="841">
        <f t="shared" si="17"/>
        <v>0</v>
      </c>
      <c r="P96" s="80">
        <f t="shared" si="18"/>
        <v>0</v>
      </c>
      <c r="Q96" s="841">
        <f t="shared" si="19"/>
        <v>0</v>
      </c>
      <c r="R96" s="80">
        <f t="shared" si="20"/>
        <v>0</v>
      </c>
      <c r="S96" s="841">
        <f t="shared" si="21"/>
        <v>0</v>
      </c>
    </row>
    <row r="97" spans="13:19" ht="16.5" thickBot="1">
      <c r="M97" s="82" t="s">
        <v>4</v>
      </c>
      <c r="N97" s="93">
        <f>NPV($C$9,N19:N96)</f>
        <v>4313.2010331304928</v>
      </c>
      <c r="O97" s="104">
        <f t="shared" ref="O97:S97" si="25">NPV($C$9,O19:O96)</f>
        <v>3790.1643145361395</v>
      </c>
      <c r="P97" s="93">
        <f t="shared" si="25"/>
        <v>7425.7407254651489</v>
      </c>
      <c r="Q97" s="104">
        <f t="shared" si="25"/>
        <v>6525.2644823346964</v>
      </c>
      <c r="R97" s="93">
        <f t="shared" si="25"/>
        <v>9326.3066503069858</v>
      </c>
      <c r="S97" s="104">
        <f t="shared" si="25"/>
        <v>8195.3598686679143</v>
      </c>
    </row>
    <row r="98" spans="13:19" ht="16.5" thickBot="1">
      <c r="M98" s="82" t="s">
        <v>304</v>
      </c>
      <c r="N98" s="93">
        <f>SUM(N19:N96)</f>
        <v>6242.1426362506627</v>
      </c>
      <c r="O98" s="104">
        <f t="shared" ref="O98:S98" si="26">SUM(O19:O96)</f>
        <v>5485.1944262357838</v>
      </c>
      <c r="P98" s="93">
        <f t="shared" si="26"/>
        <v>10843.939478987617</v>
      </c>
      <c r="Q98" s="104">
        <f t="shared" si="26"/>
        <v>9528.9582207157509</v>
      </c>
      <c r="R98" s="93">
        <f t="shared" si="26"/>
        <v>13665.630010046694</v>
      </c>
      <c r="S98" s="104">
        <f t="shared" si="26"/>
        <v>12008.478807708312</v>
      </c>
    </row>
  </sheetData>
  <mergeCells count="3">
    <mergeCell ref="F16:K16"/>
    <mergeCell ref="N16:S16"/>
    <mergeCell ref="B4:C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K75"/>
  <sheetViews>
    <sheetView rightToLeft="1" topLeftCell="S1" zoomScaleNormal="100" workbookViewId="0">
      <selection activeCell="Z24" sqref="Z24"/>
    </sheetView>
  </sheetViews>
  <sheetFormatPr defaultColWidth="10.42578125" defaultRowHeight="15"/>
  <cols>
    <col min="1" max="1" width="2.28515625" bestFit="1" customWidth="1"/>
    <col min="2" max="2" width="22.7109375" bestFit="1" customWidth="1"/>
    <col min="3" max="3" width="31.140625" bestFit="1" customWidth="1"/>
    <col min="4" max="4" width="15.7109375" bestFit="1" customWidth="1"/>
    <col min="5" max="5" width="2.28515625" bestFit="1" customWidth="1"/>
    <col min="6" max="6" width="9.140625" bestFit="1" customWidth="1"/>
    <col min="7" max="7" width="19.140625" bestFit="1" customWidth="1"/>
    <col min="8" max="8" width="11.28515625" bestFit="1" customWidth="1"/>
    <col min="9" max="9" width="5.28515625" bestFit="1" customWidth="1"/>
    <col min="10" max="10" width="14.140625" customWidth="1"/>
    <col min="11" max="11" width="6.7109375" bestFit="1" customWidth="1"/>
    <col min="12" max="12" width="10.28515625" bestFit="1" customWidth="1"/>
    <col min="13" max="13" width="17.140625" bestFit="1" customWidth="1"/>
    <col min="14" max="14" width="17.140625" customWidth="1"/>
    <col min="15" max="15" width="15.7109375" bestFit="1" customWidth="1"/>
    <col min="16" max="16" width="11.7109375" bestFit="1" customWidth="1"/>
    <col min="17" max="17" width="15.7109375" bestFit="1" customWidth="1"/>
    <col min="18" max="18" width="5.28515625" bestFit="1" customWidth="1"/>
    <col min="19" max="20" width="11.28515625" bestFit="1" customWidth="1"/>
    <col min="21" max="21" width="5.28515625" bestFit="1" customWidth="1"/>
    <col min="22" max="22" width="12" bestFit="1" customWidth="1"/>
    <col min="23" max="23" width="11.5703125" bestFit="1" customWidth="1"/>
    <col min="24" max="24" width="10.140625" bestFit="1" customWidth="1"/>
    <col min="25" max="25" width="13.42578125" bestFit="1" customWidth="1"/>
    <col min="26" max="27" width="14.140625" bestFit="1" customWidth="1"/>
    <col min="28" max="28" width="11.5703125" bestFit="1" customWidth="1"/>
    <col min="29" max="29" width="12.7109375" bestFit="1" customWidth="1"/>
    <col min="30" max="30" width="5.28515625" customWidth="1"/>
    <col min="31" max="32" width="5.7109375" bestFit="1" customWidth="1"/>
    <col min="33" max="54" width="5.28515625" customWidth="1"/>
    <col min="55" max="56" width="11.28515625" bestFit="1" customWidth="1"/>
    <col min="57" max="57" width="5.28515625" bestFit="1" customWidth="1"/>
    <col min="58" max="58" width="12" bestFit="1" customWidth="1"/>
    <col min="59" max="59" width="11.5703125" bestFit="1" customWidth="1"/>
    <col min="60" max="60" width="10.140625" bestFit="1" customWidth="1"/>
    <col min="61" max="61" width="11.7109375" bestFit="1" customWidth="1"/>
    <col min="62" max="62" width="11.7109375" customWidth="1"/>
    <col min="63" max="63" width="10.7109375" bestFit="1" customWidth="1"/>
    <col min="64" max="64" width="11" bestFit="1" customWidth="1"/>
    <col min="65" max="65" width="12.28515625" bestFit="1" customWidth="1"/>
    <col min="66" max="66" width="9.5703125" bestFit="1" customWidth="1"/>
    <col min="67" max="68" width="11.28515625" bestFit="1" customWidth="1"/>
    <col min="69" max="69" width="5.28515625" bestFit="1" customWidth="1"/>
    <col min="70" max="70" width="12" bestFit="1" customWidth="1"/>
    <col min="71" max="71" width="11.5703125" bestFit="1" customWidth="1"/>
    <col min="72" max="72" width="10.140625" bestFit="1" customWidth="1"/>
    <col min="73" max="73" width="11.7109375" bestFit="1" customWidth="1"/>
    <col min="74" max="74" width="11.7109375" customWidth="1"/>
    <col min="75" max="75" width="10.7109375" bestFit="1" customWidth="1"/>
    <col min="76" max="76" width="11" bestFit="1" customWidth="1"/>
    <col min="77" max="77" width="12.28515625" bestFit="1" customWidth="1"/>
    <col min="78" max="78" width="5.28515625" bestFit="1" customWidth="1"/>
    <col min="79" max="89" width="3.28515625" bestFit="1" customWidth="1"/>
  </cols>
  <sheetData>
    <row r="1" spans="1:89" ht="15.75" thickBot="1"/>
    <row r="2" spans="1:89" s="3" customFormat="1" ht="16.5" thickBot="1">
      <c r="A2" s="2">
        <v>1</v>
      </c>
      <c r="B2" s="2">
        <f>+A2+1</f>
        <v>2</v>
      </c>
      <c r="C2" s="2">
        <f t="shared" ref="C2" si="0">+B2+1</f>
        <v>3</v>
      </c>
      <c r="D2" s="2">
        <f t="shared" ref="D2" si="1">+C2+1</f>
        <v>4</v>
      </c>
      <c r="E2" s="2">
        <f t="shared" ref="E2" si="2">+D2+1</f>
        <v>5</v>
      </c>
      <c r="F2" s="2">
        <f t="shared" ref="F2" si="3">+E2+1</f>
        <v>6</v>
      </c>
      <c r="G2" s="2">
        <f t="shared" ref="G2" si="4">+F2+1</f>
        <v>7</v>
      </c>
      <c r="H2" s="2">
        <f t="shared" ref="H2" si="5">+G2+1</f>
        <v>8</v>
      </c>
      <c r="I2" s="2">
        <f t="shared" ref="I2" si="6">+H2+1</f>
        <v>9</v>
      </c>
      <c r="J2" s="2">
        <f t="shared" ref="J2" si="7">+I2+1</f>
        <v>10</v>
      </c>
      <c r="K2" s="2">
        <f t="shared" ref="K2" si="8">+J2+1</f>
        <v>11</v>
      </c>
      <c r="L2" s="2">
        <f t="shared" ref="L2" si="9">+K2+1</f>
        <v>12</v>
      </c>
      <c r="M2" s="2">
        <f t="shared" ref="M2" si="10">+L2+1</f>
        <v>13</v>
      </c>
      <c r="N2" s="2">
        <f t="shared" ref="N2" si="11">+M2+1</f>
        <v>14</v>
      </c>
      <c r="O2" s="2">
        <f t="shared" ref="O2" si="12">+N2+1</f>
        <v>15</v>
      </c>
      <c r="P2" s="2">
        <f t="shared" ref="P2" si="13">+O2+1</f>
        <v>16</v>
      </c>
      <c r="Q2" s="2">
        <f t="shared" ref="Q2" si="14">+P2+1</f>
        <v>17</v>
      </c>
      <c r="R2" s="2">
        <f t="shared" ref="R2" si="15">+Q2+1</f>
        <v>18</v>
      </c>
      <c r="S2" s="2">
        <f t="shared" ref="S2" si="16">+R2+1</f>
        <v>19</v>
      </c>
      <c r="T2" s="2">
        <f t="shared" ref="T2" si="17">+S2+1</f>
        <v>20</v>
      </c>
      <c r="U2" s="2">
        <f t="shared" ref="U2" si="18">+T2+1</f>
        <v>21</v>
      </c>
      <c r="V2" s="2">
        <f t="shared" ref="V2" si="19">+U2+1</f>
        <v>22</v>
      </c>
      <c r="W2" s="2">
        <f t="shared" ref="W2" si="20">+V2+1</f>
        <v>23</v>
      </c>
      <c r="X2" s="2">
        <f t="shared" ref="X2" si="21">+W2+1</f>
        <v>24</v>
      </c>
      <c r="Y2" s="2">
        <f t="shared" ref="Y2" si="22">+X2+1</f>
        <v>25</v>
      </c>
      <c r="Z2" s="2">
        <f t="shared" ref="Z2" si="23">+Y2+1</f>
        <v>26</v>
      </c>
      <c r="AA2" s="2">
        <f t="shared" ref="AA2" si="24">+Z2+1</f>
        <v>27</v>
      </c>
      <c r="AB2" s="2">
        <f t="shared" ref="AB2" si="25">+AA2+1</f>
        <v>28</v>
      </c>
      <c r="AC2" s="2">
        <f t="shared" ref="AC2" si="26">+AB2+1</f>
        <v>29</v>
      </c>
      <c r="AD2" s="2">
        <f t="shared" ref="AD2" si="27">+AC2+1</f>
        <v>30</v>
      </c>
      <c r="AE2" s="2">
        <f t="shared" ref="AE2" si="28">+AD2+1</f>
        <v>31</v>
      </c>
      <c r="AF2" s="2">
        <f t="shared" ref="AF2" si="29">+AE2+1</f>
        <v>32</v>
      </c>
      <c r="AG2" s="2">
        <f t="shared" ref="AG2" si="30">+AF2+1</f>
        <v>33</v>
      </c>
      <c r="AH2" s="2">
        <f t="shared" ref="AH2" si="31">+AG2+1</f>
        <v>34</v>
      </c>
      <c r="AI2" s="2">
        <f t="shared" ref="AI2" si="32">+AH2+1</f>
        <v>35</v>
      </c>
      <c r="AJ2" s="2">
        <f t="shared" ref="AJ2" si="33">+AI2+1</f>
        <v>36</v>
      </c>
      <c r="AK2" s="2">
        <f t="shared" ref="AK2" si="34">+AJ2+1</f>
        <v>37</v>
      </c>
      <c r="AL2" s="2">
        <f t="shared" ref="AL2" si="35">+AK2+1</f>
        <v>38</v>
      </c>
      <c r="AM2" s="2">
        <f t="shared" ref="AM2" si="36">+AL2+1</f>
        <v>39</v>
      </c>
      <c r="AN2" s="2">
        <f t="shared" ref="AN2" si="37">+AM2+1</f>
        <v>40</v>
      </c>
      <c r="AO2" s="2">
        <f t="shared" ref="AO2" si="38">+AN2+1</f>
        <v>41</v>
      </c>
      <c r="AP2" s="2">
        <f t="shared" ref="AP2" si="39">+AO2+1</f>
        <v>42</v>
      </c>
      <c r="AQ2" s="2">
        <f t="shared" ref="AQ2" si="40">+AP2+1</f>
        <v>43</v>
      </c>
      <c r="AR2" s="2">
        <f t="shared" ref="AR2" si="41">+AQ2+1</f>
        <v>44</v>
      </c>
      <c r="AS2" s="2">
        <f t="shared" ref="AS2" si="42">+AR2+1</f>
        <v>45</v>
      </c>
      <c r="AT2" s="2">
        <f t="shared" ref="AT2" si="43">+AS2+1</f>
        <v>46</v>
      </c>
      <c r="AU2" s="2">
        <f t="shared" ref="AU2" si="44">+AT2+1</f>
        <v>47</v>
      </c>
      <c r="AV2" s="2">
        <f t="shared" ref="AV2" si="45">+AU2+1</f>
        <v>48</v>
      </c>
      <c r="AW2" s="2">
        <f t="shared" ref="AW2" si="46">+AV2+1</f>
        <v>49</v>
      </c>
      <c r="AX2" s="2">
        <f t="shared" ref="AX2" si="47">+AW2+1</f>
        <v>50</v>
      </c>
      <c r="AY2" s="2">
        <f t="shared" ref="AY2" si="48">+AX2+1</f>
        <v>51</v>
      </c>
      <c r="AZ2" s="2">
        <f t="shared" ref="AZ2" si="49">+AY2+1</f>
        <v>52</v>
      </c>
      <c r="BA2" s="2">
        <f t="shared" ref="BA2" si="50">+AZ2+1</f>
        <v>53</v>
      </c>
      <c r="BB2" s="2">
        <f t="shared" ref="BB2" si="51">+BA2+1</f>
        <v>54</v>
      </c>
      <c r="BC2" s="2">
        <f t="shared" ref="BC2" si="52">+BB2+1</f>
        <v>55</v>
      </c>
      <c r="BD2" s="2">
        <f t="shared" ref="BD2" si="53">+BC2+1</f>
        <v>56</v>
      </c>
      <c r="BE2" s="2">
        <f t="shared" ref="BE2" si="54">+BD2+1</f>
        <v>57</v>
      </c>
      <c r="BF2" s="2">
        <f t="shared" ref="BF2" si="55">+BE2+1</f>
        <v>58</v>
      </c>
      <c r="BG2" s="2">
        <f t="shared" ref="BG2" si="56">+BF2+1</f>
        <v>59</v>
      </c>
      <c r="BH2" s="2">
        <f t="shared" ref="BH2" si="57">+BG2+1</f>
        <v>60</v>
      </c>
      <c r="BI2" s="2">
        <f t="shared" ref="BI2" si="58">+BH2+1</f>
        <v>61</v>
      </c>
      <c r="BJ2" s="2">
        <f t="shared" ref="BJ2" si="59">+BI2+1</f>
        <v>62</v>
      </c>
      <c r="BK2" s="2">
        <f t="shared" ref="BK2" si="60">+BJ2+1</f>
        <v>63</v>
      </c>
      <c r="BL2" s="2">
        <f t="shared" ref="BL2" si="61">+BK2+1</f>
        <v>64</v>
      </c>
      <c r="BM2" s="2">
        <f t="shared" ref="BM2" si="62">+BL2+1</f>
        <v>65</v>
      </c>
      <c r="BN2" s="2">
        <f t="shared" ref="BN2" si="63">+BM2+1</f>
        <v>66</v>
      </c>
      <c r="BO2" s="2">
        <f t="shared" ref="BO2" si="64">+BN2+1</f>
        <v>67</v>
      </c>
      <c r="BP2" s="2">
        <f t="shared" ref="BP2" si="65">+BO2+1</f>
        <v>68</v>
      </c>
      <c r="BQ2" s="2">
        <f t="shared" ref="BQ2" si="66">+BP2+1</f>
        <v>69</v>
      </c>
      <c r="BR2" s="2">
        <f t="shared" ref="BR2" si="67">+BQ2+1</f>
        <v>70</v>
      </c>
      <c r="BS2" s="2">
        <f t="shared" ref="BS2" si="68">+BR2+1</f>
        <v>71</v>
      </c>
      <c r="BT2" s="2">
        <f t="shared" ref="BT2" si="69">+BS2+1</f>
        <v>72</v>
      </c>
      <c r="BU2" s="2">
        <f t="shared" ref="BU2" si="70">+BT2+1</f>
        <v>73</v>
      </c>
      <c r="BV2" s="2">
        <f t="shared" ref="BV2" si="71">+BU2+1</f>
        <v>74</v>
      </c>
      <c r="BW2" s="2">
        <f t="shared" ref="BW2" si="72">+BV2+1</f>
        <v>75</v>
      </c>
      <c r="BX2" s="2">
        <f t="shared" ref="BX2" si="73">+BW2+1</f>
        <v>76</v>
      </c>
      <c r="BY2" s="2">
        <f t="shared" ref="BY2" si="74">+BX2+1</f>
        <v>77</v>
      </c>
      <c r="BZ2" s="2">
        <f t="shared" ref="BZ2" si="75">+BY2+1</f>
        <v>78</v>
      </c>
      <c r="CA2" s="2">
        <f t="shared" ref="CA2" si="76">+BZ2+1</f>
        <v>79</v>
      </c>
      <c r="CB2" s="2">
        <f t="shared" ref="CB2" si="77">+CA2+1</f>
        <v>80</v>
      </c>
      <c r="CC2" s="2">
        <f t="shared" ref="CC2" si="78">+CB2+1</f>
        <v>81</v>
      </c>
      <c r="CD2" s="2">
        <f t="shared" ref="CD2" si="79">+CC2+1</f>
        <v>82</v>
      </c>
      <c r="CE2" s="2">
        <f t="shared" ref="CE2" si="80">+CD2+1</f>
        <v>83</v>
      </c>
      <c r="CF2" s="2">
        <f t="shared" ref="CF2" si="81">+CE2+1</f>
        <v>84</v>
      </c>
      <c r="CG2" s="2">
        <f t="shared" ref="CG2" si="82">+CF2+1</f>
        <v>85</v>
      </c>
      <c r="CH2" s="2">
        <f t="shared" ref="CH2" si="83">+CG2+1</f>
        <v>86</v>
      </c>
      <c r="CI2" s="2">
        <f t="shared" ref="CI2" si="84">+CH2+1</f>
        <v>87</v>
      </c>
      <c r="CJ2" s="2">
        <f t="shared" ref="CJ2" si="85">+CI2+1</f>
        <v>88</v>
      </c>
      <c r="CK2" s="2">
        <f t="shared" ref="CK2" si="86">+CJ2+1</f>
        <v>89</v>
      </c>
    </row>
    <row r="3" spans="1:89" ht="15.75" thickBot="1"/>
    <row r="4" spans="1:89" ht="15.75">
      <c r="C4" s="368" t="str">
        <f>'הנחות עבודה'!B6</f>
        <v>שנת התחלת חישוב תזרים</v>
      </c>
      <c r="D4" s="18">
        <f>'הנחות עבודה'!C6</f>
        <v>2020</v>
      </c>
    </row>
    <row r="5" spans="1:89" ht="16.5" thickBot="1">
      <c r="C5" s="369" t="str">
        <f>'הנחות עבודה'!B7</f>
        <v>שנת היוון מקסימלית - תפעולי</v>
      </c>
      <c r="D5" s="19">
        <f>'הנחות עבודה'!C7</f>
        <v>2040</v>
      </c>
    </row>
    <row r="6" spans="1:89" ht="15.75">
      <c r="B6" s="1249" t="str">
        <f>'הנחות עבודה'!B9</f>
        <v>הנחות כלליות</v>
      </c>
      <c r="C6" s="366" t="str">
        <f>'הנחות עבודה'!C9</f>
        <v>ריבית שנתית להיוון</v>
      </c>
      <c r="D6" s="367">
        <f>'הנחות עבודה'!D9</f>
        <v>0.03</v>
      </c>
    </row>
    <row r="7" spans="1:89" ht="15.75">
      <c r="B7" s="1250"/>
      <c r="C7" s="184" t="str">
        <f>'הנחות עבודה'!C11</f>
        <v>שער הדולר שקל</v>
      </c>
      <c r="D7" s="193">
        <f>'הנחות עבודה'!D11</f>
        <v>3.5643360655737717</v>
      </c>
    </row>
    <row r="8" spans="1:89" ht="15.75">
      <c r="B8" s="1250"/>
      <c r="C8" s="185" t="str">
        <f>'הנחות עבודה'!C13</f>
        <v>MW TO KW / KW TO W</v>
      </c>
      <c r="D8" s="188">
        <f>'הנחות עבודה'!D13</f>
        <v>1000</v>
      </c>
    </row>
    <row r="9" spans="1:89" ht="15.75">
      <c r="B9" s="1250"/>
      <c r="C9" s="185" t="str">
        <f>'הנחות עבודה'!C14</f>
        <v>TW TO MW</v>
      </c>
      <c r="D9" s="188">
        <f>'הנחות עבודה'!D14</f>
        <v>1000000</v>
      </c>
    </row>
    <row r="10" spans="1:89" ht="15.75">
      <c r="B10" s="1250"/>
      <c r="C10" s="186" t="str">
        <f>'הנחות עבודה'!C15</f>
        <v>₪ לאג</v>
      </c>
      <c r="D10" s="188">
        <f>'הנחות עבודה'!D15</f>
        <v>100</v>
      </c>
    </row>
    <row r="11" spans="1:89" ht="16.5" thickBot="1">
      <c r="B11" s="1251"/>
      <c r="C11" s="347" t="str">
        <f>'הנחות עבודה'!C16</f>
        <v>מלש"ח ל- ₪ / טון לגר' / מיליון טון לטון</v>
      </c>
      <c r="D11" s="348">
        <f>'הנחות עבודה'!D16</f>
        <v>1000000</v>
      </c>
    </row>
    <row r="12" spans="1:89" ht="16.5" thickBot="1">
      <c r="B12" s="295" t="str">
        <f>'הנחות עבודה'!M31</f>
        <v>שיעור הפחתת כמות שנתי</v>
      </c>
      <c r="C12" s="182" t="str">
        <f>$F$19</f>
        <v>CO2</v>
      </c>
      <c r="D12" s="191">
        <f>VLOOKUP(C12,'הנחות עבודה'!$L$32:$N$35,2,FALSE)</f>
        <v>0</v>
      </c>
      <c r="I12" s="244"/>
      <c r="J12" s="244"/>
      <c r="K12" s="244"/>
      <c r="L12" s="244"/>
      <c r="M12" s="244"/>
      <c r="N12" s="244"/>
      <c r="O12" s="244"/>
    </row>
    <row r="13" spans="1:89" ht="16.5" thickBot="1">
      <c r="B13" s="82" t="str">
        <f>'הנחות עבודה'!N31</f>
        <v>שיעור עלית מחיר</v>
      </c>
      <c r="C13" s="347" t="str">
        <f>$F$19</f>
        <v>CO2</v>
      </c>
      <c r="D13" s="352">
        <f>VLOOKUP(C13,'הנחות עבודה'!$L$32:$N$35,3,FALSE)</f>
        <v>0.02</v>
      </c>
    </row>
    <row r="14" spans="1:89" ht="16.5" thickBot="1">
      <c r="B14" s="359" t="s">
        <v>250</v>
      </c>
      <c r="C14" s="353" t="str">
        <f>F19</f>
        <v>CO2</v>
      </c>
      <c r="D14" s="358">
        <f>VLOOKUP(C14,'הנחות עבודה'!L39:M42,2,FALSE)</f>
        <v>140</v>
      </c>
    </row>
    <row r="16" spans="1:89" ht="15.75" thickBot="1">
      <c r="I16" s="244"/>
      <c r="J16" s="244"/>
      <c r="K16" s="244"/>
      <c r="L16" s="244"/>
      <c r="M16" s="244"/>
      <c r="N16" s="244"/>
      <c r="O16" s="244"/>
    </row>
    <row r="17" spans="6:78" ht="16.5" thickBot="1">
      <c r="F17" s="1243" t="s">
        <v>243</v>
      </c>
      <c r="G17" s="1244"/>
      <c r="H17" s="1244"/>
      <c r="I17" s="1244"/>
      <c r="J17" s="1244"/>
      <c r="K17" s="1244"/>
      <c r="L17" s="1244"/>
      <c r="M17" s="1244"/>
      <c r="N17" s="1244"/>
      <c r="O17" s="1244"/>
      <c r="P17" s="1244"/>
      <c r="Q17" s="1244"/>
      <c r="R17" s="1245"/>
    </row>
    <row r="18" spans="6:78" ht="79.5" thickBot="1">
      <c r="F18" s="357"/>
      <c r="G18" s="335" t="str">
        <f t="shared" ref="G18:L18" ca="1" si="87">G23</f>
        <v>מוטה קרקע PV</v>
      </c>
      <c r="H18" s="336" t="str">
        <f t="shared" ca="1" si="87"/>
        <v>מוטה דואלי PV</v>
      </c>
      <c r="I18" s="336" t="str">
        <f t="shared" ca="1" si="87"/>
        <v>רוח</v>
      </c>
      <c r="J18" s="336" t="str">
        <f t="shared" ca="1" si="87"/>
        <v>ביומסה/ביוגז</v>
      </c>
      <c r="K18" s="336" t="str">
        <f t="shared" ca="1" si="87"/>
        <v>תרמו סולארי</v>
      </c>
      <c r="L18" s="336" t="str">
        <f t="shared" si="87"/>
        <v>אחר</v>
      </c>
      <c r="M18" s="336" t="str">
        <f t="shared" ref="M18:R18" ca="1" si="88">M23</f>
        <v>גז פחמיות מוסבות</v>
      </c>
      <c r="N18" s="336" t="str">
        <f t="shared" ca="1" si="88"/>
        <v>גז חח"י מחזמים ופקירים ויח"פים</v>
      </c>
      <c r="O18" s="336" t="str">
        <f t="shared" ca="1" si="88"/>
        <v>אחר 1</v>
      </c>
      <c r="P18" s="336" t="str">
        <f t="shared" ca="1" si="88"/>
        <v>אחר 2</v>
      </c>
      <c r="Q18" s="336" t="str">
        <f t="shared" si="88"/>
        <v>יחידה פחמית</v>
      </c>
      <c r="R18" s="337" t="str">
        <f t="shared" si="88"/>
        <v>סולר ופצלי שמן</v>
      </c>
    </row>
    <row r="19" spans="6:78" ht="16.5" thickBot="1">
      <c r="F19" s="335" t="s">
        <v>240</v>
      </c>
      <c r="G19" s="354">
        <f ca="1">HLOOKUP(G18,'הנחות עבודה'!$C$117:$N$121,MATCH('גזי חממה (CO2)'!$F$19,'הנחות עבודה'!$B$117:$B$121,0),FALSE)</f>
        <v>0</v>
      </c>
      <c r="H19" s="355">
        <f ca="1">HLOOKUP(H18,'הנחות עבודה'!$C$117:$N$121,MATCH('גזי חממה (CO2)'!$F$19,'הנחות עבודה'!$B$117:$B$121,0),FALSE)</f>
        <v>0</v>
      </c>
      <c r="I19" s="355">
        <f ca="1">HLOOKUP(I18,'הנחות עבודה'!$C$117:$N$121,MATCH('גזי חממה (CO2)'!$F$19,'הנחות עבודה'!$B$117:$B$121,0),FALSE)</f>
        <v>0</v>
      </c>
      <c r="J19" s="355">
        <f ca="1">HLOOKUP(J18,'הנחות עבודה'!$C$117:$N$121,MATCH('גזי חממה (CO2)'!$F$19,'הנחות עבודה'!$B$117:$B$121,0),FALSE)</f>
        <v>0</v>
      </c>
      <c r="K19" s="355">
        <f ca="1">HLOOKUP(K18,'הנחות עבודה'!$C$117:$N$121,MATCH('גזי חממה (CO2)'!$F$19,'הנחות עבודה'!$B$117:$B$121,0),FALSE)</f>
        <v>0</v>
      </c>
      <c r="L19" s="355">
        <f ca="1">HLOOKUP(L18,'הנחות עבודה'!$C$117:$N$121,MATCH('גזי חממה (CO2)'!$F$19,'הנחות עבודה'!$B$117:$B$121,0),FALSE)</f>
        <v>0</v>
      </c>
      <c r="M19" s="355">
        <f ca="1">HLOOKUP(M18,'הנחות עבודה'!$C$117:$N$121,MATCH('גזי חממה (CO2)'!$F$19,'הנחות עבודה'!$B$117:$B$121,0),FALSE)</f>
        <v>474</v>
      </c>
      <c r="N19" s="355">
        <f ca="1">HLOOKUP(N18,'הנחות עבודה'!$C$117:$N$121,MATCH('גזי חממה (CO2)'!$F$19,'הנחות עבודה'!$B$117:$B$121,0),FALSE)</f>
        <v>369</v>
      </c>
      <c r="O19" s="355">
        <f ca="1">HLOOKUP(O18,'הנחות עבודה'!$C$117:$N$121,MATCH('גזי חממה (CO2)'!$F$19,'הנחות עבודה'!$B$117:$B$121,0),FALSE)</f>
        <v>0</v>
      </c>
      <c r="P19" s="355">
        <f ca="1">HLOOKUP(P18,'הנחות עבודה'!$C$117:$N$121,MATCH('גזי חממה (CO2)'!$F$19,'הנחות עבודה'!$B$117:$B$121,0),FALSE)</f>
        <v>0</v>
      </c>
      <c r="Q19" s="355">
        <f ca="1">HLOOKUP(Q18,'הנחות עבודה'!$C$117:$N$121,MATCH('גזי חממה (CO2)'!$F$19,'הנחות עבודה'!$B$117:$B$121,0),FALSE)</f>
        <v>880</v>
      </c>
      <c r="R19" s="356">
        <f ca="1">HLOOKUP(R18,'הנחות עבודה'!$C$117:$N$121,MATCH('גזי חממה (CO2)'!$F$19,'הנחות עבודה'!$B$117:$B$121,0),FALSE)</f>
        <v>0</v>
      </c>
    </row>
    <row r="20" spans="6:78" ht="15.75" thickBot="1">
      <c r="I20" s="244"/>
      <c r="J20" s="244"/>
      <c r="K20" s="244"/>
      <c r="L20" s="244"/>
      <c r="M20" s="244"/>
      <c r="N20" s="244"/>
      <c r="O20" s="244"/>
    </row>
    <row r="21" spans="6:78" ht="16.5" thickBot="1">
      <c r="G21" s="1243" t="s">
        <v>258</v>
      </c>
      <c r="H21" s="1244"/>
      <c r="I21" s="1244"/>
      <c r="J21" s="1244"/>
      <c r="K21" s="1244"/>
      <c r="L21" s="1244"/>
      <c r="M21" s="1244"/>
      <c r="N21" s="1244"/>
      <c r="O21" s="1244"/>
      <c r="P21" s="1244"/>
      <c r="Q21" s="1244"/>
      <c r="R21" s="1244"/>
      <c r="S21" s="1244"/>
      <c r="T21" s="1244"/>
      <c r="U21" s="1244"/>
      <c r="V21" s="1244"/>
      <c r="W21" s="1244"/>
      <c r="X21" s="1244"/>
      <c r="Y21" s="1244"/>
      <c r="Z21" s="1244"/>
      <c r="AA21" s="1244"/>
      <c r="AB21" s="1244"/>
      <c r="AC21" s="1244"/>
      <c r="AD21" s="1244"/>
      <c r="AE21" s="1244"/>
      <c r="AF21" s="1244"/>
      <c r="AG21" s="1244"/>
      <c r="AH21" s="1244"/>
      <c r="AI21" s="1244"/>
      <c r="AJ21" s="1244"/>
      <c r="AK21" s="1244"/>
      <c r="AL21" s="1244"/>
      <c r="AM21" s="1244"/>
      <c r="AN21" s="1244"/>
      <c r="AO21" s="1244"/>
      <c r="AP21" s="1244"/>
      <c r="AQ21" s="1244"/>
      <c r="AR21" s="1244"/>
      <c r="AS21" s="1244"/>
      <c r="AT21" s="1244"/>
      <c r="AU21" s="1244"/>
      <c r="AV21" s="1244"/>
      <c r="AW21" s="1244"/>
      <c r="AX21" s="1244"/>
      <c r="AY21" s="1244"/>
      <c r="AZ21" s="1244"/>
      <c r="BA21" s="1244"/>
      <c r="BB21" s="1244"/>
      <c r="BC21" s="1244"/>
      <c r="BD21" s="1244"/>
      <c r="BE21" s="1244"/>
      <c r="BF21" s="1244"/>
      <c r="BG21" s="1244"/>
      <c r="BH21" s="1244"/>
      <c r="BI21" s="1244"/>
      <c r="BJ21" s="1244"/>
      <c r="BK21" s="1244"/>
      <c r="BL21" s="1244"/>
      <c r="BM21" s="1244"/>
      <c r="BN21" s="1244"/>
      <c r="BO21" s="1244"/>
      <c r="BP21" s="1244"/>
      <c r="BQ21" s="1244"/>
      <c r="BR21" s="1244"/>
      <c r="BS21" s="1244"/>
      <c r="BT21" s="1244"/>
      <c r="BU21" s="1244"/>
      <c r="BV21" s="1244"/>
      <c r="BW21" s="1244"/>
      <c r="BX21" s="1244"/>
      <c r="BY21" s="1244"/>
      <c r="BZ21" s="1245"/>
    </row>
    <row r="22" spans="6:78" ht="16.5" thickBot="1">
      <c r="G22" s="1289" t="s">
        <v>46</v>
      </c>
      <c r="H22" s="1290"/>
      <c r="I22" s="1290"/>
      <c r="J22" s="1290"/>
      <c r="K22" s="1290"/>
      <c r="L22" s="1290"/>
      <c r="M22" s="1290"/>
      <c r="N22" s="1290"/>
      <c r="O22" s="1290"/>
      <c r="P22" s="1290"/>
      <c r="Q22" s="1290"/>
      <c r="R22" s="1296"/>
      <c r="S22" s="1291" t="s">
        <v>47</v>
      </c>
      <c r="T22" s="1292"/>
      <c r="U22" s="1292"/>
      <c r="V22" s="1292"/>
      <c r="W22" s="1292"/>
      <c r="X22" s="1292"/>
      <c r="Y22" s="1292"/>
      <c r="Z22" s="1292"/>
      <c r="AA22" s="1292"/>
      <c r="AB22" s="1292"/>
      <c r="AC22" s="1292"/>
      <c r="AD22" s="1293"/>
      <c r="AE22" s="1289" t="s">
        <v>342</v>
      </c>
      <c r="AF22" s="1290"/>
      <c r="AG22" s="1290"/>
      <c r="AH22" s="1290"/>
      <c r="AI22" s="1290"/>
      <c r="AJ22" s="1290"/>
      <c r="AK22" s="1290"/>
      <c r="AL22" s="1290"/>
      <c r="AM22" s="1290"/>
      <c r="AN22" s="1290"/>
      <c r="AO22" s="1290"/>
      <c r="AP22" s="1296"/>
      <c r="AQ22" s="1291" t="s">
        <v>343</v>
      </c>
      <c r="AR22" s="1292"/>
      <c r="AS22" s="1292"/>
      <c r="AT22" s="1292"/>
      <c r="AU22" s="1292"/>
      <c r="AV22" s="1292"/>
      <c r="AW22" s="1292"/>
      <c r="AX22" s="1292"/>
      <c r="AY22" s="1292"/>
      <c r="AZ22" s="1292"/>
      <c r="BA22" s="1292"/>
      <c r="BB22" s="1293"/>
      <c r="BC22" s="1289" t="s">
        <v>344</v>
      </c>
      <c r="BD22" s="1290"/>
      <c r="BE22" s="1290"/>
      <c r="BF22" s="1290"/>
      <c r="BG22" s="1290"/>
      <c r="BH22" s="1290"/>
      <c r="BI22" s="1290"/>
      <c r="BJ22" s="1290"/>
      <c r="BK22" s="1290"/>
      <c r="BL22" s="1290"/>
      <c r="BM22" s="1290"/>
      <c r="BN22" s="1296"/>
      <c r="BO22" s="1291" t="s">
        <v>345</v>
      </c>
      <c r="BP22" s="1292"/>
      <c r="BQ22" s="1292"/>
      <c r="BR22" s="1292"/>
      <c r="BS22" s="1292"/>
      <c r="BT22" s="1292"/>
      <c r="BU22" s="1292"/>
      <c r="BV22" s="1292"/>
      <c r="BW22" s="1292"/>
      <c r="BX22" s="1292"/>
      <c r="BY22" s="1292"/>
      <c r="BZ22" s="1293"/>
    </row>
    <row r="23" spans="6:78" ht="48" customHeight="1" thickBot="1">
      <c r="F23" s="7" t="s">
        <v>0</v>
      </c>
      <c r="G23" s="38" t="str">
        <f ca="1">'התפלגות ייצור וסל דלקים'!C62</f>
        <v>מוטה קרקע PV</v>
      </c>
      <c r="H23" s="38" t="str">
        <f ca="1">'התפלגות ייצור וסל דלקים'!D62</f>
        <v>מוטה דואלי PV</v>
      </c>
      <c r="I23" s="38" t="str">
        <f ca="1">'התפלגות ייצור וסל דלקים'!E62</f>
        <v>רוח</v>
      </c>
      <c r="J23" s="38" t="str">
        <f ca="1">'התפלגות ייצור וסל דלקים'!F62</f>
        <v>ביומסה/ביוגז</v>
      </c>
      <c r="K23" s="38" t="str">
        <f ca="1">'התפלגות ייצור וסל דלקים'!G62</f>
        <v>תרמו סולארי</v>
      </c>
      <c r="L23" s="38" t="str">
        <f>'התפלגות ייצור וסל דלקים'!H62</f>
        <v>אחר</v>
      </c>
      <c r="M23" s="38" t="str">
        <f ca="1">'התפלגות ייצור וסל דלקים'!I62</f>
        <v>גז פחמיות מוסבות</v>
      </c>
      <c r="N23" s="38" t="str">
        <f ca="1">'התפלגות ייצור וסל דלקים'!J62</f>
        <v>גז חח"י מחזמים ופקירים ויח"פים</v>
      </c>
      <c r="O23" s="38" t="str">
        <f ca="1">'התפלגות ייצור וסל דלקים'!K62</f>
        <v>אחר 1</v>
      </c>
      <c r="P23" s="38" t="str">
        <f ca="1">'התפלגות ייצור וסל דלקים'!L62</f>
        <v>אחר 2</v>
      </c>
      <c r="Q23" s="38" t="str">
        <f>'התפלגות ייצור וסל דלקים'!M62</f>
        <v>יחידה פחמית</v>
      </c>
      <c r="R23" s="38" t="str">
        <f>'התפלגות ייצור וסל דלקים'!N62</f>
        <v>סולר ופצלי שמן</v>
      </c>
      <c r="S23" s="48" t="str">
        <f t="shared" ref="S23:BZ23" ca="1" si="89">G23</f>
        <v>מוטה קרקע PV</v>
      </c>
      <c r="T23" s="48" t="str">
        <f t="shared" ca="1" si="89"/>
        <v>מוטה דואלי PV</v>
      </c>
      <c r="U23" s="48" t="str">
        <f t="shared" ca="1" si="89"/>
        <v>רוח</v>
      </c>
      <c r="V23" s="48" t="str">
        <f t="shared" ca="1" si="89"/>
        <v>ביומסה/ביוגז</v>
      </c>
      <c r="W23" s="48" t="str">
        <f t="shared" ca="1" si="89"/>
        <v>תרמו סולארי</v>
      </c>
      <c r="X23" s="48" t="str">
        <f t="shared" si="89"/>
        <v>אחר</v>
      </c>
      <c r="Y23" s="48" t="str">
        <f t="shared" ca="1" si="89"/>
        <v>גז פחמיות מוסבות</v>
      </c>
      <c r="Z23" s="48" t="str">
        <f t="shared" ca="1" si="89"/>
        <v>גז חח"י מחזמים ופקירים ויח"פים</v>
      </c>
      <c r="AA23" s="48" t="str">
        <f t="shared" ca="1" si="89"/>
        <v>אחר 1</v>
      </c>
      <c r="AB23" s="48" t="str">
        <f t="shared" ca="1" si="89"/>
        <v>אחר 2</v>
      </c>
      <c r="AC23" s="48" t="str">
        <f t="shared" si="89"/>
        <v>יחידה פחמית</v>
      </c>
      <c r="AD23" s="48" t="str">
        <f t="shared" si="89"/>
        <v>סולר ופצלי שמן</v>
      </c>
      <c r="AE23" s="38" t="str">
        <f t="shared" ref="AE23" ca="1" si="90">S23</f>
        <v>מוטה קרקע PV</v>
      </c>
      <c r="AF23" s="38" t="str">
        <f t="shared" ref="AF23" ca="1" si="91">T23</f>
        <v>מוטה דואלי PV</v>
      </c>
      <c r="AG23" s="38" t="str">
        <f t="shared" ref="AG23" ca="1" si="92">U23</f>
        <v>רוח</v>
      </c>
      <c r="AH23" s="38" t="str">
        <f t="shared" ref="AH23" ca="1" si="93">V23</f>
        <v>ביומסה/ביוגז</v>
      </c>
      <c r="AI23" s="38" t="str">
        <f t="shared" ref="AI23" ca="1" si="94">W23</f>
        <v>תרמו סולארי</v>
      </c>
      <c r="AJ23" s="38" t="str">
        <f t="shared" ref="AJ23" si="95">X23</f>
        <v>אחר</v>
      </c>
      <c r="AK23" s="38" t="str">
        <f t="shared" ref="AK23" ca="1" si="96">Y23</f>
        <v>גז פחמיות מוסבות</v>
      </c>
      <c r="AL23" s="38" t="str">
        <f t="shared" ref="AL23" ca="1" si="97">Z23</f>
        <v>גז חח"י מחזמים ופקירים ויח"פים</v>
      </c>
      <c r="AM23" s="38" t="str">
        <f t="shared" ref="AM23" ca="1" si="98">AA23</f>
        <v>אחר 1</v>
      </c>
      <c r="AN23" s="38" t="str">
        <f t="shared" ref="AN23" ca="1" si="99">AB23</f>
        <v>אחר 2</v>
      </c>
      <c r="AO23" s="38" t="str">
        <f t="shared" ref="AO23" si="100">AC23</f>
        <v>יחידה פחמית</v>
      </c>
      <c r="AP23" s="38" t="str">
        <f t="shared" ref="AP23" si="101">AD23</f>
        <v>סולר ופצלי שמן</v>
      </c>
      <c r="AQ23" s="48" t="str">
        <f t="shared" ref="AQ23" ca="1" si="102">AE23</f>
        <v>מוטה קרקע PV</v>
      </c>
      <c r="AR23" s="48" t="str">
        <f t="shared" ref="AR23" ca="1" si="103">AF23</f>
        <v>מוטה דואלי PV</v>
      </c>
      <c r="AS23" s="48" t="str">
        <f t="shared" ref="AS23" ca="1" si="104">AG23</f>
        <v>רוח</v>
      </c>
      <c r="AT23" s="48" t="str">
        <f t="shared" ref="AT23" ca="1" si="105">AH23</f>
        <v>ביומסה/ביוגז</v>
      </c>
      <c r="AU23" s="48" t="str">
        <f t="shared" ref="AU23" ca="1" si="106">AI23</f>
        <v>תרמו סולארי</v>
      </c>
      <c r="AV23" s="48" t="str">
        <f t="shared" ref="AV23" si="107">AJ23</f>
        <v>אחר</v>
      </c>
      <c r="AW23" s="48" t="str">
        <f t="shared" ref="AW23" ca="1" si="108">AK23</f>
        <v>גז פחמיות מוסבות</v>
      </c>
      <c r="AX23" s="48" t="str">
        <f t="shared" ref="AX23" ca="1" si="109">AL23</f>
        <v>גז חח"י מחזמים ופקירים ויח"פים</v>
      </c>
      <c r="AY23" s="48" t="str">
        <f t="shared" ref="AY23" ca="1" si="110">AM23</f>
        <v>אחר 1</v>
      </c>
      <c r="AZ23" s="48" t="str">
        <f t="shared" ref="AZ23" ca="1" si="111">AN23</f>
        <v>אחר 2</v>
      </c>
      <c r="BA23" s="48" t="str">
        <f t="shared" ref="BA23" si="112">AO23</f>
        <v>יחידה פחמית</v>
      </c>
      <c r="BB23" s="48" t="str">
        <f t="shared" ref="BB23" si="113">AP23</f>
        <v>סולר ופצלי שמן</v>
      </c>
      <c r="BC23" s="38" t="str">
        <f t="shared" ref="BC23:BN23" ca="1" si="114">S23</f>
        <v>מוטה קרקע PV</v>
      </c>
      <c r="BD23" s="38" t="str">
        <f t="shared" ca="1" si="114"/>
        <v>מוטה דואלי PV</v>
      </c>
      <c r="BE23" s="38" t="str">
        <f t="shared" ca="1" si="114"/>
        <v>רוח</v>
      </c>
      <c r="BF23" s="38" t="str">
        <f t="shared" ca="1" si="114"/>
        <v>ביומסה/ביוגז</v>
      </c>
      <c r="BG23" s="38" t="str">
        <f t="shared" ca="1" si="114"/>
        <v>תרמו סולארי</v>
      </c>
      <c r="BH23" s="38" t="str">
        <f t="shared" si="114"/>
        <v>אחר</v>
      </c>
      <c r="BI23" s="38" t="str">
        <f t="shared" ca="1" si="114"/>
        <v>גז פחמיות מוסבות</v>
      </c>
      <c r="BJ23" s="38" t="str">
        <f t="shared" ca="1" si="114"/>
        <v>גז חח"י מחזמים ופקירים ויח"פים</v>
      </c>
      <c r="BK23" s="38" t="str">
        <f t="shared" ca="1" si="114"/>
        <v>אחר 1</v>
      </c>
      <c r="BL23" s="38" t="str">
        <f t="shared" ca="1" si="114"/>
        <v>אחר 2</v>
      </c>
      <c r="BM23" s="38" t="str">
        <f t="shared" si="114"/>
        <v>יחידה פחמית</v>
      </c>
      <c r="BN23" s="38" t="str">
        <f t="shared" si="114"/>
        <v>סולר ופצלי שמן</v>
      </c>
      <c r="BO23" s="48" t="str">
        <f t="shared" ca="1" si="89"/>
        <v>מוטה קרקע PV</v>
      </c>
      <c r="BP23" s="48" t="str">
        <f t="shared" ca="1" si="89"/>
        <v>מוטה דואלי PV</v>
      </c>
      <c r="BQ23" s="48" t="str">
        <f t="shared" ca="1" si="89"/>
        <v>רוח</v>
      </c>
      <c r="BR23" s="48" t="str">
        <f t="shared" ca="1" si="89"/>
        <v>ביומסה/ביוגז</v>
      </c>
      <c r="BS23" s="48" t="str">
        <f t="shared" ca="1" si="89"/>
        <v>תרמו סולארי</v>
      </c>
      <c r="BT23" s="48" t="str">
        <f t="shared" si="89"/>
        <v>אחר</v>
      </c>
      <c r="BU23" s="48" t="str">
        <f t="shared" ca="1" si="89"/>
        <v>גז פחמיות מוסבות</v>
      </c>
      <c r="BV23" s="48" t="str">
        <f t="shared" ca="1" si="89"/>
        <v>גז חח"י מחזמים ופקירים ויח"פים</v>
      </c>
      <c r="BW23" s="48" t="str">
        <f t="shared" ca="1" si="89"/>
        <v>אחר 1</v>
      </c>
      <c r="BX23" s="48" t="str">
        <f t="shared" ca="1" si="89"/>
        <v>אחר 2</v>
      </c>
      <c r="BY23" s="48" t="str">
        <f t="shared" si="89"/>
        <v>יחידה פחמית</v>
      </c>
      <c r="BZ23" s="48" t="str">
        <f t="shared" si="89"/>
        <v>סולר ופצלי שמן</v>
      </c>
    </row>
    <row r="24" spans="6:78" ht="15.75">
      <c r="F24" s="8">
        <f>D4</f>
        <v>2020</v>
      </c>
      <c r="G24" s="39">
        <f ca="1">IF(OR($F24&gt;$D$5,$F24&gt;MAX('הנחות עבודה'!$B$69:$B$89)),0,(VLOOKUP($F24,'התפלגות ייצור וסל דלקים'!$B$64:$BV$84,G$2-$E$2,FALSE))*$D$9*$D$8*(HLOOKUP(G$23,$G$18:$R$19,2,FALSE)*(1-$D$12)^($F24-'הנחות עבודה'!$C$5)/$D$11)/$D$11)</f>
        <v>0</v>
      </c>
      <c r="H24" s="41">
        <f ca="1">IF(OR($F24&gt;$D$5,$F24&gt;MAX('הנחות עבודה'!$B$69:$B$89)),0,(VLOOKUP($F24,'התפלגות ייצור וסל דלקים'!$B$64:$BV$84,H$2-$E$2,FALSE))*$D$9*$D$8*(HLOOKUP(H$23,$G$18:$R$19,2,FALSE)*(1-$D$12)^($F24-'הנחות עבודה'!$C$5)/$D$11)/$D$11)</f>
        <v>0</v>
      </c>
      <c r="I24" s="41">
        <f ca="1">IF(OR($F24&gt;$D$5,$F24&gt;MAX('הנחות עבודה'!$B$69:$B$89)),0,(VLOOKUP($F24,'התפלגות ייצור וסל דלקים'!$B$64:$BV$84,I$2-$E$2,FALSE))*$D$9*$D$8*(HLOOKUP(I$23,$G$18:$R$19,2,FALSE)*(1-$D$12)^($F24-'הנחות עבודה'!$C$5)/$D$11)/$D$11)</f>
        <v>0</v>
      </c>
      <c r="J24" s="41">
        <f ca="1">IF(OR($F24&gt;$D$5,$F24&gt;MAX('הנחות עבודה'!$B$69:$B$89)),0,(VLOOKUP($F24,'התפלגות ייצור וסל דלקים'!$B$64:$BV$84,J$2-$E$2,FALSE))*$D$9*$D$8*(HLOOKUP(J$23,$G$18:$R$19,2,FALSE)*(1-$D$12)^($F24-'הנחות עבודה'!$C$5)/$D$11)/$D$11)</f>
        <v>0</v>
      </c>
      <c r="K24" s="41">
        <f ca="1">IF(OR($F24&gt;$D$5,$F24&gt;MAX('הנחות עבודה'!$B$69:$B$89)),0,(VLOOKUP($F24,'התפלגות ייצור וסל דלקים'!$B$64:$BV$84,K$2-$E$2,FALSE))*$D$9*$D$8*(HLOOKUP(K$23,$G$18:$R$19,2,FALSE)*(1-$D$12)^($F24-'הנחות עבודה'!$C$5)/$D$11)/$D$11)</f>
        <v>0</v>
      </c>
      <c r="L24" s="41">
        <f ca="1">IF(OR($F24&gt;$D$5,$F24&gt;MAX('הנחות עבודה'!$B$69:$B$89)),0,(VLOOKUP($F24,'התפלגות ייצור וסל דלקים'!$B$64:$BV$84,L$2-$E$2,FALSE))*$D$9*$D$8*(HLOOKUP(L$23,$G$18:$R$19,2,FALSE)*(1-$D$12)^($F24-'הנחות עבודה'!$C$5)/$D$11)/$D$11)</f>
        <v>0</v>
      </c>
      <c r="M24" s="39">
        <f ca="1">IF(OR($F24&gt;$D$5,$F24&gt;MAX('הנחות עבודה'!$B$69:$B$89)),0,(VLOOKUP($F24,'התפלגות ייצור וסל דלקים'!$B$64:$BV$84,M$2-$E$2,FALSE))*$D$9*$D$8*(HLOOKUP(M$23,$G$18:$R$19,2,FALSE)*(1-$D$12)^($F24-'הנחות עבודה'!$C$5)/$D$11)/$D$11)</f>
        <v>0</v>
      </c>
      <c r="N24" s="39">
        <f ca="1">IF(OR($F24&gt;$D$5,$F24&gt;MAX('הנחות עבודה'!$B$69:$B$89)),0,(VLOOKUP($F24,'התפלגות ייצור וסל דלקים'!$B$64:$BV$84,N$2-$E$2,FALSE))*$D$9*$D$8*(HLOOKUP(N$23,$G$18:$R$19,2,FALSE)*(1-$D$12)^($F24-'הנחות עבודה'!$C$5)/$D$11)/$D$11)</f>
        <v>17.973692180100002</v>
      </c>
      <c r="O24" s="39">
        <f ca="1">IF(OR($F24&gt;$D$5,$F24&gt;MAX('הנחות עבודה'!$B$69:$B$89)),0,(VLOOKUP($F24,'התפלגות ייצור וסל דלקים'!$B$64:$BV$84,O$2-$E$2,FALSE))*$D$9*$D$8*(HLOOKUP(O$23,$G$18:$R$19,2,FALSE)*(1-$D$12)^($F24-'הנחות עבודה'!$C$5)/$D$11)/$D$11)</f>
        <v>0</v>
      </c>
      <c r="P24" s="40">
        <f ca="1">IF(OR($F24&gt;$D$5,$F24&gt;MAX('הנחות עבודה'!$B$69:$B$89)),0,(VLOOKUP($F24,'התפלגות ייצור וסל דלקים'!$B$64:$BV$84,P$2-$E$2,FALSE))*$D$9*$D$8*(HLOOKUP(P$23,$G$18:$R$19,2,FALSE)*(1-$D$12)^($F24-'הנחות עבודה'!$C$5)/$D$11)/$D$11)</f>
        <v>0</v>
      </c>
      <c r="Q24" s="39">
        <f ca="1">IF(OR($F24&gt;$D$5,$F24&gt;MAX('הנחות עבודה'!$B$69:$B$89)),0,(VLOOKUP($F24,'התפלגות ייצור וסל דלקים'!$B$64:$BV$84,Q$2-$E$2,FALSE))*$D$9*$D$8*(HLOOKUP(Q$23,$G$18:$R$19,2,FALSE)*(1-$D$12)^($F24-'הנחות עבודה'!$C$5)/$D$11)/$D$11)</f>
        <v>15.3645184</v>
      </c>
      <c r="R24" s="40">
        <f ca="1">IF(OR($F24&gt;$D$5,$F24&gt;MAX('הנחות עבודה'!$B$69:$B$89)),0,(VLOOKUP($F24,'התפלגות ייצור וסל דלקים'!$B$64:$BV$84,R$2-$E$2,FALSE))*$D$9*$D$8*(HLOOKUP(R$23,$G$18:$R$19,2,FALSE)*(1-$D$12)^($F24-'הנחות עבודה'!$C$5)/$D$11)/$D$11)</f>
        <v>0</v>
      </c>
      <c r="S24" s="49">
        <f ca="1">IF(OR($F24&gt;$D$5,$F24&gt;MAX('הנחות עבודה'!$B$69:$B$89)),0,(VLOOKUP($F24,'התפלגות ייצור וסל דלקים'!$B$64:$BV$84,S$2-$E$2,FALSE))*$D$9*$D$8*(HLOOKUP(S$23,$G$18:$R$19,2,FALSE)*(1-$D$12)^($F24-'הנחות עבודה'!$C$5)/$D$11)/$D$11)</f>
        <v>0</v>
      </c>
      <c r="T24" s="126">
        <f ca="1">IF(OR($F24&gt;$D$5,$F24&gt;MAX('הנחות עבודה'!$B$69:$B$89)),0,(VLOOKUP($F24,'התפלגות ייצור וסל דלקים'!$B$64:$BV$84,T$2-$E$2,FALSE))*$D$9*$D$8*(HLOOKUP(T$23,$G$18:$R$19,2,FALSE)*(1-$D$12)^($F24-'הנחות עבודה'!$C$5)/$D$11)/$D$11)</f>
        <v>0</v>
      </c>
      <c r="U24" s="126">
        <f ca="1">IF(OR($F24&gt;$D$5,$F24&gt;MAX('הנחות עבודה'!$B$69:$B$89)),0,(VLOOKUP($F24,'התפלגות ייצור וסל דלקים'!$B$64:$BV$84,U$2-$E$2,FALSE))*$D$9*$D$8*(HLOOKUP(U$23,$G$18:$R$19,2,FALSE)*(1-$D$12)^($F24-'הנחות עבודה'!$C$5)/$D$11)/$D$11)</f>
        <v>0</v>
      </c>
      <c r="V24" s="126">
        <f ca="1">IF(OR($F24&gt;$D$5,$F24&gt;MAX('הנחות עבודה'!$B$69:$B$89)),0,(VLOOKUP($F24,'התפלגות ייצור וסל דלקים'!$B$64:$BV$84,V$2-$E$2,FALSE))*$D$9*$D$8*(HLOOKUP(V$23,$G$18:$R$19,2,FALSE)*(1-$D$12)^($F24-'הנחות עבודה'!$C$5)/$D$11)/$D$11)</f>
        <v>0</v>
      </c>
      <c r="W24" s="126">
        <f ca="1">IF(OR($F24&gt;$D$5,$F24&gt;MAX('הנחות עבודה'!$B$69:$B$89)),0,(VLOOKUP($F24,'התפלגות ייצור וסל דלקים'!$B$64:$BV$84,W$2-$E$2,FALSE))*$D$9*$D$8*(HLOOKUP(W$23,$G$18:$R$19,2,FALSE)*(1-$D$12)^($F24-'הנחות עבודה'!$C$5)/$D$11)/$D$11)</f>
        <v>0</v>
      </c>
      <c r="X24" s="126">
        <f ca="1">IF(OR($F24&gt;$D$5,$F24&gt;MAX('הנחות עבודה'!$B$69:$B$89)),0,(VLOOKUP($F24,'התפלגות ייצור וסל דלקים'!$B$64:$BV$84,X$2-$E$2,FALSE))*$D$9*$D$8*(HLOOKUP(X$23,$G$18:$R$19,2,FALSE)*(1-$D$12)^($F24-'הנחות עבודה'!$C$5)/$D$11)/$D$11)</f>
        <v>0</v>
      </c>
      <c r="Y24" s="49">
        <f ca="1">IF(OR($F24&gt;$D$5,$F24&gt;MAX('הנחות עבודה'!$B$69:$B$89)),0,(VLOOKUP($F24,'התפלגות ייצור וסל דלקים'!$B$64:$BV$84,Y$2-$E$2,FALSE))*$D$9*$D$8*(HLOOKUP(Y$23,$G$18:$R$19,2,FALSE)*(1-$D$12)^($F24-'הנחות עבודה'!$C$5)/$D$11)/$D$11)</f>
        <v>0</v>
      </c>
      <c r="Z24" s="49">
        <f ca="1">IF(OR($F24&gt;$D$5,$F24&gt;MAX('הנחות עבודה'!$B$69:$B$89)),0,(VLOOKUP($F24,'התפלגות ייצור וסל דלקים'!$B$64:$BV$84,Z$2-$E$2,FALSE))*$D$9*$D$8*(HLOOKUP(Z$23,$G$18:$R$19,2,FALSE)*(1-$D$12)^($F24-'הנחות עבודה'!$C$5)/$D$11)/$D$11)</f>
        <v>17.973692180100002</v>
      </c>
      <c r="AA24" s="49">
        <f ca="1">IF(OR($F24&gt;$D$5,$F24&gt;MAX('הנחות עבודה'!$B$69:$B$89)),0,(VLOOKUP($F24,'התפלגות ייצור וסל דלקים'!$B$64:$BV$84,AA$2-$E$2,FALSE))*$D$9*$D$8*(HLOOKUP(AA$23,$G$18:$R$19,2,FALSE)*(1-$D$12)^($F24-'הנחות עבודה'!$C$5)/$D$11)/$D$11)</f>
        <v>0</v>
      </c>
      <c r="AB24" s="49">
        <f ca="1">IF(OR($F24&gt;$D$5,$F24&gt;MAX('הנחות עבודה'!$B$69:$B$89)),0,(VLOOKUP($F24,'התפלגות ייצור וסל דלקים'!$B$64:$BV$84,AB$2-$E$2,FALSE))*$D$9*$D$8*(HLOOKUP(AB$23,$G$18:$R$19,2,FALSE)*(1-$D$12)^($F24-'הנחות עבודה'!$C$5)/$D$11)/$D$11)</f>
        <v>0</v>
      </c>
      <c r="AC24" s="49">
        <f ca="1">IF(OR($F24&gt;$D$5,$F24&gt;MAX('הנחות עבודה'!$B$69:$B$89)),0,(VLOOKUP($F24,'התפלגות ייצור וסל דלקים'!$B$64:$BV$84,AC$2-$E$2,FALSE))*$D$9*$D$8*(HLOOKUP(AC$23,$G$18:$R$19,2,FALSE)*(1-$D$12)^($F24-'הנחות עבודה'!$C$5)/$D$11)/$D$11)</f>
        <v>15.3645184</v>
      </c>
      <c r="AD24" s="49">
        <f ca="1">IF(OR($F24&gt;$D$5,$F24&gt;MAX('הנחות עבודה'!$B$69:$B$89)),0,(VLOOKUP($F24,'התפלגות ייצור וסל דלקים'!$B$64:$BV$84,AD$2-$E$2,FALSE))*$D$9*$D$8*(HLOOKUP(AD$23,$G$18:$R$19,2,FALSE)*(1-$D$12)^($F24-'הנחות עבודה'!$C$5)/$D$11)/$D$11)</f>
        <v>0</v>
      </c>
      <c r="AE24" s="39">
        <f ca="1">IF(OR($F24&gt;$D$5,$F24&gt;MAX('הנחות עבודה'!$B$69:$B$89)),0,(VLOOKUP($F24,'התפלגות ייצור וסל דלקים'!$B$64:$BV$84,AE$2-$E$2,FALSE))*$D$9*$D$8*(HLOOKUP(AE$23,$G$18:$R$19,2,FALSE)*(1-$D$12)^($F24-'הנחות עבודה'!$C$5)/$D$11)/$D$11)</f>
        <v>0</v>
      </c>
      <c r="AF24" s="41">
        <f ca="1">IF(OR($F24&gt;$D$5,$F24&gt;MAX('הנחות עבודה'!$B$69:$B$89)),0,(VLOOKUP($F24,'התפלגות ייצור וסל דלקים'!$B$64:$BV$84,AF$2-$E$2,FALSE))*$D$9*$D$8*(HLOOKUP(AF$23,$G$18:$R$19,2,FALSE)*(1-$D$12)^($F24-'הנחות עבודה'!$C$5)/$D$11)/$D$11)</f>
        <v>0</v>
      </c>
      <c r="AG24" s="41">
        <f ca="1">IF(OR($F24&gt;$D$5,$F24&gt;MAX('הנחות עבודה'!$B$69:$B$89)),0,(VLOOKUP($F24,'התפלגות ייצור וסל דלקים'!$B$64:$BV$84,AG$2-$E$2,FALSE))*$D$9*$D$8*(HLOOKUP(AG$23,$G$18:$R$19,2,FALSE)*(1-$D$12)^($F24-'הנחות עבודה'!$C$5)/$D$11)/$D$11)</f>
        <v>0</v>
      </c>
      <c r="AH24" s="41">
        <f ca="1">IF(OR($F24&gt;$D$5,$F24&gt;MAX('הנחות עבודה'!$B$69:$B$89)),0,(VLOOKUP($F24,'התפלגות ייצור וסל דלקים'!$B$64:$BV$84,AH$2-$E$2,FALSE))*$D$9*$D$8*(HLOOKUP(AH$23,$G$18:$R$19,2,FALSE)*(1-$D$12)^($F24-'הנחות עבודה'!$C$5)/$D$11)/$D$11)</f>
        <v>0</v>
      </c>
      <c r="AI24" s="41">
        <f ca="1">IF(OR($F24&gt;$D$5,$F24&gt;MAX('הנחות עבודה'!$B$69:$B$89)),0,(VLOOKUP($F24,'התפלגות ייצור וסל דלקים'!$B$64:$BV$84,AI$2-$E$2,FALSE))*$D$9*$D$8*(HLOOKUP(AI$23,$G$18:$R$19,2,FALSE)*(1-$D$12)^($F24-'הנחות עבודה'!$C$5)/$D$11)/$D$11)</f>
        <v>0</v>
      </c>
      <c r="AJ24" s="41">
        <f ca="1">IF(OR($F24&gt;$D$5,$F24&gt;MAX('הנחות עבודה'!$B$69:$B$89)),0,(VLOOKUP($F24,'התפלגות ייצור וסל דלקים'!$B$64:$BV$84,AJ$2-$E$2,FALSE))*$D$9*$D$8*(HLOOKUP(AJ$23,$G$18:$R$19,2,FALSE)*(1-$D$12)^($F24-'הנחות עבודה'!$C$5)/$D$11)/$D$11)</f>
        <v>0</v>
      </c>
      <c r="AK24" s="39">
        <f ca="1">IF(OR($F24&gt;$D$5,$F24&gt;MAX('הנחות עבודה'!$B$69:$B$89)),0,(VLOOKUP($F24,'התפלגות ייצור וסל דלקים'!$B$64:$BV$84,AK$2-$E$2,FALSE))*$D$9*$D$8*(HLOOKUP(AK$23,$G$18:$R$19,2,FALSE)*(1-$D$12)^($F24-'הנחות עבודה'!$C$5)/$D$11)/$D$11)</f>
        <v>0</v>
      </c>
      <c r="AL24" s="39">
        <f ca="1">IF(OR($F24&gt;$D$5,$F24&gt;MAX('הנחות עבודה'!$B$69:$B$89)),0,(VLOOKUP($F24,'התפלגות ייצור וסל דלקים'!$B$64:$BV$84,AL$2-$E$2,FALSE))*$D$9*$D$8*(HLOOKUP(AL$23,$G$18:$R$19,2,FALSE)*(1-$D$12)^($F24-'הנחות עבודה'!$C$5)/$D$11)/$D$11)</f>
        <v>17.973692180100002</v>
      </c>
      <c r="AM24" s="39">
        <f ca="1">IF(OR($F24&gt;$D$5,$F24&gt;MAX('הנחות עבודה'!$B$69:$B$89)),0,(VLOOKUP($F24,'התפלגות ייצור וסל דלקים'!$B$64:$BV$84,AM$2-$E$2,FALSE))*$D$9*$D$8*(HLOOKUP(AM$23,$G$18:$R$19,2,FALSE)*(1-$D$12)^($F24-'הנחות עבודה'!$C$5)/$D$11)/$D$11)</f>
        <v>0</v>
      </c>
      <c r="AN24" s="40">
        <f ca="1">IF(OR($F24&gt;$D$5,$F24&gt;MAX('הנחות עבודה'!$B$69:$B$89)),0,(VLOOKUP($F24,'התפלגות ייצור וסל דלקים'!$B$64:$BV$84,AN$2-$E$2,FALSE))*$D$9*$D$8*(HLOOKUP(AN$23,$G$18:$R$19,2,FALSE)*(1-$D$12)^($F24-'הנחות עבודה'!$C$5)/$D$11)/$D$11)</f>
        <v>0</v>
      </c>
      <c r="AO24" s="39">
        <f ca="1">IF(OR($F24&gt;$D$5,$F24&gt;MAX('הנחות עבודה'!$B$69:$B$89)),0,(VLOOKUP($F24,'התפלגות ייצור וסל דלקים'!$B$64:$BV$84,AO$2-$E$2,FALSE))*$D$9*$D$8*(HLOOKUP(AO$23,$G$18:$R$19,2,FALSE)*(1-$D$12)^($F24-'הנחות עבודה'!$C$5)/$D$11)/$D$11)</f>
        <v>15.3645184</v>
      </c>
      <c r="AP24" s="40">
        <f ca="1">IF(OR($F24&gt;$D$5,$F24&gt;MAX('הנחות עבודה'!$B$69:$B$89)),0,(VLOOKUP($F24,'התפלגות ייצור וסל דלקים'!$B$64:$BV$84,AP$2-$E$2,FALSE))*$D$9*$D$8*(HLOOKUP(AP$23,$G$18:$R$19,2,FALSE)*(1-$D$12)^($F24-'הנחות עבודה'!$C$5)/$D$11)/$D$11)</f>
        <v>0</v>
      </c>
      <c r="AQ24" s="49">
        <f ca="1">IF(OR($F24&gt;$D$5,$F24&gt;MAX('הנחות עבודה'!$B$69:$B$89)),0,(VLOOKUP($F24,'התפלגות ייצור וסל דלקים'!$B$64:$BV$84,AQ$2-$E$2,FALSE))*$D$9*$D$8*(HLOOKUP(AQ$23,$G$18:$R$19,2,FALSE)*(1-$D$12)^($F24-'הנחות עבודה'!$C$5)/$D$11)/$D$11)</f>
        <v>0</v>
      </c>
      <c r="AR24" s="126">
        <f ca="1">IF(OR($F24&gt;$D$5,$F24&gt;MAX('הנחות עבודה'!$B$69:$B$89)),0,(VLOOKUP($F24,'התפלגות ייצור וסל דלקים'!$B$64:$BV$84,AR$2-$E$2,FALSE))*$D$9*$D$8*(HLOOKUP(AR$23,$G$18:$R$19,2,FALSE)*(1-$D$12)^($F24-'הנחות עבודה'!$C$5)/$D$11)/$D$11)</f>
        <v>0</v>
      </c>
      <c r="AS24" s="126">
        <f ca="1">IF(OR($F24&gt;$D$5,$F24&gt;MAX('הנחות עבודה'!$B$69:$B$89)),0,(VLOOKUP($F24,'התפלגות ייצור וסל דלקים'!$B$64:$BV$84,AS$2-$E$2,FALSE))*$D$9*$D$8*(HLOOKUP(AS$23,$G$18:$R$19,2,FALSE)*(1-$D$12)^($F24-'הנחות עבודה'!$C$5)/$D$11)/$D$11)</f>
        <v>0</v>
      </c>
      <c r="AT24" s="126">
        <f ca="1">IF(OR($F24&gt;$D$5,$F24&gt;MAX('הנחות עבודה'!$B$69:$B$89)),0,(VLOOKUP($F24,'התפלגות ייצור וסל דלקים'!$B$64:$BV$84,AT$2-$E$2,FALSE))*$D$9*$D$8*(HLOOKUP(AT$23,$G$18:$R$19,2,FALSE)*(1-$D$12)^($F24-'הנחות עבודה'!$C$5)/$D$11)/$D$11)</f>
        <v>0</v>
      </c>
      <c r="AU24" s="126">
        <f ca="1">IF(OR($F24&gt;$D$5,$F24&gt;MAX('הנחות עבודה'!$B$69:$B$89)),0,(VLOOKUP($F24,'התפלגות ייצור וסל דלקים'!$B$64:$BV$84,AU$2-$E$2,FALSE))*$D$9*$D$8*(HLOOKUP(AU$23,$G$18:$R$19,2,FALSE)*(1-$D$12)^($F24-'הנחות עבודה'!$C$5)/$D$11)/$D$11)</f>
        <v>0</v>
      </c>
      <c r="AV24" s="126">
        <f ca="1">IF(OR($F24&gt;$D$5,$F24&gt;MAX('הנחות עבודה'!$B$69:$B$89)),0,(VLOOKUP($F24,'התפלגות ייצור וסל דלקים'!$B$64:$BV$84,AV$2-$E$2,FALSE))*$D$9*$D$8*(HLOOKUP(AV$23,$G$18:$R$19,2,FALSE)*(1-$D$12)^($F24-'הנחות עבודה'!$C$5)/$D$11)/$D$11)</f>
        <v>0</v>
      </c>
      <c r="AW24" s="49">
        <f ca="1">IF(OR($F24&gt;$D$5,$F24&gt;MAX('הנחות עבודה'!$B$69:$B$89)),0,(VLOOKUP($F24,'התפלגות ייצור וסל דלקים'!$B$64:$BV$84,AW$2-$E$2,FALSE))*$D$9*$D$8*(HLOOKUP(AW$23,$G$18:$R$19,2,FALSE)*(1-$D$12)^($F24-'הנחות עבודה'!$C$5)/$D$11)/$D$11)</f>
        <v>0</v>
      </c>
      <c r="AX24" s="49">
        <f ca="1">IF(OR($F24&gt;$D$5,$F24&gt;MAX('הנחות עבודה'!$B$69:$B$89)),0,(VLOOKUP($F24,'התפלגות ייצור וסל דלקים'!$B$64:$BV$84,AX$2-$E$2,FALSE))*$D$9*$D$8*(HLOOKUP(AX$23,$G$18:$R$19,2,FALSE)*(1-$D$12)^($F24-'הנחות עבודה'!$C$5)/$D$11)/$D$11)</f>
        <v>17.973692180100002</v>
      </c>
      <c r="AY24" s="49">
        <f ca="1">IF(OR($F24&gt;$D$5,$F24&gt;MAX('הנחות עבודה'!$B$69:$B$89)),0,(VLOOKUP($F24,'התפלגות ייצור וסל דלקים'!$B$64:$BV$84,AY$2-$E$2,FALSE))*$D$9*$D$8*(HLOOKUP(AY$23,$G$18:$R$19,2,FALSE)*(1-$D$12)^($F24-'הנחות עבודה'!$C$5)/$D$11)/$D$11)</f>
        <v>0</v>
      </c>
      <c r="AZ24" s="49">
        <f ca="1">IF(OR($F24&gt;$D$5,$F24&gt;MAX('הנחות עבודה'!$B$69:$B$89)),0,(VLOOKUP($F24,'התפלגות ייצור וסל דלקים'!$B$64:$BV$84,AZ$2-$E$2,FALSE))*$D$9*$D$8*(HLOOKUP(AZ$23,$G$18:$R$19,2,FALSE)*(1-$D$12)^($F24-'הנחות עבודה'!$C$5)/$D$11)/$D$11)</f>
        <v>0</v>
      </c>
      <c r="BA24" s="49">
        <f ca="1">IF(OR($F24&gt;$D$5,$F24&gt;MAX('הנחות עבודה'!$B$69:$B$89)),0,(VLOOKUP($F24,'התפלגות ייצור וסל דלקים'!$B$64:$BV$84,BA$2-$E$2,FALSE))*$D$9*$D$8*(HLOOKUP(BA$23,$G$18:$R$19,2,FALSE)*(1-$D$12)^($F24-'הנחות עבודה'!$C$5)/$D$11)/$D$11)</f>
        <v>15.3645184</v>
      </c>
      <c r="BB24" s="49">
        <f ca="1">IF(OR($F24&gt;$D$5,$F24&gt;MAX('הנחות עבודה'!$B$69:$B$89)),0,(VLOOKUP($F24,'התפלגות ייצור וסל דלקים'!$B$64:$BV$84,BB$2-$E$2,FALSE))*$D$9*$D$8*(HLOOKUP(BB$23,$G$18:$R$19,2,FALSE)*(1-$D$12)^($F24-'הנחות עבודה'!$C$5)/$D$11)/$D$11)</f>
        <v>0</v>
      </c>
      <c r="BC24" s="39">
        <f ca="1">IF(OR($F24&gt;$D$5,$F24&gt;MAX('הנחות עבודה'!$B$69:$B$89)),0,(VLOOKUP($F24,'התפלגות ייצור וסל דלקים'!$B$64:$BV$84,BC$2-$E$2,FALSE))*$D$9*$D$8*(HLOOKUP(BC$23,$G$18:$R$19,2,FALSE)*(1-$D$12)^($F24-'הנחות עבודה'!$C$5)/$D$11)/$D$11)</f>
        <v>0</v>
      </c>
      <c r="BD24" s="41">
        <f ca="1">IF(OR($F24&gt;$D$5,$F24&gt;MAX('הנחות עבודה'!$B$69:$B$89)),0,(VLOOKUP($F24,'התפלגות ייצור וסל דלקים'!$B$64:$BV$84,BD$2-$E$2,FALSE))*$D$9*$D$8*(HLOOKUP(BD$23,$G$18:$R$19,2,FALSE)*(1-$D$12)^($F24-'הנחות עבודה'!$C$5)/$D$11)/$D$11)</f>
        <v>0</v>
      </c>
      <c r="BE24" s="41">
        <f ca="1">IF(OR($F24&gt;$D$5,$F24&gt;MAX('הנחות עבודה'!$B$69:$B$89)),0,(VLOOKUP($F24,'התפלגות ייצור וסל דלקים'!$B$64:$BV$84,BE$2-$E$2,FALSE))*$D$9*$D$8*(HLOOKUP(BE$23,$G$18:$R$19,2,FALSE)*(1-$D$12)^($F24-'הנחות עבודה'!$C$5)/$D$11)/$D$11)</f>
        <v>0</v>
      </c>
      <c r="BF24" s="41">
        <f ca="1">IF(OR($F24&gt;$D$5,$F24&gt;MAX('הנחות עבודה'!$B$69:$B$89)),0,(VLOOKUP($F24,'התפלגות ייצור וסל דלקים'!$B$64:$BV$84,BF$2-$E$2,FALSE))*$D$9*$D$8*(HLOOKUP(BF$23,$G$18:$R$19,2,FALSE)*(1-$D$12)^($F24-'הנחות עבודה'!$C$5)/$D$11)/$D$11)</f>
        <v>0</v>
      </c>
      <c r="BG24" s="41">
        <f ca="1">IF(OR($F24&gt;$D$5,$F24&gt;MAX('הנחות עבודה'!$B$69:$B$89)),0,(VLOOKUP($F24,'התפלגות ייצור וסל דלקים'!$B$64:$BV$84,BG$2-$E$2,FALSE))*$D$9*$D$8*(HLOOKUP(BG$23,$G$18:$R$19,2,FALSE)*(1-$D$12)^($F24-'הנחות עבודה'!$C$5)/$D$11)/$D$11)</f>
        <v>0</v>
      </c>
      <c r="BH24" s="41">
        <f ca="1">IF(OR($F24&gt;$D$5,$F24&gt;MAX('הנחות עבודה'!$B$69:$B$89)),0,(VLOOKUP($F24,'התפלגות ייצור וסל דלקים'!$B$64:$BV$84,BH$2-$E$2,FALSE))*$D$9*$D$8*(HLOOKUP(BH$23,$G$18:$R$19,2,FALSE)*(1-$D$12)^($F24-'הנחות עבודה'!$C$5)/$D$11)/$D$11)</f>
        <v>0</v>
      </c>
      <c r="BI24" s="39">
        <f ca="1">IF(OR($F24&gt;$D$5,$F24&gt;MAX('הנחות עבודה'!$B$69:$B$89)),0,(VLOOKUP($F24,'התפלגות ייצור וסל דלקים'!$B$64:$BV$84,BI$2-$E$2,FALSE))*$D$9*$D$8*(HLOOKUP(BI$23,$G$18:$R$19,2,FALSE)*(1-$D$12)^($F24-'הנחות עבודה'!$C$5)/$D$11)/$D$11)</f>
        <v>0</v>
      </c>
      <c r="BJ24" s="39">
        <f ca="1">IF(OR($F24&gt;$D$5,$F24&gt;MAX('הנחות עבודה'!$B$69:$B$89)),0,(VLOOKUP($F24,'התפלגות ייצור וסל דלקים'!$B$64:$BV$84,BJ$2-$E$2,FALSE))*$D$9*$D$8*(HLOOKUP(BJ$23,$G$18:$R$19,2,FALSE)*(1-$D$12)^($F24-'הנחות עבודה'!$C$5)/$D$11)/$D$11)</f>
        <v>17.973692180100002</v>
      </c>
      <c r="BK24" s="39">
        <f ca="1">IF(OR($F24&gt;$D$5,$F24&gt;MAX('הנחות עבודה'!$B$69:$B$89)),0,(VLOOKUP($F24,'התפלגות ייצור וסל דלקים'!$B$64:$BV$84,BK$2-$E$2,FALSE))*$D$9*$D$8*(HLOOKUP(BK$23,$G$18:$R$19,2,FALSE)*(1-$D$12)^($F24-'הנחות עבודה'!$C$5)/$D$11)/$D$11)</f>
        <v>0</v>
      </c>
      <c r="BL24" s="39">
        <f ca="1">IF(OR($F24&gt;$D$5,$F24&gt;MAX('הנחות עבודה'!$B$69:$B$89)),0,(VLOOKUP($F24,'התפלגות ייצור וסל דלקים'!$B$64:$BV$84,BL$2-$E$2,FALSE))*$D$9*$D$8*(HLOOKUP(BL$23,$G$18:$R$19,2,FALSE)*(1-$D$12)^($F24-'הנחות עבודה'!$C$5)/$D$11)/$D$11)</f>
        <v>0</v>
      </c>
      <c r="BM24" s="39">
        <f ca="1">IF(OR($F24&gt;$D$5,$F24&gt;MAX('הנחות עבודה'!$B$69:$B$89)),0,(VLOOKUP($F24,'התפלגות ייצור וסל דלקים'!$B$64:$BV$84,BM$2-$E$2,FALSE))*$D$9*$D$8*(HLOOKUP(BM$23,$G$18:$R$19,2,FALSE)*(1-$D$12)^($F24-'הנחות עבודה'!$C$5)/$D$11)/$D$11)</f>
        <v>15.3645184</v>
      </c>
      <c r="BN24" s="39">
        <f ca="1">IF(OR($F24&gt;$D$5,$F24&gt;MAX('הנחות עבודה'!$B$69:$B$89)),0,(VLOOKUP($F24,'התפלגות ייצור וסל דלקים'!$B$64:$BV$84,BN$2-$E$2,FALSE))*$D$9*$D$8*(HLOOKUP(BN$23,$G$18:$R$19,2,FALSE)*(1-$D$12)^($F24-'הנחות עבודה'!$C$5)/$D$11)/$D$11)</f>
        <v>0</v>
      </c>
      <c r="BO24" s="49">
        <f ca="1">IF(OR($F24&gt;$D$5,$F24&gt;MAX('הנחות עבודה'!$B$69:$B$89)),0,(VLOOKUP($F24,'התפלגות ייצור וסל דלקים'!$B$64:$BV$84,BO$2-$E$2,FALSE))*$D$9*$D$8*(HLOOKUP(BO$23,$G$18:$R$19,2,FALSE)*(1-$D$12)^($F24-'הנחות עבודה'!$C$5)/$D$11)/$D$11)</f>
        <v>0</v>
      </c>
      <c r="BP24" s="126">
        <f ca="1">IF(OR($F24&gt;$D$5,$F24&gt;MAX('הנחות עבודה'!$B$69:$B$89)),0,(VLOOKUP($F24,'התפלגות ייצור וסל דלקים'!$B$64:$BV$84,BP$2-$E$2,FALSE))*$D$9*$D$8*(HLOOKUP(BP$23,$G$18:$R$19,2,FALSE)*(1-$D$12)^($F24-'הנחות עבודה'!$C$5)/$D$11)/$D$11)</f>
        <v>0</v>
      </c>
      <c r="BQ24" s="126">
        <f ca="1">IF(OR($F24&gt;$D$5,$F24&gt;MAX('הנחות עבודה'!$B$69:$B$89)),0,(VLOOKUP($F24,'התפלגות ייצור וסל דלקים'!$B$64:$BV$84,BQ$2-$E$2,FALSE))*$D$9*$D$8*(HLOOKUP(BQ$23,$G$18:$R$19,2,FALSE)*(1-$D$12)^($F24-'הנחות עבודה'!$C$5)/$D$11)/$D$11)</f>
        <v>0</v>
      </c>
      <c r="BR24" s="126">
        <f ca="1">IF(OR($F24&gt;$D$5,$F24&gt;MAX('הנחות עבודה'!$B$69:$B$89)),0,(VLOOKUP($F24,'התפלגות ייצור וסל דלקים'!$B$64:$BV$84,BR$2-$E$2,FALSE))*$D$9*$D$8*(HLOOKUP(BR$23,$G$18:$R$19,2,FALSE)*(1-$D$12)^($F24-'הנחות עבודה'!$C$5)/$D$11)/$D$11)</f>
        <v>0</v>
      </c>
      <c r="BS24" s="126">
        <f ca="1">IF(OR($F24&gt;$D$5,$F24&gt;MAX('הנחות עבודה'!$B$69:$B$89)),0,(VLOOKUP($F24,'התפלגות ייצור וסל דלקים'!$B$64:$BV$84,BS$2-$E$2,FALSE))*$D$9*$D$8*(HLOOKUP(BS$23,$G$18:$R$19,2,FALSE)*(1-$D$12)^($F24-'הנחות עבודה'!$C$5)/$D$11)/$D$11)</f>
        <v>0</v>
      </c>
      <c r="BT24" s="126">
        <f ca="1">IF(OR($F24&gt;$D$5,$F24&gt;MAX('הנחות עבודה'!$B$69:$B$89)),0,(VLOOKUP($F24,'התפלגות ייצור וסל דלקים'!$B$64:$BV$84,BT$2-$E$2,FALSE))*$D$9*$D$8*(HLOOKUP(BT$23,$G$18:$R$19,2,FALSE)*(1-$D$12)^($F24-'הנחות עבודה'!$C$5)/$D$11)/$D$11)</f>
        <v>0</v>
      </c>
      <c r="BU24" s="49">
        <f ca="1">IF(OR($F24&gt;$D$5,$F24&gt;MAX('הנחות עבודה'!$B$69:$B$89)),0,(VLOOKUP($F24,'התפלגות ייצור וסל דלקים'!$B$64:$BV$84,BU$2-$E$2,FALSE))*$D$9*$D$8*(HLOOKUP(BU$23,$G$18:$R$19,2,FALSE)*(1-$D$12)^($F24-'הנחות עבודה'!$C$5)/$D$11)/$D$11)</f>
        <v>0</v>
      </c>
      <c r="BV24" s="49">
        <f ca="1">IF(OR($F24&gt;$D$5,$F24&gt;MAX('הנחות עבודה'!$B$69:$B$89)),0,(VLOOKUP($F24,'התפלגות ייצור וסל דלקים'!$B$64:$BV$84,BV$2-$E$2,FALSE))*$D$9*$D$8*(HLOOKUP(BV$23,$G$18:$R$19,2,FALSE)*(1-$D$12)^($F24-'הנחות עבודה'!$C$5)/$D$11)/$D$11)</f>
        <v>17.973692180100002</v>
      </c>
      <c r="BW24" s="49">
        <f ca="1">IF(OR($F24&gt;$D$5,$F24&gt;MAX('הנחות עבודה'!$B$69:$B$89)),0,(VLOOKUP($F24,'התפלגות ייצור וסל דלקים'!$B$64:$BV$84,BW$2-$E$2,FALSE))*$D$9*$D$8*(HLOOKUP(BW$23,$G$18:$R$19,2,FALSE)*(1-$D$12)^($F24-'הנחות עבודה'!$C$5)/$D$11)/$D$11)</f>
        <v>0</v>
      </c>
      <c r="BX24" s="49">
        <f ca="1">IF(OR($F24&gt;$D$5,$F24&gt;MAX('הנחות עבודה'!$B$69:$B$89)),0,(VLOOKUP($F24,'התפלגות ייצור וסל דלקים'!$B$64:$BV$84,BX$2-$E$2,FALSE))*$D$9*$D$8*(HLOOKUP(BX$23,$G$18:$R$19,2,FALSE)*(1-$D$12)^($F24-'הנחות עבודה'!$C$5)/$D$11)/$D$11)</f>
        <v>0</v>
      </c>
      <c r="BY24" s="49">
        <f ca="1">IF(OR($F24&gt;$D$5,$F24&gt;MAX('הנחות עבודה'!$B$69:$B$89)),0,(VLOOKUP($F24,'התפלגות ייצור וסל דלקים'!$B$64:$BV$84,BY$2-$E$2,FALSE))*$D$9*$D$8*(HLOOKUP(BY$23,$G$18:$R$19,2,FALSE)*(1-$D$12)^($F24-'הנחות עבודה'!$C$5)/$D$11)/$D$11)</f>
        <v>15.3645184</v>
      </c>
      <c r="BZ24" s="49">
        <f ca="1">IF(OR($F24&gt;$D$5,$F24&gt;MAX('הנחות עבודה'!$B$69:$B$89)),0,(VLOOKUP($F24,'התפלגות ייצור וסל דלקים'!$B$64:$BV$84,BZ$2-$E$2,FALSE))*$D$9*$D$8*(HLOOKUP(BZ$23,$G$18:$R$19,2,FALSE)*(1-$D$12)^($F24-'הנחות עבודה'!$C$5)/$D$11)/$D$11)</f>
        <v>0</v>
      </c>
    </row>
    <row r="25" spans="6:78" ht="15.75">
      <c r="F25" s="10">
        <f>F24+1</f>
        <v>2021</v>
      </c>
      <c r="G25" s="42">
        <f ca="1">IF(OR($F25&gt;$D$5,$F25&gt;MAX('הנחות עבודה'!$B$69:$B$89)),0,(VLOOKUP($F25,'התפלגות ייצור וסל דלקים'!$B$64:$BV$84,G$2-$E$2,FALSE))*$D$9*$D$8*(HLOOKUP(G$23,$G$18:$R$19,2,FALSE)*(1-$D$12)^($F25-'הנחות עבודה'!$C$5)/$D$11)/$D$11)</f>
        <v>0</v>
      </c>
      <c r="H25" s="44">
        <f ca="1">IF(OR($F25&gt;$D$5,$F25&gt;MAX('הנחות עבודה'!$B$69:$B$89)),0,(VLOOKUP($F25,'התפלגות ייצור וסל דלקים'!$B$64:$BV$84,H$2-$E$2,FALSE))*$D$9*$D$8*(HLOOKUP(H$23,$G$18:$R$19,2,FALSE)*(1-$D$12)^($F25-'הנחות עבודה'!$C$5)/$D$11)/$D$11)</f>
        <v>0</v>
      </c>
      <c r="I25" s="44">
        <f ca="1">IF(OR($F25&gt;$D$5,$F25&gt;MAX('הנחות עבודה'!$B$69:$B$89)),0,(VLOOKUP($F25,'התפלגות ייצור וסל דלקים'!$B$64:$BV$84,I$2-$E$2,FALSE))*$D$9*$D$8*(HLOOKUP(I$23,$G$18:$R$19,2,FALSE)*(1-$D$12)^($F25-'הנחות עבודה'!$C$5)/$D$11)/$D$11)</f>
        <v>0</v>
      </c>
      <c r="J25" s="44">
        <f ca="1">IF(OR($F25&gt;$D$5,$F25&gt;MAX('הנחות עבודה'!$B$69:$B$89)),0,(VLOOKUP($F25,'התפלגות ייצור וסל דלקים'!$B$64:$BV$84,J$2-$E$2,FALSE))*$D$9*$D$8*(HLOOKUP(J$23,$G$18:$R$19,2,FALSE)*(1-$D$12)^($F25-'הנחות עבודה'!$C$5)/$D$11)/$D$11)</f>
        <v>0</v>
      </c>
      <c r="K25" s="44">
        <f ca="1">IF(OR($F25&gt;$D$5,$F25&gt;MAX('הנחות עבודה'!$B$69:$B$89)),0,(VLOOKUP($F25,'התפלגות ייצור וסל דלקים'!$B$64:$BV$84,K$2-$E$2,FALSE))*$D$9*$D$8*(HLOOKUP(K$23,$G$18:$R$19,2,FALSE)*(1-$D$12)^($F25-'הנחות עבודה'!$C$5)/$D$11)/$D$11)</f>
        <v>0</v>
      </c>
      <c r="L25" s="44">
        <f ca="1">IF(OR($F25&gt;$D$5,$F25&gt;MAX('הנחות עבודה'!$B$69:$B$89)),0,(VLOOKUP($F25,'התפלגות ייצור וסל דלקים'!$B$64:$BV$84,L$2-$E$2,FALSE))*$D$9*$D$8*(HLOOKUP(L$23,$G$18:$R$19,2,FALSE)*(1-$D$12)^($F25-'הנחות עבודה'!$C$5)/$D$11)/$D$11)</f>
        <v>0</v>
      </c>
      <c r="M25" s="42">
        <f ca="1">IF(OR($F25&gt;$D$5,$F25&gt;MAX('הנחות עבודה'!$B$69:$B$89)),0,(VLOOKUP($F25,'התפלגות ייצור וסל דלקים'!$B$64:$BV$84,M$2-$E$2,FALSE))*$D$9*$D$8*(HLOOKUP(M$23,$G$18:$R$19,2,FALSE)*(1-$D$12)^($F25-'הנחות עבודה'!$C$5)/$D$11)/$D$11)</f>
        <v>0</v>
      </c>
      <c r="N25" s="42">
        <f ca="1">IF(OR($F25&gt;$D$5,$F25&gt;MAX('הנחות עבודה'!$B$69:$B$89)),0,(VLOOKUP($F25,'התפלגות ייצור וסל דלקים'!$B$64:$BV$84,N$2-$E$2,FALSE))*$D$9*$D$8*(HLOOKUP(N$23,$G$18:$R$19,2,FALSE)*(1-$D$12)^($F25-'הנחות עבודה'!$C$5)/$D$11)/$D$11)</f>
        <v>18.538933327632002</v>
      </c>
      <c r="O25" s="42">
        <f ca="1">IF(OR($F25&gt;$D$5,$F25&gt;MAX('הנחות עבודה'!$B$69:$B$89)),0,(VLOOKUP($F25,'התפלגות ייצור וסל דלקים'!$B$64:$BV$84,O$2-$E$2,FALSE))*$D$9*$D$8*(HLOOKUP(O$23,$G$18:$R$19,2,FALSE)*(1-$D$12)^($F25-'הנחות עבודה'!$C$5)/$D$11)/$D$11)</f>
        <v>0</v>
      </c>
      <c r="P25" s="43">
        <f ca="1">IF(OR($F25&gt;$D$5,$F25&gt;MAX('הנחות עבודה'!$B$69:$B$89)),0,(VLOOKUP($F25,'התפלגות ייצור וסל דלקים'!$B$64:$BV$84,P$2-$E$2,FALSE))*$D$9*$D$8*(HLOOKUP(P$23,$G$18:$R$19,2,FALSE)*(1-$D$12)^($F25-'הנחות עבודה'!$C$5)/$D$11)/$D$11)</f>
        <v>0</v>
      </c>
      <c r="Q25" s="42">
        <f ca="1">IF(OR($F25&gt;$D$5,$F25&gt;MAX('הנחות עבודה'!$B$69:$B$89)),0,(VLOOKUP($F25,'התפלגות ייצור וסל דלקים'!$B$64:$BV$84,Q$2-$E$2,FALSE))*$D$9*$D$8*(HLOOKUP(Q$23,$G$18:$R$19,2,FALSE)*(1-$D$12)^($F25-'הנחות עבודה'!$C$5)/$D$11)/$D$11)</f>
        <v>15.3645184</v>
      </c>
      <c r="R25" s="43">
        <f ca="1">IF(OR($F25&gt;$D$5,$F25&gt;MAX('הנחות עבודה'!$B$69:$B$89)),0,(VLOOKUP($F25,'התפלגות ייצור וסל דלקים'!$B$64:$BV$84,R$2-$E$2,FALSE))*$D$9*$D$8*(HLOOKUP(R$23,$G$18:$R$19,2,FALSE)*(1-$D$12)^($F25-'הנחות עבודה'!$C$5)/$D$11)/$D$11)</f>
        <v>0</v>
      </c>
      <c r="S25" s="52">
        <f ca="1">IF(OR($F25&gt;$D$5,$F25&gt;MAX('הנחות עבודה'!$B$69:$B$89)),0,(VLOOKUP($F25,'התפלגות ייצור וסל דלקים'!$B$64:$BV$84,S$2-$E$2,FALSE))*$D$9*$D$8*(HLOOKUP(S$23,$G$18:$R$19,2,FALSE)*(1-$D$12)^($F25-'הנחות עבודה'!$C$5)/$D$11)/$D$11)</f>
        <v>0</v>
      </c>
      <c r="T25" s="127">
        <f ca="1">IF(OR($F25&gt;$D$5,$F25&gt;MAX('הנחות עבודה'!$B$69:$B$89)),0,(VLOOKUP($F25,'התפלגות ייצור וסל דלקים'!$B$64:$BV$84,T$2-$E$2,FALSE))*$D$9*$D$8*(HLOOKUP(T$23,$G$18:$R$19,2,FALSE)*(1-$D$12)^($F25-'הנחות עבודה'!$C$5)/$D$11)/$D$11)</f>
        <v>0</v>
      </c>
      <c r="U25" s="127">
        <f ca="1">IF(OR($F25&gt;$D$5,$F25&gt;MAX('הנחות עבודה'!$B$69:$B$89)),0,(VLOOKUP($F25,'התפלגות ייצור וסל דלקים'!$B$64:$BV$84,U$2-$E$2,FALSE))*$D$9*$D$8*(HLOOKUP(U$23,$G$18:$R$19,2,FALSE)*(1-$D$12)^($F25-'הנחות עבודה'!$C$5)/$D$11)/$D$11)</f>
        <v>0</v>
      </c>
      <c r="V25" s="127">
        <f ca="1">IF(OR($F25&gt;$D$5,$F25&gt;MAX('הנחות עבודה'!$B$69:$B$89)),0,(VLOOKUP($F25,'התפלגות ייצור וסל דלקים'!$B$64:$BV$84,V$2-$E$2,FALSE))*$D$9*$D$8*(HLOOKUP(V$23,$G$18:$R$19,2,FALSE)*(1-$D$12)^($F25-'הנחות עבודה'!$C$5)/$D$11)/$D$11)</f>
        <v>0</v>
      </c>
      <c r="W25" s="127">
        <f ca="1">IF(OR($F25&gt;$D$5,$F25&gt;MAX('הנחות עבודה'!$B$69:$B$89)),0,(VLOOKUP($F25,'התפלגות ייצור וסל דלקים'!$B$64:$BV$84,W$2-$E$2,FALSE))*$D$9*$D$8*(HLOOKUP(W$23,$G$18:$R$19,2,FALSE)*(1-$D$12)^($F25-'הנחות עבודה'!$C$5)/$D$11)/$D$11)</f>
        <v>0</v>
      </c>
      <c r="X25" s="127">
        <f ca="1">IF(OR($F25&gt;$D$5,$F25&gt;MAX('הנחות עבודה'!$B$69:$B$89)),0,(VLOOKUP($F25,'התפלגות ייצור וסל דלקים'!$B$64:$BV$84,X$2-$E$2,FALSE))*$D$9*$D$8*(HLOOKUP(X$23,$G$18:$R$19,2,FALSE)*(1-$D$12)^($F25-'הנחות עבודה'!$C$5)/$D$11)/$D$11)</f>
        <v>0</v>
      </c>
      <c r="Y25" s="52">
        <f ca="1">IF(OR($F25&gt;$D$5,$F25&gt;MAX('הנחות עבודה'!$B$69:$B$89)),0,(VLOOKUP($F25,'התפלגות ייצור וסל דלקים'!$B$64:$BV$84,Y$2-$E$2,FALSE))*$D$9*$D$8*(HLOOKUP(Y$23,$G$18:$R$19,2,FALSE)*(1-$D$12)^($F25-'הנחות עבודה'!$C$5)/$D$11)/$D$11)</f>
        <v>0</v>
      </c>
      <c r="Z25" s="52">
        <f ca="1">IF(OR($F25&gt;$D$5,$F25&gt;MAX('הנחות עבודה'!$B$69:$B$89)),0,(VLOOKUP($F25,'התפלגות ייצור וסל דלקים'!$B$64:$BV$84,Z$2-$E$2,FALSE))*$D$9*$D$8*(HLOOKUP(Z$23,$G$18:$R$19,2,FALSE)*(1-$D$12)^($F25-'הנחות עבודה'!$C$5)/$D$11)/$D$11)</f>
        <v>18.538933327632002</v>
      </c>
      <c r="AA25" s="52">
        <f ca="1">IF(OR($F25&gt;$D$5,$F25&gt;MAX('הנחות עבודה'!$B$69:$B$89)),0,(VLOOKUP($F25,'התפלגות ייצור וסל דלקים'!$B$64:$BV$84,AA$2-$E$2,FALSE))*$D$9*$D$8*(HLOOKUP(AA$23,$G$18:$R$19,2,FALSE)*(1-$D$12)^($F25-'הנחות עבודה'!$C$5)/$D$11)/$D$11)</f>
        <v>0</v>
      </c>
      <c r="AB25" s="52">
        <f ca="1">IF(OR($F25&gt;$D$5,$F25&gt;MAX('הנחות עבודה'!$B$69:$B$89)),0,(VLOOKUP($F25,'התפלגות ייצור וסל דלקים'!$B$64:$BV$84,AB$2-$E$2,FALSE))*$D$9*$D$8*(HLOOKUP(AB$23,$G$18:$R$19,2,FALSE)*(1-$D$12)^($F25-'הנחות עבודה'!$C$5)/$D$11)/$D$11)</f>
        <v>0</v>
      </c>
      <c r="AC25" s="52">
        <f ca="1">IF(OR($F25&gt;$D$5,$F25&gt;MAX('הנחות עבודה'!$B$69:$B$89)),0,(VLOOKUP($F25,'התפלגות ייצור וסל דלקים'!$B$64:$BV$84,AC$2-$E$2,FALSE))*$D$9*$D$8*(HLOOKUP(AC$23,$G$18:$R$19,2,FALSE)*(1-$D$12)^($F25-'הנחות עבודה'!$C$5)/$D$11)/$D$11)</f>
        <v>15.3645184</v>
      </c>
      <c r="AD25" s="52">
        <f ca="1">IF(OR($F25&gt;$D$5,$F25&gt;MAX('הנחות עבודה'!$B$69:$B$89)),0,(VLOOKUP($F25,'התפלגות ייצור וסל דלקים'!$B$64:$BV$84,AD$2-$E$2,FALSE))*$D$9*$D$8*(HLOOKUP(AD$23,$G$18:$R$19,2,FALSE)*(1-$D$12)^($F25-'הנחות עבודה'!$C$5)/$D$11)/$D$11)</f>
        <v>0</v>
      </c>
      <c r="AE25" s="42">
        <f ca="1">IF(OR($F25&gt;$D$5,$F25&gt;MAX('הנחות עבודה'!$B$69:$B$89)),0,(VLOOKUP($F25,'התפלגות ייצור וסל דלקים'!$B$64:$BV$84,AE$2-$E$2,FALSE))*$D$9*$D$8*(HLOOKUP(AE$23,$G$18:$R$19,2,FALSE)*(1-$D$12)^($F25-'הנחות עבודה'!$C$5)/$D$11)/$D$11)</f>
        <v>0</v>
      </c>
      <c r="AF25" s="44">
        <f ca="1">IF(OR($F25&gt;$D$5,$F25&gt;MAX('הנחות עבודה'!$B$69:$B$89)),0,(VLOOKUP($F25,'התפלגות ייצור וסל דלקים'!$B$64:$BV$84,AF$2-$E$2,FALSE))*$D$9*$D$8*(HLOOKUP(AF$23,$G$18:$R$19,2,FALSE)*(1-$D$12)^($F25-'הנחות עבודה'!$C$5)/$D$11)/$D$11)</f>
        <v>0</v>
      </c>
      <c r="AG25" s="44">
        <f ca="1">IF(OR($F25&gt;$D$5,$F25&gt;MAX('הנחות עבודה'!$B$69:$B$89)),0,(VLOOKUP($F25,'התפלגות ייצור וסל דלקים'!$B$64:$BV$84,AG$2-$E$2,FALSE))*$D$9*$D$8*(HLOOKUP(AG$23,$G$18:$R$19,2,FALSE)*(1-$D$12)^($F25-'הנחות עבודה'!$C$5)/$D$11)/$D$11)</f>
        <v>0</v>
      </c>
      <c r="AH25" s="44">
        <f ca="1">IF(OR($F25&gt;$D$5,$F25&gt;MAX('הנחות עבודה'!$B$69:$B$89)),0,(VLOOKUP($F25,'התפלגות ייצור וסל דלקים'!$B$64:$BV$84,AH$2-$E$2,FALSE))*$D$9*$D$8*(HLOOKUP(AH$23,$G$18:$R$19,2,FALSE)*(1-$D$12)^($F25-'הנחות עבודה'!$C$5)/$D$11)/$D$11)</f>
        <v>0</v>
      </c>
      <c r="AI25" s="44">
        <f ca="1">IF(OR($F25&gt;$D$5,$F25&gt;MAX('הנחות עבודה'!$B$69:$B$89)),0,(VLOOKUP($F25,'התפלגות ייצור וסל דלקים'!$B$64:$BV$84,AI$2-$E$2,FALSE))*$D$9*$D$8*(HLOOKUP(AI$23,$G$18:$R$19,2,FALSE)*(1-$D$12)^($F25-'הנחות עבודה'!$C$5)/$D$11)/$D$11)</f>
        <v>0</v>
      </c>
      <c r="AJ25" s="44">
        <f ca="1">IF(OR($F25&gt;$D$5,$F25&gt;MAX('הנחות עבודה'!$B$69:$B$89)),0,(VLOOKUP($F25,'התפלגות ייצור וסל דלקים'!$B$64:$BV$84,AJ$2-$E$2,FALSE))*$D$9*$D$8*(HLOOKUP(AJ$23,$G$18:$R$19,2,FALSE)*(1-$D$12)^($F25-'הנחות עבודה'!$C$5)/$D$11)/$D$11)</f>
        <v>0</v>
      </c>
      <c r="AK25" s="42">
        <f ca="1">IF(OR($F25&gt;$D$5,$F25&gt;MAX('הנחות עבודה'!$B$69:$B$89)),0,(VLOOKUP($F25,'התפלגות ייצור וסל דלקים'!$B$64:$BV$84,AK$2-$E$2,FALSE))*$D$9*$D$8*(HLOOKUP(AK$23,$G$18:$R$19,2,FALSE)*(1-$D$12)^($F25-'הנחות עבודה'!$C$5)/$D$11)/$D$11)</f>
        <v>0</v>
      </c>
      <c r="AL25" s="42">
        <f ca="1">IF(OR($F25&gt;$D$5,$F25&gt;MAX('הנחות עבודה'!$B$69:$B$89)),0,(VLOOKUP($F25,'התפלגות ייצור וסל דלקים'!$B$64:$BV$84,AL$2-$E$2,FALSE))*$D$9*$D$8*(HLOOKUP(AL$23,$G$18:$R$19,2,FALSE)*(1-$D$12)^($F25-'הנחות עבודה'!$C$5)/$D$11)/$D$11)</f>
        <v>18.286166996280002</v>
      </c>
      <c r="AM25" s="42">
        <f ca="1">IF(OR($F25&gt;$D$5,$F25&gt;MAX('הנחות עבודה'!$B$69:$B$89)),0,(VLOOKUP($F25,'התפלגות ייצור וסל דלקים'!$B$64:$BV$84,AM$2-$E$2,FALSE))*$D$9*$D$8*(HLOOKUP(AM$23,$G$18:$R$19,2,FALSE)*(1-$D$12)^($F25-'הנחות עבודה'!$C$5)/$D$11)/$D$11)</f>
        <v>0</v>
      </c>
      <c r="AN25" s="43">
        <f ca="1">IF(OR($F25&gt;$D$5,$F25&gt;MAX('הנחות עבודה'!$B$69:$B$89)),0,(VLOOKUP($F25,'התפלגות ייצור וסל דלקים'!$B$64:$BV$84,AN$2-$E$2,FALSE))*$D$9*$D$8*(HLOOKUP(AN$23,$G$18:$R$19,2,FALSE)*(1-$D$12)^($F25-'הנחות עבודה'!$C$5)/$D$11)/$D$11)</f>
        <v>0</v>
      </c>
      <c r="AO25" s="42">
        <f ca="1">IF(OR($F25&gt;$D$5,$F25&gt;MAX('הנחות עבודה'!$B$69:$B$89)),0,(VLOOKUP($F25,'התפלגות ייצור וסל דלקים'!$B$64:$BV$84,AO$2-$E$2,FALSE))*$D$9*$D$8*(HLOOKUP(AO$23,$G$18:$R$19,2,FALSE)*(1-$D$12)^($F25-'הנחות עבודה'!$C$5)/$D$11)/$D$11)</f>
        <v>15.3645184</v>
      </c>
      <c r="AP25" s="43">
        <f ca="1">IF(OR($F25&gt;$D$5,$F25&gt;MAX('הנחות עבודה'!$B$69:$B$89)),0,(VLOOKUP($F25,'התפלגות ייצור וסל דלקים'!$B$64:$BV$84,AP$2-$E$2,FALSE))*$D$9*$D$8*(HLOOKUP(AP$23,$G$18:$R$19,2,FALSE)*(1-$D$12)^($F25-'הנחות עבודה'!$C$5)/$D$11)/$D$11)</f>
        <v>0</v>
      </c>
      <c r="AQ25" s="52">
        <f ca="1">IF(OR($F25&gt;$D$5,$F25&gt;MAX('הנחות עבודה'!$B$69:$B$89)),0,(VLOOKUP($F25,'התפלגות ייצור וסל דלקים'!$B$64:$BV$84,AQ$2-$E$2,FALSE))*$D$9*$D$8*(HLOOKUP(AQ$23,$G$18:$R$19,2,FALSE)*(1-$D$12)^($F25-'הנחות עבודה'!$C$5)/$D$11)/$D$11)</f>
        <v>0</v>
      </c>
      <c r="AR25" s="127">
        <f ca="1">IF(OR($F25&gt;$D$5,$F25&gt;MAX('הנחות עבודה'!$B$69:$B$89)),0,(VLOOKUP($F25,'התפלגות ייצור וסל דלקים'!$B$64:$BV$84,AR$2-$E$2,FALSE))*$D$9*$D$8*(HLOOKUP(AR$23,$G$18:$R$19,2,FALSE)*(1-$D$12)^($F25-'הנחות עבודה'!$C$5)/$D$11)/$D$11)</f>
        <v>0</v>
      </c>
      <c r="AS25" s="127">
        <f ca="1">IF(OR($F25&gt;$D$5,$F25&gt;MAX('הנחות עבודה'!$B$69:$B$89)),0,(VLOOKUP($F25,'התפלגות ייצור וסל דלקים'!$B$64:$BV$84,AS$2-$E$2,FALSE))*$D$9*$D$8*(HLOOKUP(AS$23,$G$18:$R$19,2,FALSE)*(1-$D$12)^($F25-'הנחות עבודה'!$C$5)/$D$11)/$D$11)</f>
        <v>0</v>
      </c>
      <c r="AT25" s="127">
        <f ca="1">IF(OR($F25&gt;$D$5,$F25&gt;MAX('הנחות עבודה'!$B$69:$B$89)),0,(VLOOKUP($F25,'התפלגות ייצור וסל דלקים'!$B$64:$BV$84,AT$2-$E$2,FALSE))*$D$9*$D$8*(HLOOKUP(AT$23,$G$18:$R$19,2,FALSE)*(1-$D$12)^($F25-'הנחות עבודה'!$C$5)/$D$11)/$D$11)</f>
        <v>0</v>
      </c>
      <c r="AU25" s="127">
        <f ca="1">IF(OR($F25&gt;$D$5,$F25&gt;MAX('הנחות עבודה'!$B$69:$B$89)),0,(VLOOKUP($F25,'התפלגות ייצור וסל דלקים'!$B$64:$BV$84,AU$2-$E$2,FALSE))*$D$9*$D$8*(HLOOKUP(AU$23,$G$18:$R$19,2,FALSE)*(1-$D$12)^($F25-'הנחות עבודה'!$C$5)/$D$11)/$D$11)</f>
        <v>0</v>
      </c>
      <c r="AV25" s="127">
        <f ca="1">IF(OR($F25&gt;$D$5,$F25&gt;MAX('הנחות עבודה'!$B$69:$B$89)),0,(VLOOKUP($F25,'התפלגות ייצור וסל דלקים'!$B$64:$BV$84,AV$2-$E$2,FALSE))*$D$9*$D$8*(HLOOKUP(AV$23,$G$18:$R$19,2,FALSE)*(1-$D$12)^($F25-'הנחות עבודה'!$C$5)/$D$11)/$D$11)</f>
        <v>0</v>
      </c>
      <c r="AW25" s="52">
        <f ca="1">IF(OR($F25&gt;$D$5,$F25&gt;MAX('הנחות עבודה'!$B$69:$B$89)),0,(VLOOKUP($F25,'התפלגות ייצור וסל דלקים'!$B$64:$BV$84,AW$2-$E$2,FALSE))*$D$9*$D$8*(HLOOKUP(AW$23,$G$18:$R$19,2,FALSE)*(1-$D$12)^($F25-'הנחות עבודה'!$C$5)/$D$11)/$D$11)</f>
        <v>0</v>
      </c>
      <c r="AX25" s="52">
        <f ca="1">IF(OR($F25&gt;$D$5,$F25&gt;MAX('הנחות עבודה'!$B$69:$B$89)),0,(VLOOKUP($F25,'התפלגות ייצור וסל דלקים'!$B$64:$BV$84,AX$2-$E$2,FALSE))*$D$9*$D$8*(HLOOKUP(AX$23,$G$18:$R$19,2,FALSE)*(1-$D$12)^($F25-'הנחות עבודה'!$C$5)/$D$11)/$D$11)</f>
        <v>18.286166996280002</v>
      </c>
      <c r="AY25" s="52">
        <f ca="1">IF(OR($F25&gt;$D$5,$F25&gt;MAX('הנחות עבודה'!$B$69:$B$89)),0,(VLOOKUP($F25,'התפלגות ייצור וסל דלקים'!$B$64:$BV$84,AY$2-$E$2,FALSE))*$D$9*$D$8*(HLOOKUP(AY$23,$G$18:$R$19,2,FALSE)*(1-$D$12)^($F25-'הנחות עבודה'!$C$5)/$D$11)/$D$11)</f>
        <v>0</v>
      </c>
      <c r="AZ25" s="52">
        <f ca="1">IF(OR($F25&gt;$D$5,$F25&gt;MAX('הנחות עבודה'!$B$69:$B$89)),0,(VLOOKUP($F25,'התפלגות ייצור וסל דלקים'!$B$64:$BV$84,AZ$2-$E$2,FALSE))*$D$9*$D$8*(HLOOKUP(AZ$23,$G$18:$R$19,2,FALSE)*(1-$D$12)^($F25-'הנחות עבודה'!$C$5)/$D$11)/$D$11)</f>
        <v>0</v>
      </c>
      <c r="BA25" s="52">
        <f ca="1">IF(OR($F25&gt;$D$5,$F25&gt;MAX('הנחות עבודה'!$B$69:$B$89)),0,(VLOOKUP($F25,'התפלגות ייצור וסל דלקים'!$B$64:$BV$84,BA$2-$E$2,FALSE))*$D$9*$D$8*(HLOOKUP(BA$23,$G$18:$R$19,2,FALSE)*(1-$D$12)^($F25-'הנחות עבודה'!$C$5)/$D$11)/$D$11)</f>
        <v>15.3645184</v>
      </c>
      <c r="BB25" s="52">
        <f ca="1">IF(OR($F25&gt;$D$5,$F25&gt;MAX('הנחות עבודה'!$B$69:$B$89)),0,(VLOOKUP($F25,'התפלגות ייצור וסל דלקים'!$B$64:$BV$84,BB$2-$E$2,FALSE))*$D$9*$D$8*(HLOOKUP(BB$23,$G$18:$R$19,2,FALSE)*(1-$D$12)^($F25-'הנחות עבודה'!$C$5)/$D$11)/$D$11)</f>
        <v>0</v>
      </c>
      <c r="BC25" s="42">
        <f ca="1">IF(OR($F25&gt;$D$5,$F25&gt;MAX('הנחות עבודה'!$B$69:$B$89)),0,(VLOOKUP($F25,'התפלגות ייצור וסל דלקים'!$B$64:$BV$84,BC$2-$E$2,FALSE))*$D$9*$D$8*(HLOOKUP(BC$23,$G$18:$R$19,2,FALSE)*(1-$D$12)^($F25-'הנחות עבודה'!$C$5)/$D$11)/$D$11)</f>
        <v>0</v>
      </c>
      <c r="BD25" s="44">
        <f ca="1">IF(OR($F25&gt;$D$5,$F25&gt;MAX('הנחות עבודה'!$B$69:$B$89)),0,(VLOOKUP($F25,'התפלגות ייצור וסל דלקים'!$B$64:$BV$84,BD$2-$E$2,FALSE))*$D$9*$D$8*(HLOOKUP(BD$23,$G$18:$R$19,2,FALSE)*(1-$D$12)^($F25-'הנחות עבודה'!$C$5)/$D$11)/$D$11)</f>
        <v>0</v>
      </c>
      <c r="BE25" s="44">
        <f ca="1">IF(OR($F25&gt;$D$5,$F25&gt;MAX('הנחות עבודה'!$B$69:$B$89)),0,(VLOOKUP($F25,'התפלגות ייצור וסל דלקים'!$B$64:$BV$84,BE$2-$E$2,FALSE))*$D$9*$D$8*(HLOOKUP(BE$23,$G$18:$R$19,2,FALSE)*(1-$D$12)^($F25-'הנחות עבודה'!$C$5)/$D$11)/$D$11)</f>
        <v>0</v>
      </c>
      <c r="BF25" s="44">
        <f ca="1">IF(OR($F25&gt;$D$5,$F25&gt;MAX('הנחות עבודה'!$B$69:$B$89)),0,(VLOOKUP($F25,'התפלגות ייצור וסל דלקים'!$B$64:$BV$84,BF$2-$E$2,FALSE))*$D$9*$D$8*(HLOOKUP(BF$23,$G$18:$R$19,2,FALSE)*(1-$D$12)^($F25-'הנחות עבודה'!$C$5)/$D$11)/$D$11)</f>
        <v>0</v>
      </c>
      <c r="BG25" s="44">
        <f ca="1">IF(OR($F25&gt;$D$5,$F25&gt;MAX('הנחות עבודה'!$B$69:$B$89)),0,(VLOOKUP($F25,'התפלגות ייצור וסל דלקים'!$B$64:$BV$84,BG$2-$E$2,FALSE))*$D$9*$D$8*(HLOOKUP(BG$23,$G$18:$R$19,2,FALSE)*(1-$D$12)^($F25-'הנחות עבודה'!$C$5)/$D$11)/$D$11)</f>
        <v>0</v>
      </c>
      <c r="BH25" s="44">
        <f ca="1">IF(OR($F25&gt;$D$5,$F25&gt;MAX('הנחות עבודה'!$B$69:$B$89)),0,(VLOOKUP($F25,'התפלגות ייצור וסל דלקים'!$B$64:$BV$84,BH$2-$E$2,FALSE))*$D$9*$D$8*(HLOOKUP(BH$23,$G$18:$R$19,2,FALSE)*(1-$D$12)^($F25-'הנחות עבודה'!$C$5)/$D$11)/$D$11)</f>
        <v>0</v>
      </c>
      <c r="BI25" s="42">
        <f ca="1">IF(OR($F25&gt;$D$5,$F25&gt;MAX('הנחות עבודה'!$B$69:$B$89)),0,(VLOOKUP($F25,'התפלגות ייצור וסל דלקים'!$B$64:$BV$84,BI$2-$E$2,FALSE))*$D$9*$D$8*(HLOOKUP(BI$23,$G$18:$R$19,2,FALSE)*(1-$D$12)^($F25-'הנחות עבודה'!$C$5)/$D$11)/$D$11)</f>
        <v>0</v>
      </c>
      <c r="BJ25" s="42">
        <f ca="1">IF(OR($F25&gt;$D$5,$F25&gt;MAX('הנחות עבודה'!$B$69:$B$89)),0,(VLOOKUP($F25,'התפלגות ייצור וסל דלקים'!$B$64:$BV$84,BJ$2-$E$2,FALSE))*$D$9*$D$8*(HLOOKUP(BJ$23,$G$18:$R$19,2,FALSE)*(1-$D$12)^($F25-'הנחות עבודה'!$C$5)/$D$11)/$D$11)</f>
        <v>18.213622496639989</v>
      </c>
      <c r="BK25" s="42">
        <f ca="1">IF(OR($F25&gt;$D$5,$F25&gt;MAX('הנחות עבודה'!$B$69:$B$89)),0,(VLOOKUP($F25,'התפלגות ייצור וסל דלקים'!$B$64:$BV$84,BK$2-$E$2,FALSE))*$D$9*$D$8*(HLOOKUP(BK$23,$G$18:$R$19,2,FALSE)*(1-$D$12)^($F25-'הנחות עבודה'!$C$5)/$D$11)/$D$11)</f>
        <v>0</v>
      </c>
      <c r="BL25" s="42">
        <f ca="1">IF(OR($F25&gt;$D$5,$F25&gt;MAX('הנחות עבודה'!$B$69:$B$89)),0,(VLOOKUP($F25,'התפלגות ייצור וסל דלקים'!$B$64:$BV$84,BL$2-$E$2,FALSE))*$D$9*$D$8*(HLOOKUP(BL$23,$G$18:$R$19,2,FALSE)*(1-$D$12)^($F25-'הנחות עבודה'!$C$5)/$D$11)/$D$11)</f>
        <v>0</v>
      </c>
      <c r="BM25" s="42">
        <f ca="1">IF(OR($F25&gt;$D$5,$F25&gt;MAX('הנחות עבודה'!$B$69:$B$89)),0,(VLOOKUP($F25,'התפלגות ייצור וסל דלקים'!$B$64:$BV$84,BM$2-$E$2,FALSE))*$D$9*$D$8*(HLOOKUP(BM$23,$G$18:$R$19,2,FALSE)*(1-$D$12)^($F25-'הנחות עבודה'!$C$5)/$D$11)/$D$11)</f>
        <v>15.3645184</v>
      </c>
      <c r="BN25" s="42">
        <f ca="1">IF(OR($F25&gt;$D$5,$F25&gt;MAX('הנחות עבודה'!$B$69:$B$89)),0,(VLOOKUP($F25,'התפלגות ייצור וסל דלקים'!$B$64:$BV$84,BN$2-$E$2,FALSE))*$D$9*$D$8*(HLOOKUP(BN$23,$G$18:$R$19,2,FALSE)*(1-$D$12)^($F25-'הנחות עבודה'!$C$5)/$D$11)/$D$11)</f>
        <v>0</v>
      </c>
      <c r="BO25" s="52">
        <f ca="1">IF(OR($F25&gt;$D$5,$F25&gt;MAX('הנחות עבודה'!$B$69:$B$89)),0,(VLOOKUP($F25,'התפלגות ייצור וסל דלקים'!$B$64:$BV$84,BO$2-$E$2,FALSE))*$D$9*$D$8*(HLOOKUP(BO$23,$G$18:$R$19,2,FALSE)*(1-$D$12)^($F25-'הנחות עבודה'!$C$5)/$D$11)/$D$11)</f>
        <v>0</v>
      </c>
      <c r="BP25" s="127">
        <f ca="1">IF(OR($F25&gt;$D$5,$F25&gt;MAX('הנחות עבודה'!$B$69:$B$89)),0,(VLOOKUP($F25,'התפלגות ייצור וסל דלקים'!$B$64:$BV$84,BP$2-$E$2,FALSE))*$D$9*$D$8*(HLOOKUP(BP$23,$G$18:$R$19,2,FALSE)*(1-$D$12)^($F25-'הנחות עבודה'!$C$5)/$D$11)/$D$11)</f>
        <v>0</v>
      </c>
      <c r="BQ25" s="127">
        <f ca="1">IF(OR($F25&gt;$D$5,$F25&gt;MAX('הנחות עבודה'!$B$69:$B$89)),0,(VLOOKUP($F25,'התפלגות ייצור וסל דלקים'!$B$64:$BV$84,BQ$2-$E$2,FALSE))*$D$9*$D$8*(HLOOKUP(BQ$23,$G$18:$R$19,2,FALSE)*(1-$D$12)^($F25-'הנחות עבודה'!$C$5)/$D$11)/$D$11)</f>
        <v>0</v>
      </c>
      <c r="BR25" s="127">
        <f ca="1">IF(OR($F25&gt;$D$5,$F25&gt;MAX('הנחות עבודה'!$B$69:$B$89)),0,(VLOOKUP($F25,'התפלגות ייצור וסל דלקים'!$B$64:$BV$84,BR$2-$E$2,FALSE))*$D$9*$D$8*(HLOOKUP(BR$23,$G$18:$R$19,2,FALSE)*(1-$D$12)^($F25-'הנחות עבודה'!$C$5)/$D$11)/$D$11)</f>
        <v>0</v>
      </c>
      <c r="BS25" s="127">
        <f ca="1">IF(OR($F25&gt;$D$5,$F25&gt;MAX('הנחות עבודה'!$B$69:$B$89)),0,(VLOOKUP($F25,'התפלגות ייצור וסל דלקים'!$B$64:$BV$84,BS$2-$E$2,FALSE))*$D$9*$D$8*(HLOOKUP(BS$23,$G$18:$R$19,2,FALSE)*(1-$D$12)^($F25-'הנחות עבודה'!$C$5)/$D$11)/$D$11)</f>
        <v>0</v>
      </c>
      <c r="BT25" s="127">
        <f ca="1">IF(OR($F25&gt;$D$5,$F25&gt;MAX('הנחות עבודה'!$B$69:$B$89)),0,(VLOOKUP($F25,'התפלגות ייצור וסל דלקים'!$B$64:$BV$84,BT$2-$E$2,FALSE))*$D$9*$D$8*(HLOOKUP(BT$23,$G$18:$R$19,2,FALSE)*(1-$D$12)^($F25-'הנחות עבודה'!$C$5)/$D$11)/$D$11)</f>
        <v>0</v>
      </c>
      <c r="BU25" s="52">
        <f ca="1">IF(OR($F25&gt;$D$5,$F25&gt;MAX('הנחות עבודה'!$B$69:$B$89)),0,(VLOOKUP($F25,'התפלגות ייצור וסל דלקים'!$B$64:$BV$84,BU$2-$E$2,FALSE))*$D$9*$D$8*(HLOOKUP(BU$23,$G$18:$R$19,2,FALSE)*(1-$D$12)^($F25-'הנחות עבודה'!$C$5)/$D$11)/$D$11)</f>
        <v>0</v>
      </c>
      <c r="BV25" s="52">
        <f ca="1">IF(OR($F25&gt;$D$5,$F25&gt;MAX('הנחות עבודה'!$B$69:$B$89)),0,(VLOOKUP($F25,'התפלגות ייצור וסל דלקים'!$B$64:$BV$84,BV$2-$E$2,FALSE))*$D$9*$D$8*(HLOOKUP(BV$23,$G$18:$R$19,2,FALSE)*(1-$D$12)^($F25-'הנחות עבודה'!$C$5)/$D$11)/$D$11)</f>
        <v>18.213622496639989</v>
      </c>
      <c r="BW25" s="52">
        <f ca="1">IF(OR($F25&gt;$D$5,$F25&gt;MAX('הנחות עבודה'!$B$69:$B$89)),0,(VLOOKUP($F25,'התפלגות ייצור וסל דלקים'!$B$64:$BV$84,BW$2-$E$2,FALSE))*$D$9*$D$8*(HLOOKUP(BW$23,$G$18:$R$19,2,FALSE)*(1-$D$12)^($F25-'הנחות עבודה'!$C$5)/$D$11)/$D$11)</f>
        <v>0</v>
      </c>
      <c r="BX25" s="52">
        <f ca="1">IF(OR($F25&gt;$D$5,$F25&gt;MAX('הנחות עבודה'!$B$69:$B$89)),0,(VLOOKUP($F25,'התפלגות ייצור וסל דלקים'!$B$64:$BV$84,BX$2-$E$2,FALSE))*$D$9*$D$8*(HLOOKUP(BX$23,$G$18:$R$19,2,FALSE)*(1-$D$12)^($F25-'הנחות עבודה'!$C$5)/$D$11)/$D$11)</f>
        <v>0</v>
      </c>
      <c r="BY25" s="52">
        <f ca="1">IF(OR($F25&gt;$D$5,$F25&gt;MAX('הנחות עבודה'!$B$69:$B$89)),0,(VLOOKUP($F25,'התפלגות ייצור וסל דלקים'!$B$64:$BV$84,BY$2-$E$2,FALSE))*$D$9*$D$8*(HLOOKUP(BY$23,$G$18:$R$19,2,FALSE)*(1-$D$12)^($F25-'הנחות עבודה'!$C$5)/$D$11)/$D$11)</f>
        <v>15.3645184</v>
      </c>
      <c r="BZ25" s="52">
        <f ca="1">IF(OR($F25&gt;$D$5,$F25&gt;MAX('הנחות עבודה'!$B$69:$B$89)),0,(VLOOKUP($F25,'התפלגות ייצור וסל דלקים'!$B$64:$BV$84,BZ$2-$E$2,FALSE))*$D$9*$D$8*(HLOOKUP(BZ$23,$G$18:$R$19,2,FALSE)*(1-$D$12)^($F25-'הנחות עבודה'!$C$5)/$D$11)/$D$11)</f>
        <v>0</v>
      </c>
    </row>
    <row r="26" spans="6:78" ht="15.75">
      <c r="F26" s="10">
        <f t="shared" ref="F26:F44" si="115">F25+1</f>
        <v>2022</v>
      </c>
      <c r="G26" s="42">
        <f ca="1">IF(OR($F26&gt;$D$5,$F26&gt;MAX('הנחות עבודה'!$B$69:$B$89)),0,(VLOOKUP($F26,'התפלגות ייצור וסל דלקים'!$B$64:$BV$84,G$2-$E$2,FALSE))*$D$9*$D$8*(HLOOKUP(G$23,$G$18:$R$19,2,FALSE)*(1-$D$12)^($F26-'הנחות עבודה'!$C$5)/$D$11)/$D$11)</f>
        <v>0</v>
      </c>
      <c r="H26" s="44">
        <f ca="1">IF(OR($F26&gt;$D$5,$F26&gt;MAX('הנחות עבודה'!$B$69:$B$89)),0,(VLOOKUP($F26,'התפלגות ייצור וסל דלקים'!$B$64:$BV$84,H$2-$E$2,FALSE))*$D$9*$D$8*(HLOOKUP(H$23,$G$18:$R$19,2,FALSE)*(1-$D$12)^($F26-'הנחות עבודה'!$C$5)/$D$11)/$D$11)</f>
        <v>0</v>
      </c>
      <c r="I26" s="44">
        <f ca="1">IF(OR($F26&gt;$D$5,$F26&gt;MAX('הנחות עבודה'!$B$69:$B$89)),0,(VLOOKUP($F26,'התפלגות ייצור וסל דלקים'!$B$64:$BV$84,I$2-$E$2,FALSE))*$D$9*$D$8*(HLOOKUP(I$23,$G$18:$R$19,2,FALSE)*(1-$D$12)^($F26-'הנחות עבודה'!$C$5)/$D$11)/$D$11)</f>
        <v>0</v>
      </c>
      <c r="J26" s="44">
        <f ca="1">IF(OR($F26&gt;$D$5,$F26&gt;MAX('הנחות עבודה'!$B$69:$B$89)),0,(VLOOKUP($F26,'התפלגות ייצור וסל דלקים'!$B$64:$BV$84,J$2-$E$2,FALSE))*$D$9*$D$8*(HLOOKUP(J$23,$G$18:$R$19,2,FALSE)*(1-$D$12)^($F26-'הנחות עבודה'!$C$5)/$D$11)/$D$11)</f>
        <v>0</v>
      </c>
      <c r="K26" s="44">
        <f ca="1">IF(OR($F26&gt;$D$5,$F26&gt;MAX('הנחות עבודה'!$B$69:$B$89)),0,(VLOOKUP($F26,'התפלגות ייצור וסל דלקים'!$B$64:$BV$84,K$2-$E$2,FALSE))*$D$9*$D$8*(HLOOKUP(K$23,$G$18:$R$19,2,FALSE)*(1-$D$12)^($F26-'הנחות עבודה'!$C$5)/$D$11)/$D$11)</f>
        <v>0</v>
      </c>
      <c r="L26" s="44">
        <f ca="1">IF(OR($F26&gt;$D$5,$F26&gt;MAX('הנחות עבודה'!$B$69:$B$89)),0,(VLOOKUP($F26,'התפלגות ייצור וסל דלקים'!$B$64:$BV$84,L$2-$E$2,FALSE))*$D$9*$D$8*(HLOOKUP(L$23,$G$18:$R$19,2,FALSE)*(1-$D$12)^($F26-'הנחות עבודה'!$C$5)/$D$11)/$D$11)</f>
        <v>0</v>
      </c>
      <c r="M26" s="42">
        <f ca="1">IF(OR($F26&gt;$D$5,$F26&gt;MAX('הנחות עבודה'!$B$69:$B$89)),0,(VLOOKUP($F26,'התפלגות ייצור וסל דלקים'!$B$64:$BV$84,M$2-$E$2,FALSE))*$D$9*$D$8*(HLOOKUP(M$23,$G$18:$R$19,2,FALSE)*(1-$D$12)^($F26-'הנחות עבודה'!$C$5)/$D$11)/$D$11)</f>
        <v>0.61893023999999996</v>
      </c>
      <c r="N26" s="42">
        <f ca="1">IF(OR($F26&gt;$D$5,$F26&gt;MAX('הנחות עבודה'!$B$69:$B$89)),0,(VLOOKUP($F26,'התפלגות ייצור וסל דלקים'!$B$64:$BV$84,N$2-$E$2,FALSE))*$D$9*$D$8*(HLOOKUP(N$23,$G$18:$R$19,2,FALSE)*(1-$D$12)^($F26-'הנחות עבודה'!$C$5)/$D$11)/$D$11)</f>
        <v>19.035108117863999</v>
      </c>
      <c r="O26" s="42">
        <f ca="1">IF(OR($F26&gt;$D$5,$F26&gt;MAX('הנחות עבודה'!$B$69:$B$89)),0,(VLOOKUP($F26,'התפלגות ייצור וסל דלקים'!$B$64:$BV$84,O$2-$E$2,FALSE))*$D$9*$D$8*(HLOOKUP(O$23,$G$18:$R$19,2,FALSE)*(1-$D$12)^($F26-'הנחות עבודה'!$C$5)/$D$11)/$D$11)</f>
        <v>0</v>
      </c>
      <c r="P26" s="43">
        <f ca="1">IF(OR($F26&gt;$D$5,$F26&gt;MAX('הנחות עבודה'!$B$69:$B$89)),0,(VLOOKUP($F26,'התפלגות ייצור וסל דלקים'!$B$64:$BV$84,P$2-$E$2,FALSE))*$D$9*$D$8*(HLOOKUP(P$23,$G$18:$R$19,2,FALSE)*(1-$D$12)^($F26-'הנחות עבודה'!$C$5)/$D$11)/$D$11)</f>
        <v>0</v>
      </c>
      <c r="Q26" s="42">
        <f ca="1">IF(OR($F26&gt;$D$5,$F26&gt;MAX('הנחות עבודה'!$B$69:$B$89)),0,(VLOOKUP($F26,'התפלגות ייצור וסל דלקים'!$B$64:$BV$84,Q$2-$E$2,FALSE))*$D$9*$D$8*(HLOOKUP(Q$23,$G$18:$R$19,2,FALSE)*(1-$D$12)^($F26-'הנחות עבודה'!$C$5)/$D$11)/$D$11)</f>
        <v>14.258560800000001</v>
      </c>
      <c r="R26" s="43">
        <f ca="1">IF(OR($F26&gt;$D$5,$F26&gt;MAX('הנחות עבודה'!$B$69:$B$89)),0,(VLOOKUP($F26,'התפלגות ייצור וסל דלקים'!$B$64:$BV$84,R$2-$E$2,FALSE))*$D$9*$D$8*(HLOOKUP(R$23,$G$18:$R$19,2,FALSE)*(1-$D$12)^($F26-'הנחות עבודה'!$C$5)/$D$11)/$D$11)</f>
        <v>0</v>
      </c>
      <c r="S26" s="52">
        <f ca="1">IF(OR($F26&gt;$D$5,$F26&gt;MAX('הנחות עבודה'!$B$69:$B$89)),0,(VLOOKUP($F26,'התפלגות ייצור וסל דלקים'!$B$64:$BV$84,S$2-$E$2,FALSE))*$D$9*$D$8*(HLOOKUP(S$23,$G$18:$R$19,2,FALSE)*(1-$D$12)^($F26-'הנחות עבודה'!$C$5)/$D$11)/$D$11)</f>
        <v>0</v>
      </c>
      <c r="T26" s="127">
        <f ca="1">IF(OR($F26&gt;$D$5,$F26&gt;MAX('הנחות עבודה'!$B$69:$B$89)),0,(VLOOKUP($F26,'התפלגות ייצור וסל דלקים'!$B$64:$BV$84,T$2-$E$2,FALSE))*$D$9*$D$8*(HLOOKUP(T$23,$G$18:$R$19,2,FALSE)*(1-$D$12)^($F26-'הנחות עבודה'!$C$5)/$D$11)/$D$11)</f>
        <v>0</v>
      </c>
      <c r="U26" s="127">
        <f ca="1">IF(OR($F26&gt;$D$5,$F26&gt;MAX('הנחות עבודה'!$B$69:$B$89)),0,(VLOOKUP($F26,'התפלגות ייצור וסל דלקים'!$B$64:$BV$84,U$2-$E$2,FALSE))*$D$9*$D$8*(HLOOKUP(U$23,$G$18:$R$19,2,FALSE)*(1-$D$12)^($F26-'הנחות עבודה'!$C$5)/$D$11)/$D$11)</f>
        <v>0</v>
      </c>
      <c r="V26" s="127">
        <f ca="1">IF(OR($F26&gt;$D$5,$F26&gt;MAX('הנחות עבודה'!$B$69:$B$89)),0,(VLOOKUP($F26,'התפלגות ייצור וסל דלקים'!$B$64:$BV$84,V$2-$E$2,FALSE))*$D$9*$D$8*(HLOOKUP(V$23,$G$18:$R$19,2,FALSE)*(1-$D$12)^($F26-'הנחות עבודה'!$C$5)/$D$11)/$D$11)</f>
        <v>0</v>
      </c>
      <c r="W26" s="127">
        <f ca="1">IF(OR($F26&gt;$D$5,$F26&gt;MAX('הנחות עבודה'!$B$69:$B$89)),0,(VLOOKUP($F26,'התפלגות ייצור וסל דלקים'!$B$64:$BV$84,W$2-$E$2,FALSE))*$D$9*$D$8*(HLOOKUP(W$23,$G$18:$R$19,2,FALSE)*(1-$D$12)^($F26-'הנחות עבודה'!$C$5)/$D$11)/$D$11)</f>
        <v>0</v>
      </c>
      <c r="X26" s="127">
        <f ca="1">IF(OR($F26&gt;$D$5,$F26&gt;MAX('הנחות עבודה'!$B$69:$B$89)),0,(VLOOKUP($F26,'התפלגות ייצור וסל דלקים'!$B$64:$BV$84,X$2-$E$2,FALSE))*$D$9*$D$8*(HLOOKUP(X$23,$G$18:$R$19,2,FALSE)*(1-$D$12)^($F26-'הנחות עבודה'!$C$5)/$D$11)/$D$11)</f>
        <v>0</v>
      </c>
      <c r="Y26" s="52">
        <f ca="1">IF(OR($F26&gt;$D$5,$F26&gt;MAX('הנחות עבודה'!$B$69:$B$89)),0,(VLOOKUP($F26,'התפלגות ייצור וסל דלקים'!$B$64:$BV$84,Y$2-$E$2,FALSE))*$D$9*$D$8*(HLOOKUP(Y$23,$G$18:$R$19,2,FALSE)*(1-$D$12)^($F26-'הנחות עבודה'!$C$5)/$D$11)/$D$11)</f>
        <v>0.61893023999999996</v>
      </c>
      <c r="Z26" s="52">
        <f ca="1">IF(OR($F26&gt;$D$5,$F26&gt;MAX('הנחות עבודה'!$B$69:$B$89)),0,(VLOOKUP($F26,'התפלגות ייצור וסל דלקים'!$B$64:$BV$84,Z$2-$E$2,FALSE))*$D$9*$D$8*(HLOOKUP(Z$23,$G$18:$R$19,2,FALSE)*(1-$D$12)^($F26-'הנחות עבודה'!$C$5)/$D$11)/$D$11)</f>
        <v>19.035108117863999</v>
      </c>
      <c r="AA26" s="52">
        <f ca="1">IF(OR($F26&gt;$D$5,$F26&gt;MAX('הנחות עבודה'!$B$69:$B$89)),0,(VLOOKUP($F26,'התפלגות ייצור וסל דלקים'!$B$64:$BV$84,AA$2-$E$2,FALSE))*$D$9*$D$8*(HLOOKUP(AA$23,$G$18:$R$19,2,FALSE)*(1-$D$12)^($F26-'הנחות עבודה'!$C$5)/$D$11)/$D$11)</f>
        <v>0</v>
      </c>
      <c r="AB26" s="52">
        <f ca="1">IF(OR($F26&gt;$D$5,$F26&gt;MAX('הנחות עבודה'!$B$69:$B$89)),0,(VLOOKUP($F26,'התפלגות ייצור וסל דלקים'!$B$64:$BV$84,AB$2-$E$2,FALSE))*$D$9*$D$8*(HLOOKUP(AB$23,$G$18:$R$19,2,FALSE)*(1-$D$12)^($F26-'הנחות עבודה'!$C$5)/$D$11)/$D$11)</f>
        <v>0</v>
      </c>
      <c r="AC26" s="52">
        <f ca="1">IF(OR($F26&gt;$D$5,$F26&gt;MAX('הנחות עבודה'!$B$69:$B$89)),0,(VLOOKUP($F26,'התפלגות ייצור וסל דלקים'!$B$64:$BV$84,AC$2-$E$2,FALSE))*$D$9*$D$8*(HLOOKUP(AC$23,$G$18:$R$19,2,FALSE)*(1-$D$12)^($F26-'הנחות עבודה'!$C$5)/$D$11)/$D$11)</f>
        <v>14.258560800000001</v>
      </c>
      <c r="AD26" s="52">
        <f ca="1">IF(OR($F26&gt;$D$5,$F26&gt;MAX('הנחות עבודה'!$B$69:$B$89)),0,(VLOOKUP($F26,'התפלגות ייצור וסל דלקים'!$B$64:$BV$84,AD$2-$E$2,FALSE))*$D$9*$D$8*(HLOOKUP(AD$23,$G$18:$R$19,2,FALSE)*(1-$D$12)^($F26-'הנחות עבודה'!$C$5)/$D$11)/$D$11)</f>
        <v>0</v>
      </c>
      <c r="AE26" s="42">
        <f ca="1">IF(OR($F26&gt;$D$5,$F26&gt;MAX('הנחות עבודה'!$B$69:$B$89)),0,(VLOOKUP($F26,'התפלגות ייצור וסל דלקים'!$B$64:$BV$84,AE$2-$E$2,FALSE))*$D$9*$D$8*(HLOOKUP(AE$23,$G$18:$R$19,2,FALSE)*(1-$D$12)^($F26-'הנחות עבודה'!$C$5)/$D$11)/$D$11)</f>
        <v>0</v>
      </c>
      <c r="AF26" s="44">
        <f ca="1">IF(OR($F26&gt;$D$5,$F26&gt;MAX('הנחות עבודה'!$B$69:$B$89)),0,(VLOOKUP($F26,'התפלגות ייצור וסל דלקים'!$B$64:$BV$84,AF$2-$E$2,FALSE))*$D$9*$D$8*(HLOOKUP(AF$23,$G$18:$R$19,2,FALSE)*(1-$D$12)^($F26-'הנחות עבודה'!$C$5)/$D$11)/$D$11)</f>
        <v>0</v>
      </c>
      <c r="AG26" s="44">
        <f ca="1">IF(OR($F26&gt;$D$5,$F26&gt;MAX('הנחות עבודה'!$B$69:$B$89)),0,(VLOOKUP($F26,'התפלגות ייצור וסל דלקים'!$B$64:$BV$84,AG$2-$E$2,FALSE))*$D$9*$D$8*(HLOOKUP(AG$23,$G$18:$R$19,2,FALSE)*(1-$D$12)^($F26-'הנחות עבודה'!$C$5)/$D$11)/$D$11)</f>
        <v>0</v>
      </c>
      <c r="AH26" s="44">
        <f ca="1">IF(OR($F26&gt;$D$5,$F26&gt;MAX('הנחות עבודה'!$B$69:$B$89)),0,(VLOOKUP($F26,'התפלגות ייצור וסל דלקים'!$B$64:$BV$84,AH$2-$E$2,FALSE))*$D$9*$D$8*(HLOOKUP(AH$23,$G$18:$R$19,2,FALSE)*(1-$D$12)^($F26-'הנחות עבודה'!$C$5)/$D$11)/$D$11)</f>
        <v>0</v>
      </c>
      <c r="AI26" s="44">
        <f ca="1">IF(OR($F26&gt;$D$5,$F26&gt;MAX('הנחות עבודה'!$B$69:$B$89)),0,(VLOOKUP($F26,'התפלגות ייצור וסל דלקים'!$B$64:$BV$84,AI$2-$E$2,FALSE))*$D$9*$D$8*(HLOOKUP(AI$23,$G$18:$R$19,2,FALSE)*(1-$D$12)^($F26-'הנחות עבודה'!$C$5)/$D$11)/$D$11)</f>
        <v>0</v>
      </c>
      <c r="AJ26" s="44">
        <f ca="1">IF(OR($F26&gt;$D$5,$F26&gt;MAX('הנחות עבודה'!$B$69:$B$89)),0,(VLOOKUP($F26,'התפלגות ייצור וסל דלקים'!$B$64:$BV$84,AJ$2-$E$2,FALSE))*$D$9*$D$8*(HLOOKUP(AJ$23,$G$18:$R$19,2,FALSE)*(1-$D$12)^($F26-'הנחות עבודה'!$C$5)/$D$11)/$D$11)</f>
        <v>0</v>
      </c>
      <c r="AK26" s="42">
        <f ca="1">IF(OR($F26&gt;$D$5,$F26&gt;MAX('הנחות עבודה'!$B$69:$B$89)),0,(VLOOKUP($F26,'התפלגות ייצור וסל דלקים'!$B$64:$BV$84,AK$2-$E$2,FALSE))*$D$9*$D$8*(HLOOKUP(AK$23,$G$18:$R$19,2,FALSE)*(1-$D$12)^($F26-'הנחות עבודה'!$C$5)/$D$11)/$D$11)</f>
        <v>0.60178565999999989</v>
      </c>
      <c r="AL26" s="42">
        <f ca="1">IF(OR($F26&gt;$D$5,$F26&gt;MAX('הנחות עבודה'!$B$69:$B$89)),0,(VLOOKUP($F26,'התפלגות ייצור וסל דלקים'!$B$64:$BV$84,AL$2-$E$2,FALSE))*$D$9*$D$8*(HLOOKUP(AL$23,$G$18:$R$19,2,FALSE)*(1-$D$12)^($F26-'הנחות עבודה'!$C$5)/$D$11)/$D$11)</f>
        <v>18.52906736061</v>
      </c>
      <c r="AM26" s="42">
        <f ca="1">IF(OR($F26&gt;$D$5,$F26&gt;MAX('הנחות עבודה'!$B$69:$B$89)),0,(VLOOKUP($F26,'התפלגות ייצור וסל דלקים'!$B$64:$BV$84,AM$2-$E$2,FALSE))*$D$9*$D$8*(HLOOKUP(AM$23,$G$18:$R$19,2,FALSE)*(1-$D$12)^($F26-'הנחות עבודה'!$C$5)/$D$11)/$D$11)</f>
        <v>0</v>
      </c>
      <c r="AN26" s="43">
        <f ca="1">IF(OR($F26&gt;$D$5,$F26&gt;MAX('הנחות עבודה'!$B$69:$B$89)),0,(VLOOKUP($F26,'התפלגות ייצור וסל דלקים'!$B$64:$BV$84,AN$2-$E$2,FALSE))*$D$9*$D$8*(HLOOKUP(AN$23,$G$18:$R$19,2,FALSE)*(1-$D$12)^($F26-'הנחות עבודה'!$C$5)/$D$11)/$D$11)</f>
        <v>0</v>
      </c>
      <c r="AO26" s="42">
        <f ca="1">IF(OR($F26&gt;$D$5,$F26&gt;MAX('הנחות עבודה'!$B$69:$B$89)),0,(VLOOKUP($F26,'התפלגות ייצור וסל דלקים'!$B$64:$BV$84,AO$2-$E$2,FALSE))*$D$9*$D$8*(HLOOKUP(AO$23,$G$18:$R$19,2,FALSE)*(1-$D$12)^($F26-'הנחות עבודה'!$C$5)/$D$11)/$D$11)</f>
        <v>14.259071199999999</v>
      </c>
      <c r="AP26" s="43">
        <f ca="1">IF(OR($F26&gt;$D$5,$F26&gt;MAX('הנחות עבודה'!$B$69:$B$89)),0,(VLOOKUP($F26,'התפלגות ייצור וסל דלקים'!$B$64:$BV$84,AP$2-$E$2,FALSE))*$D$9*$D$8*(HLOOKUP(AP$23,$G$18:$R$19,2,FALSE)*(1-$D$12)^($F26-'הנחות עבודה'!$C$5)/$D$11)/$D$11)</f>
        <v>0</v>
      </c>
      <c r="AQ26" s="52">
        <f ca="1">IF(OR($F26&gt;$D$5,$F26&gt;MAX('הנחות עבודה'!$B$69:$B$89)),0,(VLOOKUP($F26,'התפלגות ייצור וסל דלקים'!$B$64:$BV$84,AQ$2-$E$2,FALSE))*$D$9*$D$8*(HLOOKUP(AQ$23,$G$18:$R$19,2,FALSE)*(1-$D$12)^($F26-'הנחות עבודה'!$C$5)/$D$11)/$D$11)</f>
        <v>0</v>
      </c>
      <c r="AR26" s="127">
        <f ca="1">IF(OR($F26&gt;$D$5,$F26&gt;MAX('הנחות עבודה'!$B$69:$B$89)),0,(VLOOKUP($F26,'התפלגות ייצור וסל דלקים'!$B$64:$BV$84,AR$2-$E$2,FALSE))*$D$9*$D$8*(HLOOKUP(AR$23,$G$18:$R$19,2,FALSE)*(1-$D$12)^($F26-'הנחות עבודה'!$C$5)/$D$11)/$D$11)</f>
        <v>0</v>
      </c>
      <c r="AS26" s="127">
        <f ca="1">IF(OR($F26&gt;$D$5,$F26&gt;MAX('הנחות עבודה'!$B$69:$B$89)),0,(VLOOKUP($F26,'התפלגות ייצור וסל דלקים'!$B$64:$BV$84,AS$2-$E$2,FALSE))*$D$9*$D$8*(HLOOKUP(AS$23,$G$18:$R$19,2,FALSE)*(1-$D$12)^($F26-'הנחות עבודה'!$C$5)/$D$11)/$D$11)</f>
        <v>0</v>
      </c>
      <c r="AT26" s="127">
        <f ca="1">IF(OR($F26&gt;$D$5,$F26&gt;MAX('הנחות עבודה'!$B$69:$B$89)),0,(VLOOKUP($F26,'התפלגות ייצור וסל דלקים'!$B$64:$BV$84,AT$2-$E$2,FALSE))*$D$9*$D$8*(HLOOKUP(AT$23,$G$18:$R$19,2,FALSE)*(1-$D$12)^($F26-'הנחות עבודה'!$C$5)/$D$11)/$D$11)</f>
        <v>0</v>
      </c>
      <c r="AU26" s="127">
        <f ca="1">IF(OR($F26&gt;$D$5,$F26&gt;MAX('הנחות עבודה'!$B$69:$B$89)),0,(VLOOKUP($F26,'התפלגות ייצור וסל דלקים'!$B$64:$BV$84,AU$2-$E$2,FALSE))*$D$9*$D$8*(HLOOKUP(AU$23,$G$18:$R$19,2,FALSE)*(1-$D$12)^($F26-'הנחות עבודה'!$C$5)/$D$11)/$D$11)</f>
        <v>0</v>
      </c>
      <c r="AV26" s="127">
        <f ca="1">IF(OR($F26&gt;$D$5,$F26&gt;MAX('הנחות עבודה'!$B$69:$B$89)),0,(VLOOKUP($F26,'התפלגות ייצור וסל דלקים'!$B$64:$BV$84,AV$2-$E$2,FALSE))*$D$9*$D$8*(HLOOKUP(AV$23,$G$18:$R$19,2,FALSE)*(1-$D$12)^($F26-'הנחות עבודה'!$C$5)/$D$11)/$D$11)</f>
        <v>0</v>
      </c>
      <c r="AW26" s="52">
        <f ca="1">IF(OR($F26&gt;$D$5,$F26&gt;MAX('הנחות עבודה'!$B$69:$B$89)),0,(VLOOKUP($F26,'התפלגות ייצור וסל דלקים'!$B$64:$BV$84,AW$2-$E$2,FALSE))*$D$9*$D$8*(HLOOKUP(AW$23,$G$18:$R$19,2,FALSE)*(1-$D$12)^($F26-'הנחות עבודה'!$C$5)/$D$11)/$D$11)</f>
        <v>0.60178565999999989</v>
      </c>
      <c r="AX26" s="52">
        <f ca="1">IF(OR($F26&gt;$D$5,$F26&gt;MAX('הנחות עבודה'!$B$69:$B$89)),0,(VLOOKUP($F26,'התפלגות ייצור וסל דלקים'!$B$64:$BV$84,AX$2-$E$2,FALSE))*$D$9*$D$8*(HLOOKUP(AX$23,$G$18:$R$19,2,FALSE)*(1-$D$12)^($F26-'הנחות עבודה'!$C$5)/$D$11)/$D$11)</f>
        <v>18.52906736061</v>
      </c>
      <c r="AY26" s="52">
        <f ca="1">IF(OR($F26&gt;$D$5,$F26&gt;MAX('הנחות עבודה'!$B$69:$B$89)),0,(VLOOKUP($F26,'התפלגות ייצור וסל דלקים'!$B$64:$BV$84,AY$2-$E$2,FALSE))*$D$9*$D$8*(HLOOKUP(AY$23,$G$18:$R$19,2,FALSE)*(1-$D$12)^($F26-'הנחות עבודה'!$C$5)/$D$11)/$D$11)</f>
        <v>0</v>
      </c>
      <c r="AZ26" s="52">
        <f ca="1">IF(OR($F26&gt;$D$5,$F26&gt;MAX('הנחות עבודה'!$B$69:$B$89)),0,(VLOOKUP($F26,'התפלגות ייצור וסל דלקים'!$B$64:$BV$84,AZ$2-$E$2,FALSE))*$D$9*$D$8*(HLOOKUP(AZ$23,$G$18:$R$19,2,FALSE)*(1-$D$12)^($F26-'הנחות עבודה'!$C$5)/$D$11)/$D$11)</f>
        <v>0</v>
      </c>
      <c r="BA26" s="52">
        <f ca="1">IF(OR($F26&gt;$D$5,$F26&gt;MAX('הנחות עבודה'!$B$69:$B$89)),0,(VLOOKUP($F26,'התפלגות ייצור וסל דלקים'!$B$64:$BV$84,BA$2-$E$2,FALSE))*$D$9*$D$8*(HLOOKUP(BA$23,$G$18:$R$19,2,FALSE)*(1-$D$12)^($F26-'הנחות עבודה'!$C$5)/$D$11)/$D$11)</f>
        <v>14.259071199999999</v>
      </c>
      <c r="BB26" s="52">
        <f ca="1">IF(OR($F26&gt;$D$5,$F26&gt;MAX('הנחות עבודה'!$B$69:$B$89)),0,(VLOOKUP($F26,'התפלגות ייצור וסל דלקים'!$B$64:$BV$84,BB$2-$E$2,FALSE))*$D$9*$D$8*(HLOOKUP(BB$23,$G$18:$R$19,2,FALSE)*(1-$D$12)^($F26-'הנחות עבודה'!$C$5)/$D$11)/$D$11)</f>
        <v>0</v>
      </c>
      <c r="BC26" s="42">
        <f ca="1">IF(OR($F26&gt;$D$5,$F26&gt;MAX('הנחות עבודה'!$B$69:$B$89)),0,(VLOOKUP($F26,'התפלגות ייצור וסל דלקים'!$B$64:$BV$84,BC$2-$E$2,FALSE))*$D$9*$D$8*(HLOOKUP(BC$23,$G$18:$R$19,2,FALSE)*(1-$D$12)^($F26-'הנחות עבודה'!$C$5)/$D$11)/$D$11)</f>
        <v>0</v>
      </c>
      <c r="BD26" s="44">
        <f ca="1">IF(OR($F26&gt;$D$5,$F26&gt;MAX('הנחות עבודה'!$B$69:$B$89)),0,(VLOOKUP($F26,'התפלגות ייצור וסל דלקים'!$B$64:$BV$84,BD$2-$E$2,FALSE))*$D$9*$D$8*(HLOOKUP(BD$23,$G$18:$R$19,2,FALSE)*(1-$D$12)^($F26-'הנחות עבודה'!$C$5)/$D$11)/$D$11)</f>
        <v>0</v>
      </c>
      <c r="BE26" s="44">
        <f ca="1">IF(OR($F26&gt;$D$5,$F26&gt;MAX('הנחות עבודה'!$B$69:$B$89)),0,(VLOOKUP($F26,'התפלגות ייצור וסל דלקים'!$B$64:$BV$84,BE$2-$E$2,FALSE))*$D$9*$D$8*(HLOOKUP(BE$23,$G$18:$R$19,2,FALSE)*(1-$D$12)^($F26-'הנחות עבודה'!$C$5)/$D$11)/$D$11)</f>
        <v>0</v>
      </c>
      <c r="BF26" s="44">
        <f ca="1">IF(OR($F26&gt;$D$5,$F26&gt;MAX('הנחות עבודה'!$B$69:$B$89)),0,(VLOOKUP($F26,'התפלגות ייצור וסל דלקים'!$B$64:$BV$84,BF$2-$E$2,FALSE))*$D$9*$D$8*(HLOOKUP(BF$23,$G$18:$R$19,2,FALSE)*(1-$D$12)^($F26-'הנחות עבודה'!$C$5)/$D$11)/$D$11)</f>
        <v>0</v>
      </c>
      <c r="BG26" s="44">
        <f ca="1">IF(OR($F26&gt;$D$5,$F26&gt;MAX('הנחות עבודה'!$B$69:$B$89)),0,(VLOOKUP($F26,'התפלגות ייצור וסל דלקים'!$B$64:$BV$84,BG$2-$E$2,FALSE))*$D$9*$D$8*(HLOOKUP(BG$23,$G$18:$R$19,2,FALSE)*(1-$D$12)^($F26-'הנחות עבודה'!$C$5)/$D$11)/$D$11)</f>
        <v>0</v>
      </c>
      <c r="BH26" s="44">
        <f ca="1">IF(OR($F26&gt;$D$5,$F26&gt;MAX('הנחות עבודה'!$B$69:$B$89)),0,(VLOOKUP($F26,'התפלגות ייצור וסל דלקים'!$B$64:$BV$84,BH$2-$E$2,FALSE))*$D$9*$D$8*(HLOOKUP(BH$23,$G$18:$R$19,2,FALSE)*(1-$D$12)^($F26-'הנחות עבודה'!$C$5)/$D$11)/$D$11)</f>
        <v>0</v>
      </c>
      <c r="BI26" s="42">
        <f ca="1">IF(OR($F26&gt;$D$5,$F26&gt;MAX('הנחות עבודה'!$B$69:$B$89)),0,(VLOOKUP($F26,'התפלגות ייצור וסל דלקים'!$B$64:$BV$84,BI$2-$E$2,FALSE))*$D$9*$D$8*(HLOOKUP(BI$23,$G$18:$R$19,2,FALSE)*(1-$D$12)^($F26-'הנחות עבודה'!$C$5)/$D$11)/$D$11)</f>
        <v>0.59571845999999995</v>
      </c>
      <c r="BJ26" s="42">
        <f ca="1">IF(OR($F26&gt;$D$5,$F26&gt;MAX('הנחות עבודה'!$B$69:$B$89)),0,(VLOOKUP($F26,'התפלגות ייצור וסל דלקים'!$B$64:$BV$84,BJ$2-$E$2,FALSE))*$D$9*$D$8*(HLOOKUP(BJ$23,$G$18:$R$19,2,FALSE)*(1-$D$12)^($F26-'הנחות עבודה'!$C$5)/$D$11)/$D$11)</f>
        <v>18.256775666579998</v>
      </c>
      <c r="BK26" s="42">
        <f ca="1">IF(OR($F26&gt;$D$5,$F26&gt;MAX('הנחות עבודה'!$B$69:$B$89)),0,(VLOOKUP($F26,'התפלגות ייצור וסל דלקים'!$B$64:$BV$84,BK$2-$E$2,FALSE))*$D$9*$D$8*(HLOOKUP(BK$23,$G$18:$R$19,2,FALSE)*(1-$D$12)^($F26-'הנחות עבודה'!$C$5)/$D$11)/$D$11)</f>
        <v>0</v>
      </c>
      <c r="BL26" s="42">
        <f ca="1">IF(OR($F26&gt;$D$5,$F26&gt;MAX('הנחות עבודה'!$B$69:$B$89)),0,(VLOOKUP($F26,'התפלגות ייצור וסל דלקים'!$B$64:$BV$84,BL$2-$E$2,FALSE))*$D$9*$D$8*(HLOOKUP(BL$23,$G$18:$R$19,2,FALSE)*(1-$D$12)^($F26-'הנחות עבודה'!$C$5)/$D$11)/$D$11)</f>
        <v>0</v>
      </c>
      <c r="BM26" s="42">
        <f ca="1">IF(OR($F26&gt;$D$5,$F26&gt;MAX('הנחות עבודה'!$B$69:$B$89)),0,(VLOOKUP($F26,'התפלגות ייצור וסל דלקים'!$B$64:$BV$84,BM$2-$E$2,FALSE))*$D$9*$D$8*(HLOOKUP(BM$23,$G$18:$R$19,2,FALSE)*(1-$D$12)^($F26-'הנחות עבודה'!$C$5)/$D$11)/$D$11)</f>
        <v>14.258543200000002</v>
      </c>
      <c r="BN26" s="42">
        <f ca="1">IF(OR($F26&gt;$D$5,$F26&gt;MAX('הנחות עבודה'!$B$69:$B$89)),0,(VLOOKUP($F26,'התפלגות ייצור וסל דלקים'!$B$64:$BV$84,BN$2-$E$2,FALSE))*$D$9*$D$8*(HLOOKUP(BN$23,$G$18:$R$19,2,FALSE)*(1-$D$12)^($F26-'הנחות עבודה'!$C$5)/$D$11)/$D$11)</f>
        <v>0</v>
      </c>
      <c r="BO26" s="52">
        <f ca="1">IF(OR($F26&gt;$D$5,$F26&gt;MAX('הנחות עבודה'!$B$69:$B$89)),0,(VLOOKUP($F26,'התפלגות ייצור וסל דלקים'!$B$64:$BV$84,BO$2-$E$2,FALSE))*$D$9*$D$8*(HLOOKUP(BO$23,$G$18:$R$19,2,FALSE)*(1-$D$12)^($F26-'הנחות עבודה'!$C$5)/$D$11)/$D$11)</f>
        <v>0</v>
      </c>
      <c r="BP26" s="127">
        <f ca="1">IF(OR($F26&gt;$D$5,$F26&gt;MAX('הנחות עבודה'!$B$69:$B$89)),0,(VLOOKUP($F26,'התפלגות ייצור וסל דלקים'!$B$64:$BV$84,BP$2-$E$2,FALSE))*$D$9*$D$8*(HLOOKUP(BP$23,$G$18:$R$19,2,FALSE)*(1-$D$12)^($F26-'הנחות עבודה'!$C$5)/$D$11)/$D$11)</f>
        <v>0</v>
      </c>
      <c r="BQ26" s="127">
        <f ca="1">IF(OR($F26&gt;$D$5,$F26&gt;MAX('הנחות עבודה'!$B$69:$B$89)),0,(VLOOKUP($F26,'התפלגות ייצור וסל דלקים'!$B$64:$BV$84,BQ$2-$E$2,FALSE))*$D$9*$D$8*(HLOOKUP(BQ$23,$G$18:$R$19,2,FALSE)*(1-$D$12)^($F26-'הנחות עבודה'!$C$5)/$D$11)/$D$11)</f>
        <v>0</v>
      </c>
      <c r="BR26" s="127">
        <f ca="1">IF(OR($F26&gt;$D$5,$F26&gt;MAX('הנחות עבודה'!$B$69:$B$89)),0,(VLOOKUP($F26,'התפלגות ייצור וסל דלקים'!$B$64:$BV$84,BR$2-$E$2,FALSE))*$D$9*$D$8*(HLOOKUP(BR$23,$G$18:$R$19,2,FALSE)*(1-$D$12)^($F26-'הנחות עבודה'!$C$5)/$D$11)/$D$11)</f>
        <v>0</v>
      </c>
      <c r="BS26" s="127">
        <f ca="1">IF(OR($F26&gt;$D$5,$F26&gt;MAX('הנחות עבודה'!$B$69:$B$89)),0,(VLOOKUP($F26,'התפלגות ייצור וסל דלקים'!$B$64:$BV$84,BS$2-$E$2,FALSE))*$D$9*$D$8*(HLOOKUP(BS$23,$G$18:$R$19,2,FALSE)*(1-$D$12)^($F26-'הנחות עבודה'!$C$5)/$D$11)/$D$11)</f>
        <v>0</v>
      </c>
      <c r="BT26" s="127">
        <f ca="1">IF(OR($F26&gt;$D$5,$F26&gt;MAX('הנחות עבודה'!$B$69:$B$89)),0,(VLOOKUP($F26,'התפלגות ייצור וסל דלקים'!$B$64:$BV$84,BT$2-$E$2,FALSE))*$D$9*$D$8*(HLOOKUP(BT$23,$G$18:$R$19,2,FALSE)*(1-$D$12)^($F26-'הנחות עבודה'!$C$5)/$D$11)/$D$11)</f>
        <v>0</v>
      </c>
      <c r="BU26" s="52">
        <f ca="1">IF(OR($F26&gt;$D$5,$F26&gt;MAX('הנחות עבודה'!$B$69:$B$89)),0,(VLOOKUP($F26,'התפלגות ייצור וסל דלקים'!$B$64:$BV$84,BU$2-$E$2,FALSE))*$D$9*$D$8*(HLOOKUP(BU$23,$G$18:$R$19,2,FALSE)*(1-$D$12)^($F26-'הנחות עבודה'!$C$5)/$D$11)/$D$11)</f>
        <v>0.59571845999999995</v>
      </c>
      <c r="BV26" s="52">
        <f ca="1">IF(OR($F26&gt;$D$5,$F26&gt;MAX('הנחות עבודה'!$B$69:$B$89)),0,(VLOOKUP($F26,'התפלגות ייצור וסל דלקים'!$B$64:$BV$84,BV$2-$E$2,FALSE))*$D$9*$D$8*(HLOOKUP(BV$23,$G$18:$R$19,2,FALSE)*(1-$D$12)^($F26-'הנחות עבודה'!$C$5)/$D$11)/$D$11)</f>
        <v>18.256775666579998</v>
      </c>
      <c r="BW26" s="52">
        <f ca="1">IF(OR($F26&gt;$D$5,$F26&gt;MAX('הנחות עבודה'!$B$69:$B$89)),0,(VLOOKUP($F26,'התפלגות ייצור וסל דלקים'!$B$64:$BV$84,BW$2-$E$2,FALSE))*$D$9*$D$8*(HLOOKUP(BW$23,$G$18:$R$19,2,FALSE)*(1-$D$12)^($F26-'הנחות עבודה'!$C$5)/$D$11)/$D$11)</f>
        <v>0</v>
      </c>
      <c r="BX26" s="52">
        <f ca="1">IF(OR($F26&gt;$D$5,$F26&gt;MAX('הנחות עבודה'!$B$69:$B$89)),0,(VLOOKUP($F26,'התפלגות ייצור וסל דלקים'!$B$64:$BV$84,BX$2-$E$2,FALSE))*$D$9*$D$8*(HLOOKUP(BX$23,$G$18:$R$19,2,FALSE)*(1-$D$12)^($F26-'הנחות עבודה'!$C$5)/$D$11)/$D$11)</f>
        <v>0</v>
      </c>
      <c r="BY26" s="52">
        <f ca="1">IF(OR($F26&gt;$D$5,$F26&gt;MAX('הנחות עבודה'!$B$69:$B$89)),0,(VLOOKUP($F26,'התפלגות ייצור וסל דלקים'!$B$64:$BV$84,BY$2-$E$2,FALSE))*$D$9*$D$8*(HLOOKUP(BY$23,$G$18:$R$19,2,FALSE)*(1-$D$12)^($F26-'הנחות עבודה'!$C$5)/$D$11)/$D$11)</f>
        <v>14.258543200000002</v>
      </c>
      <c r="BZ26" s="52">
        <f ca="1">IF(OR($F26&gt;$D$5,$F26&gt;MAX('הנחות עבודה'!$B$69:$B$89)),0,(VLOOKUP($F26,'התפלגות ייצור וסל דלקים'!$B$64:$BV$84,BZ$2-$E$2,FALSE))*$D$9*$D$8*(HLOOKUP(BZ$23,$G$18:$R$19,2,FALSE)*(1-$D$12)^($F26-'הנחות עבודה'!$C$5)/$D$11)/$D$11)</f>
        <v>0</v>
      </c>
    </row>
    <row r="27" spans="6:78" ht="15.75">
      <c r="F27" s="10">
        <f t="shared" si="115"/>
        <v>2023</v>
      </c>
      <c r="G27" s="42">
        <f ca="1">IF(OR($F27&gt;$D$5,$F27&gt;MAX('הנחות עבודה'!$B$69:$B$89)),0,(VLOOKUP($F27,'התפלגות ייצור וסל דלקים'!$B$64:$BV$84,G$2-$E$2,FALSE))*$D$9*$D$8*(HLOOKUP(G$23,$G$18:$R$19,2,FALSE)*(1-$D$12)^($F27-'הנחות עבודה'!$C$5)/$D$11)/$D$11)</f>
        <v>0</v>
      </c>
      <c r="H27" s="44">
        <f ca="1">IF(OR($F27&gt;$D$5,$F27&gt;MAX('הנחות עבודה'!$B$69:$B$89)),0,(VLOOKUP($F27,'התפלגות ייצור וסל דלקים'!$B$64:$BV$84,H$2-$E$2,FALSE))*$D$9*$D$8*(HLOOKUP(H$23,$G$18:$R$19,2,FALSE)*(1-$D$12)^($F27-'הנחות עבודה'!$C$5)/$D$11)/$D$11)</f>
        <v>0</v>
      </c>
      <c r="I27" s="44">
        <f ca="1">IF(OR($F27&gt;$D$5,$F27&gt;MAX('הנחות עבודה'!$B$69:$B$89)),0,(VLOOKUP($F27,'התפלגות ייצור וסל דלקים'!$B$64:$BV$84,I$2-$E$2,FALSE))*$D$9*$D$8*(HLOOKUP(I$23,$G$18:$R$19,2,FALSE)*(1-$D$12)^($F27-'הנחות עבודה'!$C$5)/$D$11)/$D$11)</f>
        <v>0</v>
      </c>
      <c r="J27" s="44">
        <f ca="1">IF(OR($F27&gt;$D$5,$F27&gt;MAX('הנחות עבודה'!$B$69:$B$89)),0,(VLOOKUP($F27,'התפלגות ייצור וסל דלקים'!$B$64:$BV$84,J$2-$E$2,FALSE))*$D$9*$D$8*(HLOOKUP(J$23,$G$18:$R$19,2,FALSE)*(1-$D$12)^($F27-'הנחות עבודה'!$C$5)/$D$11)/$D$11)</f>
        <v>0</v>
      </c>
      <c r="K27" s="44">
        <f ca="1">IF(OR($F27&gt;$D$5,$F27&gt;MAX('הנחות עבודה'!$B$69:$B$89)),0,(VLOOKUP($F27,'התפלגות ייצור וסל דלקים'!$B$64:$BV$84,K$2-$E$2,FALSE))*$D$9*$D$8*(HLOOKUP(K$23,$G$18:$R$19,2,FALSE)*(1-$D$12)^($F27-'הנחות עבודה'!$C$5)/$D$11)/$D$11)</f>
        <v>0</v>
      </c>
      <c r="L27" s="44">
        <f ca="1">IF(OR($F27&gt;$D$5,$F27&gt;MAX('הנחות עבודה'!$B$69:$B$89)),0,(VLOOKUP($F27,'התפלגות ייצור וסל דלקים'!$B$64:$BV$84,L$2-$E$2,FALSE))*$D$9*$D$8*(HLOOKUP(L$23,$G$18:$R$19,2,FALSE)*(1-$D$12)^($F27-'הנחות עבודה'!$C$5)/$D$11)/$D$11)</f>
        <v>0</v>
      </c>
      <c r="M27" s="42">
        <f ca="1">IF(OR($F27&gt;$D$5,$F27&gt;MAX('הנחות עבודה'!$B$69:$B$89)),0,(VLOOKUP($F27,'התפלגות ייצור וסל דלקים'!$B$64:$BV$84,M$2-$E$2,FALSE))*$D$9*$D$8*(HLOOKUP(M$23,$G$18:$R$19,2,FALSE)*(1-$D$12)^($F27-'הנחות עבודה'!$C$5)/$D$11)/$D$11)</f>
        <v>0.95029889999999984</v>
      </c>
      <c r="N27" s="42">
        <f ca="1">IF(OR($F27&gt;$D$5,$F27&gt;MAX('הנחות עבודה'!$B$69:$B$89)),0,(VLOOKUP($F27,'התפלגות ייצור וסל דלקים'!$B$64:$BV$84,N$2-$E$2,FALSE))*$D$9*$D$8*(HLOOKUP(N$23,$G$18:$R$19,2,FALSE)*(1-$D$12)^($F27-'הנחות עבודה'!$C$5)/$D$11)/$D$11)</f>
        <v>21.127124601917998</v>
      </c>
      <c r="O27" s="42">
        <f ca="1">IF(OR($F27&gt;$D$5,$F27&gt;MAX('הנחות עבודה'!$B$69:$B$89)),0,(VLOOKUP($F27,'התפלגות ייצור וסל דלקים'!$B$64:$BV$84,O$2-$E$2,FALSE))*$D$9*$D$8*(HLOOKUP(O$23,$G$18:$R$19,2,FALSE)*(1-$D$12)^($F27-'הנחות עבודה'!$C$5)/$D$11)/$D$11)</f>
        <v>0</v>
      </c>
      <c r="P27" s="43">
        <f ca="1">IF(OR($F27&gt;$D$5,$F27&gt;MAX('הנחות עבודה'!$B$69:$B$89)),0,(VLOOKUP($F27,'התפלגות ייצור וסל דלקים'!$B$64:$BV$84,P$2-$E$2,FALSE))*$D$9*$D$8*(HLOOKUP(P$23,$G$18:$R$19,2,FALSE)*(1-$D$12)^($F27-'הנחות עבודה'!$C$5)/$D$11)/$D$11)</f>
        <v>0</v>
      </c>
      <c r="Q27" s="42">
        <f ca="1">IF(OR($F27&gt;$D$5,$F27&gt;MAX('הנחות עבודה'!$B$69:$B$89)),0,(VLOOKUP($F27,'התפלגות ייצור וסל דלקים'!$B$64:$BV$84,Q$2-$E$2,FALSE))*$D$9*$D$8*(HLOOKUP(Q$23,$G$18:$R$19,2,FALSE)*(1-$D$12)^($F27-'הנחות עבודה'!$C$5)/$D$11)/$D$11)</f>
        <v>9.9094512000000012</v>
      </c>
      <c r="R27" s="43">
        <f ca="1">IF(OR($F27&gt;$D$5,$F27&gt;MAX('הנחות עבודה'!$B$69:$B$89)),0,(VLOOKUP($F27,'התפלגות ייצור וסל דלקים'!$B$64:$BV$84,R$2-$E$2,FALSE))*$D$9*$D$8*(HLOOKUP(R$23,$G$18:$R$19,2,FALSE)*(1-$D$12)^($F27-'הנחות עבודה'!$C$5)/$D$11)/$D$11)</f>
        <v>0</v>
      </c>
      <c r="S27" s="52">
        <f ca="1">IF(OR($F27&gt;$D$5,$F27&gt;MAX('הנחות עבודה'!$B$69:$B$89)),0,(VLOOKUP($F27,'התפלגות ייצור וסל דלקים'!$B$64:$BV$84,S$2-$E$2,FALSE))*$D$9*$D$8*(HLOOKUP(S$23,$G$18:$R$19,2,FALSE)*(1-$D$12)^($F27-'הנחות עבודה'!$C$5)/$D$11)/$D$11)</f>
        <v>0</v>
      </c>
      <c r="T27" s="127">
        <f ca="1">IF(OR($F27&gt;$D$5,$F27&gt;MAX('הנחות עבודה'!$B$69:$B$89)),0,(VLOOKUP($F27,'התפלגות ייצור וסל דלקים'!$B$64:$BV$84,T$2-$E$2,FALSE))*$D$9*$D$8*(HLOOKUP(T$23,$G$18:$R$19,2,FALSE)*(1-$D$12)^($F27-'הנחות עבודה'!$C$5)/$D$11)/$D$11)</f>
        <v>0</v>
      </c>
      <c r="U27" s="127">
        <f ca="1">IF(OR($F27&gt;$D$5,$F27&gt;MAX('הנחות עבודה'!$B$69:$B$89)),0,(VLOOKUP($F27,'התפלגות ייצור וסל דלקים'!$B$64:$BV$84,U$2-$E$2,FALSE))*$D$9*$D$8*(HLOOKUP(U$23,$G$18:$R$19,2,FALSE)*(1-$D$12)^($F27-'הנחות עבודה'!$C$5)/$D$11)/$D$11)</f>
        <v>0</v>
      </c>
      <c r="V27" s="127">
        <f ca="1">IF(OR($F27&gt;$D$5,$F27&gt;MAX('הנחות עבודה'!$B$69:$B$89)),0,(VLOOKUP($F27,'התפלגות ייצור וסל דלקים'!$B$64:$BV$84,V$2-$E$2,FALSE))*$D$9*$D$8*(HLOOKUP(V$23,$G$18:$R$19,2,FALSE)*(1-$D$12)^($F27-'הנחות עבודה'!$C$5)/$D$11)/$D$11)</f>
        <v>0</v>
      </c>
      <c r="W27" s="127">
        <f ca="1">IF(OR($F27&gt;$D$5,$F27&gt;MAX('הנחות עבודה'!$B$69:$B$89)),0,(VLOOKUP($F27,'התפלגות ייצור וסל דלקים'!$B$64:$BV$84,W$2-$E$2,FALSE))*$D$9*$D$8*(HLOOKUP(W$23,$G$18:$R$19,2,FALSE)*(1-$D$12)^($F27-'הנחות עבודה'!$C$5)/$D$11)/$D$11)</f>
        <v>0</v>
      </c>
      <c r="X27" s="127">
        <f ca="1">IF(OR($F27&gt;$D$5,$F27&gt;MAX('הנחות עבודה'!$B$69:$B$89)),0,(VLOOKUP($F27,'התפלגות ייצור וסל דלקים'!$B$64:$BV$84,X$2-$E$2,FALSE))*$D$9*$D$8*(HLOOKUP(X$23,$G$18:$R$19,2,FALSE)*(1-$D$12)^($F27-'הנחות עבודה'!$C$5)/$D$11)/$D$11)</f>
        <v>0</v>
      </c>
      <c r="Y27" s="52">
        <f ca="1">IF(OR($F27&gt;$D$5,$F27&gt;MAX('הנחות עבודה'!$B$69:$B$89)),0,(VLOOKUP($F27,'התפלגות ייצור וסל דלקים'!$B$64:$BV$84,Y$2-$E$2,FALSE))*$D$9*$D$8*(HLOOKUP(Y$23,$G$18:$R$19,2,FALSE)*(1-$D$12)^($F27-'הנחות עבודה'!$C$5)/$D$11)/$D$11)</f>
        <v>0.95029889999999984</v>
      </c>
      <c r="Z27" s="52">
        <f ca="1">IF(OR($F27&gt;$D$5,$F27&gt;MAX('הנחות עבודה'!$B$69:$B$89)),0,(VLOOKUP($F27,'התפלגות ייצור וסל דלקים'!$B$64:$BV$84,Z$2-$E$2,FALSE))*$D$9*$D$8*(HLOOKUP(Z$23,$G$18:$R$19,2,FALSE)*(1-$D$12)^($F27-'הנחות עבודה'!$C$5)/$D$11)/$D$11)</f>
        <v>21.127124601917998</v>
      </c>
      <c r="AA27" s="52">
        <f ca="1">IF(OR($F27&gt;$D$5,$F27&gt;MAX('הנחות עבודה'!$B$69:$B$89)),0,(VLOOKUP($F27,'התפלגות ייצור וסל דלקים'!$B$64:$BV$84,AA$2-$E$2,FALSE))*$D$9*$D$8*(HLOOKUP(AA$23,$G$18:$R$19,2,FALSE)*(1-$D$12)^($F27-'הנחות עבודה'!$C$5)/$D$11)/$D$11)</f>
        <v>0</v>
      </c>
      <c r="AB27" s="52">
        <f ca="1">IF(OR($F27&gt;$D$5,$F27&gt;MAX('הנחות עבודה'!$B$69:$B$89)),0,(VLOOKUP($F27,'התפלגות ייצור וסל דלקים'!$B$64:$BV$84,AB$2-$E$2,FALSE))*$D$9*$D$8*(HLOOKUP(AB$23,$G$18:$R$19,2,FALSE)*(1-$D$12)^($F27-'הנחות עבודה'!$C$5)/$D$11)/$D$11)</f>
        <v>0</v>
      </c>
      <c r="AC27" s="52">
        <f ca="1">IF(OR($F27&gt;$D$5,$F27&gt;MAX('הנחות עבודה'!$B$69:$B$89)),0,(VLOOKUP($F27,'התפלגות ייצור וסל דלקים'!$B$64:$BV$84,AC$2-$E$2,FALSE))*$D$9*$D$8*(HLOOKUP(AC$23,$G$18:$R$19,2,FALSE)*(1-$D$12)^($F27-'הנחות עבודה'!$C$5)/$D$11)/$D$11)</f>
        <v>9.9094512000000012</v>
      </c>
      <c r="AD27" s="52">
        <f ca="1">IF(OR($F27&gt;$D$5,$F27&gt;MAX('הנחות עבודה'!$B$69:$B$89)),0,(VLOOKUP($F27,'התפלגות ייצור וסל דלקים'!$B$64:$BV$84,AD$2-$E$2,FALSE))*$D$9*$D$8*(HLOOKUP(AD$23,$G$18:$R$19,2,FALSE)*(1-$D$12)^($F27-'הנחות עבודה'!$C$5)/$D$11)/$D$11)</f>
        <v>0</v>
      </c>
      <c r="AE27" s="42">
        <f ca="1">IF(OR($F27&gt;$D$5,$F27&gt;MAX('הנחות עבודה'!$B$69:$B$89)),0,(VLOOKUP($F27,'התפלגות ייצור וסל דלקים'!$B$64:$BV$84,AE$2-$E$2,FALSE))*$D$9*$D$8*(HLOOKUP(AE$23,$G$18:$R$19,2,FALSE)*(1-$D$12)^($F27-'הנחות עבודה'!$C$5)/$D$11)/$D$11)</f>
        <v>0</v>
      </c>
      <c r="AF27" s="44">
        <f ca="1">IF(OR($F27&gt;$D$5,$F27&gt;MAX('הנחות עבודה'!$B$69:$B$89)),0,(VLOOKUP($F27,'התפלגות ייצור וסל דלקים'!$B$64:$BV$84,AF$2-$E$2,FALSE))*$D$9*$D$8*(HLOOKUP(AF$23,$G$18:$R$19,2,FALSE)*(1-$D$12)^($F27-'הנחות עבודה'!$C$5)/$D$11)/$D$11)</f>
        <v>0</v>
      </c>
      <c r="AG27" s="44">
        <f ca="1">IF(OR($F27&gt;$D$5,$F27&gt;MAX('הנחות עבודה'!$B$69:$B$89)),0,(VLOOKUP($F27,'התפלגות ייצור וסל דלקים'!$B$64:$BV$84,AG$2-$E$2,FALSE))*$D$9*$D$8*(HLOOKUP(AG$23,$G$18:$R$19,2,FALSE)*(1-$D$12)^($F27-'הנחות עבודה'!$C$5)/$D$11)/$D$11)</f>
        <v>0</v>
      </c>
      <c r="AH27" s="44">
        <f ca="1">IF(OR($F27&gt;$D$5,$F27&gt;MAX('הנחות עבודה'!$B$69:$B$89)),0,(VLOOKUP($F27,'התפלגות ייצור וסל דלקים'!$B$64:$BV$84,AH$2-$E$2,FALSE))*$D$9*$D$8*(HLOOKUP(AH$23,$G$18:$R$19,2,FALSE)*(1-$D$12)^($F27-'הנחות עבודה'!$C$5)/$D$11)/$D$11)</f>
        <v>0</v>
      </c>
      <c r="AI27" s="44">
        <f ca="1">IF(OR($F27&gt;$D$5,$F27&gt;MAX('הנחות עבודה'!$B$69:$B$89)),0,(VLOOKUP($F27,'התפלגות ייצור וסל דלקים'!$B$64:$BV$84,AI$2-$E$2,FALSE))*$D$9*$D$8*(HLOOKUP(AI$23,$G$18:$R$19,2,FALSE)*(1-$D$12)^($F27-'הנחות עבודה'!$C$5)/$D$11)/$D$11)</f>
        <v>0</v>
      </c>
      <c r="AJ27" s="44">
        <f ca="1">IF(OR($F27&gt;$D$5,$F27&gt;MAX('הנחות עבודה'!$B$69:$B$89)),0,(VLOOKUP($F27,'התפלגות ייצור וסל דלקים'!$B$64:$BV$84,AJ$2-$E$2,FALSE))*$D$9*$D$8*(HLOOKUP(AJ$23,$G$18:$R$19,2,FALSE)*(1-$D$12)^($F27-'הנחות עבודה'!$C$5)/$D$11)/$D$11)</f>
        <v>0</v>
      </c>
      <c r="AK27" s="42">
        <f ca="1">IF(OR($F27&gt;$D$5,$F27&gt;MAX('הנחות עבודה'!$B$69:$B$89)),0,(VLOOKUP($F27,'התפלגות ייצור וסל דלקים'!$B$64:$BV$84,AK$2-$E$2,FALSE))*$D$9*$D$8*(HLOOKUP(AK$23,$G$18:$R$19,2,FALSE)*(1-$D$12)^($F27-'הנחות עבודה'!$C$5)/$D$11)/$D$11)</f>
        <v>0.9277222799999999</v>
      </c>
      <c r="AL27" s="42">
        <f ca="1">IF(OR($F27&gt;$D$5,$F27&gt;MAX('הנחות עבודה'!$B$69:$B$89)),0,(VLOOKUP($F27,'התפלגות ייצור וסל דלקים'!$B$64:$BV$84,AL$2-$E$2,FALSE))*$D$9*$D$8*(HLOOKUP(AL$23,$G$18:$R$19,2,FALSE)*(1-$D$12)^($F27-'הנחות עבודה'!$C$5)/$D$11)/$D$11)</f>
        <v>20.345552891144997</v>
      </c>
      <c r="AM27" s="42">
        <f ca="1">IF(OR($F27&gt;$D$5,$F27&gt;MAX('הנחות עבודה'!$B$69:$B$89)),0,(VLOOKUP($F27,'התפלגות ייצור וסל דלקים'!$B$64:$BV$84,AM$2-$E$2,FALSE))*$D$9*$D$8*(HLOOKUP(AM$23,$G$18:$R$19,2,FALSE)*(1-$D$12)^($F27-'הנחות עבודה'!$C$5)/$D$11)/$D$11)</f>
        <v>0</v>
      </c>
      <c r="AN27" s="43">
        <f ca="1">IF(OR($F27&gt;$D$5,$F27&gt;MAX('הנחות עבודה'!$B$69:$B$89)),0,(VLOOKUP($F27,'התפלגות ייצור וסל דלקים'!$B$64:$BV$84,AN$2-$E$2,FALSE))*$D$9*$D$8*(HLOOKUP(AN$23,$G$18:$R$19,2,FALSE)*(1-$D$12)^($F27-'הנחות עבודה'!$C$5)/$D$11)/$D$11)</f>
        <v>0</v>
      </c>
      <c r="AO27" s="42">
        <f ca="1">IF(OR($F27&gt;$D$5,$F27&gt;MAX('הנחות עבודה'!$B$69:$B$89)),0,(VLOOKUP($F27,'התפלגות ייצור וסל דלקים'!$B$64:$BV$84,AO$2-$E$2,FALSE))*$D$9*$D$8*(HLOOKUP(AO$23,$G$18:$R$19,2,FALSE)*(1-$D$12)^($F27-'הנחות עבודה'!$C$5)/$D$11)/$D$11)</f>
        <v>9.9061248000000006</v>
      </c>
      <c r="AP27" s="43">
        <f ca="1">IF(OR($F27&gt;$D$5,$F27&gt;MAX('הנחות עבודה'!$B$69:$B$89)),0,(VLOOKUP($F27,'התפלגות ייצור וסל דלקים'!$B$64:$BV$84,AP$2-$E$2,FALSE))*$D$9*$D$8*(HLOOKUP(AP$23,$G$18:$R$19,2,FALSE)*(1-$D$12)^($F27-'הנחות עבודה'!$C$5)/$D$11)/$D$11)</f>
        <v>0</v>
      </c>
      <c r="AQ27" s="52">
        <f ca="1">IF(OR($F27&gt;$D$5,$F27&gt;MAX('הנחות עבודה'!$B$69:$B$89)),0,(VLOOKUP($F27,'התפלגות ייצור וסל דלקים'!$B$64:$BV$84,AQ$2-$E$2,FALSE))*$D$9*$D$8*(HLOOKUP(AQ$23,$G$18:$R$19,2,FALSE)*(1-$D$12)^($F27-'הנחות עבודה'!$C$5)/$D$11)/$D$11)</f>
        <v>0</v>
      </c>
      <c r="AR27" s="127">
        <f ca="1">IF(OR($F27&gt;$D$5,$F27&gt;MAX('הנחות עבודה'!$B$69:$B$89)),0,(VLOOKUP($F27,'התפלגות ייצור וסל דלקים'!$B$64:$BV$84,AR$2-$E$2,FALSE))*$D$9*$D$8*(HLOOKUP(AR$23,$G$18:$R$19,2,FALSE)*(1-$D$12)^($F27-'הנחות עבודה'!$C$5)/$D$11)/$D$11)</f>
        <v>0</v>
      </c>
      <c r="AS27" s="127">
        <f ca="1">IF(OR($F27&gt;$D$5,$F27&gt;MAX('הנחות עבודה'!$B$69:$B$89)),0,(VLOOKUP($F27,'התפלגות ייצור וסל דלקים'!$B$64:$BV$84,AS$2-$E$2,FALSE))*$D$9*$D$8*(HLOOKUP(AS$23,$G$18:$R$19,2,FALSE)*(1-$D$12)^($F27-'הנחות עבודה'!$C$5)/$D$11)/$D$11)</f>
        <v>0</v>
      </c>
      <c r="AT27" s="127">
        <f ca="1">IF(OR($F27&gt;$D$5,$F27&gt;MAX('הנחות עבודה'!$B$69:$B$89)),0,(VLOOKUP($F27,'התפלגות ייצור וסל דלקים'!$B$64:$BV$84,AT$2-$E$2,FALSE))*$D$9*$D$8*(HLOOKUP(AT$23,$G$18:$R$19,2,FALSE)*(1-$D$12)^($F27-'הנחות עבודה'!$C$5)/$D$11)/$D$11)</f>
        <v>0</v>
      </c>
      <c r="AU27" s="127">
        <f ca="1">IF(OR($F27&gt;$D$5,$F27&gt;MAX('הנחות עבודה'!$B$69:$B$89)),0,(VLOOKUP($F27,'התפלגות ייצור וסל דלקים'!$B$64:$BV$84,AU$2-$E$2,FALSE))*$D$9*$D$8*(HLOOKUP(AU$23,$G$18:$R$19,2,FALSE)*(1-$D$12)^($F27-'הנחות עבודה'!$C$5)/$D$11)/$D$11)</f>
        <v>0</v>
      </c>
      <c r="AV27" s="127">
        <f ca="1">IF(OR($F27&gt;$D$5,$F27&gt;MAX('הנחות עבודה'!$B$69:$B$89)),0,(VLOOKUP($F27,'התפלגות ייצור וסל דלקים'!$B$64:$BV$84,AV$2-$E$2,FALSE))*$D$9*$D$8*(HLOOKUP(AV$23,$G$18:$R$19,2,FALSE)*(1-$D$12)^($F27-'הנחות עבודה'!$C$5)/$D$11)/$D$11)</f>
        <v>0</v>
      </c>
      <c r="AW27" s="52">
        <f ca="1">IF(OR($F27&gt;$D$5,$F27&gt;MAX('הנחות עבודה'!$B$69:$B$89)),0,(VLOOKUP($F27,'התפלגות ייצור וסל דלקים'!$B$64:$BV$84,AW$2-$E$2,FALSE))*$D$9*$D$8*(HLOOKUP(AW$23,$G$18:$R$19,2,FALSE)*(1-$D$12)^($F27-'הנחות עבודה'!$C$5)/$D$11)/$D$11)</f>
        <v>0.9277222799999999</v>
      </c>
      <c r="AX27" s="52">
        <f ca="1">IF(OR($F27&gt;$D$5,$F27&gt;MAX('הנחות עבודה'!$B$69:$B$89)),0,(VLOOKUP($F27,'התפלגות ייצור וסל דלקים'!$B$64:$BV$84,AX$2-$E$2,FALSE))*$D$9*$D$8*(HLOOKUP(AX$23,$G$18:$R$19,2,FALSE)*(1-$D$12)^($F27-'הנחות עבודה'!$C$5)/$D$11)/$D$11)</f>
        <v>20.345552891144997</v>
      </c>
      <c r="AY27" s="52">
        <f ca="1">IF(OR($F27&gt;$D$5,$F27&gt;MAX('הנחות עבודה'!$B$69:$B$89)),0,(VLOOKUP($F27,'התפלגות ייצור וסל דלקים'!$B$64:$BV$84,AY$2-$E$2,FALSE))*$D$9*$D$8*(HLOOKUP(AY$23,$G$18:$R$19,2,FALSE)*(1-$D$12)^($F27-'הנחות עבודה'!$C$5)/$D$11)/$D$11)</f>
        <v>0</v>
      </c>
      <c r="AZ27" s="52">
        <f ca="1">IF(OR($F27&gt;$D$5,$F27&gt;MAX('הנחות עבודה'!$B$69:$B$89)),0,(VLOOKUP($F27,'התפלגות ייצור וסל דלקים'!$B$64:$BV$84,AZ$2-$E$2,FALSE))*$D$9*$D$8*(HLOOKUP(AZ$23,$G$18:$R$19,2,FALSE)*(1-$D$12)^($F27-'הנחות עבודה'!$C$5)/$D$11)/$D$11)</f>
        <v>0</v>
      </c>
      <c r="BA27" s="52">
        <f ca="1">IF(OR($F27&gt;$D$5,$F27&gt;MAX('הנחות עבודה'!$B$69:$B$89)),0,(VLOOKUP($F27,'התפלגות ייצור וסל דלקים'!$B$64:$BV$84,BA$2-$E$2,FALSE))*$D$9*$D$8*(HLOOKUP(BA$23,$G$18:$R$19,2,FALSE)*(1-$D$12)^($F27-'הנחות עבודה'!$C$5)/$D$11)/$D$11)</f>
        <v>9.9061248000000006</v>
      </c>
      <c r="BB27" s="52">
        <f ca="1">IF(OR($F27&gt;$D$5,$F27&gt;MAX('הנחות עבודה'!$B$69:$B$89)),0,(VLOOKUP($F27,'התפלגות ייצור וסל דלקים'!$B$64:$BV$84,BB$2-$E$2,FALSE))*$D$9*$D$8*(HLOOKUP(BB$23,$G$18:$R$19,2,FALSE)*(1-$D$12)^($F27-'הנחות עבודה'!$C$5)/$D$11)/$D$11)</f>
        <v>0</v>
      </c>
      <c r="BC27" s="42">
        <f ca="1">IF(OR($F27&gt;$D$5,$F27&gt;MAX('הנחות עבודה'!$B$69:$B$89)),0,(VLOOKUP($F27,'התפלגות ייצור וסל דלקים'!$B$64:$BV$84,BC$2-$E$2,FALSE))*$D$9*$D$8*(HLOOKUP(BC$23,$G$18:$R$19,2,FALSE)*(1-$D$12)^($F27-'הנחות עבודה'!$C$5)/$D$11)/$D$11)</f>
        <v>0</v>
      </c>
      <c r="BD27" s="44">
        <f ca="1">IF(OR($F27&gt;$D$5,$F27&gt;MAX('הנחות עבודה'!$B$69:$B$89)),0,(VLOOKUP($F27,'התפלגות ייצור וסל דלקים'!$B$64:$BV$84,BD$2-$E$2,FALSE))*$D$9*$D$8*(HLOOKUP(BD$23,$G$18:$R$19,2,FALSE)*(1-$D$12)^($F27-'הנחות עבודה'!$C$5)/$D$11)/$D$11)</f>
        <v>0</v>
      </c>
      <c r="BE27" s="44">
        <f ca="1">IF(OR($F27&gt;$D$5,$F27&gt;MAX('הנחות עבודה'!$B$69:$B$89)),0,(VLOOKUP($F27,'התפלגות ייצור וסל דלקים'!$B$64:$BV$84,BE$2-$E$2,FALSE))*$D$9*$D$8*(HLOOKUP(BE$23,$G$18:$R$19,2,FALSE)*(1-$D$12)^($F27-'הנחות עבודה'!$C$5)/$D$11)/$D$11)</f>
        <v>0</v>
      </c>
      <c r="BF27" s="44">
        <f ca="1">IF(OR($F27&gt;$D$5,$F27&gt;MAX('הנחות עבודה'!$B$69:$B$89)),0,(VLOOKUP($F27,'התפלגות ייצור וסל דלקים'!$B$64:$BV$84,BF$2-$E$2,FALSE))*$D$9*$D$8*(HLOOKUP(BF$23,$G$18:$R$19,2,FALSE)*(1-$D$12)^($F27-'הנחות עבודה'!$C$5)/$D$11)/$D$11)</f>
        <v>0</v>
      </c>
      <c r="BG27" s="44">
        <f ca="1">IF(OR($F27&gt;$D$5,$F27&gt;MAX('הנחות עבודה'!$B$69:$B$89)),0,(VLOOKUP($F27,'התפלגות ייצור וסל דלקים'!$B$64:$BV$84,BG$2-$E$2,FALSE))*$D$9*$D$8*(HLOOKUP(BG$23,$G$18:$R$19,2,FALSE)*(1-$D$12)^($F27-'הנחות עבודה'!$C$5)/$D$11)/$D$11)</f>
        <v>0</v>
      </c>
      <c r="BH27" s="44">
        <f ca="1">IF(OR($F27&gt;$D$5,$F27&gt;MAX('הנחות עבודה'!$B$69:$B$89)),0,(VLOOKUP($F27,'התפלגות ייצור וסל דלקים'!$B$64:$BV$84,BH$2-$E$2,FALSE))*$D$9*$D$8*(HLOOKUP(BH$23,$G$18:$R$19,2,FALSE)*(1-$D$12)^($F27-'הנחות עבודה'!$C$5)/$D$11)/$D$11)</f>
        <v>0</v>
      </c>
      <c r="BI27" s="42">
        <f ca="1">IF(OR($F27&gt;$D$5,$F27&gt;MAX('הנחות עבודה'!$B$69:$B$89)),0,(VLOOKUP($F27,'התפלגות ייצור וסל דלקים'!$B$64:$BV$84,BI$2-$E$2,FALSE))*$D$9*$D$8*(HLOOKUP(BI$23,$G$18:$R$19,2,FALSE)*(1-$D$12)^($F27-'הנחות עבודה'!$C$5)/$D$11)/$D$11)</f>
        <v>0.92156502000000007</v>
      </c>
      <c r="BJ27" s="42">
        <f ca="1">IF(OR($F27&gt;$D$5,$F27&gt;MAX('הנחות עבודה'!$B$69:$B$89)),0,(VLOOKUP($F27,'התפלגות ייצור וסל דלקים'!$B$64:$BV$84,BJ$2-$E$2,FALSE))*$D$9*$D$8*(HLOOKUP(BJ$23,$G$18:$R$19,2,FALSE)*(1-$D$12)^($F27-'הנחות עבודה'!$C$5)/$D$11)/$D$11)</f>
        <v>19.916997005159999</v>
      </c>
      <c r="BK27" s="42">
        <f ca="1">IF(OR($F27&gt;$D$5,$F27&gt;MAX('הנחות עבודה'!$B$69:$B$89)),0,(VLOOKUP($F27,'התפלגות ייצור וסל דלקים'!$B$64:$BV$84,BK$2-$E$2,FALSE))*$D$9*$D$8*(HLOOKUP(BK$23,$G$18:$R$19,2,FALSE)*(1-$D$12)^($F27-'הנחות עבודה'!$C$5)/$D$11)/$D$11)</f>
        <v>0</v>
      </c>
      <c r="BL27" s="42">
        <f ca="1">IF(OR($F27&gt;$D$5,$F27&gt;MAX('הנחות עבודה'!$B$69:$B$89)),0,(VLOOKUP($F27,'התפלגות ייצור וסל דלקים'!$B$64:$BV$84,BL$2-$E$2,FALSE))*$D$9*$D$8*(HLOOKUP(BL$23,$G$18:$R$19,2,FALSE)*(1-$D$12)^($F27-'הנחות עבודה'!$C$5)/$D$11)/$D$11)</f>
        <v>0</v>
      </c>
      <c r="BM27" s="42">
        <f ca="1">IF(OR($F27&gt;$D$5,$F27&gt;MAX('הנחות עבודה'!$B$69:$B$89)),0,(VLOOKUP($F27,'התפלגות ייצור וסל דלקים'!$B$64:$BV$84,BM$2-$E$2,FALSE))*$D$9*$D$8*(HLOOKUP(BM$23,$G$18:$R$19,2,FALSE)*(1-$D$12)^($F27-'הנחות עבודה'!$C$5)/$D$11)/$D$11)</f>
        <v>9.9063360000000014</v>
      </c>
      <c r="BN27" s="42">
        <f ca="1">IF(OR($F27&gt;$D$5,$F27&gt;MAX('הנחות עבודה'!$B$69:$B$89)),0,(VLOOKUP($F27,'התפלגות ייצור וסל דלקים'!$B$64:$BV$84,BN$2-$E$2,FALSE))*$D$9*$D$8*(HLOOKUP(BN$23,$G$18:$R$19,2,FALSE)*(1-$D$12)^($F27-'הנחות עבודה'!$C$5)/$D$11)/$D$11)</f>
        <v>0</v>
      </c>
      <c r="BO27" s="52">
        <f ca="1">IF(OR($F27&gt;$D$5,$F27&gt;MAX('הנחות עבודה'!$B$69:$B$89)),0,(VLOOKUP($F27,'התפלגות ייצור וסל דלקים'!$B$64:$BV$84,BO$2-$E$2,FALSE))*$D$9*$D$8*(HLOOKUP(BO$23,$G$18:$R$19,2,FALSE)*(1-$D$12)^($F27-'הנחות עבודה'!$C$5)/$D$11)/$D$11)</f>
        <v>0</v>
      </c>
      <c r="BP27" s="127">
        <f ca="1">IF(OR($F27&gt;$D$5,$F27&gt;MAX('הנחות עבודה'!$B$69:$B$89)),0,(VLOOKUP($F27,'התפלגות ייצור וסל דלקים'!$B$64:$BV$84,BP$2-$E$2,FALSE))*$D$9*$D$8*(HLOOKUP(BP$23,$G$18:$R$19,2,FALSE)*(1-$D$12)^($F27-'הנחות עבודה'!$C$5)/$D$11)/$D$11)</f>
        <v>0</v>
      </c>
      <c r="BQ27" s="127">
        <f ca="1">IF(OR($F27&gt;$D$5,$F27&gt;MAX('הנחות עבודה'!$B$69:$B$89)),0,(VLOOKUP($F27,'התפלגות ייצור וסל דלקים'!$B$64:$BV$84,BQ$2-$E$2,FALSE))*$D$9*$D$8*(HLOOKUP(BQ$23,$G$18:$R$19,2,FALSE)*(1-$D$12)^($F27-'הנחות עבודה'!$C$5)/$D$11)/$D$11)</f>
        <v>0</v>
      </c>
      <c r="BR27" s="127">
        <f ca="1">IF(OR($F27&gt;$D$5,$F27&gt;MAX('הנחות עבודה'!$B$69:$B$89)),0,(VLOOKUP($F27,'התפלגות ייצור וסל דלקים'!$B$64:$BV$84,BR$2-$E$2,FALSE))*$D$9*$D$8*(HLOOKUP(BR$23,$G$18:$R$19,2,FALSE)*(1-$D$12)^($F27-'הנחות עבודה'!$C$5)/$D$11)/$D$11)</f>
        <v>0</v>
      </c>
      <c r="BS27" s="127">
        <f ca="1">IF(OR($F27&gt;$D$5,$F27&gt;MAX('הנחות עבודה'!$B$69:$B$89)),0,(VLOOKUP($F27,'התפלגות ייצור וסל דלקים'!$B$64:$BV$84,BS$2-$E$2,FALSE))*$D$9*$D$8*(HLOOKUP(BS$23,$G$18:$R$19,2,FALSE)*(1-$D$12)^($F27-'הנחות עבודה'!$C$5)/$D$11)/$D$11)</f>
        <v>0</v>
      </c>
      <c r="BT27" s="127">
        <f ca="1">IF(OR($F27&gt;$D$5,$F27&gt;MAX('הנחות עבודה'!$B$69:$B$89)),0,(VLOOKUP($F27,'התפלגות ייצור וסל דלקים'!$B$64:$BV$84,BT$2-$E$2,FALSE))*$D$9*$D$8*(HLOOKUP(BT$23,$G$18:$R$19,2,FALSE)*(1-$D$12)^($F27-'הנחות עבודה'!$C$5)/$D$11)/$D$11)</f>
        <v>0</v>
      </c>
      <c r="BU27" s="52">
        <f ca="1">IF(OR($F27&gt;$D$5,$F27&gt;MAX('הנחות עבודה'!$B$69:$B$89)),0,(VLOOKUP($F27,'התפלגות ייצור וסל דלקים'!$B$64:$BV$84,BU$2-$E$2,FALSE))*$D$9*$D$8*(HLOOKUP(BU$23,$G$18:$R$19,2,FALSE)*(1-$D$12)^($F27-'הנחות עבודה'!$C$5)/$D$11)/$D$11)</f>
        <v>0.92156502000000007</v>
      </c>
      <c r="BV27" s="52">
        <f ca="1">IF(OR($F27&gt;$D$5,$F27&gt;MAX('הנחות עבודה'!$B$69:$B$89)),0,(VLOOKUP($F27,'התפלגות ייצור וסל דלקים'!$B$64:$BV$84,BV$2-$E$2,FALSE))*$D$9*$D$8*(HLOOKUP(BV$23,$G$18:$R$19,2,FALSE)*(1-$D$12)^($F27-'הנחות עבודה'!$C$5)/$D$11)/$D$11)</f>
        <v>19.916997005159999</v>
      </c>
      <c r="BW27" s="52">
        <f ca="1">IF(OR($F27&gt;$D$5,$F27&gt;MAX('הנחות עבודה'!$B$69:$B$89)),0,(VLOOKUP($F27,'התפלגות ייצור וסל דלקים'!$B$64:$BV$84,BW$2-$E$2,FALSE))*$D$9*$D$8*(HLOOKUP(BW$23,$G$18:$R$19,2,FALSE)*(1-$D$12)^($F27-'הנחות עבודה'!$C$5)/$D$11)/$D$11)</f>
        <v>0</v>
      </c>
      <c r="BX27" s="52">
        <f ca="1">IF(OR($F27&gt;$D$5,$F27&gt;MAX('הנחות עבודה'!$B$69:$B$89)),0,(VLOOKUP($F27,'התפלגות ייצור וסל דלקים'!$B$64:$BV$84,BX$2-$E$2,FALSE))*$D$9*$D$8*(HLOOKUP(BX$23,$G$18:$R$19,2,FALSE)*(1-$D$12)^($F27-'הנחות עבודה'!$C$5)/$D$11)/$D$11)</f>
        <v>0</v>
      </c>
      <c r="BY27" s="52">
        <f ca="1">IF(OR($F27&gt;$D$5,$F27&gt;MAX('הנחות עבודה'!$B$69:$B$89)),0,(VLOOKUP($F27,'התפלגות ייצור וסל דלקים'!$B$64:$BV$84,BY$2-$E$2,FALSE))*$D$9*$D$8*(HLOOKUP(BY$23,$G$18:$R$19,2,FALSE)*(1-$D$12)^($F27-'הנחות עבודה'!$C$5)/$D$11)/$D$11)</f>
        <v>9.9063360000000014</v>
      </c>
      <c r="BZ27" s="52">
        <f ca="1">IF(OR($F27&gt;$D$5,$F27&gt;MAX('הנחות עבודה'!$B$69:$B$89)),0,(VLOOKUP($F27,'התפלגות ייצור וסל דלקים'!$B$64:$BV$84,BZ$2-$E$2,FALSE))*$D$9*$D$8*(HLOOKUP(BZ$23,$G$18:$R$19,2,FALSE)*(1-$D$12)^($F27-'הנחות עבודה'!$C$5)/$D$11)/$D$11)</f>
        <v>0</v>
      </c>
    </row>
    <row r="28" spans="6:78" ht="15.75">
      <c r="F28" s="10">
        <f t="shared" si="115"/>
        <v>2024</v>
      </c>
      <c r="G28" s="42">
        <f ca="1">IF(OR($F28&gt;$D$5,$F28&gt;MAX('הנחות עבודה'!$B$69:$B$89)),0,(VLOOKUP($F28,'התפלגות ייצור וסל דלקים'!$B$64:$BV$84,G$2-$E$2,FALSE))*$D$9*$D$8*(HLOOKUP(G$23,$G$18:$R$19,2,FALSE)*(1-$D$12)^($F28-'הנחות עבודה'!$C$5)/$D$11)/$D$11)</f>
        <v>0</v>
      </c>
      <c r="H28" s="44">
        <f ca="1">IF(OR($F28&gt;$D$5,$F28&gt;MAX('הנחות עבודה'!$B$69:$B$89)),0,(VLOOKUP($F28,'התפלגות ייצור וסל דלקים'!$B$64:$BV$84,H$2-$E$2,FALSE))*$D$9*$D$8*(HLOOKUP(H$23,$G$18:$R$19,2,FALSE)*(1-$D$12)^($F28-'הנחות עבודה'!$C$5)/$D$11)/$D$11)</f>
        <v>0</v>
      </c>
      <c r="I28" s="44">
        <f ca="1">IF(OR($F28&gt;$D$5,$F28&gt;MAX('הנחות עבודה'!$B$69:$B$89)),0,(VLOOKUP($F28,'התפלגות ייצור וסל דלקים'!$B$64:$BV$84,I$2-$E$2,FALSE))*$D$9*$D$8*(HLOOKUP(I$23,$G$18:$R$19,2,FALSE)*(1-$D$12)^($F28-'הנחות עבודה'!$C$5)/$D$11)/$D$11)</f>
        <v>0</v>
      </c>
      <c r="J28" s="44">
        <f ca="1">IF(OR($F28&gt;$D$5,$F28&gt;MAX('הנחות עבודה'!$B$69:$B$89)),0,(VLOOKUP($F28,'התפלגות ייצור וסל דלקים'!$B$64:$BV$84,J$2-$E$2,FALSE))*$D$9*$D$8*(HLOOKUP(J$23,$G$18:$R$19,2,FALSE)*(1-$D$12)^($F28-'הנחות עבודה'!$C$5)/$D$11)/$D$11)</f>
        <v>0</v>
      </c>
      <c r="K28" s="44">
        <f ca="1">IF(OR($F28&gt;$D$5,$F28&gt;MAX('הנחות עבודה'!$B$69:$B$89)),0,(VLOOKUP($F28,'התפלגות ייצור וסל דלקים'!$B$64:$BV$84,K$2-$E$2,FALSE))*$D$9*$D$8*(HLOOKUP(K$23,$G$18:$R$19,2,FALSE)*(1-$D$12)^($F28-'הנחות עבודה'!$C$5)/$D$11)/$D$11)</f>
        <v>0</v>
      </c>
      <c r="L28" s="44">
        <f ca="1">IF(OR($F28&gt;$D$5,$F28&gt;MAX('הנחות עבודה'!$B$69:$B$89)),0,(VLOOKUP($F28,'התפלגות ייצור וסל דלקים'!$B$64:$BV$84,L$2-$E$2,FALSE))*$D$9*$D$8*(HLOOKUP(L$23,$G$18:$R$19,2,FALSE)*(1-$D$12)^($F28-'הנחות עבודה'!$C$5)/$D$11)/$D$11)</f>
        <v>0</v>
      </c>
      <c r="M28" s="42">
        <f ca="1">IF(OR($F28&gt;$D$5,$F28&gt;MAX('הנחות עבודה'!$B$69:$B$89)),0,(VLOOKUP($F28,'התפלגות ייצור וסל דלקים'!$B$64:$BV$84,M$2-$E$2,FALSE))*$D$9*$D$8*(HLOOKUP(M$23,$G$18:$R$19,2,FALSE)*(1-$D$12)^($F28-'הנחות עבודה'!$C$5)/$D$11)/$D$11)</f>
        <v>1.2516396599999999</v>
      </c>
      <c r="N28" s="42">
        <f ca="1">IF(OR($F28&gt;$D$5,$F28&gt;MAX('הנחות עבודה'!$B$69:$B$89)),0,(VLOOKUP($F28,'התפלגות ייצור וסל דלקים'!$B$64:$BV$84,N$2-$E$2,FALSE))*$D$9*$D$8*(HLOOKUP(N$23,$G$18:$R$19,2,FALSE)*(1-$D$12)^($F28-'הנחות עבודה'!$C$5)/$D$11)/$D$11)</f>
        <v>21.984622034975999</v>
      </c>
      <c r="O28" s="42">
        <f ca="1">IF(OR($F28&gt;$D$5,$F28&gt;MAX('הנחות עבודה'!$B$69:$B$89)),0,(VLOOKUP($F28,'התפלגות ייצור וסל דלקים'!$B$64:$BV$84,O$2-$E$2,FALSE))*$D$9*$D$8*(HLOOKUP(O$23,$G$18:$R$19,2,FALSE)*(1-$D$12)^($F28-'הנחות עבודה'!$C$5)/$D$11)/$D$11)</f>
        <v>0</v>
      </c>
      <c r="P28" s="43">
        <f ca="1">IF(OR($F28&gt;$D$5,$F28&gt;MAX('הנחות עבודה'!$B$69:$B$89)),0,(VLOOKUP($F28,'התפלגות ייצור וסל דלקים'!$B$64:$BV$84,P$2-$E$2,FALSE))*$D$9*$D$8*(HLOOKUP(P$23,$G$18:$R$19,2,FALSE)*(1-$D$12)^($F28-'הנחות עבודה'!$C$5)/$D$11)/$D$11)</f>
        <v>0</v>
      </c>
      <c r="Q28" s="42">
        <f ca="1">IF(OR($F28&gt;$D$5,$F28&gt;MAX('הנחות עבודה'!$B$69:$B$89)),0,(VLOOKUP($F28,'התפלגות ייצור וסל דלקים'!$B$64:$BV$84,Q$2-$E$2,FALSE))*$D$9*$D$8*(HLOOKUP(Q$23,$G$18:$R$19,2,FALSE)*(1-$D$12)^($F28-'הנחות עבודה'!$C$5)/$D$11)/$D$11)</f>
        <v>8.4086200000000009</v>
      </c>
      <c r="R28" s="43">
        <f ca="1">IF(OR($F28&gt;$D$5,$F28&gt;MAX('הנחות עבודה'!$B$69:$B$89)),0,(VLOOKUP($F28,'התפלגות ייצור וסל דלקים'!$B$64:$BV$84,R$2-$E$2,FALSE))*$D$9*$D$8*(HLOOKUP(R$23,$G$18:$R$19,2,FALSE)*(1-$D$12)^($F28-'הנחות עבודה'!$C$5)/$D$11)/$D$11)</f>
        <v>0</v>
      </c>
      <c r="S28" s="52">
        <f ca="1">IF(OR($F28&gt;$D$5,$F28&gt;MAX('הנחות עבודה'!$B$69:$B$89)),0,(VLOOKUP($F28,'התפלגות ייצור וסל דלקים'!$B$64:$BV$84,S$2-$E$2,FALSE))*$D$9*$D$8*(HLOOKUP(S$23,$G$18:$R$19,2,FALSE)*(1-$D$12)^($F28-'הנחות עבודה'!$C$5)/$D$11)/$D$11)</f>
        <v>0</v>
      </c>
      <c r="T28" s="127">
        <f ca="1">IF(OR($F28&gt;$D$5,$F28&gt;MAX('הנחות עבודה'!$B$69:$B$89)),0,(VLOOKUP($F28,'התפלגות ייצור וסל דלקים'!$B$64:$BV$84,T$2-$E$2,FALSE))*$D$9*$D$8*(HLOOKUP(T$23,$G$18:$R$19,2,FALSE)*(1-$D$12)^($F28-'הנחות עבודה'!$C$5)/$D$11)/$D$11)</f>
        <v>0</v>
      </c>
      <c r="U28" s="127">
        <f ca="1">IF(OR($F28&gt;$D$5,$F28&gt;MAX('הנחות עבודה'!$B$69:$B$89)),0,(VLOOKUP($F28,'התפלגות ייצור וסל דלקים'!$B$64:$BV$84,U$2-$E$2,FALSE))*$D$9*$D$8*(HLOOKUP(U$23,$G$18:$R$19,2,FALSE)*(1-$D$12)^($F28-'הנחות עבודה'!$C$5)/$D$11)/$D$11)</f>
        <v>0</v>
      </c>
      <c r="V28" s="127">
        <f ca="1">IF(OR($F28&gt;$D$5,$F28&gt;MAX('הנחות עבודה'!$B$69:$B$89)),0,(VLOOKUP($F28,'התפלגות ייצור וסל דלקים'!$B$64:$BV$84,V$2-$E$2,FALSE))*$D$9*$D$8*(HLOOKUP(V$23,$G$18:$R$19,2,FALSE)*(1-$D$12)^($F28-'הנחות עבודה'!$C$5)/$D$11)/$D$11)</f>
        <v>0</v>
      </c>
      <c r="W28" s="127">
        <f ca="1">IF(OR($F28&gt;$D$5,$F28&gt;MAX('הנחות עבודה'!$B$69:$B$89)),0,(VLOOKUP($F28,'התפלגות ייצור וסל דלקים'!$B$64:$BV$84,W$2-$E$2,FALSE))*$D$9*$D$8*(HLOOKUP(W$23,$G$18:$R$19,2,FALSE)*(1-$D$12)^($F28-'הנחות עבודה'!$C$5)/$D$11)/$D$11)</f>
        <v>0</v>
      </c>
      <c r="X28" s="127">
        <f ca="1">IF(OR($F28&gt;$D$5,$F28&gt;MAX('הנחות עבודה'!$B$69:$B$89)),0,(VLOOKUP($F28,'התפלגות ייצור וסל דלקים'!$B$64:$BV$84,X$2-$E$2,FALSE))*$D$9*$D$8*(HLOOKUP(X$23,$G$18:$R$19,2,FALSE)*(1-$D$12)^($F28-'הנחות עבודה'!$C$5)/$D$11)/$D$11)</f>
        <v>0</v>
      </c>
      <c r="Y28" s="52">
        <f ca="1">IF(OR($F28&gt;$D$5,$F28&gt;MAX('הנחות עבודה'!$B$69:$B$89)),0,(VLOOKUP($F28,'התפלגות ייצור וסל דלקים'!$B$64:$BV$84,Y$2-$E$2,FALSE))*$D$9*$D$8*(HLOOKUP(Y$23,$G$18:$R$19,2,FALSE)*(1-$D$12)^($F28-'הנחות עבודה'!$C$5)/$D$11)/$D$11)</f>
        <v>1.2516396599999999</v>
      </c>
      <c r="Z28" s="52">
        <f ca="1">IF(OR($F28&gt;$D$5,$F28&gt;MAX('הנחות עבודה'!$B$69:$B$89)),0,(VLOOKUP($F28,'התפלגות ייצור וסל דלקים'!$B$64:$BV$84,Z$2-$E$2,FALSE))*$D$9*$D$8*(HLOOKUP(Z$23,$G$18:$R$19,2,FALSE)*(1-$D$12)^($F28-'הנחות עבודה'!$C$5)/$D$11)/$D$11)</f>
        <v>21.984622034975999</v>
      </c>
      <c r="AA28" s="52">
        <f ca="1">IF(OR($F28&gt;$D$5,$F28&gt;MAX('הנחות עבודה'!$B$69:$B$89)),0,(VLOOKUP($F28,'התפלגות ייצור וסל דלקים'!$B$64:$BV$84,AA$2-$E$2,FALSE))*$D$9*$D$8*(HLOOKUP(AA$23,$G$18:$R$19,2,FALSE)*(1-$D$12)^($F28-'הנחות עבודה'!$C$5)/$D$11)/$D$11)</f>
        <v>0</v>
      </c>
      <c r="AB28" s="52">
        <f ca="1">IF(OR($F28&gt;$D$5,$F28&gt;MAX('הנחות עבודה'!$B$69:$B$89)),0,(VLOOKUP($F28,'התפלגות ייצור וסל דלקים'!$B$64:$BV$84,AB$2-$E$2,FALSE))*$D$9*$D$8*(HLOOKUP(AB$23,$G$18:$R$19,2,FALSE)*(1-$D$12)^($F28-'הנחות עבודה'!$C$5)/$D$11)/$D$11)</f>
        <v>0</v>
      </c>
      <c r="AC28" s="52">
        <f ca="1">IF(OR($F28&gt;$D$5,$F28&gt;MAX('הנחות עבודה'!$B$69:$B$89)),0,(VLOOKUP($F28,'התפלגות ייצור וסל דלקים'!$B$64:$BV$84,AC$2-$E$2,FALSE))*$D$9*$D$8*(HLOOKUP(AC$23,$G$18:$R$19,2,FALSE)*(1-$D$12)^($F28-'הנחות עבודה'!$C$5)/$D$11)/$D$11)</f>
        <v>8.4086200000000009</v>
      </c>
      <c r="AD28" s="52">
        <f ca="1">IF(OR($F28&gt;$D$5,$F28&gt;MAX('הנחות עבודה'!$B$69:$B$89)),0,(VLOOKUP($F28,'התפלגות ייצור וסל דלקים'!$B$64:$BV$84,AD$2-$E$2,FALSE))*$D$9*$D$8*(HLOOKUP(AD$23,$G$18:$R$19,2,FALSE)*(1-$D$12)^($F28-'הנחות עבודה'!$C$5)/$D$11)/$D$11)</f>
        <v>0</v>
      </c>
      <c r="AE28" s="42">
        <f ca="1">IF(OR($F28&gt;$D$5,$F28&gt;MAX('הנחות עבודה'!$B$69:$B$89)),0,(VLOOKUP($F28,'התפלגות ייצור וסל דלקים'!$B$64:$BV$84,AE$2-$E$2,FALSE))*$D$9*$D$8*(HLOOKUP(AE$23,$G$18:$R$19,2,FALSE)*(1-$D$12)^($F28-'הנחות עבודה'!$C$5)/$D$11)/$D$11)</f>
        <v>0</v>
      </c>
      <c r="AF28" s="44">
        <f ca="1">IF(OR($F28&gt;$D$5,$F28&gt;MAX('הנחות עבודה'!$B$69:$B$89)),0,(VLOOKUP($F28,'התפלגות ייצור וסל דלקים'!$B$64:$BV$84,AF$2-$E$2,FALSE))*$D$9*$D$8*(HLOOKUP(AF$23,$G$18:$R$19,2,FALSE)*(1-$D$12)^($F28-'הנחות עבודה'!$C$5)/$D$11)/$D$11)</f>
        <v>0</v>
      </c>
      <c r="AG28" s="44">
        <f ca="1">IF(OR($F28&gt;$D$5,$F28&gt;MAX('הנחות עבודה'!$B$69:$B$89)),0,(VLOOKUP($F28,'התפלגות ייצור וסל דלקים'!$B$64:$BV$84,AG$2-$E$2,FALSE))*$D$9*$D$8*(HLOOKUP(AG$23,$G$18:$R$19,2,FALSE)*(1-$D$12)^($F28-'הנחות עבודה'!$C$5)/$D$11)/$D$11)</f>
        <v>0</v>
      </c>
      <c r="AH28" s="44">
        <f ca="1">IF(OR($F28&gt;$D$5,$F28&gt;MAX('הנחות עבודה'!$B$69:$B$89)),0,(VLOOKUP($F28,'התפלגות ייצור וסל דלקים'!$B$64:$BV$84,AH$2-$E$2,FALSE))*$D$9*$D$8*(HLOOKUP(AH$23,$G$18:$R$19,2,FALSE)*(1-$D$12)^($F28-'הנחות עבודה'!$C$5)/$D$11)/$D$11)</f>
        <v>0</v>
      </c>
      <c r="AI28" s="44">
        <f ca="1">IF(OR($F28&gt;$D$5,$F28&gt;MAX('הנחות עבודה'!$B$69:$B$89)),0,(VLOOKUP($F28,'התפלגות ייצור וסל דלקים'!$B$64:$BV$84,AI$2-$E$2,FALSE))*$D$9*$D$8*(HLOOKUP(AI$23,$G$18:$R$19,2,FALSE)*(1-$D$12)^($F28-'הנחות עבודה'!$C$5)/$D$11)/$D$11)</f>
        <v>0</v>
      </c>
      <c r="AJ28" s="44">
        <f ca="1">IF(OR($F28&gt;$D$5,$F28&gt;MAX('הנחות עבודה'!$B$69:$B$89)),0,(VLOOKUP($F28,'התפלגות ייצור וסל דלקים'!$B$64:$BV$84,AJ$2-$E$2,FALSE))*$D$9*$D$8*(HLOOKUP(AJ$23,$G$18:$R$19,2,FALSE)*(1-$D$12)^($F28-'הנחות עבודה'!$C$5)/$D$11)/$D$11)</f>
        <v>0</v>
      </c>
      <c r="AK28" s="42">
        <f ca="1">IF(OR($F28&gt;$D$5,$F28&gt;MAX('הנחות עבודה'!$B$69:$B$89)),0,(VLOOKUP($F28,'התפלגות ייצור וסל דלקים'!$B$64:$BV$84,AK$2-$E$2,FALSE))*$D$9*$D$8*(HLOOKUP(AK$23,$G$18:$R$19,2,FALSE)*(1-$D$12)^($F28-'הנחות עבודה'!$C$5)/$D$11)/$D$11)</f>
        <v>1.2217918799999998</v>
      </c>
      <c r="AL28" s="42">
        <f ca="1">IF(OR($F28&gt;$D$5,$F28&gt;MAX('הנחות עבודה'!$B$69:$B$89)),0,(VLOOKUP($F28,'התפלגות ייצור וסל דלקים'!$B$64:$BV$84,AL$2-$E$2,FALSE))*$D$9*$D$8*(HLOOKUP(AL$23,$G$18:$R$19,2,FALSE)*(1-$D$12)^($F28-'הנחות עבודה'!$C$5)/$D$11)/$D$11)</f>
        <v>20.922640719840004</v>
      </c>
      <c r="AM28" s="42">
        <f ca="1">IF(OR($F28&gt;$D$5,$F28&gt;MAX('הנחות עבודה'!$B$69:$B$89)),0,(VLOOKUP($F28,'התפלגות ייצור וסל דלקים'!$B$64:$BV$84,AM$2-$E$2,FALSE))*$D$9*$D$8*(HLOOKUP(AM$23,$G$18:$R$19,2,FALSE)*(1-$D$12)^($F28-'הנחות עבודה'!$C$5)/$D$11)/$D$11)</f>
        <v>0</v>
      </c>
      <c r="AN28" s="43">
        <f ca="1">IF(OR($F28&gt;$D$5,$F28&gt;MAX('הנחות עבודה'!$B$69:$B$89)),0,(VLOOKUP($F28,'התפלגות ייצור וסל דלקים'!$B$64:$BV$84,AN$2-$E$2,FALSE))*$D$9*$D$8*(HLOOKUP(AN$23,$G$18:$R$19,2,FALSE)*(1-$D$12)^($F28-'הנחות עבודה'!$C$5)/$D$11)/$D$11)</f>
        <v>0</v>
      </c>
      <c r="AO28" s="42">
        <f ca="1">IF(OR($F28&gt;$D$5,$F28&gt;MAX('הנחות עבודה'!$B$69:$B$89)),0,(VLOOKUP($F28,'התפלגות ייצור וסל דלקים'!$B$64:$BV$84,AO$2-$E$2,FALSE))*$D$9*$D$8*(HLOOKUP(AO$23,$G$18:$R$19,2,FALSE)*(1-$D$12)^($F28-'הנחות עבודה'!$C$5)/$D$11)/$D$11)</f>
        <v>8.3889432000000017</v>
      </c>
      <c r="AP28" s="43">
        <f ca="1">IF(OR($F28&gt;$D$5,$F28&gt;MAX('הנחות עבודה'!$B$69:$B$89)),0,(VLOOKUP($F28,'התפלגות ייצור וסל דלקים'!$B$64:$BV$84,AP$2-$E$2,FALSE))*$D$9*$D$8*(HLOOKUP(AP$23,$G$18:$R$19,2,FALSE)*(1-$D$12)^($F28-'הנחות עבודה'!$C$5)/$D$11)/$D$11)</f>
        <v>0</v>
      </c>
      <c r="AQ28" s="52">
        <f ca="1">IF(OR($F28&gt;$D$5,$F28&gt;MAX('הנחות עבודה'!$B$69:$B$89)),0,(VLOOKUP($F28,'התפלגות ייצור וסל דלקים'!$B$64:$BV$84,AQ$2-$E$2,FALSE))*$D$9*$D$8*(HLOOKUP(AQ$23,$G$18:$R$19,2,FALSE)*(1-$D$12)^($F28-'הנחות עבודה'!$C$5)/$D$11)/$D$11)</f>
        <v>0</v>
      </c>
      <c r="AR28" s="127">
        <f ca="1">IF(OR($F28&gt;$D$5,$F28&gt;MAX('הנחות עבודה'!$B$69:$B$89)),0,(VLOOKUP($F28,'התפלגות ייצור וסל דלקים'!$B$64:$BV$84,AR$2-$E$2,FALSE))*$D$9*$D$8*(HLOOKUP(AR$23,$G$18:$R$19,2,FALSE)*(1-$D$12)^($F28-'הנחות עבודה'!$C$5)/$D$11)/$D$11)</f>
        <v>0</v>
      </c>
      <c r="AS28" s="127">
        <f ca="1">IF(OR($F28&gt;$D$5,$F28&gt;MAX('הנחות עבודה'!$B$69:$B$89)),0,(VLOOKUP($F28,'התפלגות ייצור וסל דלקים'!$B$64:$BV$84,AS$2-$E$2,FALSE))*$D$9*$D$8*(HLOOKUP(AS$23,$G$18:$R$19,2,FALSE)*(1-$D$12)^($F28-'הנחות עבודה'!$C$5)/$D$11)/$D$11)</f>
        <v>0</v>
      </c>
      <c r="AT28" s="127">
        <f ca="1">IF(OR($F28&gt;$D$5,$F28&gt;MAX('הנחות עבודה'!$B$69:$B$89)),0,(VLOOKUP($F28,'התפלגות ייצור וסל דלקים'!$B$64:$BV$84,AT$2-$E$2,FALSE))*$D$9*$D$8*(HLOOKUP(AT$23,$G$18:$R$19,2,FALSE)*(1-$D$12)^($F28-'הנחות עבודה'!$C$5)/$D$11)/$D$11)</f>
        <v>0</v>
      </c>
      <c r="AU28" s="127">
        <f ca="1">IF(OR($F28&gt;$D$5,$F28&gt;MAX('הנחות עבודה'!$B$69:$B$89)),0,(VLOOKUP($F28,'התפלגות ייצור וסל דלקים'!$B$64:$BV$84,AU$2-$E$2,FALSE))*$D$9*$D$8*(HLOOKUP(AU$23,$G$18:$R$19,2,FALSE)*(1-$D$12)^($F28-'הנחות עבודה'!$C$5)/$D$11)/$D$11)</f>
        <v>0</v>
      </c>
      <c r="AV28" s="127">
        <f ca="1">IF(OR($F28&gt;$D$5,$F28&gt;MAX('הנחות עבודה'!$B$69:$B$89)),0,(VLOOKUP($F28,'התפלגות ייצור וסל דלקים'!$B$64:$BV$84,AV$2-$E$2,FALSE))*$D$9*$D$8*(HLOOKUP(AV$23,$G$18:$R$19,2,FALSE)*(1-$D$12)^($F28-'הנחות עבודה'!$C$5)/$D$11)/$D$11)</f>
        <v>0</v>
      </c>
      <c r="AW28" s="52">
        <f ca="1">IF(OR($F28&gt;$D$5,$F28&gt;MAX('הנחות עבודה'!$B$69:$B$89)),0,(VLOOKUP($F28,'התפלגות ייצור וסל דלקים'!$B$64:$BV$84,AW$2-$E$2,FALSE))*$D$9*$D$8*(HLOOKUP(AW$23,$G$18:$R$19,2,FALSE)*(1-$D$12)^($F28-'הנחות עבודה'!$C$5)/$D$11)/$D$11)</f>
        <v>1.2217918799999998</v>
      </c>
      <c r="AX28" s="52">
        <f ca="1">IF(OR($F28&gt;$D$5,$F28&gt;MAX('הנחות עבודה'!$B$69:$B$89)),0,(VLOOKUP($F28,'התפלגות ייצור וסל דלקים'!$B$64:$BV$84,AX$2-$E$2,FALSE))*$D$9*$D$8*(HLOOKUP(AX$23,$G$18:$R$19,2,FALSE)*(1-$D$12)^($F28-'הנחות עבודה'!$C$5)/$D$11)/$D$11)</f>
        <v>20.922640719840004</v>
      </c>
      <c r="AY28" s="52">
        <f ca="1">IF(OR($F28&gt;$D$5,$F28&gt;MAX('הנחות עבודה'!$B$69:$B$89)),0,(VLOOKUP($F28,'התפלגות ייצור וסל דלקים'!$B$64:$BV$84,AY$2-$E$2,FALSE))*$D$9*$D$8*(HLOOKUP(AY$23,$G$18:$R$19,2,FALSE)*(1-$D$12)^($F28-'הנחות עבודה'!$C$5)/$D$11)/$D$11)</f>
        <v>0</v>
      </c>
      <c r="AZ28" s="52">
        <f ca="1">IF(OR($F28&gt;$D$5,$F28&gt;MAX('הנחות עבודה'!$B$69:$B$89)),0,(VLOOKUP($F28,'התפלגות ייצור וסל דלקים'!$B$64:$BV$84,AZ$2-$E$2,FALSE))*$D$9*$D$8*(HLOOKUP(AZ$23,$G$18:$R$19,2,FALSE)*(1-$D$12)^($F28-'הנחות עבודה'!$C$5)/$D$11)/$D$11)</f>
        <v>0</v>
      </c>
      <c r="BA28" s="52">
        <f ca="1">IF(OR($F28&gt;$D$5,$F28&gt;MAX('הנחות עבודה'!$B$69:$B$89)),0,(VLOOKUP($F28,'התפלגות ייצור וסל דלקים'!$B$64:$BV$84,BA$2-$E$2,FALSE))*$D$9*$D$8*(HLOOKUP(BA$23,$G$18:$R$19,2,FALSE)*(1-$D$12)^($F28-'הנחות עבודה'!$C$5)/$D$11)/$D$11)</f>
        <v>8.3889432000000017</v>
      </c>
      <c r="BB28" s="52">
        <f ca="1">IF(OR($F28&gt;$D$5,$F28&gt;MAX('הנחות עבודה'!$B$69:$B$89)),0,(VLOOKUP($F28,'התפלגות ייצור וסל דלקים'!$B$64:$BV$84,BB$2-$E$2,FALSE))*$D$9*$D$8*(HLOOKUP(BB$23,$G$18:$R$19,2,FALSE)*(1-$D$12)^($F28-'הנחות עבודה'!$C$5)/$D$11)/$D$11)</f>
        <v>0</v>
      </c>
      <c r="BC28" s="42">
        <f ca="1">IF(OR($F28&gt;$D$5,$F28&gt;MAX('הנחות עבודה'!$B$69:$B$89)),0,(VLOOKUP($F28,'התפלגות ייצור וסל דלקים'!$B$64:$BV$84,BC$2-$E$2,FALSE))*$D$9*$D$8*(HLOOKUP(BC$23,$G$18:$R$19,2,FALSE)*(1-$D$12)^($F28-'הנחות עבודה'!$C$5)/$D$11)/$D$11)</f>
        <v>0</v>
      </c>
      <c r="BD28" s="44">
        <f ca="1">IF(OR($F28&gt;$D$5,$F28&gt;MAX('הנחות עבודה'!$B$69:$B$89)),0,(VLOOKUP($F28,'התפלגות ייצור וסל דלקים'!$B$64:$BV$84,BD$2-$E$2,FALSE))*$D$9*$D$8*(HLOOKUP(BD$23,$G$18:$R$19,2,FALSE)*(1-$D$12)^($F28-'הנחות עבודה'!$C$5)/$D$11)/$D$11)</f>
        <v>0</v>
      </c>
      <c r="BE28" s="44">
        <f ca="1">IF(OR($F28&gt;$D$5,$F28&gt;MAX('הנחות עבודה'!$B$69:$B$89)),0,(VLOOKUP($F28,'התפלגות ייצור וסל דלקים'!$B$64:$BV$84,BE$2-$E$2,FALSE))*$D$9*$D$8*(HLOOKUP(BE$23,$G$18:$R$19,2,FALSE)*(1-$D$12)^($F28-'הנחות עבודה'!$C$5)/$D$11)/$D$11)</f>
        <v>0</v>
      </c>
      <c r="BF28" s="44">
        <f ca="1">IF(OR($F28&gt;$D$5,$F28&gt;MAX('הנחות עבודה'!$B$69:$B$89)),0,(VLOOKUP($F28,'התפלגות ייצור וסל דלקים'!$B$64:$BV$84,BF$2-$E$2,FALSE))*$D$9*$D$8*(HLOOKUP(BF$23,$G$18:$R$19,2,FALSE)*(1-$D$12)^($F28-'הנחות עבודה'!$C$5)/$D$11)/$D$11)</f>
        <v>0</v>
      </c>
      <c r="BG28" s="44">
        <f ca="1">IF(OR($F28&gt;$D$5,$F28&gt;MAX('הנחות עבודה'!$B$69:$B$89)),0,(VLOOKUP($F28,'התפלגות ייצור וסל דלקים'!$B$64:$BV$84,BG$2-$E$2,FALSE))*$D$9*$D$8*(HLOOKUP(BG$23,$G$18:$R$19,2,FALSE)*(1-$D$12)^($F28-'הנחות עבודה'!$C$5)/$D$11)/$D$11)</f>
        <v>0</v>
      </c>
      <c r="BH28" s="44">
        <f ca="1">IF(OR($F28&gt;$D$5,$F28&gt;MAX('הנחות עבודה'!$B$69:$B$89)),0,(VLOOKUP($F28,'התפלגות ייצור וסל דלקים'!$B$64:$BV$84,BH$2-$E$2,FALSE))*$D$9*$D$8*(HLOOKUP(BH$23,$G$18:$R$19,2,FALSE)*(1-$D$12)^($F28-'הנחות עבודה'!$C$5)/$D$11)/$D$11)</f>
        <v>0</v>
      </c>
      <c r="BI28" s="42">
        <f ca="1">IF(OR($F28&gt;$D$5,$F28&gt;MAX('הנחות עבודה'!$B$69:$B$89)),0,(VLOOKUP($F28,'התפלגות ייצור וסל דלקים'!$B$64:$BV$84,BI$2-$E$2,FALSE))*$D$9*$D$8*(HLOOKUP(BI$23,$G$18:$R$19,2,FALSE)*(1-$D$12)^($F28-'הנחות עבודה'!$C$5)/$D$11)/$D$11)</f>
        <v>1.2153122999999999</v>
      </c>
      <c r="BJ28" s="42">
        <f ca="1">IF(OR($F28&gt;$D$5,$F28&gt;MAX('הנחות עבודה'!$B$69:$B$89)),0,(VLOOKUP($F28,'התפלגות ייצור וסל דלקים'!$B$64:$BV$84,BJ$2-$E$2,FALSE))*$D$9*$D$8*(HLOOKUP(BJ$23,$G$18:$R$19,2,FALSE)*(1-$D$12)^($F28-'הנחות עבודה'!$C$5)/$D$11)/$D$11)</f>
        <v>20.333321860320002</v>
      </c>
      <c r="BK28" s="42">
        <f ca="1">IF(OR($F28&gt;$D$5,$F28&gt;MAX('הנחות עבודה'!$B$69:$B$89)),0,(VLOOKUP($F28,'התפלגות ייצור וסל דלקים'!$B$64:$BV$84,BK$2-$E$2,FALSE))*$D$9*$D$8*(HLOOKUP(BK$23,$G$18:$R$19,2,FALSE)*(1-$D$12)^($F28-'הנחות עבודה'!$C$5)/$D$11)/$D$11)</f>
        <v>0</v>
      </c>
      <c r="BL28" s="42">
        <f ca="1">IF(OR($F28&gt;$D$5,$F28&gt;MAX('הנחות עבודה'!$B$69:$B$89)),0,(VLOOKUP($F28,'התפלגות ייצור וסל דלקים'!$B$64:$BV$84,BL$2-$E$2,FALSE))*$D$9*$D$8*(HLOOKUP(BL$23,$G$18:$R$19,2,FALSE)*(1-$D$12)^($F28-'הנחות עבודה'!$C$5)/$D$11)/$D$11)</f>
        <v>0</v>
      </c>
      <c r="BM28" s="42">
        <f ca="1">IF(OR($F28&gt;$D$5,$F28&gt;MAX('הנחות עבודה'!$B$69:$B$89)),0,(VLOOKUP($F28,'התפלגות ייצור וסל דלקים'!$B$64:$BV$84,BM$2-$E$2,FALSE))*$D$9*$D$8*(HLOOKUP(BM$23,$G$18:$R$19,2,FALSE)*(1-$D$12)^($F28-'הנחות עבודה'!$C$5)/$D$11)/$D$11)</f>
        <v>8.3846223999999996</v>
      </c>
      <c r="BN28" s="42">
        <f ca="1">IF(OR($F28&gt;$D$5,$F28&gt;MAX('הנחות עבודה'!$B$69:$B$89)),0,(VLOOKUP($F28,'התפלגות ייצור וסל דלקים'!$B$64:$BV$84,BN$2-$E$2,FALSE))*$D$9*$D$8*(HLOOKUP(BN$23,$G$18:$R$19,2,FALSE)*(1-$D$12)^($F28-'הנחות עבודה'!$C$5)/$D$11)/$D$11)</f>
        <v>0</v>
      </c>
      <c r="BO28" s="52">
        <f ca="1">IF(OR($F28&gt;$D$5,$F28&gt;MAX('הנחות עבודה'!$B$69:$B$89)),0,(VLOOKUP($F28,'התפלגות ייצור וסל דלקים'!$B$64:$BV$84,BO$2-$E$2,FALSE))*$D$9*$D$8*(HLOOKUP(BO$23,$G$18:$R$19,2,FALSE)*(1-$D$12)^($F28-'הנחות עבודה'!$C$5)/$D$11)/$D$11)</f>
        <v>0</v>
      </c>
      <c r="BP28" s="127">
        <f ca="1">IF(OR($F28&gt;$D$5,$F28&gt;MAX('הנחות עבודה'!$B$69:$B$89)),0,(VLOOKUP($F28,'התפלגות ייצור וסל דלקים'!$B$64:$BV$84,BP$2-$E$2,FALSE))*$D$9*$D$8*(HLOOKUP(BP$23,$G$18:$R$19,2,FALSE)*(1-$D$12)^($F28-'הנחות עבודה'!$C$5)/$D$11)/$D$11)</f>
        <v>0</v>
      </c>
      <c r="BQ28" s="127">
        <f ca="1">IF(OR($F28&gt;$D$5,$F28&gt;MAX('הנחות עבודה'!$B$69:$B$89)),0,(VLOOKUP($F28,'התפלגות ייצור וסל דלקים'!$B$64:$BV$84,BQ$2-$E$2,FALSE))*$D$9*$D$8*(HLOOKUP(BQ$23,$G$18:$R$19,2,FALSE)*(1-$D$12)^($F28-'הנחות עבודה'!$C$5)/$D$11)/$D$11)</f>
        <v>0</v>
      </c>
      <c r="BR28" s="127">
        <f ca="1">IF(OR($F28&gt;$D$5,$F28&gt;MAX('הנחות עבודה'!$B$69:$B$89)),0,(VLOOKUP($F28,'התפלגות ייצור וסל דלקים'!$B$64:$BV$84,BR$2-$E$2,FALSE))*$D$9*$D$8*(HLOOKUP(BR$23,$G$18:$R$19,2,FALSE)*(1-$D$12)^($F28-'הנחות עבודה'!$C$5)/$D$11)/$D$11)</f>
        <v>0</v>
      </c>
      <c r="BS28" s="127">
        <f ca="1">IF(OR($F28&gt;$D$5,$F28&gt;MAX('הנחות עבודה'!$B$69:$B$89)),0,(VLOOKUP($F28,'התפלגות ייצור וסל דלקים'!$B$64:$BV$84,BS$2-$E$2,FALSE))*$D$9*$D$8*(HLOOKUP(BS$23,$G$18:$R$19,2,FALSE)*(1-$D$12)^($F28-'הנחות עבודה'!$C$5)/$D$11)/$D$11)</f>
        <v>0</v>
      </c>
      <c r="BT28" s="127">
        <f ca="1">IF(OR($F28&gt;$D$5,$F28&gt;MAX('הנחות עבודה'!$B$69:$B$89)),0,(VLOOKUP($F28,'התפלגות ייצור וסל דלקים'!$B$64:$BV$84,BT$2-$E$2,FALSE))*$D$9*$D$8*(HLOOKUP(BT$23,$G$18:$R$19,2,FALSE)*(1-$D$12)^($F28-'הנחות עבודה'!$C$5)/$D$11)/$D$11)</f>
        <v>0</v>
      </c>
      <c r="BU28" s="52">
        <f ca="1">IF(OR($F28&gt;$D$5,$F28&gt;MAX('הנחות עבודה'!$B$69:$B$89)),0,(VLOOKUP($F28,'התפלגות ייצור וסל דלקים'!$B$64:$BV$84,BU$2-$E$2,FALSE))*$D$9*$D$8*(HLOOKUP(BU$23,$G$18:$R$19,2,FALSE)*(1-$D$12)^($F28-'הנחות עבודה'!$C$5)/$D$11)/$D$11)</f>
        <v>1.2153122999999999</v>
      </c>
      <c r="BV28" s="52">
        <f ca="1">IF(OR($F28&gt;$D$5,$F28&gt;MAX('הנחות עבודה'!$B$69:$B$89)),0,(VLOOKUP($F28,'התפלגות ייצור וסל דלקים'!$B$64:$BV$84,BV$2-$E$2,FALSE))*$D$9*$D$8*(HLOOKUP(BV$23,$G$18:$R$19,2,FALSE)*(1-$D$12)^($F28-'הנחות עבודה'!$C$5)/$D$11)/$D$11)</f>
        <v>20.333321860320002</v>
      </c>
      <c r="BW28" s="52">
        <f ca="1">IF(OR($F28&gt;$D$5,$F28&gt;MAX('הנחות עבודה'!$B$69:$B$89)),0,(VLOOKUP($F28,'התפלגות ייצור וסל דלקים'!$B$64:$BV$84,BW$2-$E$2,FALSE))*$D$9*$D$8*(HLOOKUP(BW$23,$G$18:$R$19,2,FALSE)*(1-$D$12)^($F28-'הנחות עבודה'!$C$5)/$D$11)/$D$11)</f>
        <v>0</v>
      </c>
      <c r="BX28" s="52">
        <f ca="1">IF(OR($F28&gt;$D$5,$F28&gt;MAX('הנחות עבודה'!$B$69:$B$89)),0,(VLOOKUP($F28,'התפלגות ייצור וסל דלקים'!$B$64:$BV$84,BX$2-$E$2,FALSE))*$D$9*$D$8*(HLOOKUP(BX$23,$G$18:$R$19,2,FALSE)*(1-$D$12)^($F28-'הנחות עבודה'!$C$5)/$D$11)/$D$11)</f>
        <v>0</v>
      </c>
      <c r="BY28" s="52">
        <f ca="1">IF(OR($F28&gt;$D$5,$F28&gt;MAX('הנחות עבודה'!$B$69:$B$89)),0,(VLOOKUP($F28,'התפלגות ייצור וסל דלקים'!$B$64:$BV$84,BY$2-$E$2,FALSE))*$D$9*$D$8*(HLOOKUP(BY$23,$G$18:$R$19,2,FALSE)*(1-$D$12)^($F28-'הנחות עבודה'!$C$5)/$D$11)/$D$11)</f>
        <v>8.3846223999999996</v>
      </c>
      <c r="BZ28" s="52">
        <f ca="1">IF(OR($F28&gt;$D$5,$F28&gt;MAX('הנחות עבודה'!$B$69:$B$89)),0,(VLOOKUP($F28,'התפלגות ייצור וסל דלקים'!$B$64:$BV$84,BZ$2-$E$2,FALSE))*$D$9*$D$8*(HLOOKUP(BZ$23,$G$18:$R$19,2,FALSE)*(1-$D$12)^($F28-'הנחות עבודה'!$C$5)/$D$11)/$D$11)</f>
        <v>0</v>
      </c>
    </row>
    <row r="29" spans="6:78" ht="15.75">
      <c r="F29" s="10">
        <f t="shared" si="115"/>
        <v>2025</v>
      </c>
      <c r="G29" s="42">
        <f ca="1">IF(OR($F29&gt;$D$5,$F29&gt;MAX('הנחות עבודה'!$B$69:$B$89)),0,(VLOOKUP($F29,'התפלגות ייצור וסל דלקים'!$B$64:$BV$84,G$2-$E$2,FALSE))*$D$9*$D$8*(HLOOKUP(G$23,$G$18:$R$19,2,FALSE)*(1-$D$12)^($F29-'הנחות עבודה'!$C$5)/$D$11)/$D$11)</f>
        <v>0</v>
      </c>
      <c r="H29" s="44">
        <f ca="1">IF(OR($F29&gt;$D$5,$F29&gt;MAX('הנחות עבודה'!$B$69:$B$89)),0,(VLOOKUP($F29,'התפלגות ייצור וסל דלקים'!$B$64:$BV$84,H$2-$E$2,FALSE))*$D$9*$D$8*(HLOOKUP(H$23,$G$18:$R$19,2,FALSE)*(1-$D$12)^($F29-'הנחות עבודה'!$C$5)/$D$11)/$D$11)</f>
        <v>0</v>
      </c>
      <c r="I29" s="44">
        <f ca="1">IF(OR($F29&gt;$D$5,$F29&gt;MAX('הנחות עבודה'!$B$69:$B$89)),0,(VLOOKUP($F29,'התפלגות ייצור וסל דלקים'!$B$64:$BV$84,I$2-$E$2,FALSE))*$D$9*$D$8*(HLOOKUP(I$23,$G$18:$R$19,2,FALSE)*(1-$D$12)^($F29-'הנחות עבודה'!$C$5)/$D$11)/$D$11)</f>
        <v>0</v>
      </c>
      <c r="J29" s="44">
        <f ca="1">IF(OR($F29&gt;$D$5,$F29&gt;MAX('הנחות עבודה'!$B$69:$B$89)),0,(VLOOKUP($F29,'התפלגות ייצור וסל דלקים'!$B$64:$BV$84,J$2-$E$2,FALSE))*$D$9*$D$8*(HLOOKUP(J$23,$G$18:$R$19,2,FALSE)*(1-$D$12)^($F29-'הנחות עבודה'!$C$5)/$D$11)/$D$11)</f>
        <v>0</v>
      </c>
      <c r="K29" s="44">
        <f ca="1">IF(OR($F29&gt;$D$5,$F29&gt;MAX('הנחות עבודה'!$B$69:$B$89)),0,(VLOOKUP($F29,'התפלגות ייצור וסל דלקים'!$B$64:$BV$84,K$2-$E$2,FALSE))*$D$9*$D$8*(HLOOKUP(K$23,$G$18:$R$19,2,FALSE)*(1-$D$12)^($F29-'הנחות עבודה'!$C$5)/$D$11)/$D$11)</f>
        <v>0</v>
      </c>
      <c r="L29" s="44">
        <f ca="1">IF(OR($F29&gt;$D$5,$F29&gt;MAX('הנחות עבודה'!$B$69:$B$89)),0,(VLOOKUP($F29,'התפלגות ייצור וסל דלקים'!$B$64:$BV$84,L$2-$E$2,FALSE))*$D$9*$D$8*(HLOOKUP(L$23,$G$18:$R$19,2,FALSE)*(1-$D$12)^($F29-'הנחות עבודה'!$C$5)/$D$11)/$D$11)</f>
        <v>0</v>
      </c>
      <c r="M29" s="42">
        <f ca="1">IF(OR($F29&gt;$D$5,$F29&gt;MAX('הנחות עבודה'!$B$69:$B$89)),0,(VLOOKUP($F29,'התפלגות ייצור וסל דלקים'!$B$64:$BV$84,M$2-$E$2,FALSE))*$D$9*$D$8*(HLOOKUP(M$23,$G$18:$R$19,2,FALSE)*(1-$D$12)^($F29-'הנחות עבודה'!$C$5)/$D$11)/$D$11)</f>
        <v>4.3840212599999999</v>
      </c>
      <c r="N29" s="42">
        <f ca="1">IF(OR($F29&gt;$D$5,$F29&gt;MAX('הנחות עבודה'!$B$69:$B$89)),0,(VLOOKUP($F29,'התפלגות ייצור וסל דלקים'!$B$64:$BV$84,N$2-$E$2,FALSE))*$D$9*$D$8*(HLOOKUP(N$23,$G$18:$R$19,2,FALSE)*(1-$D$12)^($F29-'הנחות עבודה'!$C$5)/$D$11)/$D$11)</f>
        <v>22.663793049840002</v>
      </c>
      <c r="O29" s="42">
        <f ca="1">IF(OR($F29&gt;$D$5,$F29&gt;MAX('הנחות עבודה'!$B$69:$B$89)),0,(VLOOKUP($F29,'התפלגות ייצור וסל דלקים'!$B$64:$BV$84,O$2-$E$2,FALSE))*$D$9*$D$8*(HLOOKUP(O$23,$G$18:$R$19,2,FALSE)*(1-$D$12)^($F29-'הנחות עבודה'!$C$5)/$D$11)/$D$11)</f>
        <v>0</v>
      </c>
      <c r="P29" s="43">
        <f ca="1">IF(OR($F29&gt;$D$5,$F29&gt;MAX('הנחות עבודה'!$B$69:$B$89)),0,(VLOOKUP($F29,'התפלגות ייצור וסל דלקים'!$B$64:$BV$84,P$2-$E$2,FALSE))*$D$9*$D$8*(HLOOKUP(P$23,$G$18:$R$19,2,FALSE)*(1-$D$12)^($F29-'הנחות עבודה'!$C$5)/$D$11)/$D$11)</f>
        <v>0</v>
      </c>
      <c r="Q29" s="42">
        <f ca="1">IF(OR($F29&gt;$D$5,$F29&gt;MAX('הנחות עבודה'!$B$69:$B$89)),0,(VLOOKUP($F29,'התפלגות ייצור וסל דלקים'!$B$64:$BV$84,Q$2-$E$2,FALSE))*$D$9*$D$8*(HLOOKUP(Q$23,$G$18:$R$19,2,FALSE)*(1-$D$12)^($F29-'הנחות עבודה'!$C$5)/$D$11)/$D$11)</f>
        <v>2.4376176000000003</v>
      </c>
      <c r="R29" s="43">
        <f ca="1">IF(OR($F29&gt;$D$5,$F29&gt;MAX('הנחות עבודה'!$B$69:$B$89)),0,(VLOOKUP($F29,'התפלגות ייצור וסל דלקים'!$B$64:$BV$84,R$2-$E$2,FALSE))*$D$9*$D$8*(HLOOKUP(R$23,$G$18:$R$19,2,FALSE)*(1-$D$12)^($F29-'הנחות עבודה'!$C$5)/$D$11)/$D$11)</f>
        <v>0</v>
      </c>
      <c r="S29" s="52">
        <f ca="1">IF(OR($F29&gt;$D$5,$F29&gt;MAX('הנחות עבודה'!$B$69:$B$89)),0,(VLOOKUP($F29,'התפלגות ייצור וסל דלקים'!$B$64:$BV$84,S$2-$E$2,FALSE))*$D$9*$D$8*(HLOOKUP(S$23,$G$18:$R$19,2,FALSE)*(1-$D$12)^($F29-'הנחות עבודה'!$C$5)/$D$11)/$D$11)</f>
        <v>0</v>
      </c>
      <c r="T29" s="127">
        <f ca="1">IF(OR($F29&gt;$D$5,$F29&gt;MAX('הנחות עבודה'!$B$69:$B$89)),0,(VLOOKUP($F29,'התפלגות ייצור וסל דלקים'!$B$64:$BV$84,T$2-$E$2,FALSE))*$D$9*$D$8*(HLOOKUP(T$23,$G$18:$R$19,2,FALSE)*(1-$D$12)^($F29-'הנחות עבודה'!$C$5)/$D$11)/$D$11)</f>
        <v>0</v>
      </c>
      <c r="U29" s="127">
        <f ca="1">IF(OR($F29&gt;$D$5,$F29&gt;MAX('הנחות עבודה'!$B$69:$B$89)),0,(VLOOKUP($F29,'התפלגות ייצור וסל דלקים'!$B$64:$BV$84,U$2-$E$2,FALSE))*$D$9*$D$8*(HLOOKUP(U$23,$G$18:$R$19,2,FALSE)*(1-$D$12)^($F29-'הנחות עבודה'!$C$5)/$D$11)/$D$11)</f>
        <v>0</v>
      </c>
      <c r="V29" s="127">
        <f ca="1">IF(OR($F29&gt;$D$5,$F29&gt;MAX('הנחות עבודה'!$B$69:$B$89)),0,(VLOOKUP($F29,'התפלגות ייצור וסל דלקים'!$B$64:$BV$84,V$2-$E$2,FALSE))*$D$9*$D$8*(HLOOKUP(V$23,$G$18:$R$19,2,FALSE)*(1-$D$12)^($F29-'הנחות עבודה'!$C$5)/$D$11)/$D$11)</f>
        <v>0</v>
      </c>
      <c r="W29" s="127">
        <f ca="1">IF(OR($F29&gt;$D$5,$F29&gt;MAX('הנחות עבודה'!$B$69:$B$89)),0,(VLOOKUP($F29,'התפלגות ייצור וסל דלקים'!$B$64:$BV$84,W$2-$E$2,FALSE))*$D$9*$D$8*(HLOOKUP(W$23,$G$18:$R$19,2,FALSE)*(1-$D$12)^($F29-'הנחות עבודה'!$C$5)/$D$11)/$D$11)</f>
        <v>0</v>
      </c>
      <c r="X29" s="127">
        <f ca="1">IF(OR($F29&gt;$D$5,$F29&gt;MAX('הנחות עבודה'!$B$69:$B$89)),0,(VLOOKUP($F29,'התפלגות ייצור וסל דלקים'!$B$64:$BV$84,X$2-$E$2,FALSE))*$D$9*$D$8*(HLOOKUP(X$23,$G$18:$R$19,2,FALSE)*(1-$D$12)^($F29-'הנחות עבודה'!$C$5)/$D$11)/$D$11)</f>
        <v>0</v>
      </c>
      <c r="Y29" s="52">
        <f ca="1">IF(OR($F29&gt;$D$5,$F29&gt;MAX('הנחות עבודה'!$B$69:$B$89)),0,(VLOOKUP($F29,'התפלגות ייצור וסל דלקים'!$B$64:$BV$84,Y$2-$E$2,FALSE))*$D$9*$D$8*(HLOOKUP(Y$23,$G$18:$R$19,2,FALSE)*(1-$D$12)^($F29-'הנחות עבודה'!$C$5)/$D$11)/$D$11)</f>
        <v>4.3840212599999999</v>
      </c>
      <c r="Z29" s="52">
        <f ca="1">IF(OR($F29&gt;$D$5,$F29&gt;MAX('הנחות עבודה'!$B$69:$B$89)),0,(VLOOKUP($F29,'התפלגות ייצור וסל דלקים'!$B$64:$BV$84,Z$2-$E$2,FALSE))*$D$9*$D$8*(HLOOKUP(Z$23,$G$18:$R$19,2,FALSE)*(1-$D$12)^($F29-'הנחות עבודה'!$C$5)/$D$11)/$D$11)</f>
        <v>22.663793049840002</v>
      </c>
      <c r="AA29" s="52">
        <f ca="1">IF(OR($F29&gt;$D$5,$F29&gt;MAX('הנחות עבודה'!$B$69:$B$89)),0,(VLOOKUP($F29,'התפלגות ייצור וסל דלקים'!$B$64:$BV$84,AA$2-$E$2,FALSE))*$D$9*$D$8*(HLOOKUP(AA$23,$G$18:$R$19,2,FALSE)*(1-$D$12)^($F29-'הנחות עבודה'!$C$5)/$D$11)/$D$11)</f>
        <v>0</v>
      </c>
      <c r="AB29" s="52">
        <f ca="1">IF(OR($F29&gt;$D$5,$F29&gt;MAX('הנחות עבודה'!$B$69:$B$89)),0,(VLOOKUP($F29,'התפלגות ייצור וסל דלקים'!$B$64:$BV$84,AB$2-$E$2,FALSE))*$D$9*$D$8*(HLOOKUP(AB$23,$G$18:$R$19,2,FALSE)*(1-$D$12)^($F29-'הנחות עבודה'!$C$5)/$D$11)/$D$11)</f>
        <v>0</v>
      </c>
      <c r="AC29" s="52">
        <f ca="1">IF(OR($F29&gt;$D$5,$F29&gt;MAX('הנחות עבודה'!$B$69:$B$89)),0,(VLOOKUP($F29,'התפלגות ייצור וסל דלקים'!$B$64:$BV$84,AC$2-$E$2,FALSE))*$D$9*$D$8*(HLOOKUP(AC$23,$G$18:$R$19,2,FALSE)*(1-$D$12)^($F29-'הנחות עבודה'!$C$5)/$D$11)/$D$11)</f>
        <v>2.4376176000000003</v>
      </c>
      <c r="AD29" s="52">
        <f ca="1">IF(OR($F29&gt;$D$5,$F29&gt;MAX('הנחות עבודה'!$B$69:$B$89)),0,(VLOOKUP($F29,'התפלגות ייצור וסל דלקים'!$B$64:$BV$84,AD$2-$E$2,FALSE))*$D$9*$D$8*(HLOOKUP(AD$23,$G$18:$R$19,2,FALSE)*(1-$D$12)^($F29-'הנחות עבודה'!$C$5)/$D$11)/$D$11)</f>
        <v>0</v>
      </c>
      <c r="AE29" s="42">
        <f ca="1">IF(OR($F29&gt;$D$5,$F29&gt;MAX('הנחות עבודה'!$B$69:$B$89)),0,(VLOOKUP($F29,'התפלגות ייצור וסל דלקים'!$B$64:$BV$84,AE$2-$E$2,FALSE))*$D$9*$D$8*(HLOOKUP(AE$23,$G$18:$R$19,2,FALSE)*(1-$D$12)^($F29-'הנחות עבודה'!$C$5)/$D$11)/$D$11)</f>
        <v>0</v>
      </c>
      <c r="AF29" s="44">
        <f ca="1">IF(OR($F29&gt;$D$5,$F29&gt;MAX('הנחות עבודה'!$B$69:$B$89)),0,(VLOOKUP($F29,'התפלגות ייצור וסל דלקים'!$B$64:$BV$84,AF$2-$E$2,FALSE))*$D$9*$D$8*(HLOOKUP(AF$23,$G$18:$R$19,2,FALSE)*(1-$D$12)^($F29-'הנחות עבודה'!$C$5)/$D$11)/$D$11)</f>
        <v>0</v>
      </c>
      <c r="AG29" s="44">
        <f ca="1">IF(OR($F29&gt;$D$5,$F29&gt;MAX('הנחות עבודה'!$B$69:$B$89)),0,(VLOOKUP($F29,'התפלגות ייצור וסל דלקים'!$B$64:$BV$84,AG$2-$E$2,FALSE))*$D$9*$D$8*(HLOOKUP(AG$23,$G$18:$R$19,2,FALSE)*(1-$D$12)^($F29-'הנחות עבודה'!$C$5)/$D$11)/$D$11)</f>
        <v>0</v>
      </c>
      <c r="AH29" s="44">
        <f ca="1">IF(OR($F29&gt;$D$5,$F29&gt;MAX('הנחות עבודה'!$B$69:$B$89)),0,(VLOOKUP($F29,'התפלגות ייצור וסל דלקים'!$B$64:$BV$84,AH$2-$E$2,FALSE))*$D$9*$D$8*(HLOOKUP(AH$23,$G$18:$R$19,2,FALSE)*(1-$D$12)^($F29-'הנחות עבודה'!$C$5)/$D$11)/$D$11)</f>
        <v>0</v>
      </c>
      <c r="AI29" s="44">
        <f ca="1">IF(OR($F29&gt;$D$5,$F29&gt;MAX('הנחות עבודה'!$B$69:$B$89)),0,(VLOOKUP($F29,'התפלגות ייצור וסל דלקים'!$B$64:$BV$84,AI$2-$E$2,FALSE))*$D$9*$D$8*(HLOOKUP(AI$23,$G$18:$R$19,2,FALSE)*(1-$D$12)^($F29-'הנחות עבודה'!$C$5)/$D$11)/$D$11)</f>
        <v>0</v>
      </c>
      <c r="AJ29" s="44">
        <f ca="1">IF(OR($F29&gt;$D$5,$F29&gt;MAX('הנחות עבודה'!$B$69:$B$89)),0,(VLOOKUP($F29,'התפלגות ייצור וסל דלקים'!$B$64:$BV$84,AJ$2-$E$2,FALSE))*$D$9*$D$8*(HLOOKUP(AJ$23,$G$18:$R$19,2,FALSE)*(1-$D$12)^($F29-'הנחות עבודה'!$C$5)/$D$11)/$D$11)</f>
        <v>0</v>
      </c>
      <c r="AK29" s="42">
        <f ca="1">IF(OR($F29&gt;$D$5,$F29&gt;MAX('הנחות עבודה'!$B$69:$B$89)),0,(VLOOKUP($F29,'התפלגות ייצור וסל דלקים'!$B$64:$BV$84,AK$2-$E$2,FALSE))*$D$9*$D$8*(HLOOKUP(AK$23,$G$18:$R$19,2,FALSE)*(1-$D$12)^($F29-'הנחות עבודה'!$C$5)/$D$11)/$D$11)</f>
        <v>4.2249373799999992</v>
      </c>
      <c r="AL29" s="42">
        <f ca="1">IF(OR($F29&gt;$D$5,$F29&gt;MAX('הנחות עבודה'!$B$69:$B$89)),0,(VLOOKUP($F29,'התפלגות ייצור וסל דלקים'!$B$64:$BV$84,AL$2-$E$2,FALSE))*$D$9*$D$8*(HLOOKUP(AL$23,$G$18:$R$19,2,FALSE)*(1-$D$12)^($F29-'הנחות עבודה'!$C$5)/$D$11)/$D$11)</f>
        <v>21.381869426400005</v>
      </c>
      <c r="AM29" s="42">
        <f ca="1">IF(OR($F29&gt;$D$5,$F29&gt;MAX('הנחות עבודה'!$B$69:$B$89)),0,(VLOOKUP($F29,'התפלגות ייצור וסל דלקים'!$B$64:$BV$84,AM$2-$E$2,FALSE))*$D$9*$D$8*(HLOOKUP(AM$23,$G$18:$R$19,2,FALSE)*(1-$D$12)^($F29-'הנחות עבודה'!$C$5)/$D$11)/$D$11)</f>
        <v>0</v>
      </c>
      <c r="AN29" s="43">
        <f ca="1">IF(OR($F29&gt;$D$5,$F29&gt;MAX('הנחות עבודה'!$B$69:$B$89)),0,(VLOOKUP($F29,'התפלגות ייצור וסל דלקים'!$B$64:$BV$84,AN$2-$E$2,FALSE))*$D$9*$D$8*(HLOOKUP(AN$23,$G$18:$R$19,2,FALSE)*(1-$D$12)^($F29-'הנחות עבודה'!$C$5)/$D$11)/$D$11)</f>
        <v>0</v>
      </c>
      <c r="AO29" s="42">
        <f ca="1">IF(OR($F29&gt;$D$5,$F29&gt;MAX('הנחות עבודה'!$B$69:$B$89)),0,(VLOOKUP($F29,'התפלגות ייצור וסל דלקים'!$B$64:$BV$84,AO$2-$E$2,FALSE))*$D$9*$D$8*(HLOOKUP(AO$23,$G$18:$R$19,2,FALSE)*(1-$D$12)^($F29-'הנחות עבודה'!$C$5)/$D$11)/$D$11)</f>
        <v>2.4339303999999999</v>
      </c>
      <c r="AP29" s="43">
        <f ca="1">IF(OR($F29&gt;$D$5,$F29&gt;MAX('הנחות עבודה'!$B$69:$B$89)),0,(VLOOKUP($F29,'התפלגות ייצור וסל דלקים'!$B$64:$BV$84,AP$2-$E$2,FALSE))*$D$9*$D$8*(HLOOKUP(AP$23,$G$18:$R$19,2,FALSE)*(1-$D$12)^($F29-'הנחות עבודה'!$C$5)/$D$11)/$D$11)</f>
        <v>0</v>
      </c>
      <c r="AQ29" s="52">
        <f ca="1">IF(OR($F29&gt;$D$5,$F29&gt;MAX('הנחות עבודה'!$B$69:$B$89)),0,(VLOOKUP($F29,'התפלגות ייצור וסל דלקים'!$B$64:$BV$84,AQ$2-$E$2,FALSE))*$D$9*$D$8*(HLOOKUP(AQ$23,$G$18:$R$19,2,FALSE)*(1-$D$12)^($F29-'הנחות עבודה'!$C$5)/$D$11)/$D$11)</f>
        <v>0</v>
      </c>
      <c r="AR29" s="127">
        <f ca="1">IF(OR($F29&gt;$D$5,$F29&gt;MAX('הנחות עבודה'!$B$69:$B$89)),0,(VLOOKUP($F29,'התפלגות ייצור וסל דלקים'!$B$64:$BV$84,AR$2-$E$2,FALSE))*$D$9*$D$8*(HLOOKUP(AR$23,$G$18:$R$19,2,FALSE)*(1-$D$12)^($F29-'הנחות עבודה'!$C$5)/$D$11)/$D$11)</f>
        <v>0</v>
      </c>
      <c r="AS29" s="127">
        <f ca="1">IF(OR($F29&gt;$D$5,$F29&gt;MAX('הנחות עבודה'!$B$69:$B$89)),0,(VLOOKUP($F29,'התפלגות ייצור וסל דלקים'!$B$64:$BV$84,AS$2-$E$2,FALSE))*$D$9*$D$8*(HLOOKUP(AS$23,$G$18:$R$19,2,FALSE)*(1-$D$12)^($F29-'הנחות עבודה'!$C$5)/$D$11)/$D$11)</f>
        <v>0</v>
      </c>
      <c r="AT29" s="127">
        <f ca="1">IF(OR($F29&gt;$D$5,$F29&gt;MAX('הנחות עבודה'!$B$69:$B$89)),0,(VLOOKUP($F29,'התפלגות ייצור וסל דלקים'!$B$64:$BV$84,AT$2-$E$2,FALSE))*$D$9*$D$8*(HLOOKUP(AT$23,$G$18:$R$19,2,FALSE)*(1-$D$12)^($F29-'הנחות עבודה'!$C$5)/$D$11)/$D$11)</f>
        <v>0</v>
      </c>
      <c r="AU29" s="127">
        <f ca="1">IF(OR($F29&gt;$D$5,$F29&gt;MAX('הנחות עבודה'!$B$69:$B$89)),0,(VLOOKUP($F29,'התפלגות ייצור וסל דלקים'!$B$64:$BV$84,AU$2-$E$2,FALSE))*$D$9*$D$8*(HLOOKUP(AU$23,$G$18:$R$19,2,FALSE)*(1-$D$12)^($F29-'הנחות עבודה'!$C$5)/$D$11)/$D$11)</f>
        <v>0</v>
      </c>
      <c r="AV29" s="127">
        <f ca="1">IF(OR($F29&gt;$D$5,$F29&gt;MAX('הנחות עבודה'!$B$69:$B$89)),0,(VLOOKUP($F29,'התפלגות ייצור וסל דלקים'!$B$64:$BV$84,AV$2-$E$2,FALSE))*$D$9*$D$8*(HLOOKUP(AV$23,$G$18:$R$19,2,FALSE)*(1-$D$12)^($F29-'הנחות עבודה'!$C$5)/$D$11)/$D$11)</f>
        <v>0</v>
      </c>
      <c r="AW29" s="52">
        <f ca="1">IF(OR($F29&gt;$D$5,$F29&gt;MAX('הנחות עבודה'!$B$69:$B$89)),0,(VLOOKUP($F29,'התפלגות ייצור וסל דלקים'!$B$64:$BV$84,AW$2-$E$2,FALSE))*$D$9*$D$8*(HLOOKUP(AW$23,$G$18:$R$19,2,FALSE)*(1-$D$12)^($F29-'הנחות עבודה'!$C$5)/$D$11)/$D$11)</f>
        <v>4.2249373799999992</v>
      </c>
      <c r="AX29" s="52">
        <f ca="1">IF(OR($F29&gt;$D$5,$F29&gt;MAX('הנחות עבודה'!$B$69:$B$89)),0,(VLOOKUP($F29,'התפלגות ייצור וסל דלקים'!$B$64:$BV$84,AX$2-$E$2,FALSE))*$D$9*$D$8*(HLOOKUP(AX$23,$G$18:$R$19,2,FALSE)*(1-$D$12)^($F29-'הנחות עבודה'!$C$5)/$D$11)/$D$11)</f>
        <v>21.381869426400005</v>
      </c>
      <c r="AY29" s="52">
        <f ca="1">IF(OR($F29&gt;$D$5,$F29&gt;MAX('הנחות עבודה'!$B$69:$B$89)),0,(VLOOKUP($F29,'התפלגות ייצור וסל דלקים'!$B$64:$BV$84,AY$2-$E$2,FALSE))*$D$9*$D$8*(HLOOKUP(AY$23,$G$18:$R$19,2,FALSE)*(1-$D$12)^($F29-'הנחות עבודה'!$C$5)/$D$11)/$D$11)</f>
        <v>0</v>
      </c>
      <c r="AZ29" s="52">
        <f ca="1">IF(OR($F29&gt;$D$5,$F29&gt;MAX('הנחות עבודה'!$B$69:$B$89)),0,(VLOOKUP($F29,'התפלגות ייצור וסל דלקים'!$B$64:$BV$84,AZ$2-$E$2,FALSE))*$D$9*$D$8*(HLOOKUP(AZ$23,$G$18:$R$19,2,FALSE)*(1-$D$12)^($F29-'הנחות עבודה'!$C$5)/$D$11)/$D$11)</f>
        <v>0</v>
      </c>
      <c r="BA29" s="52">
        <f ca="1">IF(OR($F29&gt;$D$5,$F29&gt;MAX('הנחות עבודה'!$B$69:$B$89)),0,(VLOOKUP($F29,'התפלגות ייצור וסל דלקים'!$B$64:$BV$84,BA$2-$E$2,FALSE))*$D$9*$D$8*(HLOOKUP(BA$23,$G$18:$R$19,2,FALSE)*(1-$D$12)^($F29-'הנחות עבודה'!$C$5)/$D$11)/$D$11)</f>
        <v>2.4339303999999999</v>
      </c>
      <c r="BB29" s="52">
        <f ca="1">IF(OR($F29&gt;$D$5,$F29&gt;MAX('הנחות עבודה'!$B$69:$B$89)),0,(VLOOKUP($F29,'התפלגות ייצור וסל דלקים'!$B$64:$BV$84,BB$2-$E$2,FALSE))*$D$9*$D$8*(HLOOKUP(BB$23,$G$18:$R$19,2,FALSE)*(1-$D$12)^($F29-'הנחות עבודה'!$C$5)/$D$11)/$D$11)</f>
        <v>0</v>
      </c>
      <c r="BC29" s="42">
        <f ca="1">IF(OR($F29&gt;$D$5,$F29&gt;MAX('הנחות עבודה'!$B$69:$B$89)),0,(VLOOKUP($F29,'התפלגות ייצור וסל דלקים'!$B$64:$BV$84,BC$2-$E$2,FALSE))*$D$9*$D$8*(HLOOKUP(BC$23,$G$18:$R$19,2,FALSE)*(1-$D$12)^($F29-'הנחות עבודה'!$C$5)/$D$11)/$D$11)</f>
        <v>0</v>
      </c>
      <c r="BD29" s="44">
        <f ca="1">IF(OR($F29&gt;$D$5,$F29&gt;MAX('הנחות עבודה'!$B$69:$B$89)),0,(VLOOKUP($F29,'התפלגות ייצור וסל דלקים'!$B$64:$BV$84,BD$2-$E$2,FALSE))*$D$9*$D$8*(HLOOKUP(BD$23,$G$18:$R$19,2,FALSE)*(1-$D$12)^($F29-'הנחות עבודה'!$C$5)/$D$11)/$D$11)</f>
        <v>0</v>
      </c>
      <c r="BE29" s="44">
        <f ca="1">IF(OR($F29&gt;$D$5,$F29&gt;MAX('הנחות עבודה'!$B$69:$B$89)),0,(VLOOKUP($F29,'התפלגות ייצור וסל דלקים'!$B$64:$BV$84,BE$2-$E$2,FALSE))*$D$9*$D$8*(HLOOKUP(BE$23,$G$18:$R$19,2,FALSE)*(1-$D$12)^($F29-'הנחות עבודה'!$C$5)/$D$11)/$D$11)</f>
        <v>0</v>
      </c>
      <c r="BF29" s="44">
        <f ca="1">IF(OR($F29&gt;$D$5,$F29&gt;MAX('הנחות עבודה'!$B$69:$B$89)),0,(VLOOKUP($F29,'התפלגות ייצור וסל דלקים'!$B$64:$BV$84,BF$2-$E$2,FALSE))*$D$9*$D$8*(HLOOKUP(BF$23,$G$18:$R$19,2,FALSE)*(1-$D$12)^($F29-'הנחות עבודה'!$C$5)/$D$11)/$D$11)</f>
        <v>0</v>
      </c>
      <c r="BG29" s="44">
        <f ca="1">IF(OR($F29&gt;$D$5,$F29&gt;MAX('הנחות עבודה'!$B$69:$B$89)),0,(VLOOKUP($F29,'התפלגות ייצור וסל דלקים'!$B$64:$BV$84,BG$2-$E$2,FALSE))*$D$9*$D$8*(HLOOKUP(BG$23,$G$18:$R$19,2,FALSE)*(1-$D$12)^($F29-'הנחות עבודה'!$C$5)/$D$11)/$D$11)</f>
        <v>0</v>
      </c>
      <c r="BH29" s="44">
        <f ca="1">IF(OR($F29&gt;$D$5,$F29&gt;MAX('הנחות עבודה'!$B$69:$B$89)),0,(VLOOKUP($F29,'התפלגות ייצור וסל דלקים'!$B$64:$BV$84,BH$2-$E$2,FALSE))*$D$9*$D$8*(HLOOKUP(BH$23,$G$18:$R$19,2,FALSE)*(1-$D$12)^($F29-'הנחות עבודה'!$C$5)/$D$11)/$D$11)</f>
        <v>0</v>
      </c>
      <c r="BI29" s="42">
        <f ca="1">IF(OR($F29&gt;$D$5,$F29&gt;MAX('הנחות עבודה'!$B$69:$B$89)),0,(VLOOKUP($F29,'התפלגות ייצור וסל דלקים'!$B$64:$BV$84,BI$2-$E$2,FALSE))*$D$9*$D$8*(HLOOKUP(BI$23,$G$18:$R$19,2,FALSE)*(1-$D$12)^($F29-'הנחות עבודה'!$C$5)/$D$11)/$D$11)</f>
        <v>4.2393327599999999</v>
      </c>
      <c r="BJ29" s="42">
        <f ca="1">IF(OR($F29&gt;$D$5,$F29&gt;MAX('הנחות עבודה'!$B$69:$B$89)),0,(VLOOKUP($F29,'התפלגות ייצור וסל דלקים'!$B$64:$BV$84,BJ$2-$E$2,FALSE))*$D$9*$D$8*(HLOOKUP(BJ$23,$G$18:$R$19,2,FALSE)*(1-$D$12)^($F29-'הנחות עבודה'!$C$5)/$D$11)/$D$11)</f>
        <v>20.601621435600002</v>
      </c>
      <c r="BK29" s="42">
        <f ca="1">IF(OR($F29&gt;$D$5,$F29&gt;MAX('הנחות עבודה'!$B$69:$B$89)),0,(VLOOKUP($F29,'התפלגות ייצור וסל דלקים'!$B$64:$BV$84,BK$2-$E$2,FALSE))*$D$9*$D$8*(HLOOKUP(BK$23,$G$18:$R$19,2,FALSE)*(1-$D$12)^($F29-'הנחות עבודה'!$C$5)/$D$11)/$D$11)</f>
        <v>0</v>
      </c>
      <c r="BL29" s="42">
        <f ca="1">IF(OR($F29&gt;$D$5,$F29&gt;MAX('הנחות עבודה'!$B$69:$B$89)),0,(VLOOKUP($F29,'התפלגות ייצור וסל דלקים'!$B$64:$BV$84,BL$2-$E$2,FALSE))*$D$9*$D$8*(HLOOKUP(BL$23,$G$18:$R$19,2,FALSE)*(1-$D$12)^($F29-'הנחות עבודה'!$C$5)/$D$11)/$D$11)</f>
        <v>0</v>
      </c>
      <c r="BM29" s="42">
        <f ca="1">IF(OR($F29&gt;$D$5,$F29&gt;MAX('הנחות עבודה'!$B$69:$B$89)),0,(VLOOKUP($F29,'התפלגות ייצור וסל דלקים'!$B$64:$BV$84,BM$2-$E$2,FALSE))*$D$9*$D$8*(HLOOKUP(BM$23,$G$18:$R$19,2,FALSE)*(1-$D$12)^($F29-'הנחות עבודה'!$C$5)/$D$11)/$D$11)</f>
        <v>2.429592</v>
      </c>
      <c r="BN29" s="42">
        <f ca="1">IF(OR($F29&gt;$D$5,$F29&gt;MAX('הנחות עבודה'!$B$69:$B$89)),0,(VLOOKUP($F29,'התפלגות ייצור וסל דלקים'!$B$64:$BV$84,BN$2-$E$2,FALSE))*$D$9*$D$8*(HLOOKUP(BN$23,$G$18:$R$19,2,FALSE)*(1-$D$12)^($F29-'הנחות עבודה'!$C$5)/$D$11)/$D$11)</f>
        <v>0</v>
      </c>
      <c r="BO29" s="52">
        <f ca="1">IF(OR($F29&gt;$D$5,$F29&gt;MAX('הנחות עבודה'!$B$69:$B$89)),0,(VLOOKUP($F29,'התפלגות ייצור וסל דלקים'!$B$64:$BV$84,BO$2-$E$2,FALSE))*$D$9*$D$8*(HLOOKUP(BO$23,$G$18:$R$19,2,FALSE)*(1-$D$12)^($F29-'הנחות עבודה'!$C$5)/$D$11)/$D$11)</f>
        <v>0</v>
      </c>
      <c r="BP29" s="127">
        <f ca="1">IF(OR($F29&gt;$D$5,$F29&gt;MAX('הנחות עבודה'!$B$69:$B$89)),0,(VLOOKUP($F29,'התפלגות ייצור וסל דלקים'!$B$64:$BV$84,BP$2-$E$2,FALSE))*$D$9*$D$8*(HLOOKUP(BP$23,$G$18:$R$19,2,FALSE)*(1-$D$12)^($F29-'הנחות עבודה'!$C$5)/$D$11)/$D$11)</f>
        <v>0</v>
      </c>
      <c r="BQ29" s="127">
        <f ca="1">IF(OR($F29&gt;$D$5,$F29&gt;MAX('הנחות עבודה'!$B$69:$B$89)),0,(VLOOKUP($F29,'התפלגות ייצור וסל דלקים'!$B$64:$BV$84,BQ$2-$E$2,FALSE))*$D$9*$D$8*(HLOOKUP(BQ$23,$G$18:$R$19,2,FALSE)*(1-$D$12)^($F29-'הנחות עבודה'!$C$5)/$D$11)/$D$11)</f>
        <v>0</v>
      </c>
      <c r="BR29" s="127">
        <f ca="1">IF(OR($F29&gt;$D$5,$F29&gt;MAX('הנחות עבודה'!$B$69:$B$89)),0,(VLOOKUP($F29,'התפלגות ייצור וסל דלקים'!$B$64:$BV$84,BR$2-$E$2,FALSE))*$D$9*$D$8*(HLOOKUP(BR$23,$G$18:$R$19,2,FALSE)*(1-$D$12)^($F29-'הנחות עבודה'!$C$5)/$D$11)/$D$11)</f>
        <v>0</v>
      </c>
      <c r="BS29" s="127">
        <f ca="1">IF(OR($F29&gt;$D$5,$F29&gt;MAX('הנחות עבודה'!$B$69:$B$89)),0,(VLOOKUP($F29,'התפלגות ייצור וסל דלקים'!$B$64:$BV$84,BS$2-$E$2,FALSE))*$D$9*$D$8*(HLOOKUP(BS$23,$G$18:$R$19,2,FALSE)*(1-$D$12)^($F29-'הנחות עבודה'!$C$5)/$D$11)/$D$11)</f>
        <v>0</v>
      </c>
      <c r="BT29" s="127">
        <f ca="1">IF(OR($F29&gt;$D$5,$F29&gt;MAX('הנחות עבודה'!$B$69:$B$89)),0,(VLOOKUP($F29,'התפלגות ייצור וסל דלקים'!$B$64:$BV$84,BT$2-$E$2,FALSE))*$D$9*$D$8*(HLOOKUP(BT$23,$G$18:$R$19,2,FALSE)*(1-$D$12)^($F29-'הנחות עבודה'!$C$5)/$D$11)/$D$11)</f>
        <v>0</v>
      </c>
      <c r="BU29" s="52">
        <f ca="1">IF(OR($F29&gt;$D$5,$F29&gt;MAX('הנחות עבודה'!$B$69:$B$89)),0,(VLOOKUP($F29,'התפלגות ייצור וסל דלקים'!$B$64:$BV$84,BU$2-$E$2,FALSE))*$D$9*$D$8*(HLOOKUP(BU$23,$G$18:$R$19,2,FALSE)*(1-$D$12)^($F29-'הנחות עבודה'!$C$5)/$D$11)/$D$11)</f>
        <v>4.2393327599999999</v>
      </c>
      <c r="BV29" s="52">
        <f ca="1">IF(OR($F29&gt;$D$5,$F29&gt;MAX('הנחות עבודה'!$B$69:$B$89)),0,(VLOOKUP($F29,'התפלגות ייצור וסל דלקים'!$B$64:$BV$84,BV$2-$E$2,FALSE))*$D$9*$D$8*(HLOOKUP(BV$23,$G$18:$R$19,2,FALSE)*(1-$D$12)^($F29-'הנחות עבודה'!$C$5)/$D$11)/$D$11)</f>
        <v>20.601621435600002</v>
      </c>
      <c r="BW29" s="52">
        <f ca="1">IF(OR($F29&gt;$D$5,$F29&gt;MAX('הנחות עבודה'!$B$69:$B$89)),0,(VLOOKUP($F29,'התפלגות ייצור וסל דלקים'!$B$64:$BV$84,BW$2-$E$2,FALSE))*$D$9*$D$8*(HLOOKUP(BW$23,$G$18:$R$19,2,FALSE)*(1-$D$12)^($F29-'הנחות עבודה'!$C$5)/$D$11)/$D$11)</f>
        <v>0</v>
      </c>
      <c r="BX29" s="52">
        <f ca="1">IF(OR($F29&gt;$D$5,$F29&gt;MAX('הנחות עבודה'!$B$69:$B$89)),0,(VLOOKUP($F29,'התפלגות ייצור וסל דלקים'!$B$64:$BV$84,BX$2-$E$2,FALSE))*$D$9*$D$8*(HLOOKUP(BX$23,$G$18:$R$19,2,FALSE)*(1-$D$12)^($F29-'הנחות עבודה'!$C$5)/$D$11)/$D$11)</f>
        <v>0</v>
      </c>
      <c r="BY29" s="52">
        <f ca="1">IF(OR($F29&gt;$D$5,$F29&gt;MAX('הנחות עבודה'!$B$69:$B$89)),0,(VLOOKUP($F29,'התפלגות ייצור וסל דלקים'!$B$64:$BV$84,BY$2-$E$2,FALSE))*$D$9*$D$8*(HLOOKUP(BY$23,$G$18:$R$19,2,FALSE)*(1-$D$12)^($F29-'הנחות עבודה'!$C$5)/$D$11)/$D$11)</f>
        <v>2.429592</v>
      </c>
      <c r="BZ29" s="52">
        <f ca="1">IF(OR($F29&gt;$D$5,$F29&gt;MAX('הנחות עבודה'!$B$69:$B$89)),0,(VLOOKUP($F29,'התפלגות ייצור וסל דלקים'!$B$64:$BV$84,BZ$2-$E$2,FALSE))*$D$9*$D$8*(HLOOKUP(BZ$23,$G$18:$R$19,2,FALSE)*(1-$D$12)^($F29-'הנחות עבודה'!$C$5)/$D$11)/$D$11)</f>
        <v>0</v>
      </c>
    </row>
    <row r="30" spans="6:78" ht="15.75">
      <c r="F30" s="10">
        <f t="shared" si="115"/>
        <v>2026</v>
      </c>
      <c r="G30" s="42">
        <f ca="1">IF(OR($F30&gt;$D$5,$F30&gt;MAX('הנחות עבודה'!$B$69:$B$89)),0,(VLOOKUP($F30,'התפלגות ייצור וסל דלקים'!$B$64:$BV$84,G$2-$E$2,FALSE))*$D$9*$D$8*(HLOOKUP(G$23,$G$18:$R$19,2,FALSE)*(1-$D$12)^($F30-'הנחות עבודה'!$C$5)/$D$11)/$D$11)</f>
        <v>0</v>
      </c>
      <c r="H30" s="44">
        <f ca="1">IF(OR($F30&gt;$D$5,$F30&gt;MAX('הנחות עבודה'!$B$69:$B$89)),0,(VLOOKUP($F30,'התפלגות ייצור וסל דלקים'!$B$64:$BV$84,H$2-$E$2,FALSE))*$D$9*$D$8*(HLOOKUP(H$23,$G$18:$R$19,2,FALSE)*(1-$D$12)^($F30-'הנחות עבודה'!$C$5)/$D$11)/$D$11)</f>
        <v>0</v>
      </c>
      <c r="I30" s="44">
        <f ca="1">IF(OR($F30&gt;$D$5,$F30&gt;MAX('הנחות עבודה'!$B$69:$B$89)),0,(VLOOKUP($F30,'התפלגות ייצור וסל דלקים'!$B$64:$BV$84,I$2-$E$2,FALSE))*$D$9*$D$8*(HLOOKUP(I$23,$G$18:$R$19,2,FALSE)*(1-$D$12)^($F30-'הנחות עבודה'!$C$5)/$D$11)/$D$11)</f>
        <v>0</v>
      </c>
      <c r="J30" s="44">
        <f ca="1">IF(OR($F30&gt;$D$5,$F30&gt;MAX('הנחות עבודה'!$B$69:$B$89)),0,(VLOOKUP($F30,'התפלגות ייצור וסל דלקים'!$B$64:$BV$84,J$2-$E$2,FALSE))*$D$9*$D$8*(HLOOKUP(J$23,$G$18:$R$19,2,FALSE)*(1-$D$12)^($F30-'הנחות עבודה'!$C$5)/$D$11)/$D$11)</f>
        <v>0</v>
      </c>
      <c r="K30" s="44">
        <f ca="1">IF(OR($F30&gt;$D$5,$F30&gt;MAX('הנחות עבודה'!$B$69:$B$89)),0,(VLOOKUP($F30,'התפלגות ייצור וסל דלקים'!$B$64:$BV$84,K$2-$E$2,FALSE))*$D$9*$D$8*(HLOOKUP(K$23,$G$18:$R$19,2,FALSE)*(1-$D$12)^($F30-'הנחות עבודה'!$C$5)/$D$11)/$D$11)</f>
        <v>0</v>
      </c>
      <c r="L30" s="44">
        <f ca="1">IF(OR($F30&gt;$D$5,$F30&gt;MAX('הנחות עבודה'!$B$69:$B$89)),0,(VLOOKUP($F30,'התפלגות ייצור וסל דלקים'!$B$64:$BV$84,L$2-$E$2,FALSE))*$D$9*$D$8*(HLOOKUP(L$23,$G$18:$R$19,2,FALSE)*(1-$D$12)^($F30-'הנחות עבודה'!$C$5)/$D$11)/$D$11)</f>
        <v>0</v>
      </c>
      <c r="M30" s="42">
        <f ca="1">IF(OR($F30&gt;$D$5,$F30&gt;MAX('הנחות עבודה'!$B$69:$B$89)),0,(VLOOKUP($F30,'התפלגות ייצור וסל דלקים'!$B$64:$BV$84,M$2-$E$2,FALSE))*$D$9*$D$8*(HLOOKUP(M$23,$G$18:$R$19,2,FALSE)*(1-$D$12)^($F30-'הנחות עבודה'!$C$5)/$D$11)/$D$11)</f>
        <v>7.2528541200000003</v>
      </c>
      <c r="N30" s="42">
        <f ca="1">IF(OR($F30&gt;$D$5,$F30&gt;MAX('הנחות עבודה'!$B$69:$B$89)),0,(VLOOKUP($F30,'התפלגות ייצור וסל דלקים'!$B$64:$BV$84,N$2-$E$2,FALSE))*$D$9*$D$8*(HLOOKUP(N$23,$G$18:$R$19,2,FALSE)*(1-$D$12)^($F30-'הנחות עבודה'!$C$5)/$D$11)/$D$11)</f>
        <v>21.946953546720003</v>
      </c>
      <c r="O30" s="42">
        <f ca="1">IF(OR($F30&gt;$D$5,$F30&gt;MAX('הנחות עבודה'!$B$69:$B$89)),0,(VLOOKUP($F30,'התפלגות ייצור וסל דלקים'!$B$64:$BV$84,O$2-$E$2,FALSE))*$D$9*$D$8*(HLOOKUP(O$23,$G$18:$R$19,2,FALSE)*(1-$D$12)^($F30-'הנחות עבודה'!$C$5)/$D$11)/$D$11)</f>
        <v>0</v>
      </c>
      <c r="P30" s="43">
        <f ca="1">IF(OR($F30&gt;$D$5,$F30&gt;MAX('הנחות עבודה'!$B$69:$B$89)),0,(VLOOKUP($F30,'התפלגות ייצור וסל דלקים'!$B$64:$BV$84,P$2-$E$2,FALSE))*$D$9*$D$8*(HLOOKUP(P$23,$G$18:$R$19,2,FALSE)*(1-$D$12)^($F30-'הנחות עבודה'!$C$5)/$D$11)/$D$11)</f>
        <v>0</v>
      </c>
      <c r="Q30" s="42">
        <f ca="1">IF(OR($F30&gt;$D$5,$F30&gt;MAX('הנחות עבודה'!$B$69:$B$89)),0,(VLOOKUP($F30,'התפלגות ייצור וסל דלקים'!$B$64:$BV$84,Q$2-$E$2,FALSE))*$D$9*$D$8*(HLOOKUP(Q$23,$G$18:$R$19,2,FALSE)*(1-$D$12)^($F30-'הנחות עבודה'!$C$5)/$D$11)/$D$11)</f>
        <v>0</v>
      </c>
      <c r="R30" s="43">
        <f ca="1">IF(OR($F30&gt;$D$5,$F30&gt;MAX('הנחות עבודה'!$B$69:$B$89)),0,(VLOOKUP($F30,'התפלגות ייצור וסל דלקים'!$B$64:$BV$84,R$2-$E$2,FALSE))*$D$9*$D$8*(HLOOKUP(R$23,$G$18:$R$19,2,FALSE)*(1-$D$12)^($F30-'הנחות עבודה'!$C$5)/$D$11)/$D$11)</f>
        <v>0</v>
      </c>
      <c r="S30" s="52">
        <f ca="1">IF(OR($F30&gt;$D$5,$F30&gt;MAX('הנחות עבודה'!$B$69:$B$89)),0,(VLOOKUP($F30,'התפלגות ייצור וסל דלקים'!$B$64:$BV$84,S$2-$E$2,FALSE))*$D$9*$D$8*(HLOOKUP(S$23,$G$18:$R$19,2,FALSE)*(1-$D$12)^($F30-'הנחות עבודה'!$C$5)/$D$11)/$D$11)</f>
        <v>0</v>
      </c>
      <c r="T30" s="127">
        <f ca="1">IF(OR($F30&gt;$D$5,$F30&gt;MAX('הנחות עבודה'!$B$69:$B$89)),0,(VLOOKUP($F30,'התפלגות ייצור וסל דלקים'!$B$64:$BV$84,T$2-$E$2,FALSE))*$D$9*$D$8*(HLOOKUP(T$23,$G$18:$R$19,2,FALSE)*(1-$D$12)^($F30-'הנחות עבודה'!$C$5)/$D$11)/$D$11)</f>
        <v>0</v>
      </c>
      <c r="U30" s="127">
        <f ca="1">IF(OR($F30&gt;$D$5,$F30&gt;MAX('הנחות עבודה'!$B$69:$B$89)),0,(VLOOKUP($F30,'התפלגות ייצור וסל דלקים'!$B$64:$BV$84,U$2-$E$2,FALSE))*$D$9*$D$8*(HLOOKUP(U$23,$G$18:$R$19,2,FALSE)*(1-$D$12)^($F30-'הנחות עבודה'!$C$5)/$D$11)/$D$11)</f>
        <v>0</v>
      </c>
      <c r="V30" s="127">
        <f ca="1">IF(OR($F30&gt;$D$5,$F30&gt;MAX('הנחות עבודה'!$B$69:$B$89)),0,(VLOOKUP($F30,'התפלגות ייצור וסל דלקים'!$B$64:$BV$84,V$2-$E$2,FALSE))*$D$9*$D$8*(HLOOKUP(V$23,$G$18:$R$19,2,FALSE)*(1-$D$12)^($F30-'הנחות עבודה'!$C$5)/$D$11)/$D$11)</f>
        <v>0</v>
      </c>
      <c r="W30" s="127">
        <f ca="1">IF(OR($F30&gt;$D$5,$F30&gt;MAX('הנחות עבודה'!$B$69:$B$89)),0,(VLOOKUP($F30,'התפלגות ייצור וסל דלקים'!$B$64:$BV$84,W$2-$E$2,FALSE))*$D$9*$D$8*(HLOOKUP(W$23,$G$18:$R$19,2,FALSE)*(1-$D$12)^($F30-'הנחות עבודה'!$C$5)/$D$11)/$D$11)</f>
        <v>0</v>
      </c>
      <c r="X30" s="127">
        <f ca="1">IF(OR($F30&gt;$D$5,$F30&gt;MAX('הנחות עבודה'!$B$69:$B$89)),0,(VLOOKUP($F30,'התפלגות ייצור וסל דלקים'!$B$64:$BV$84,X$2-$E$2,FALSE))*$D$9*$D$8*(HLOOKUP(X$23,$G$18:$R$19,2,FALSE)*(1-$D$12)^($F30-'הנחות עבודה'!$C$5)/$D$11)/$D$11)</f>
        <v>0</v>
      </c>
      <c r="Y30" s="52">
        <f ca="1">IF(OR($F30&gt;$D$5,$F30&gt;MAX('הנחות עבודה'!$B$69:$B$89)),0,(VLOOKUP($F30,'התפלגות ייצור וסל דלקים'!$B$64:$BV$84,Y$2-$E$2,FALSE))*$D$9*$D$8*(HLOOKUP(Y$23,$G$18:$R$19,2,FALSE)*(1-$D$12)^($F30-'הנחות עבודה'!$C$5)/$D$11)/$D$11)</f>
        <v>7.2528541200000003</v>
      </c>
      <c r="Z30" s="52">
        <f ca="1">IF(OR($F30&gt;$D$5,$F30&gt;MAX('הנחות עבודה'!$B$69:$B$89)),0,(VLOOKUP($F30,'התפלגות ייצור וסל דלקים'!$B$64:$BV$84,Z$2-$E$2,FALSE))*$D$9*$D$8*(HLOOKUP(Z$23,$G$18:$R$19,2,FALSE)*(1-$D$12)^($F30-'הנחות עבודה'!$C$5)/$D$11)/$D$11)</f>
        <v>21.946953546720003</v>
      </c>
      <c r="AA30" s="52">
        <f ca="1">IF(OR($F30&gt;$D$5,$F30&gt;MAX('הנחות עבודה'!$B$69:$B$89)),0,(VLOOKUP($F30,'התפלגות ייצור וסל דלקים'!$B$64:$BV$84,AA$2-$E$2,FALSE))*$D$9*$D$8*(HLOOKUP(AA$23,$G$18:$R$19,2,FALSE)*(1-$D$12)^($F30-'הנחות עבודה'!$C$5)/$D$11)/$D$11)</f>
        <v>0</v>
      </c>
      <c r="AB30" s="52">
        <f ca="1">IF(OR($F30&gt;$D$5,$F30&gt;MAX('הנחות עבודה'!$B$69:$B$89)),0,(VLOOKUP($F30,'התפלגות ייצור וסל דלקים'!$B$64:$BV$84,AB$2-$E$2,FALSE))*$D$9*$D$8*(HLOOKUP(AB$23,$G$18:$R$19,2,FALSE)*(1-$D$12)^($F30-'הנחות עבודה'!$C$5)/$D$11)/$D$11)</f>
        <v>0</v>
      </c>
      <c r="AC30" s="52">
        <f ca="1">IF(OR($F30&gt;$D$5,$F30&gt;MAX('הנחות עבודה'!$B$69:$B$89)),0,(VLOOKUP($F30,'התפלגות ייצור וסל דלקים'!$B$64:$BV$84,AC$2-$E$2,FALSE))*$D$9*$D$8*(HLOOKUP(AC$23,$G$18:$R$19,2,FALSE)*(1-$D$12)^($F30-'הנחות עבודה'!$C$5)/$D$11)/$D$11)</f>
        <v>0</v>
      </c>
      <c r="AD30" s="52">
        <f ca="1">IF(OR($F30&gt;$D$5,$F30&gt;MAX('הנחות עבודה'!$B$69:$B$89)),0,(VLOOKUP($F30,'התפלגות ייצור וסל דלקים'!$B$64:$BV$84,AD$2-$E$2,FALSE))*$D$9*$D$8*(HLOOKUP(AD$23,$G$18:$R$19,2,FALSE)*(1-$D$12)^($F30-'הנחות עבודה'!$C$5)/$D$11)/$D$11)</f>
        <v>0</v>
      </c>
      <c r="AE30" s="42">
        <f ca="1">IF(OR($F30&gt;$D$5,$F30&gt;MAX('הנחות עבודה'!$B$69:$B$89)),0,(VLOOKUP($F30,'התפלגות ייצור וסל דלקים'!$B$64:$BV$84,AE$2-$E$2,FALSE))*$D$9*$D$8*(HLOOKUP(AE$23,$G$18:$R$19,2,FALSE)*(1-$D$12)^($F30-'הנחות עבודה'!$C$5)/$D$11)/$D$11)</f>
        <v>0</v>
      </c>
      <c r="AF30" s="44">
        <f ca="1">IF(OR($F30&gt;$D$5,$F30&gt;MAX('הנחות עבודה'!$B$69:$B$89)),0,(VLOOKUP($F30,'התפלגות ייצור וסל דלקים'!$B$64:$BV$84,AF$2-$E$2,FALSE))*$D$9*$D$8*(HLOOKUP(AF$23,$G$18:$R$19,2,FALSE)*(1-$D$12)^($F30-'הנחות עבודה'!$C$5)/$D$11)/$D$11)</f>
        <v>0</v>
      </c>
      <c r="AG30" s="44">
        <f ca="1">IF(OR($F30&gt;$D$5,$F30&gt;MAX('הנחות עבודה'!$B$69:$B$89)),0,(VLOOKUP($F30,'התפלגות ייצור וסל דלקים'!$B$64:$BV$84,AG$2-$E$2,FALSE))*$D$9*$D$8*(HLOOKUP(AG$23,$G$18:$R$19,2,FALSE)*(1-$D$12)^($F30-'הנחות עבודה'!$C$5)/$D$11)/$D$11)</f>
        <v>0</v>
      </c>
      <c r="AH30" s="44">
        <f ca="1">IF(OR($F30&gt;$D$5,$F30&gt;MAX('הנחות עבודה'!$B$69:$B$89)),0,(VLOOKUP($F30,'התפלגות ייצור וסל דלקים'!$B$64:$BV$84,AH$2-$E$2,FALSE))*$D$9*$D$8*(HLOOKUP(AH$23,$G$18:$R$19,2,FALSE)*(1-$D$12)^($F30-'הנחות עבודה'!$C$5)/$D$11)/$D$11)</f>
        <v>0</v>
      </c>
      <c r="AI30" s="44">
        <f ca="1">IF(OR($F30&gt;$D$5,$F30&gt;MAX('הנחות עבודה'!$B$69:$B$89)),0,(VLOOKUP($F30,'התפלגות ייצור וסל דלקים'!$B$64:$BV$84,AI$2-$E$2,FALSE))*$D$9*$D$8*(HLOOKUP(AI$23,$G$18:$R$19,2,FALSE)*(1-$D$12)^($F30-'הנחות עבודה'!$C$5)/$D$11)/$D$11)</f>
        <v>0</v>
      </c>
      <c r="AJ30" s="44">
        <f ca="1">IF(OR($F30&gt;$D$5,$F30&gt;MAX('הנחות עבודה'!$B$69:$B$89)),0,(VLOOKUP($F30,'התפלגות ייצור וסל דלקים'!$B$64:$BV$84,AJ$2-$E$2,FALSE))*$D$9*$D$8*(HLOOKUP(AJ$23,$G$18:$R$19,2,FALSE)*(1-$D$12)^($F30-'הנחות עבודה'!$C$5)/$D$11)/$D$11)</f>
        <v>0</v>
      </c>
      <c r="AK30" s="42">
        <f ca="1">IF(OR($F30&gt;$D$5,$F30&gt;MAX('הנחות עבודה'!$B$69:$B$89)),0,(VLOOKUP($F30,'התפלגות ייצור וסל דלקים'!$B$64:$BV$84,AK$2-$E$2,FALSE))*$D$9*$D$8*(HLOOKUP(AK$23,$G$18:$R$19,2,FALSE)*(1-$D$12)^($F30-'הנחות עבודה'!$C$5)/$D$11)/$D$11)</f>
        <v>7.0921444200000012</v>
      </c>
      <c r="AL30" s="42">
        <f ca="1">IF(OR($F30&gt;$D$5,$F30&gt;MAX('הנחות עבודה'!$B$69:$B$89)),0,(VLOOKUP($F30,'התפלגות ייצור וסל דלקים'!$B$64:$BV$84,AL$2-$E$2,FALSE))*$D$9*$D$8*(HLOOKUP(AL$23,$G$18:$R$19,2,FALSE)*(1-$D$12)^($F30-'הנחות עבודה'!$C$5)/$D$11)/$D$11)</f>
        <v>20.4006537036</v>
      </c>
      <c r="AM30" s="42">
        <f ca="1">IF(OR($F30&gt;$D$5,$F30&gt;MAX('הנחות עבודה'!$B$69:$B$89)),0,(VLOOKUP($F30,'התפלגות ייצור וסל דלקים'!$B$64:$BV$84,AM$2-$E$2,FALSE))*$D$9*$D$8*(HLOOKUP(AM$23,$G$18:$R$19,2,FALSE)*(1-$D$12)^($F30-'הנחות עבודה'!$C$5)/$D$11)/$D$11)</f>
        <v>0</v>
      </c>
      <c r="AN30" s="43">
        <f ca="1">IF(OR($F30&gt;$D$5,$F30&gt;MAX('הנחות עבודה'!$B$69:$B$89)),0,(VLOOKUP($F30,'התפלגות ייצור וסל דלקים'!$B$64:$BV$84,AN$2-$E$2,FALSE))*$D$9*$D$8*(HLOOKUP(AN$23,$G$18:$R$19,2,FALSE)*(1-$D$12)^($F30-'הנחות עבודה'!$C$5)/$D$11)/$D$11)</f>
        <v>0</v>
      </c>
      <c r="AO30" s="42">
        <f ca="1">IF(OR($F30&gt;$D$5,$F30&gt;MAX('הנחות עבודה'!$B$69:$B$89)),0,(VLOOKUP($F30,'התפלגות ייצור וסל דלקים'!$B$64:$BV$84,AO$2-$E$2,FALSE))*$D$9*$D$8*(HLOOKUP(AO$23,$G$18:$R$19,2,FALSE)*(1-$D$12)^($F30-'הנחות עבודה'!$C$5)/$D$11)/$D$11)</f>
        <v>0</v>
      </c>
      <c r="AP30" s="43">
        <f ca="1">IF(OR($F30&gt;$D$5,$F30&gt;MAX('הנחות עבודה'!$B$69:$B$89)),0,(VLOOKUP($F30,'התפלגות ייצור וסל דלקים'!$B$64:$BV$84,AP$2-$E$2,FALSE))*$D$9*$D$8*(HLOOKUP(AP$23,$G$18:$R$19,2,FALSE)*(1-$D$12)^($F30-'הנחות עבודה'!$C$5)/$D$11)/$D$11)</f>
        <v>0</v>
      </c>
      <c r="AQ30" s="52">
        <f ca="1">IF(OR($F30&gt;$D$5,$F30&gt;MAX('הנחות עבודה'!$B$69:$B$89)),0,(VLOOKUP($F30,'התפלגות ייצור וסל דלקים'!$B$64:$BV$84,AQ$2-$E$2,FALSE))*$D$9*$D$8*(HLOOKUP(AQ$23,$G$18:$R$19,2,FALSE)*(1-$D$12)^($F30-'הנחות עבודה'!$C$5)/$D$11)/$D$11)</f>
        <v>0</v>
      </c>
      <c r="AR30" s="127">
        <f ca="1">IF(OR($F30&gt;$D$5,$F30&gt;MAX('הנחות עבודה'!$B$69:$B$89)),0,(VLOOKUP($F30,'התפלגות ייצור וסל דלקים'!$B$64:$BV$84,AR$2-$E$2,FALSE))*$D$9*$D$8*(HLOOKUP(AR$23,$G$18:$R$19,2,FALSE)*(1-$D$12)^($F30-'הנחות עבודה'!$C$5)/$D$11)/$D$11)</f>
        <v>0</v>
      </c>
      <c r="AS30" s="127">
        <f ca="1">IF(OR($F30&gt;$D$5,$F30&gt;MAX('הנחות עבודה'!$B$69:$B$89)),0,(VLOOKUP($F30,'התפלגות ייצור וסל דלקים'!$B$64:$BV$84,AS$2-$E$2,FALSE))*$D$9*$D$8*(HLOOKUP(AS$23,$G$18:$R$19,2,FALSE)*(1-$D$12)^($F30-'הנחות עבודה'!$C$5)/$D$11)/$D$11)</f>
        <v>0</v>
      </c>
      <c r="AT30" s="127">
        <f ca="1">IF(OR($F30&gt;$D$5,$F30&gt;MAX('הנחות עבודה'!$B$69:$B$89)),0,(VLOOKUP($F30,'התפלגות ייצור וסל דלקים'!$B$64:$BV$84,AT$2-$E$2,FALSE))*$D$9*$D$8*(HLOOKUP(AT$23,$G$18:$R$19,2,FALSE)*(1-$D$12)^($F30-'הנחות עבודה'!$C$5)/$D$11)/$D$11)</f>
        <v>0</v>
      </c>
      <c r="AU30" s="127">
        <f ca="1">IF(OR($F30&gt;$D$5,$F30&gt;MAX('הנחות עבודה'!$B$69:$B$89)),0,(VLOOKUP($F30,'התפלגות ייצור וסל דלקים'!$B$64:$BV$84,AU$2-$E$2,FALSE))*$D$9*$D$8*(HLOOKUP(AU$23,$G$18:$R$19,2,FALSE)*(1-$D$12)^($F30-'הנחות עבודה'!$C$5)/$D$11)/$D$11)</f>
        <v>0</v>
      </c>
      <c r="AV30" s="127">
        <f ca="1">IF(OR($F30&gt;$D$5,$F30&gt;MAX('הנחות עבודה'!$B$69:$B$89)),0,(VLOOKUP($F30,'התפלגות ייצור וסל דלקים'!$B$64:$BV$84,AV$2-$E$2,FALSE))*$D$9*$D$8*(HLOOKUP(AV$23,$G$18:$R$19,2,FALSE)*(1-$D$12)^($F30-'הנחות עבודה'!$C$5)/$D$11)/$D$11)</f>
        <v>0</v>
      </c>
      <c r="AW30" s="52">
        <f ca="1">IF(OR($F30&gt;$D$5,$F30&gt;MAX('הנחות עבודה'!$B$69:$B$89)),0,(VLOOKUP($F30,'התפלגות ייצור וסל דלקים'!$B$64:$BV$84,AW$2-$E$2,FALSE))*$D$9*$D$8*(HLOOKUP(AW$23,$G$18:$R$19,2,FALSE)*(1-$D$12)^($F30-'הנחות עבודה'!$C$5)/$D$11)/$D$11)</f>
        <v>7.0921444200000012</v>
      </c>
      <c r="AX30" s="52">
        <f ca="1">IF(OR($F30&gt;$D$5,$F30&gt;MAX('הנחות עבודה'!$B$69:$B$89)),0,(VLOOKUP($F30,'התפלגות ייצור וסל דלקים'!$B$64:$BV$84,AX$2-$E$2,FALSE))*$D$9*$D$8*(HLOOKUP(AX$23,$G$18:$R$19,2,FALSE)*(1-$D$12)^($F30-'הנחות עבודה'!$C$5)/$D$11)/$D$11)</f>
        <v>20.4006537036</v>
      </c>
      <c r="AY30" s="52">
        <f ca="1">IF(OR($F30&gt;$D$5,$F30&gt;MAX('הנחות עבודה'!$B$69:$B$89)),0,(VLOOKUP($F30,'התפלגות ייצור וסל דלקים'!$B$64:$BV$84,AY$2-$E$2,FALSE))*$D$9*$D$8*(HLOOKUP(AY$23,$G$18:$R$19,2,FALSE)*(1-$D$12)^($F30-'הנחות עבודה'!$C$5)/$D$11)/$D$11)</f>
        <v>0</v>
      </c>
      <c r="AZ30" s="52">
        <f ca="1">IF(OR($F30&gt;$D$5,$F30&gt;MAX('הנחות עבודה'!$B$69:$B$89)),0,(VLOOKUP($F30,'התפלגות ייצור וסל דלקים'!$B$64:$BV$84,AZ$2-$E$2,FALSE))*$D$9*$D$8*(HLOOKUP(AZ$23,$G$18:$R$19,2,FALSE)*(1-$D$12)^($F30-'הנחות עבודה'!$C$5)/$D$11)/$D$11)</f>
        <v>0</v>
      </c>
      <c r="BA30" s="52">
        <f ca="1">IF(OR($F30&gt;$D$5,$F30&gt;MAX('הנחות עבודה'!$B$69:$B$89)),0,(VLOOKUP($F30,'התפלגות ייצור וסל דלקים'!$B$64:$BV$84,BA$2-$E$2,FALSE))*$D$9*$D$8*(HLOOKUP(BA$23,$G$18:$R$19,2,FALSE)*(1-$D$12)^($F30-'הנחות עבודה'!$C$5)/$D$11)/$D$11)</f>
        <v>0</v>
      </c>
      <c r="BB30" s="52">
        <f ca="1">IF(OR($F30&gt;$D$5,$F30&gt;MAX('הנחות עבודה'!$B$69:$B$89)),0,(VLOOKUP($F30,'התפלגות ייצור וסל דלקים'!$B$64:$BV$84,BB$2-$E$2,FALSE))*$D$9*$D$8*(HLOOKUP(BB$23,$G$18:$R$19,2,FALSE)*(1-$D$12)^($F30-'הנחות עבודה'!$C$5)/$D$11)/$D$11)</f>
        <v>0</v>
      </c>
      <c r="BC30" s="42">
        <f ca="1">IF(OR($F30&gt;$D$5,$F30&gt;MAX('הנחות עבודה'!$B$69:$B$89)),0,(VLOOKUP($F30,'התפלגות ייצור וסל דלקים'!$B$64:$BV$84,BC$2-$E$2,FALSE))*$D$9*$D$8*(HLOOKUP(BC$23,$G$18:$R$19,2,FALSE)*(1-$D$12)^($F30-'הנחות עבודה'!$C$5)/$D$11)/$D$11)</f>
        <v>0</v>
      </c>
      <c r="BD30" s="44">
        <f ca="1">IF(OR($F30&gt;$D$5,$F30&gt;MAX('הנחות עבודה'!$B$69:$B$89)),0,(VLOOKUP($F30,'התפלגות ייצור וסל דלקים'!$B$64:$BV$84,BD$2-$E$2,FALSE))*$D$9*$D$8*(HLOOKUP(BD$23,$G$18:$R$19,2,FALSE)*(1-$D$12)^($F30-'הנחות עבודה'!$C$5)/$D$11)/$D$11)</f>
        <v>0</v>
      </c>
      <c r="BE30" s="44">
        <f ca="1">IF(OR($F30&gt;$D$5,$F30&gt;MAX('הנחות עבודה'!$B$69:$B$89)),0,(VLOOKUP($F30,'התפלגות ייצור וסל דלקים'!$B$64:$BV$84,BE$2-$E$2,FALSE))*$D$9*$D$8*(HLOOKUP(BE$23,$G$18:$R$19,2,FALSE)*(1-$D$12)^($F30-'הנחות עבודה'!$C$5)/$D$11)/$D$11)</f>
        <v>0</v>
      </c>
      <c r="BF30" s="44">
        <f ca="1">IF(OR($F30&gt;$D$5,$F30&gt;MAX('הנחות עבודה'!$B$69:$B$89)),0,(VLOOKUP($F30,'התפלגות ייצור וסל דלקים'!$B$64:$BV$84,BF$2-$E$2,FALSE))*$D$9*$D$8*(HLOOKUP(BF$23,$G$18:$R$19,2,FALSE)*(1-$D$12)^($F30-'הנחות עבודה'!$C$5)/$D$11)/$D$11)</f>
        <v>0</v>
      </c>
      <c r="BG30" s="44">
        <f ca="1">IF(OR($F30&gt;$D$5,$F30&gt;MAX('הנחות עבודה'!$B$69:$B$89)),0,(VLOOKUP($F30,'התפלגות ייצור וסל דלקים'!$B$64:$BV$84,BG$2-$E$2,FALSE))*$D$9*$D$8*(HLOOKUP(BG$23,$G$18:$R$19,2,FALSE)*(1-$D$12)^($F30-'הנחות עבודה'!$C$5)/$D$11)/$D$11)</f>
        <v>0</v>
      </c>
      <c r="BH30" s="44">
        <f ca="1">IF(OR($F30&gt;$D$5,$F30&gt;MAX('הנחות עבודה'!$B$69:$B$89)),0,(VLOOKUP($F30,'התפלגות ייצור וסל דלקים'!$B$64:$BV$84,BH$2-$E$2,FALSE))*$D$9*$D$8*(HLOOKUP(BH$23,$G$18:$R$19,2,FALSE)*(1-$D$12)^($F30-'הנחות עבודה'!$C$5)/$D$11)/$D$11)</f>
        <v>0</v>
      </c>
      <c r="BI30" s="42">
        <f ca="1">IF(OR($F30&gt;$D$5,$F30&gt;MAX('הנחות עבודה'!$B$69:$B$89)),0,(VLOOKUP($F30,'התפלגות ייצור וסל דלקים'!$B$64:$BV$84,BI$2-$E$2,FALSE))*$D$9*$D$8*(HLOOKUP(BI$23,$G$18:$R$19,2,FALSE)*(1-$D$12)^($F30-'הנחות עבודה'!$C$5)/$D$11)/$D$11)</f>
        <v>7.1488680000000002</v>
      </c>
      <c r="BJ30" s="42">
        <f ca="1">IF(OR($F30&gt;$D$5,$F30&gt;MAX('הנחות עבודה'!$B$69:$B$89)),0,(VLOOKUP($F30,'התפלגות ייצור וסל דלקים'!$B$64:$BV$84,BJ$2-$E$2,FALSE))*$D$9*$D$8*(HLOOKUP(BJ$23,$G$18:$R$19,2,FALSE)*(1-$D$12)^($F30-'הנחות עבודה'!$C$5)/$D$11)/$D$11)</f>
        <v>19.4031370368</v>
      </c>
      <c r="BK30" s="42">
        <f ca="1">IF(OR($F30&gt;$D$5,$F30&gt;MAX('הנחות עבודה'!$B$69:$B$89)),0,(VLOOKUP($F30,'התפלגות ייצור וסל דלקים'!$B$64:$BV$84,BK$2-$E$2,FALSE))*$D$9*$D$8*(HLOOKUP(BK$23,$G$18:$R$19,2,FALSE)*(1-$D$12)^($F30-'הנחות עבודה'!$C$5)/$D$11)/$D$11)</f>
        <v>0</v>
      </c>
      <c r="BL30" s="42">
        <f ca="1">IF(OR($F30&gt;$D$5,$F30&gt;MAX('הנחות עבודה'!$B$69:$B$89)),0,(VLOOKUP($F30,'התפלגות ייצור וסל דלקים'!$B$64:$BV$84,BL$2-$E$2,FALSE))*$D$9*$D$8*(HLOOKUP(BL$23,$G$18:$R$19,2,FALSE)*(1-$D$12)^($F30-'הנחות עבודה'!$C$5)/$D$11)/$D$11)</f>
        <v>0</v>
      </c>
      <c r="BM30" s="42">
        <f ca="1">IF(OR($F30&gt;$D$5,$F30&gt;MAX('הנחות עבודה'!$B$69:$B$89)),0,(VLOOKUP($F30,'התפלגות ייצור וסל דלקים'!$B$64:$BV$84,BM$2-$E$2,FALSE))*$D$9*$D$8*(HLOOKUP(BM$23,$G$18:$R$19,2,FALSE)*(1-$D$12)^($F30-'הנחות עבודה'!$C$5)/$D$11)/$D$11)</f>
        <v>0</v>
      </c>
      <c r="BN30" s="42">
        <f ca="1">IF(OR($F30&gt;$D$5,$F30&gt;MAX('הנחות עבודה'!$B$69:$B$89)),0,(VLOOKUP($F30,'התפלגות ייצור וסל דלקים'!$B$64:$BV$84,BN$2-$E$2,FALSE))*$D$9*$D$8*(HLOOKUP(BN$23,$G$18:$R$19,2,FALSE)*(1-$D$12)^($F30-'הנחות עבודה'!$C$5)/$D$11)/$D$11)</f>
        <v>0</v>
      </c>
      <c r="BO30" s="52">
        <f ca="1">IF(OR($F30&gt;$D$5,$F30&gt;MAX('הנחות עבודה'!$B$69:$B$89)),0,(VLOOKUP($F30,'התפלגות ייצור וסל דלקים'!$B$64:$BV$84,BO$2-$E$2,FALSE))*$D$9*$D$8*(HLOOKUP(BO$23,$G$18:$R$19,2,FALSE)*(1-$D$12)^($F30-'הנחות עבודה'!$C$5)/$D$11)/$D$11)</f>
        <v>0</v>
      </c>
      <c r="BP30" s="127">
        <f ca="1">IF(OR($F30&gt;$D$5,$F30&gt;MAX('הנחות עבודה'!$B$69:$B$89)),0,(VLOOKUP($F30,'התפלגות ייצור וסל דלקים'!$B$64:$BV$84,BP$2-$E$2,FALSE))*$D$9*$D$8*(HLOOKUP(BP$23,$G$18:$R$19,2,FALSE)*(1-$D$12)^($F30-'הנחות עבודה'!$C$5)/$D$11)/$D$11)</f>
        <v>0</v>
      </c>
      <c r="BQ30" s="127">
        <f ca="1">IF(OR($F30&gt;$D$5,$F30&gt;MAX('הנחות עבודה'!$B$69:$B$89)),0,(VLOOKUP($F30,'התפלגות ייצור וסל דלקים'!$B$64:$BV$84,BQ$2-$E$2,FALSE))*$D$9*$D$8*(HLOOKUP(BQ$23,$G$18:$R$19,2,FALSE)*(1-$D$12)^($F30-'הנחות עבודה'!$C$5)/$D$11)/$D$11)</f>
        <v>0</v>
      </c>
      <c r="BR30" s="127">
        <f ca="1">IF(OR($F30&gt;$D$5,$F30&gt;MAX('הנחות עבודה'!$B$69:$B$89)),0,(VLOOKUP($F30,'התפלגות ייצור וסל דלקים'!$B$64:$BV$84,BR$2-$E$2,FALSE))*$D$9*$D$8*(HLOOKUP(BR$23,$G$18:$R$19,2,FALSE)*(1-$D$12)^($F30-'הנחות עבודה'!$C$5)/$D$11)/$D$11)</f>
        <v>0</v>
      </c>
      <c r="BS30" s="127">
        <f ca="1">IF(OR($F30&gt;$D$5,$F30&gt;MAX('הנחות עבודה'!$B$69:$B$89)),0,(VLOOKUP($F30,'התפלגות ייצור וסל דלקים'!$B$64:$BV$84,BS$2-$E$2,FALSE))*$D$9*$D$8*(HLOOKUP(BS$23,$G$18:$R$19,2,FALSE)*(1-$D$12)^($F30-'הנחות עבודה'!$C$5)/$D$11)/$D$11)</f>
        <v>0</v>
      </c>
      <c r="BT30" s="127">
        <f ca="1">IF(OR($F30&gt;$D$5,$F30&gt;MAX('הנחות עבודה'!$B$69:$B$89)),0,(VLOOKUP($F30,'התפלגות ייצור וסל דלקים'!$B$64:$BV$84,BT$2-$E$2,FALSE))*$D$9*$D$8*(HLOOKUP(BT$23,$G$18:$R$19,2,FALSE)*(1-$D$12)^($F30-'הנחות עבודה'!$C$5)/$D$11)/$D$11)</f>
        <v>0</v>
      </c>
      <c r="BU30" s="52">
        <f ca="1">IF(OR($F30&gt;$D$5,$F30&gt;MAX('הנחות עבודה'!$B$69:$B$89)),0,(VLOOKUP($F30,'התפלגות ייצור וסל דלקים'!$B$64:$BV$84,BU$2-$E$2,FALSE))*$D$9*$D$8*(HLOOKUP(BU$23,$G$18:$R$19,2,FALSE)*(1-$D$12)^($F30-'הנחות עבודה'!$C$5)/$D$11)/$D$11)</f>
        <v>7.1488680000000002</v>
      </c>
      <c r="BV30" s="52">
        <f ca="1">IF(OR($F30&gt;$D$5,$F30&gt;MAX('הנחות עבודה'!$B$69:$B$89)),0,(VLOOKUP($F30,'התפלגות ייצור וסל דלקים'!$B$64:$BV$84,BV$2-$E$2,FALSE))*$D$9*$D$8*(HLOOKUP(BV$23,$G$18:$R$19,2,FALSE)*(1-$D$12)^($F30-'הנחות עבודה'!$C$5)/$D$11)/$D$11)</f>
        <v>19.4031370368</v>
      </c>
      <c r="BW30" s="52">
        <f ca="1">IF(OR($F30&gt;$D$5,$F30&gt;MAX('הנחות עבודה'!$B$69:$B$89)),0,(VLOOKUP($F30,'התפלגות ייצור וסל דלקים'!$B$64:$BV$84,BW$2-$E$2,FALSE))*$D$9*$D$8*(HLOOKUP(BW$23,$G$18:$R$19,2,FALSE)*(1-$D$12)^($F30-'הנחות עבודה'!$C$5)/$D$11)/$D$11)</f>
        <v>0</v>
      </c>
      <c r="BX30" s="52">
        <f ca="1">IF(OR($F30&gt;$D$5,$F30&gt;MAX('הנחות עבודה'!$B$69:$B$89)),0,(VLOOKUP($F30,'התפלגות ייצור וסל דלקים'!$B$64:$BV$84,BX$2-$E$2,FALSE))*$D$9*$D$8*(HLOOKUP(BX$23,$G$18:$R$19,2,FALSE)*(1-$D$12)^($F30-'הנחות עבודה'!$C$5)/$D$11)/$D$11)</f>
        <v>0</v>
      </c>
      <c r="BY30" s="52">
        <f ca="1">IF(OR($F30&gt;$D$5,$F30&gt;MAX('הנחות עבודה'!$B$69:$B$89)),0,(VLOOKUP($F30,'התפלגות ייצור וסל דלקים'!$B$64:$BV$84,BY$2-$E$2,FALSE))*$D$9*$D$8*(HLOOKUP(BY$23,$G$18:$R$19,2,FALSE)*(1-$D$12)^($F30-'הנחות עבודה'!$C$5)/$D$11)/$D$11)</f>
        <v>0</v>
      </c>
      <c r="BZ30" s="52">
        <f ca="1">IF(OR($F30&gt;$D$5,$F30&gt;MAX('הנחות עבודה'!$B$69:$B$89)),0,(VLOOKUP($F30,'התפלגות ייצור וסל דלקים'!$B$64:$BV$84,BZ$2-$E$2,FALSE))*$D$9*$D$8*(HLOOKUP(BZ$23,$G$18:$R$19,2,FALSE)*(1-$D$12)^($F30-'הנחות עבודה'!$C$5)/$D$11)/$D$11)</f>
        <v>0</v>
      </c>
    </row>
    <row r="31" spans="6:78" ht="15.75">
      <c r="F31" s="10">
        <f t="shared" si="115"/>
        <v>2027</v>
      </c>
      <c r="G31" s="42">
        <f ca="1">IF(OR($F31&gt;$D$5,$F31&gt;MAX('הנחות עבודה'!$B$69:$B$89)),0,(VLOOKUP($F31,'התפלגות ייצור וסל דלקים'!$B$64:$BV$84,G$2-$E$2,FALSE))*$D$9*$D$8*(HLOOKUP(G$23,$G$18:$R$19,2,FALSE)*(1-$D$12)^($F31-'הנחות עבודה'!$C$5)/$D$11)/$D$11)</f>
        <v>0</v>
      </c>
      <c r="H31" s="44">
        <f ca="1">IF(OR($F31&gt;$D$5,$F31&gt;MAX('הנחות עבודה'!$B$69:$B$89)),0,(VLOOKUP($F31,'התפלגות ייצור וסל דלקים'!$B$64:$BV$84,H$2-$E$2,FALSE))*$D$9*$D$8*(HLOOKUP(H$23,$G$18:$R$19,2,FALSE)*(1-$D$12)^($F31-'הנחות עבודה'!$C$5)/$D$11)/$D$11)</f>
        <v>0</v>
      </c>
      <c r="I31" s="44">
        <f ca="1">IF(OR($F31&gt;$D$5,$F31&gt;MAX('הנחות עבודה'!$B$69:$B$89)),0,(VLOOKUP($F31,'התפלגות ייצור וסל דלקים'!$B$64:$BV$84,I$2-$E$2,FALSE))*$D$9*$D$8*(HLOOKUP(I$23,$G$18:$R$19,2,FALSE)*(1-$D$12)^($F31-'הנחות עבודה'!$C$5)/$D$11)/$D$11)</f>
        <v>0</v>
      </c>
      <c r="J31" s="44">
        <f ca="1">IF(OR($F31&gt;$D$5,$F31&gt;MAX('הנחות עבודה'!$B$69:$B$89)),0,(VLOOKUP($F31,'התפלגות ייצור וסל דלקים'!$B$64:$BV$84,J$2-$E$2,FALSE))*$D$9*$D$8*(HLOOKUP(J$23,$G$18:$R$19,2,FALSE)*(1-$D$12)^($F31-'הנחות עבודה'!$C$5)/$D$11)/$D$11)</f>
        <v>0</v>
      </c>
      <c r="K31" s="44">
        <f ca="1">IF(OR($F31&gt;$D$5,$F31&gt;MAX('הנחות עבודה'!$B$69:$B$89)),0,(VLOOKUP($F31,'התפלגות ייצור וסל דלקים'!$B$64:$BV$84,K$2-$E$2,FALSE))*$D$9*$D$8*(HLOOKUP(K$23,$G$18:$R$19,2,FALSE)*(1-$D$12)^($F31-'הנחות עבודה'!$C$5)/$D$11)/$D$11)</f>
        <v>0</v>
      </c>
      <c r="L31" s="44">
        <f ca="1">IF(OR($F31&gt;$D$5,$F31&gt;MAX('הנחות עבודה'!$B$69:$B$89)),0,(VLOOKUP($F31,'התפלגות ייצור וסל דלקים'!$B$64:$BV$84,L$2-$E$2,FALSE))*$D$9*$D$8*(HLOOKUP(L$23,$G$18:$R$19,2,FALSE)*(1-$D$12)^($F31-'הנחות עבודה'!$C$5)/$D$11)/$D$11)</f>
        <v>0</v>
      </c>
      <c r="M31" s="42">
        <f ca="1">IF(OR($F31&gt;$D$5,$F31&gt;MAX('הנחות עבודה'!$B$69:$B$89)),0,(VLOOKUP($F31,'התפלגות ייצור וסל דלקים'!$B$64:$BV$84,M$2-$E$2,FALSE))*$D$9*$D$8*(HLOOKUP(M$23,$G$18:$R$19,2,FALSE)*(1-$D$12)^($F31-'הנחות עבודה'!$C$5)/$D$11)/$D$11)</f>
        <v>7.0842380999999985</v>
      </c>
      <c r="N31" s="42">
        <f ca="1">IF(OR($F31&gt;$D$5,$F31&gt;MAX('הנחות עבודה'!$B$69:$B$89)),0,(VLOOKUP($F31,'התפלגות ייצור וסל דלקים'!$B$64:$BV$84,N$2-$E$2,FALSE))*$D$9*$D$8*(HLOOKUP(N$23,$G$18:$R$19,2,FALSE)*(1-$D$12)^($F31-'הנחות עבודה'!$C$5)/$D$11)/$D$11)</f>
        <v>22.583547622782003</v>
      </c>
      <c r="O31" s="42">
        <f ca="1">IF(OR($F31&gt;$D$5,$F31&gt;MAX('הנחות עבודה'!$B$69:$B$89)),0,(VLOOKUP($F31,'התפלגות ייצור וסל דלקים'!$B$64:$BV$84,O$2-$E$2,FALSE))*$D$9*$D$8*(HLOOKUP(O$23,$G$18:$R$19,2,FALSE)*(1-$D$12)^($F31-'הנחות עבודה'!$C$5)/$D$11)/$D$11)</f>
        <v>0</v>
      </c>
      <c r="P31" s="43">
        <f ca="1">IF(OR($F31&gt;$D$5,$F31&gt;MAX('הנחות עבודה'!$B$69:$B$89)),0,(VLOOKUP($F31,'התפלגות ייצור וסל דלקים'!$B$64:$BV$84,P$2-$E$2,FALSE))*$D$9*$D$8*(HLOOKUP(P$23,$G$18:$R$19,2,FALSE)*(1-$D$12)^($F31-'הנחות עבודה'!$C$5)/$D$11)/$D$11)</f>
        <v>0</v>
      </c>
      <c r="Q31" s="42">
        <f ca="1">IF(OR($F31&gt;$D$5,$F31&gt;MAX('הנחות עבודה'!$B$69:$B$89)),0,(VLOOKUP($F31,'התפלגות ייצור וסל דלקים'!$B$64:$BV$84,Q$2-$E$2,FALSE))*$D$9*$D$8*(HLOOKUP(Q$23,$G$18:$R$19,2,FALSE)*(1-$D$12)^($F31-'הנחות עבודה'!$C$5)/$D$11)/$D$11)</f>
        <v>0</v>
      </c>
      <c r="R31" s="43">
        <f ca="1">IF(OR($F31&gt;$D$5,$F31&gt;MAX('הנחות עבודה'!$B$69:$B$89)),0,(VLOOKUP($F31,'התפלגות ייצור וסל דלקים'!$B$64:$BV$84,R$2-$E$2,FALSE))*$D$9*$D$8*(HLOOKUP(R$23,$G$18:$R$19,2,FALSE)*(1-$D$12)^($F31-'הנחות עבודה'!$C$5)/$D$11)/$D$11)</f>
        <v>0</v>
      </c>
      <c r="S31" s="52">
        <f ca="1">IF(OR($F31&gt;$D$5,$F31&gt;MAX('הנחות עבודה'!$B$69:$B$89)),0,(VLOOKUP($F31,'התפלגות ייצור וסל דלקים'!$B$64:$BV$84,S$2-$E$2,FALSE))*$D$9*$D$8*(HLOOKUP(S$23,$G$18:$R$19,2,FALSE)*(1-$D$12)^($F31-'הנחות עבודה'!$C$5)/$D$11)/$D$11)</f>
        <v>0</v>
      </c>
      <c r="T31" s="127">
        <f ca="1">IF(OR($F31&gt;$D$5,$F31&gt;MAX('הנחות עבודה'!$B$69:$B$89)),0,(VLOOKUP($F31,'התפלגות ייצור וסל דלקים'!$B$64:$BV$84,T$2-$E$2,FALSE))*$D$9*$D$8*(HLOOKUP(T$23,$G$18:$R$19,2,FALSE)*(1-$D$12)^($F31-'הנחות עבודה'!$C$5)/$D$11)/$D$11)</f>
        <v>0</v>
      </c>
      <c r="U31" s="127">
        <f ca="1">IF(OR($F31&gt;$D$5,$F31&gt;MAX('הנחות עבודה'!$B$69:$B$89)),0,(VLOOKUP($F31,'התפלגות ייצור וסל דלקים'!$B$64:$BV$84,U$2-$E$2,FALSE))*$D$9*$D$8*(HLOOKUP(U$23,$G$18:$R$19,2,FALSE)*(1-$D$12)^($F31-'הנחות עבודה'!$C$5)/$D$11)/$D$11)</f>
        <v>0</v>
      </c>
      <c r="V31" s="127">
        <f ca="1">IF(OR($F31&gt;$D$5,$F31&gt;MAX('הנחות עבודה'!$B$69:$B$89)),0,(VLOOKUP($F31,'התפלגות ייצור וסל דלקים'!$B$64:$BV$84,V$2-$E$2,FALSE))*$D$9*$D$8*(HLOOKUP(V$23,$G$18:$R$19,2,FALSE)*(1-$D$12)^($F31-'הנחות עבודה'!$C$5)/$D$11)/$D$11)</f>
        <v>0</v>
      </c>
      <c r="W31" s="127">
        <f ca="1">IF(OR($F31&gt;$D$5,$F31&gt;MAX('הנחות עבודה'!$B$69:$B$89)),0,(VLOOKUP($F31,'התפלגות ייצור וסל דלקים'!$B$64:$BV$84,W$2-$E$2,FALSE))*$D$9*$D$8*(HLOOKUP(W$23,$G$18:$R$19,2,FALSE)*(1-$D$12)^($F31-'הנחות עבודה'!$C$5)/$D$11)/$D$11)</f>
        <v>0</v>
      </c>
      <c r="X31" s="127">
        <f ca="1">IF(OR($F31&gt;$D$5,$F31&gt;MAX('הנחות עבודה'!$B$69:$B$89)),0,(VLOOKUP($F31,'התפלגות ייצור וסל דלקים'!$B$64:$BV$84,X$2-$E$2,FALSE))*$D$9*$D$8*(HLOOKUP(X$23,$G$18:$R$19,2,FALSE)*(1-$D$12)^($F31-'הנחות עבודה'!$C$5)/$D$11)/$D$11)</f>
        <v>0</v>
      </c>
      <c r="Y31" s="52">
        <f ca="1">IF(OR($F31&gt;$D$5,$F31&gt;MAX('הנחות עבודה'!$B$69:$B$89)),0,(VLOOKUP($F31,'התפלגות ייצור וסל דלקים'!$B$64:$BV$84,Y$2-$E$2,FALSE))*$D$9*$D$8*(HLOOKUP(Y$23,$G$18:$R$19,2,FALSE)*(1-$D$12)^($F31-'הנחות עבודה'!$C$5)/$D$11)/$D$11)</f>
        <v>7.0842380999999985</v>
      </c>
      <c r="Z31" s="52">
        <f ca="1">IF(OR($F31&gt;$D$5,$F31&gt;MAX('הנחות עבודה'!$B$69:$B$89)),0,(VLOOKUP($F31,'התפלגות ייצור וסל דלקים'!$B$64:$BV$84,Z$2-$E$2,FALSE))*$D$9*$D$8*(HLOOKUP(Z$23,$G$18:$R$19,2,FALSE)*(1-$D$12)^($F31-'הנחות עבודה'!$C$5)/$D$11)/$D$11)</f>
        <v>22.583547622782003</v>
      </c>
      <c r="AA31" s="52">
        <f ca="1">IF(OR($F31&gt;$D$5,$F31&gt;MAX('הנחות עבודה'!$B$69:$B$89)),0,(VLOOKUP($F31,'התפלגות ייצור וסל דלקים'!$B$64:$BV$84,AA$2-$E$2,FALSE))*$D$9*$D$8*(HLOOKUP(AA$23,$G$18:$R$19,2,FALSE)*(1-$D$12)^($F31-'הנחות עבודה'!$C$5)/$D$11)/$D$11)</f>
        <v>0</v>
      </c>
      <c r="AB31" s="52">
        <f ca="1">IF(OR($F31&gt;$D$5,$F31&gt;MAX('הנחות עבודה'!$B$69:$B$89)),0,(VLOOKUP($F31,'התפלגות ייצור וסל דלקים'!$B$64:$BV$84,AB$2-$E$2,FALSE))*$D$9*$D$8*(HLOOKUP(AB$23,$G$18:$R$19,2,FALSE)*(1-$D$12)^($F31-'הנחות עבודה'!$C$5)/$D$11)/$D$11)</f>
        <v>0</v>
      </c>
      <c r="AC31" s="52">
        <f ca="1">IF(OR($F31&gt;$D$5,$F31&gt;MAX('הנחות עבודה'!$B$69:$B$89)),0,(VLOOKUP($F31,'התפלגות ייצור וסל דלקים'!$B$64:$BV$84,AC$2-$E$2,FALSE))*$D$9*$D$8*(HLOOKUP(AC$23,$G$18:$R$19,2,FALSE)*(1-$D$12)^($F31-'הנחות עבודה'!$C$5)/$D$11)/$D$11)</f>
        <v>0</v>
      </c>
      <c r="AD31" s="52">
        <f ca="1">IF(OR($F31&gt;$D$5,$F31&gt;MAX('הנחות עבודה'!$B$69:$B$89)),0,(VLOOKUP($F31,'התפלגות ייצור וסל דלקים'!$B$64:$BV$84,AD$2-$E$2,FALSE))*$D$9*$D$8*(HLOOKUP(AD$23,$G$18:$R$19,2,FALSE)*(1-$D$12)^($F31-'הנחות עבודה'!$C$5)/$D$11)/$D$11)</f>
        <v>0</v>
      </c>
      <c r="AE31" s="42">
        <f ca="1">IF(OR($F31&gt;$D$5,$F31&gt;MAX('הנחות עבודה'!$B$69:$B$89)),0,(VLOOKUP($F31,'התפלגות ייצור וסל דלקים'!$B$64:$BV$84,AE$2-$E$2,FALSE))*$D$9*$D$8*(HLOOKUP(AE$23,$G$18:$R$19,2,FALSE)*(1-$D$12)^($F31-'הנחות עבודה'!$C$5)/$D$11)/$D$11)</f>
        <v>0</v>
      </c>
      <c r="AF31" s="44">
        <f ca="1">IF(OR($F31&gt;$D$5,$F31&gt;MAX('הנחות עבודה'!$B$69:$B$89)),0,(VLOOKUP($F31,'התפלגות ייצור וסל דלקים'!$B$64:$BV$84,AF$2-$E$2,FALSE))*$D$9*$D$8*(HLOOKUP(AF$23,$G$18:$R$19,2,FALSE)*(1-$D$12)^($F31-'הנחות עבודה'!$C$5)/$D$11)/$D$11)</f>
        <v>0</v>
      </c>
      <c r="AG31" s="44">
        <f ca="1">IF(OR($F31&gt;$D$5,$F31&gt;MAX('הנחות עבודה'!$B$69:$B$89)),0,(VLOOKUP($F31,'התפלגות ייצור וסל דלקים'!$B$64:$BV$84,AG$2-$E$2,FALSE))*$D$9*$D$8*(HLOOKUP(AG$23,$G$18:$R$19,2,FALSE)*(1-$D$12)^($F31-'הנחות עבודה'!$C$5)/$D$11)/$D$11)</f>
        <v>0</v>
      </c>
      <c r="AH31" s="44">
        <f ca="1">IF(OR($F31&gt;$D$5,$F31&gt;MAX('הנחות עבודה'!$B$69:$B$89)),0,(VLOOKUP($F31,'התפלגות ייצור וסל דלקים'!$B$64:$BV$84,AH$2-$E$2,FALSE))*$D$9*$D$8*(HLOOKUP(AH$23,$G$18:$R$19,2,FALSE)*(1-$D$12)^($F31-'הנחות עבודה'!$C$5)/$D$11)/$D$11)</f>
        <v>0</v>
      </c>
      <c r="AI31" s="44">
        <f ca="1">IF(OR($F31&gt;$D$5,$F31&gt;MAX('הנחות עבודה'!$B$69:$B$89)),0,(VLOOKUP($F31,'התפלגות ייצור וסל דלקים'!$B$64:$BV$84,AI$2-$E$2,FALSE))*$D$9*$D$8*(HLOOKUP(AI$23,$G$18:$R$19,2,FALSE)*(1-$D$12)^($F31-'הנחות עבודה'!$C$5)/$D$11)/$D$11)</f>
        <v>0</v>
      </c>
      <c r="AJ31" s="44">
        <f ca="1">IF(OR($F31&gt;$D$5,$F31&gt;MAX('הנחות עבודה'!$B$69:$B$89)),0,(VLOOKUP($F31,'התפלגות ייצור וסל דלקים'!$B$64:$BV$84,AJ$2-$E$2,FALSE))*$D$9*$D$8*(HLOOKUP(AJ$23,$G$18:$R$19,2,FALSE)*(1-$D$12)^($F31-'הנחות עבודה'!$C$5)/$D$11)/$D$11)</f>
        <v>0</v>
      </c>
      <c r="AK31" s="42">
        <f ca="1">IF(OR($F31&gt;$D$5,$F31&gt;MAX('הנחות עבודה'!$B$69:$B$89)),0,(VLOOKUP($F31,'התפלגות ייצור וסל דלקים'!$B$64:$BV$84,AK$2-$E$2,FALSE))*$D$9*$D$8*(HLOOKUP(AK$23,$G$18:$R$19,2,FALSE)*(1-$D$12)^($F31-'הנחות עבודה'!$C$5)/$D$11)/$D$11)</f>
        <v>7.0288938600000002</v>
      </c>
      <c r="AL31" s="42">
        <f ca="1">IF(OR($F31&gt;$D$5,$F31&gt;MAX('הנחות עבודה'!$B$69:$B$89)),0,(VLOOKUP($F31,'התפלגות ייצור וסל דלקים'!$B$64:$BV$84,AL$2-$E$2,FALSE))*$D$9*$D$8*(HLOOKUP(AL$23,$G$18:$R$19,2,FALSE)*(1-$D$12)^($F31-'הנחות עבודה'!$C$5)/$D$11)/$D$11)</f>
        <v>20.676961056735006</v>
      </c>
      <c r="AM31" s="42">
        <f ca="1">IF(OR($F31&gt;$D$5,$F31&gt;MAX('הנחות עבודה'!$B$69:$B$89)),0,(VLOOKUP($F31,'התפלגות ייצור וסל דלקים'!$B$64:$BV$84,AM$2-$E$2,FALSE))*$D$9*$D$8*(HLOOKUP(AM$23,$G$18:$R$19,2,FALSE)*(1-$D$12)^($F31-'הנחות עבודה'!$C$5)/$D$11)/$D$11)</f>
        <v>0</v>
      </c>
      <c r="AN31" s="43">
        <f ca="1">IF(OR($F31&gt;$D$5,$F31&gt;MAX('הנחות עבודה'!$B$69:$B$89)),0,(VLOOKUP($F31,'התפלגות ייצור וסל דלקים'!$B$64:$BV$84,AN$2-$E$2,FALSE))*$D$9*$D$8*(HLOOKUP(AN$23,$G$18:$R$19,2,FALSE)*(1-$D$12)^($F31-'הנחות עבודה'!$C$5)/$D$11)/$D$11)</f>
        <v>0</v>
      </c>
      <c r="AO31" s="42">
        <f ca="1">IF(OR($F31&gt;$D$5,$F31&gt;MAX('הנחות עבודה'!$B$69:$B$89)),0,(VLOOKUP($F31,'התפלגות ייצור וסל דלקים'!$B$64:$BV$84,AO$2-$E$2,FALSE))*$D$9*$D$8*(HLOOKUP(AO$23,$G$18:$R$19,2,FALSE)*(1-$D$12)^($F31-'הנחות עבודה'!$C$5)/$D$11)/$D$11)</f>
        <v>0</v>
      </c>
      <c r="AP31" s="43">
        <f ca="1">IF(OR($F31&gt;$D$5,$F31&gt;MAX('הנחות עבודה'!$B$69:$B$89)),0,(VLOOKUP($F31,'התפלגות ייצור וסל דלקים'!$B$64:$BV$84,AP$2-$E$2,FALSE))*$D$9*$D$8*(HLOOKUP(AP$23,$G$18:$R$19,2,FALSE)*(1-$D$12)^($F31-'הנחות עבודה'!$C$5)/$D$11)/$D$11)</f>
        <v>0</v>
      </c>
      <c r="AQ31" s="52">
        <f ca="1">IF(OR($F31&gt;$D$5,$F31&gt;MAX('הנחות עבודה'!$B$69:$B$89)),0,(VLOOKUP($F31,'התפלגות ייצור וסל דלקים'!$B$64:$BV$84,AQ$2-$E$2,FALSE))*$D$9*$D$8*(HLOOKUP(AQ$23,$G$18:$R$19,2,FALSE)*(1-$D$12)^($F31-'הנחות עבודה'!$C$5)/$D$11)/$D$11)</f>
        <v>0</v>
      </c>
      <c r="AR31" s="127">
        <f ca="1">IF(OR($F31&gt;$D$5,$F31&gt;MAX('הנחות עבודה'!$B$69:$B$89)),0,(VLOOKUP($F31,'התפלגות ייצור וסל דלקים'!$B$64:$BV$84,AR$2-$E$2,FALSE))*$D$9*$D$8*(HLOOKUP(AR$23,$G$18:$R$19,2,FALSE)*(1-$D$12)^($F31-'הנחות עבודה'!$C$5)/$D$11)/$D$11)</f>
        <v>0</v>
      </c>
      <c r="AS31" s="127">
        <f ca="1">IF(OR($F31&gt;$D$5,$F31&gt;MAX('הנחות עבודה'!$B$69:$B$89)),0,(VLOOKUP($F31,'התפלגות ייצור וסל דלקים'!$B$64:$BV$84,AS$2-$E$2,FALSE))*$D$9*$D$8*(HLOOKUP(AS$23,$G$18:$R$19,2,FALSE)*(1-$D$12)^($F31-'הנחות עבודה'!$C$5)/$D$11)/$D$11)</f>
        <v>0</v>
      </c>
      <c r="AT31" s="127">
        <f ca="1">IF(OR($F31&gt;$D$5,$F31&gt;MAX('הנחות עבודה'!$B$69:$B$89)),0,(VLOOKUP($F31,'התפלגות ייצור וסל דלקים'!$B$64:$BV$84,AT$2-$E$2,FALSE))*$D$9*$D$8*(HLOOKUP(AT$23,$G$18:$R$19,2,FALSE)*(1-$D$12)^($F31-'הנחות עבודה'!$C$5)/$D$11)/$D$11)</f>
        <v>0</v>
      </c>
      <c r="AU31" s="127">
        <f ca="1">IF(OR($F31&gt;$D$5,$F31&gt;MAX('הנחות עבודה'!$B$69:$B$89)),0,(VLOOKUP($F31,'התפלגות ייצור וסל דלקים'!$B$64:$BV$84,AU$2-$E$2,FALSE))*$D$9*$D$8*(HLOOKUP(AU$23,$G$18:$R$19,2,FALSE)*(1-$D$12)^($F31-'הנחות עבודה'!$C$5)/$D$11)/$D$11)</f>
        <v>0</v>
      </c>
      <c r="AV31" s="127">
        <f ca="1">IF(OR($F31&gt;$D$5,$F31&gt;MAX('הנחות עבודה'!$B$69:$B$89)),0,(VLOOKUP($F31,'התפלגות ייצור וסל דלקים'!$B$64:$BV$84,AV$2-$E$2,FALSE))*$D$9*$D$8*(HLOOKUP(AV$23,$G$18:$R$19,2,FALSE)*(1-$D$12)^($F31-'הנחות עבודה'!$C$5)/$D$11)/$D$11)</f>
        <v>0</v>
      </c>
      <c r="AW31" s="52">
        <f ca="1">IF(OR($F31&gt;$D$5,$F31&gt;MAX('הנחות עבודה'!$B$69:$B$89)),0,(VLOOKUP($F31,'התפלגות ייצור וסל דלקים'!$B$64:$BV$84,AW$2-$E$2,FALSE))*$D$9*$D$8*(HLOOKUP(AW$23,$G$18:$R$19,2,FALSE)*(1-$D$12)^($F31-'הנחות עבודה'!$C$5)/$D$11)/$D$11)</f>
        <v>7.0288938600000002</v>
      </c>
      <c r="AX31" s="52">
        <f ca="1">IF(OR($F31&gt;$D$5,$F31&gt;MAX('הנחות עבודה'!$B$69:$B$89)),0,(VLOOKUP($F31,'התפלגות ייצור וסל דלקים'!$B$64:$BV$84,AX$2-$E$2,FALSE))*$D$9*$D$8*(HLOOKUP(AX$23,$G$18:$R$19,2,FALSE)*(1-$D$12)^($F31-'הנחות עבודה'!$C$5)/$D$11)/$D$11)</f>
        <v>20.676961056735006</v>
      </c>
      <c r="AY31" s="52">
        <f ca="1">IF(OR($F31&gt;$D$5,$F31&gt;MAX('הנחות עבודה'!$B$69:$B$89)),0,(VLOOKUP($F31,'התפלגות ייצור וסל דלקים'!$B$64:$BV$84,AY$2-$E$2,FALSE))*$D$9*$D$8*(HLOOKUP(AY$23,$G$18:$R$19,2,FALSE)*(1-$D$12)^($F31-'הנחות עבודה'!$C$5)/$D$11)/$D$11)</f>
        <v>0</v>
      </c>
      <c r="AZ31" s="52">
        <f ca="1">IF(OR($F31&gt;$D$5,$F31&gt;MAX('הנחות עבודה'!$B$69:$B$89)),0,(VLOOKUP($F31,'התפלגות ייצור וסל דלקים'!$B$64:$BV$84,AZ$2-$E$2,FALSE))*$D$9*$D$8*(HLOOKUP(AZ$23,$G$18:$R$19,2,FALSE)*(1-$D$12)^($F31-'הנחות עבודה'!$C$5)/$D$11)/$D$11)</f>
        <v>0</v>
      </c>
      <c r="BA31" s="52">
        <f ca="1">IF(OR($F31&gt;$D$5,$F31&gt;MAX('הנחות עבודה'!$B$69:$B$89)),0,(VLOOKUP($F31,'התפלגות ייצור וסל דלקים'!$B$64:$BV$84,BA$2-$E$2,FALSE))*$D$9*$D$8*(HLOOKUP(BA$23,$G$18:$R$19,2,FALSE)*(1-$D$12)^($F31-'הנחות עבודה'!$C$5)/$D$11)/$D$11)</f>
        <v>0</v>
      </c>
      <c r="BB31" s="52">
        <f ca="1">IF(OR($F31&gt;$D$5,$F31&gt;MAX('הנחות עבודה'!$B$69:$B$89)),0,(VLOOKUP($F31,'התפלגות ייצור וסל דלקים'!$B$64:$BV$84,BB$2-$E$2,FALSE))*$D$9*$D$8*(HLOOKUP(BB$23,$G$18:$R$19,2,FALSE)*(1-$D$12)^($F31-'הנחות עבודה'!$C$5)/$D$11)/$D$11)</f>
        <v>0</v>
      </c>
      <c r="BC31" s="42">
        <f ca="1">IF(OR($F31&gt;$D$5,$F31&gt;MAX('הנחות עבודה'!$B$69:$B$89)),0,(VLOOKUP($F31,'התפלגות ייצור וסל דלקים'!$B$64:$BV$84,BC$2-$E$2,FALSE))*$D$9*$D$8*(HLOOKUP(BC$23,$G$18:$R$19,2,FALSE)*(1-$D$12)^($F31-'הנחות עבודה'!$C$5)/$D$11)/$D$11)</f>
        <v>0</v>
      </c>
      <c r="BD31" s="44">
        <f ca="1">IF(OR($F31&gt;$D$5,$F31&gt;MAX('הנחות עבודה'!$B$69:$B$89)),0,(VLOOKUP($F31,'התפלגות ייצור וסל דלקים'!$B$64:$BV$84,BD$2-$E$2,FALSE))*$D$9*$D$8*(HLOOKUP(BD$23,$G$18:$R$19,2,FALSE)*(1-$D$12)^($F31-'הנחות עבודה'!$C$5)/$D$11)/$D$11)</f>
        <v>0</v>
      </c>
      <c r="BE31" s="44">
        <f ca="1">IF(OR($F31&gt;$D$5,$F31&gt;MAX('הנחות עבודה'!$B$69:$B$89)),0,(VLOOKUP($F31,'התפלגות ייצור וסל דלקים'!$B$64:$BV$84,BE$2-$E$2,FALSE))*$D$9*$D$8*(HLOOKUP(BE$23,$G$18:$R$19,2,FALSE)*(1-$D$12)^($F31-'הנחות עבודה'!$C$5)/$D$11)/$D$11)</f>
        <v>0</v>
      </c>
      <c r="BF31" s="44">
        <f ca="1">IF(OR($F31&gt;$D$5,$F31&gt;MAX('הנחות עבודה'!$B$69:$B$89)),0,(VLOOKUP($F31,'התפלגות ייצור וסל דלקים'!$B$64:$BV$84,BF$2-$E$2,FALSE))*$D$9*$D$8*(HLOOKUP(BF$23,$G$18:$R$19,2,FALSE)*(1-$D$12)^($F31-'הנחות עבודה'!$C$5)/$D$11)/$D$11)</f>
        <v>0</v>
      </c>
      <c r="BG31" s="44">
        <f ca="1">IF(OR($F31&gt;$D$5,$F31&gt;MAX('הנחות עבודה'!$B$69:$B$89)),0,(VLOOKUP($F31,'התפלגות ייצור וסל דלקים'!$B$64:$BV$84,BG$2-$E$2,FALSE))*$D$9*$D$8*(HLOOKUP(BG$23,$G$18:$R$19,2,FALSE)*(1-$D$12)^($F31-'הנחות עבודה'!$C$5)/$D$11)/$D$11)</f>
        <v>0</v>
      </c>
      <c r="BH31" s="44">
        <f ca="1">IF(OR($F31&gt;$D$5,$F31&gt;MAX('הנחות עבודה'!$B$69:$B$89)),0,(VLOOKUP($F31,'התפלגות ייצור וסל דלקים'!$B$64:$BV$84,BH$2-$E$2,FALSE))*$D$9*$D$8*(HLOOKUP(BH$23,$G$18:$R$19,2,FALSE)*(1-$D$12)^($F31-'הנחות עבודה'!$C$5)/$D$11)/$D$11)</f>
        <v>0</v>
      </c>
      <c r="BI31" s="42">
        <f ca="1">IF(OR($F31&gt;$D$5,$F31&gt;MAX('הנחות עבודה'!$B$69:$B$89)),0,(VLOOKUP($F31,'התפלגות ייצור וסל דלקים'!$B$64:$BV$84,BI$2-$E$2,FALSE))*$D$9*$D$8*(HLOOKUP(BI$23,$G$18:$R$19,2,FALSE)*(1-$D$12)^($F31-'הנחות עבודה'!$C$5)/$D$11)/$D$11)</f>
        <v>7.1284859999999997</v>
      </c>
      <c r="BJ31" s="42">
        <f ca="1">IF(OR($F31&gt;$D$5,$F31&gt;MAX('הנחות עבודה'!$B$69:$B$89)),0,(VLOOKUP($F31,'התפלגות ייצור וסל דלקים'!$B$64:$BV$84,BJ$2-$E$2,FALSE))*$D$9*$D$8*(HLOOKUP(BJ$23,$G$18:$R$19,2,FALSE)*(1-$D$12)^($F31-'הנחות עבודה'!$C$5)/$D$11)/$D$11)</f>
        <v>19.454107789080005</v>
      </c>
      <c r="BK31" s="42">
        <f ca="1">IF(OR($F31&gt;$D$5,$F31&gt;MAX('הנחות עבודה'!$B$69:$B$89)),0,(VLOOKUP($F31,'התפלגות ייצור וסל דלקים'!$B$64:$BV$84,BK$2-$E$2,FALSE))*$D$9*$D$8*(HLOOKUP(BK$23,$G$18:$R$19,2,FALSE)*(1-$D$12)^($F31-'הנחות עבודה'!$C$5)/$D$11)/$D$11)</f>
        <v>0</v>
      </c>
      <c r="BL31" s="42">
        <f ca="1">IF(OR($F31&gt;$D$5,$F31&gt;MAX('הנחות עבודה'!$B$69:$B$89)),0,(VLOOKUP($F31,'התפלגות ייצור וסל דלקים'!$B$64:$BV$84,BL$2-$E$2,FALSE))*$D$9*$D$8*(HLOOKUP(BL$23,$G$18:$R$19,2,FALSE)*(1-$D$12)^($F31-'הנחות עבודה'!$C$5)/$D$11)/$D$11)</f>
        <v>0</v>
      </c>
      <c r="BM31" s="42">
        <f ca="1">IF(OR($F31&gt;$D$5,$F31&gt;MAX('הנחות עבודה'!$B$69:$B$89)),0,(VLOOKUP($F31,'התפלגות ייצור וסל דלקים'!$B$64:$BV$84,BM$2-$E$2,FALSE))*$D$9*$D$8*(HLOOKUP(BM$23,$G$18:$R$19,2,FALSE)*(1-$D$12)^($F31-'הנחות עבודה'!$C$5)/$D$11)/$D$11)</f>
        <v>0</v>
      </c>
      <c r="BN31" s="42">
        <f ca="1">IF(OR($F31&gt;$D$5,$F31&gt;MAX('הנחות עבודה'!$B$69:$B$89)),0,(VLOOKUP($F31,'התפלגות ייצור וסל דלקים'!$B$64:$BV$84,BN$2-$E$2,FALSE))*$D$9*$D$8*(HLOOKUP(BN$23,$G$18:$R$19,2,FALSE)*(1-$D$12)^($F31-'הנחות עבודה'!$C$5)/$D$11)/$D$11)</f>
        <v>0</v>
      </c>
      <c r="BO31" s="52">
        <f ca="1">IF(OR($F31&gt;$D$5,$F31&gt;MAX('הנחות עבודה'!$B$69:$B$89)),0,(VLOOKUP($F31,'התפלגות ייצור וסל דלקים'!$B$64:$BV$84,BO$2-$E$2,FALSE))*$D$9*$D$8*(HLOOKUP(BO$23,$G$18:$R$19,2,FALSE)*(1-$D$12)^($F31-'הנחות עבודה'!$C$5)/$D$11)/$D$11)</f>
        <v>0</v>
      </c>
      <c r="BP31" s="127">
        <f ca="1">IF(OR($F31&gt;$D$5,$F31&gt;MAX('הנחות עבודה'!$B$69:$B$89)),0,(VLOOKUP($F31,'התפלגות ייצור וסל דלקים'!$B$64:$BV$84,BP$2-$E$2,FALSE))*$D$9*$D$8*(HLOOKUP(BP$23,$G$18:$R$19,2,FALSE)*(1-$D$12)^($F31-'הנחות עבודה'!$C$5)/$D$11)/$D$11)</f>
        <v>0</v>
      </c>
      <c r="BQ31" s="127">
        <f ca="1">IF(OR($F31&gt;$D$5,$F31&gt;MAX('הנחות עבודה'!$B$69:$B$89)),0,(VLOOKUP($F31,'התפלגות ייצור וסל דלקים'!$B$64:$BV$84,BQ$2-$E$2,FALSE))*$D$9*$D$8*(HLOOKUP(BQ$23,$G$18:$R$19,2,FALSE)*(1-$D$12)^($F31-'הנחות עבודה'!$C$5)/$D$11)/$D$11)</f>
        <v>0</v>
      </c>
      <c r="BR31" s="127">
        <f ca="1">IF(OR($F31&gt;$D$5,$F31&gt;MAX('הנחות עבודה'!$B$69:$B$89)),0,(VLOOKUP($F31,'התפלגות ייצור וסל דלקים'!$B$64:$BV$84,BR$2-$E$2,FALSE))*$D$9*$D$8*(HLOOKUP(BR$23,$G$18:$R$19,2,FALSE)*(1-$D$12)^($F31-'הנחות עבודה'!$C$5)/$D$11)/$D$11)</f>
        <v>0</v>
      </c>
      <c r="BS31" s="127">
        <f ca="1">IF(OR($F31&gt;$D$5,$F31&gt;MAX('הנחות עבודה'!$B$69:$B$89)),0,(VLOOKUP($F31,'התפלגות ייצור וסל דלקים'!$B$64:$BV$84,BS$2-$E$2,FALSE))*$D$9*$D$8*(HLOOKUP(BS$23,$G$18:$R$19,2,FALSE)*(1-$D$12)^($F31-'הנחות עבודה'!$C$5)/$D$11)/$D$11)</f>
        <v>0</v>
      </c>
      <c r="BT31" s="127">
        <f ca="1">IF(OR($F31&gt;$D$5,$F31&gt;MAX('הנחות עבודה'!$B$69:$B$89)),0,(VLOOKUP($F31,'התפלגות ייצור וסל דלקים'!$B$64:$BV$84,BT$2-$E$2,FALSE))*$D$9*$D$8*(HLOOKUP(BT$23,$G$18:$R$19,2,FALSE)*(1-$D$12)^($F31-'הנחות עבודה'!$C$5)/$D$11)/$D$11)</f>
        <v>0</v>
      </c>
      <c r="BU31" s="52">
        <f ca="1">IF(OR($F31&gt;$D$5,$F31&gt;MAX('הנחות עבודה'!$B$69:$B$89)),0,(VLOOKUP($F31,'התפלגות ייצור וסל דלקים'!$B$64:$BV$84,BU$2-$E$2,FALSE))*$D$9*$D$8*(HLOOKUP(BU$23,$G$18:$R$19,2,FALSE)*(1-$D$12)^($F31-'הנחות עבודה'!$C$5)/$D$11)/$D$11)</f>
        <v>7.1284859999999997</v>
      </c>
      <c r="BV31" s="52">
        <f ca="1">IF(OR($F31&gt;$D$5,$F31&gt;MAX('הנחות עבודה'!$B$69:$B$89)),0,(VLOOKUP($F31,'התפלגות ייצור וסל דלקים'!$B$64:$BV$84,BV$2-$E$2,FALSE))*$D$9*$D$8*(HLOOKUP(BV$23,$G$18:$R$19,2,FALSE)*(1-$D$12)^($F31-'הנחות עבודה'!$C$5)/$D$11)/$D$11)</f>
        <v>19.454107789080005</v>
      </c>
      <c r="BW31" s="52">
        <f ca="1">IF(OR($F31&gt;$D$5,$F31&gt;MAX('הנחות עבודה'!$B$69:$B$89)),0,(VLOOKUP($F31,'התפלגות ייצור וסל דלקים'!$B$64:$BV$84,BW$2-$E$2,FALSE))*$D$9*$D$8*(HLOOKUP(BW$23,$G$18:$R$19,2,FALSE)*(1-$D$12)^($F31-'הנחות עבודה'!$C$5)/$D$11)/$D$11)</f>
        <v>0</v>
      </c>
      <c r="BX31" s="52">
        <f ca="1">IF(OR($F31&gt;$D$5,$F31&gt;MAX('הנחות עבודה'!$B$69:$B$89)),0,(VLOOKUP($F31,'התפלגות ייצור וסל דלקים'!$B$64:$BV$84,BX$2-$E$2,FALSE))*$D$9*$D$8*(HLOOKUP(BX$23,$G$18:$R$19,2,FALSE)*(1-$D$12)^($F31-'הנחות עבודה'!$C$5)/$D$11)/$D$11)</f>
        <v>0</v>
      </c>
      <c r="BY31" s="52">
        <f ca="1">IF(OR($F31&gt;$D$5,$F31&gt;MAX('הנחות עבודה'!$B$69:$B$89)),0,(VLOOKUP($F31,'התפלגות ייצור וסל דלקים'!$B$64:$BV$84,BY$2-$E$2,FALSE))*$D$9*$D$8*(HLOOKUP(BY$23,$G$18:$R$19,2,FALSE)*(1-$D$12)^($F31-'הנחות עבודה'!$C$5)/$D$11)/$D$11)</f>
        <v>0</v>
      </c>
      <c r="BZ31" s="52">
        <f ca="1">IF(OR($F31&gt;$D$5,$F31&gt;MAX('הנחות עבודה'!$B$69:$B$89)),0,(VLOOKUP($F31,'התפלגות ייצור וסל דלקים'!$B$64:$BV$84,BZ$2-$E$2,FALSE))*$D$9*$D$8*(HLOOKUP(BZ$23,$G$18:$R$19,2,FALSE)*(1-$D$12)^($F31-'הנחות עבודה'!$C$5)/$D$11)/$D$11)</f>
        <v>0</v>
      </c>
    </row>
    <row r="32" spans="6:78" ht="15.75">
      <c r="F32" s="10">
        <f t="shared" si="115"/>
        <v>2028</v>
      </c>
      <c r="G32" s="42">
        <f ca="1">IF(OR($F32&gt;$D$5,$F32&gt;MAX('הנחות עבודה'!$B$69:$B$89)),0,(VLOOKUP($F32,'התפלגות ייצור וסל דלקים'!$B$64:$BV$84,G$2-$E$2,FALSE))*$D$9*$D$8*(HLOOKUP(G$23,$G$18:$R$19,2,FALSE)*(1-$D$12)^($F32-'הנחות עבודה'!$C$5)/$D$11)/$D$11)</f>
        <v>0</v>
      </c>
      <c r="H32" s="44">
        <f ca="1">IF(OR($F32&gt;$D$5,$F32&gt;MAX('הנחות עבודה'!$B$69:$B$89)),0,(VLOOKUP($F32,'התפלגות ייצור וסל דלקים'!$B$64:$BV$84,H$2-$E$2,FALSE))*$D$9*$D$8*(HLOOKUP(H$23,$G$18:$R$19,2,FALSE)*(1-$D$12)^($F32-'הנחות עבודה'!$C$5)/$D$11)/$D$11)</f>
        <v>0</v>
      </c>
      <c r="I32" s="44">
        <f ca="1">IF(OR($F32&gt;$D$5,$F32&gt;MAX('הנחות עבודה'!$B$69:$B$89)),0,(VLOOKUP($F32,'התפלגות ייצור וסל דלקים'!$B$64:$BV$84,I$2-$E$2,FALSE))*$D$9*$D$8*(HLOOKUP(I$23,$G$18:$R$19,2,FALSE)*(1-$D$12)^($F32-'הנחות עבודה'!$C$5)/$D$11)/$D$11)</f>
        <v>0</v>
      </c>
      <c r="J32" s="44">
        <f ca="1">IF(OR($F32&gt;$D$5,$F32&gt;MAX('הנחות עבודה'!$B$69:$B$89)),0,(VLOOKUP($F32,'התפלגות ייצור וסל דלקים'!$B$64:$BV$84,J$2-$E$2,FALSE))*$D$9*$D$8*(HLOOKUP(J$23,$G$18:$R$19,2,FALSE)*(1-$D$12)^($F32-'הנחות עבודה'!$C$5)/$D$11)/$D$11)</f>
        <v>0</v>
      </c>
      <c r="K32" s="44">
        <f ca="1">IF(OR($F32&gt;$D$5,$F32&gt;MAX('הנחות עבודה'!$B$69:$B$89)),0,(VLOOKUP($F32,'התפלגות ייצור וסל דלקים'!$B$64:$BV$84,K$2-$E$2,FALSE))*$D$9*$D$8*(HLOOKUP(K$23,$G$18:$R$19,2,FALSE)*(1-$D$12)^($F32-'הנחות עבודה'!$C$5)/$D$11)/$D$11)</f>
        <v>0</v>
      </c>
      <c r="L32" s="44">
        <f ca="1">IF(OR($F32&gt;$D$5,$F32&gt;MAX('הנחות עבודה'!$B$69:$B$89)),0,(VLOOKUP($F32,'התפלגות ייצור וסל דלקים'!$B$64:$BV$84,L$2-$E$2,FALSE))*$D$9*$D$8*(HLOOKUP(L$23,$G$18:$R$19,2,FALSE)*(1-$D$12)^($F32-'הנחות עבודה'!$C$5)/$D$11)/$D$11)</f>
        <v>0</v>
      </c>
      <c r="M32" s="42">
        <f ca="1">IF(OR($F32&gt;$D$5,$F32&gt;MAX('הנחות עבודה'!$B$69:$B$89)),0,(VLOOKUP($F32,'התפלגות ייצור וסל דלקים'!$B$64:$BV$84,M$2-$E$2,FALSE))*$D$9*$D$8*(HLOOKUP(M$23,$G$18:$R$19,2,FALSE)*(1-$D$12)^($F32-'הנחות עבודה'!$C$5)/$D$11)/$D$11)</f>
        <v>6.9379190399999997</v>
      </c>
      <c r="N32" s="42">
        <f ca="1">IF(OR($F32&gt;$D$5,$F32&gt;MAX('הנחות עבודה'!$B$69:$B$89)),0,(VLOOKUP($F32,'התפלגות ייצור וסל דלקים'!$B$64:$BV$84,N$2-$E$2,FALSE))*$D$9*$D$8*(HLOOKUP(N$23,$G$18:$R$19,2,FALSE)*(1-$D$12)^($F32-'הנחות עבודה'!$C$5)/$D$11)/$D$11)</f>
        <v>23.130319028814</v>
      </c>
      <c r="O32" s="42">
        <f ca="1">IF(OR($F32&gt;$D$5,$F32&gt;MAX('הנחות עבודה'!$B$69:$B$89)),0,(VLOOKUP($F32,'התפלגות ייצור וסל דלקים'!$B$64:$BV$84,O$2-$E$2,FALSE))*$D$9*$D$8*(HLOOKUP(O$23,$G$18:$R$19,2,FALSE)*(1-$D$12)^($F32-'הנחות עבודה'!$C$5)/$D$11)/$D$11)</f>
        <v>0</v>
      </c>
      <c r="P32" s="43">
        <f ca="1">IF(OR($F32&gt;$D$5,$F32&gt;MAX('הנחות עבודה'!$B$69:$B$89)),0,(VLOOKUP($F32,'התפלגות ייצור וסל דלקים'!$B$64:$BV$84,P$2-$E$2,FALSE))*$D$9*$D$8*(HLOOKUP(P$23,$G$18:$R$19,2,FALSE)*(1-$D$12)^($F32-'הנחות עבודה'!$C$5)/$D$11)/$D$11)</f>
        <v>0</v>
      </c>
      <c r="Q32" s="42">
        <f ca="1">IF(OR($F32&gt;$D$5,$F32&gt;MAX('הנחות עבודה'!$B$69:$B$89)),0,(VLOOKUP($F32,'התפלגות ייצור וסל דלקים'!$B$64:$BV$84,Q$2-$E$2,FALSE))*$D$9*$D$8*(HLOOKUP(Q$23,$G$18:$R$19,2,FALSE)*(1-$D$12)^($F32-'הנחות עבודה'!$C$5)/$D$11)/$D$11)</f>
        <v>0</v>
      </c>
      <c r="R32" s="43">
        <f ca="1">IF(OR($F32&gt;$D$5,$F32&gt;MAX('הנחות עבודה'!$B$69:$B$89)),0,(VLOOKUP($F32,'התפלגות ייצור וסל דלקים'!$B$64:$BV$84,R$2-$E$2,FALSE))*$D$9*$D$8*(HLOOKUP(R$23,$G$18:$R$19,2,FALSE)*(1-$D$12)^($F32-'הנחות עבודה'!$C$5)/$D$11)/$D$11)</f>
        <v>0</v>
      </c>
      <c r="S32" s="52">
        <f ca="1">IF(OR($F32&gt;$D$5,$F32&gt;MAX('הנחות עבודה'!$B$69:$B$89)),0,(VLOOKUP($F32,'התפלגות ייצור וסל דלקים'!$B$64:$BV$84,S$2-$E$2,FALSE))*$D$9*$D$8*(HLOOKUP(S$23,$G$18:$R$19,2,FALSE)*(1-$D$12)^($F32-'הנחות עבודה'!$C$5)/$D$11)/$D$11)</f>
        <v>0</v>
      </c>
      <c r="T32" s="127">
        <f ca="1">IF(OR($F32&gt;$D$5,$F32&gt;MAX('הנחות עבודה'!$B$69:$B$89)),0,(VLOOKUP($F32,'התפלגות ייצור וסל דלקים'!$B$64:$BV$84,T$2-$E$2,FALSE))*$D$9*$D$8*(HLOOKUP(T$23,$G$18:$R$19,2,FALSE)*(1-$D$12)^($F32-'הנחות עבודה'!$C$5)/$D$11)/$D$11)</f>
        <v>0</v>
      </c>
      <c r="U32" s="127">
        <f ca="1">IF(OR($F32&gt;$D$5,$F32&gt;MAX('הנחות עבודה'!$B$69:$B$89)),0,(VLOOKUP($F32,'התפלגות ייצור וסל דלקים'!$B$64:$BV$84,U$2-$E$2,FALSE))*$D$9*$D$8*(HLOOKUP(U$23,$G$18:$R$19,2,FALSE)*(1-$D$12)^($F32-'הנחות עבודה'!$C$5)/$D$11)/$D$11)</f>
        <v>0</v>
      </c>
      <c r="V32" s="127">
        <f ca="1">IF(OR($F32&gt;$D$5,$F32&gt;MAX('הנחות עבודה'!$B$69:$B$89)),0,(VLOOKUP($F32,'התפלגות ייצור וסל דלקים'!$B$64:$BV$84,V$2-$E$2,FALSE))*$D$9*$D$8*(HLOOKUP(V$23,$G$18:$R$19,2,FALSE)*(1-$D$12)^($F32-'הנחות עבודה'!$C$5)/$D$11)/$D$11)</f>
        <v>0</v>
      </c>
      <c r="W32" s="127">
        <f ca="1">IF(OR($F32&gt;$D$5,$F32&gt;MAX('הנחות עבודה'!$B$69:$B$89)),0,(VLOOKUP($F32,'התפלגות ייצור וסל דלקים'!$B$64:$BV$84,W$2-$E$2,FALSE))*$D$9*$D$8*(HLOOKUP(W$23,$G$18:$R$19,2,FALSE)*(1-$D$12)^($F32-'הנחות עבודה'!$C$5)/$D$11)/$D$11)</f>
        <v>0</v>
      </c>
      <c r="X32" s="127">
        <f ca="1">IF(OR($F32&gt;$D$5,$F32&gt;MAX('הנחות עבודה'!$B$69:$B$89)),0,(VLOOKUP($F32,'התפלגות ייצור וסל דלקים'!$B$64:$BV$84,X$2-$E$2,FALSE))*$D$9*$D$8*(HLOOKUP(X$23,$G$18:$R$19,2,FALSE)*(1-$D$12)^($F32-'הנחות עבודה'!$C$5)/$D$11)/$D$11)</f>
        <v>0</v>
      </c>
      <c r="Y32" s="52">
        <f ca="1">IF(OR($F32&gt;$D$5,$F32&gt;MAX('הנחות עבודה'!$B$69:$B$89)),0,(VLOOKUP($F32,'התפלגות ייצור וסל דלקים'!$B$64:$BV$84,Y$2-$E$2,FALSE))*$D$9*$D$8*(HLOOKUP(Y$23,$G$18:$R$19,2,FALSE)*(1-$D$12)^($F32-'הנחות עבודה'!$C$5)/$D$11)/$D$11)</f>
        <v>6.9379190399999997</v>
      </c>
      <c r="Z32" s="52">
        <f ca="1">IF(OR($F32&gt;$D$5,$F32&gt;MAX('הנחות עבודה'!$B$69:$B$89)),0,(VLOOKUP($F32,'התפלגות ייצור וסל דלקים'!$B$64:$BV$84,Z$2-$E$2,FALSE))*$D$9*$D$8*(HLOOKUP(Z$23,$G$18:$R$19,2,FALSE)*(1-$D$12)^($F32-'הנחות עבודה'!$C$5)/$D$11)/$D$11)</f>
        <v>23.130319028814</v>
      </c>
      <c r="AA32" s="52">
        <f ca="1">IF(OR($F32&gt;$D$5,$F32&gt;MAX('הנחות עבודה'!$B$69:$B$89)),0,(VLOOKUP($F32,'התפלגות ייצור וסל דלקים'!$B$64:$BV$84,AA$2-$E$2,FALSE))*$D$9*$D$8*(HLOOKUP(AA$23,$G$18:$R$19,2,FALSE)*(1-$D$12)^($F32-'הנחות עבודה'!$C$5)/$D$11)/$D$11)</f>
        <v>0</v>
      </c>
      <c r="AB32" s="52">
        <f ca="1">IF(OR($F32&gt;$D$5,$F32&gt;MAX('הנחות עבודה'!$B$69:$B$89)),0,(VLOOKUP($F32,'התפלגות ייצור וסל דלקים'!$B$64:$BV$84,AB$2-$E$2,FALSE))*$D$9*$D$8*(HLOOKUP(AB$23,$G$18:$R$19,2,FALSE)*(1-$D$12)^($F32-'הנחות עבודה'!$C$5)/$D$11)/$D$11)</f>
        <v>0</v>
      </c>
      <c r="AC32" s="52">
        <f ca="1">IF(OR($F32&gt;$D$5,$F32&gt;MAX('הנחות עבודה'!$B$69:$B$89)),0,(VLOOKUP($F32,'התפלגות ייצור וסל דלקים'!$B$64:$BV$84,AC$2-$E$2,FALSE))*$D$9*$D$8*(HLOOKUP(AC$23,$G$18:$R$19,2,FALSE)*(1-$D$12)^($F32-'הנחות עבודה'!$C$5)/$D$11)/$D$11)</f>
        <v>0</v>
      </c>
      <c r="AD32" s="52">
        <f ca="1">IF(OR($F32&gt;$D$5,$F32&gt;MAX('הנחות עבודה'!$B$69:$B$89)),0,(VLOOKUP($F32,'התפלגות ייצור וסל דלקים'!$B$64:$BV$84,AD$2-$E$2,FALSE))*$D$9*$D$8*(HLOOKUP(AD$23,$G$18:$R$19,2,FALSE)*(1-$D$12)^($F32-'הנחות עבודה'!$C$5)/$D$11)/$D$11)</f>
        <v>0</v>
      </c>
      <c r="AE32" s="42">
        <f ca="1">IF(OR($F32&gt;$D$5,$F32&gt;MAX('הנחות עבודה'!$B$69:$B$89)),0,(VLOOKUP($F32,'התפלגות ייצור וסל דלקים'!$B$64:$BV$84,AE$2-$E$2,FALSE))*$D$9*$D$8*(HLOOKUP(AE$23,$G$18:$R$19,2,FALSE)*(1-$D$12)^($F32-'הנחות עבודה'!$C$5)/$D$11)/$D$11)</f>
        <v>0</v>
      </c>
      <c r="AF32" s="44">
        <f ca="1">IF(OR($F32&gt;$D$5,$F32&gt;MAX('הנחות עבודה'!$B$69:$B$89)),0,(VLOOKUP($F32,'התפלגות ייצור וסל דלקים'!$B$64:$BV$84,AF$2-$E$2,FALSE))*$D$9*$D$8*(HLOOKUP(AF$23,$G$18:$R$19,2,FALSE)*(1-$D$12)^($F32-'הנחות עבודה'!$C$5)/$D$11)/$D$11)</f>
        <v>0</v>
      </c>
      <c r="AG32" s="44">
        <f ca="1">IF(OR($F32&gt;$D$5,$F32&gt;MAX('הנחות עבודה'!$B$69:$B$89)),0,(VLOOKUP($F32,'התפלגות ייצור וסל דלקים'!$B$64:$BV$84,AG$2-$E$2,FALSE))*$D$9*$D$8*(HLOOKUP(AG$23,$G$18:$R$19,2,FALSE)*(1-$D$12)^($F32-'הנחות עבודה'!$C$5)/$D$11)/$D$11)</f>
        <v>0</v>
      </c>
      <c r="AH32" s="44">
        <f ca="1">IF(OR($F32&gt;$D$5,$F32&gt;MAX('הנחות עבודה'!$B$69:$B$89)),0,(VLOOKUP($F32,'התפלגות ייצור וסל דלקים'!$B$64:$BV$84,AH$2-$E$2,FALSE))*$D$9*$D$8*(HLOOKUP(AH$23,$G$18:$R$19,2,FALSE)*(1-$D$12)^($F32-'הנחות עבודה'!$C$5)/$D$11)/$D$11)</f>
        <v>0</v>
      </c>
      <c r="AI32" s="44">
        <f ca="1">IF(OR($F32&gt;$D$5,$F32&gt;MAX('הנחות עבודה'!$B$69:$B$89)),0,(VLOOKUP($F32,'התפלגות ייצור וסל דלקים'!$B$64:$BV$84,AI$2-$E$2,FALSE))*$D$9*$D$8*(HLOOKUP(AI$23,$G$18:$R$19,2,FALSE)*(1-$D$12)^($F32-'הנחות עבודה'!$C$5)/$D$11)/$D$11)</f>
        <v>0</v>
      </c>
      <c r="AJ32" s="44">
        <f ca="1">IF(OR($F32&gt;$D$5,$F32&gt;MAX('הנחות עבודה'!$B$69:$B$89)),0,(VLOOKUP($F32,'התפלגות ייצור וסל דלקים'!$B$64:$BV$84,AJ$2-$E$2,FALSE))*$D$9*$D$8*(HLOOKUP(AJ$23,$G$18:$R$19,2,FALSE)*(1-$D$12)^($F32-'הנחות עבודה'!$C$5)/$D$11)/$D$11)</f>
        <v>0</v>
      </c>
      <c r="AK32" s="42">
        <f ca="1">IF(OR($F32&gt;$D$5,$F32&gt;MAX('הנחות עבודה'!$B$69:$B$89)),0,(VLOOKUP($F32,'התפלגות ייצור וסל דלקים'!$B$64:$BV$84,AK$2-$E$2,FALSE))*$D$9*$D$8*(HLOOKUP(AK$23,$G$18:$R$19,2,FALSE)*(1-$D$12)^($F32-'הנחות עבודה'!$C$5)/$D$11)/$D$11)</f>
        <v>7.0870773599999994</v>
      </c>
      <c r="AL32" s="42">
        <f ca="1">IF(OR($F32&gt;$D$5,$F32&gt;MAX('הנחות עבודה'!$B$69:$B$89)),0,(VLOOKUP($F32,'התפלגות ייצור וסל דלקים'!$B$64:$BV$84,AL$2-$E$2,FALSE))*$D$9*$D$8*(HLOOKUP(AL$23,$G$18:$R$19,2,FALSE)*(1-$D$12)^($F32-'הנחות עבודה'!$C$5)/$D$11)/$D$11)</f>
        <v>20.777512363020001</v>
      </c>
      <c r="AM32" s="42">
        <f ca="1">IF(OR($F32&gt;$D$5,$F32&gt;MAX('הנחות עבודה'!$B$69:$B$89)),0,(VLOOKUP($F32,'התפלגות ייצור וסל דלקים'!$B$64:$BV$84,AM$2-$E$2,FALSE))*$D$9*$D$8*(HLOOKUP(AM$23,$G$18:$R$19,2,FALSE)*(1-$D$12)^($F32-'הנחות עבודה'!$C$5)/$D$11)/$D$11)</f>
        <v>0</v>
      </c>
      <c r="AN32" s="43">
        <f ca="1">IF(OR($F32&gt;$D$5,$F32&gt;MAX('הנחות עבודה'!$B$69:$B$89)),0,(VLOOKUP($F32,'התפלגות ייצור וסל דלקים'!$B$64:$BV$84,AN$2-$E$2,FALSE))*$D$9*$D$8*(HLOOKUP(AN$23,$G$18:$R$19,2,FALSE)*(1-$D$12)^($F32-'הנחות עבודה'!$C$5)/$D$11)/$D$11)</f>
        <v>0</v>
      </c>
      <c r="AO32" s="42">
        <f ca="1">IF(OR($F32&gt;$D$5,$F32&gt;MAX('הנחות עבודה'!$B$69:$B$89)),0,(VLOOKUP($F32,'התפלגות ייצור וסל דלקים'!$B$64:$BV$84,AO$2-$E$2,FALSE))*$D$9*$D$8*(HLOOKUP(AO$23,$G$18:$R$19,2,FALSE)*(1-$D$12)^($F32-'הנחות עבודה'!$C$5)/$D$11)/$D$11)</f>
        <v>0</v>
      </c>
      <c r="AP32" s="43">
        <f ca="1">IF(OR($F32&gt;$D$5,$F32&gt;MAX('הנחות עבודה'!$B$69:$B$89)),0,(VLOOKUP($F32,'התפלגות ייצור וסל דלקים'!$B$64:$BV$84,AP$2-$E$2,FALSE))*$D$9*$D$8*(HLOOKUP(AP$23,$G$18:$R$19,2,FALSE)*(1-$D$12)^($F32-'הנחות עבודה'!$C$5)/$D$11)/$D$11)</f>
        <v>0</v>
      </c>
      <c r="AQ32" s="52">
        <f ca="1">IF(OR($F32&gt;$D$5,$F32&gt;MAX('הנחות עבודה'!$B$69:$B$89)),0,(VLOOKUP($F32,'התפלגות ייצור וסל דלקים'!$B$64:$BV$84,AQ$2-$E$2,FALSE))*$D$9*$D$8*(HLOOKUP(AQ$23,$G$18:$R$19,2,FALSE)*(1-$D$12)^($F32-'הנחות עבודה'!$C$5)/$D$11)/$D$11)</f>
        <v>0</v>
      </c>
      <c r="AR32" s="127">
        <f ca="1">IF(OR($F32&gt;$D$5,$F32&gt;MAX('הנחות עבודה'!$B$69:$B$89)),0,(VLOOKUP($F32,'התפלגות ייצור וסל דלקים'!$B$64:$BV$84,AR$2-$E$2,FALSE))*$D$9*$D$8*(HLOOKUP(AR$23,$G$18:$R$19,2,FALSE)*(1-$D$12)^($F32-'הנחות עבודה'!$C$5)/$D$11)/$D$11)</f>
        <v>0</v>
      </c>
      <c r="AS32" s="127">
        <f ca="1">IF(OR($F32&gt;$D$5,$F32&gt;MAX('הנחות עבודה'!$B$69:$B$89)),0,(VLOOKUP($F32,'התפלגות ייצור וסל דלקים'!$B$64:$BV$84,AS$2-$E$2,FALSE))*$D$9*$D$8*(HLOOKUP(AS$23,$G$18:$R$19,2,FALSE)*(1-$D$12)^($F32-'הנחות עבודה'!$C$5)/$D$11)/$D$11)</f>
        <v>0</v>
      </c>
      <c r="AT32" s="127">
        <f ca="1">IF(OR($F32&gt;$D$5,$F32&gt;MAX('הנחות עבודה'!$B$69:$B$89)),0,(VLOOKUP($F32,'התפלגות ייצור וסל דלקים'!$B$64:$BV$84,AT$2-$E$2,FALSE))*$D$9*$D$8*(HLOOKUP(AT$23,$G$18:$R$19,2,FALSE)*(1-$D$12)^($F32-'הנחות עבודה'!$C$5)/$D$11)/$D$11)</f>
        <v>0</v>
      </c>
      <c r="AU32" s="127">
        <f ca="1">IF(OR($F32&gt;$D$5,$F32&gt;MAX('הנחות עבודה'!$B$69:$B$89)),0,(VLOOKUP($F32,'התפלגות ייצור וסל דלקים'!$B$64:$BV$84,AU$2-$E$2,FALSE))*$D$9*$D$8*(HLOOKUP(AU$23,$G$18:$R$19,2,FALSE)*(1-$D$12)^($F32-'הנחות עבודה'!$C$5)/$D$11)/$D$11)</f>
        <v>0</v>
      </c>
      <c r="AV32" s="127">
        <f ca="1">IF(OR($F32&gt;$D$5,$F32&gt;MAX('הנחות עבודה'!$B$69:$B$89)),0,(VLOOKUP($F32,'התפלגות ייצור וסל דלקים'!$B$64:$BV$84,AV$2-$E$2,FALSE))*$D$9*$D$8*(HLOOKUP(AV$23,$G$18:$R$19,2,FALSE)*(1-$D$12)^($F32-'הנחות עבודה'!$C$5)/$D$11)/$D$11)</f>
        <v>0</v>
      </c>
      <c r="AW32" s="52">
        <f ca="1">IF(OR($F32&gt;$D$5,$F32&gt;MAX('הנחות עבודה'!$B$69:$B$89)),0,(VLOOKUP($F32,'התפלגות ייצור וסל דלקים'!$B$64:$BV$84,AW$2-$E$2,FALSE))*$D$9*$D$8*(HLOOKUP(AW$23,$G$18:$R$19,2,FALSE)*(1-$D$12)^($F32-'הנחות עבודה'!$C$5)/$D$11)/$D$11)</f>
        <v>7.0870773599999994</v>
      </c>
      <c r="AX32" s="52">
        <f ca="1">IF(OR($F32&gt;$D$5,$F32&gt;MAX('הנחות עבודה'!$B$69:$B$89)),0,(VLOOKUP($F32,'התפלגות ייצור וסל דלקים'!$B$64:$BV$84,AX$2-$E$2,FALSE))*$D$9*$D$8*(HLOOKUP(AX$23,$G$18:$R$19,2,FALSE)*(1-$D$12)^($F32-'הנחות עבודה'!$C$5)/$D$11)/$D$11)</f>
        <v>20.777512363020001</v>
      </c>
      <c r="AY32" s="52">
        <f ca="1">IF(OR($F32&gt;$D$5,$F32&gt;MAX('הנחות עבודה'!$B$69:$B$89)),0,(VLOOKUP($F32,'התפלגות ייצור וסל דלקים'!$B$64:$BV$84,AY$2-$E$2,FALSE))*$D$9*$D$8*(HLOOKUP(AY$23,$G$18:$R$19,2,FALSE)*(1-$D$12)^($F32-'הנחות עבודה'!$C$5)/$D$11)/$D$11)</f>
        <v>0</v>
      </c>
      <c r="AZ32" s="52">
        <f ca="1">IF(OR($F32&gt;$D$5,$F32&gt;MAX('הנחות עבודה'!$B$69:$B$89)),0,(VLOOKUP($F32,'התפלגות ייצור וסל דלקים'!$B$64:$BV$84,AZ$2-$E$2,FALSE))*$D$9*$D$8*(HLOOKUP(AZ$23,$G$18:$R$19,2,FALSE)*(1-$D$12)^($F32-'הנחות עבודה'!$C$5)/$D$11)/$D$11)</f>
        <v>0</v>
      </c>
      <c r="BA32" s="52">
        <f ca="1">IF(OR($F32&gt;$D$5,$F32&gt;MAX('הנחות עבודה'!$B$69:$B$89)),0,(VLOOKUP($F32,'התפלגות ייצור וסל דלקים'!$B$64:$BV$84,BA$2-$E$2,FALSE))*$D$9*$D$8*(HLOOKUP(BA$23,$G$18:$R$19,2,FALSE)*(1-$D$12)^($F32-'הנחות עבודה'!$C$5)/$D$11)/$D$11)</f>
        <v>0</v>
      </c>
      <c r="BB32" s="52">
        <f ca="1">IF(OR($F32&gt;$D$5,$F32&gt;MAX('הנחות עבודה'!$B$69:$B$89)),0,(VLOOKUP($F32,'התפלגות ייצור וסל דלקים'!$B$64:$BV$84,BB$2-$E$2,FALSE))*$D$9*$D$8*(HLOOKUP(BB$23,$G$18:$R$19,2,FALSE)*(1-$D$12)^($F32-'הנחות עבודה'!$C$5)/$D$11)/$D$11)</f>
        <v>0</v>
      </c>
      <c r="BC32" s="42">
        <f ca="1">IF(OR($F32&gt;$D$5,$F32&gt;MAX('הנחות עבודה'!$B$69:$B$89)),0,(VLOOKUP($F32,'התפלגות ייצור וסל דלקים'!$B$64:$BV$84,BC$2-$E$2,FALSE))*$D$9*$D$8*(HLOOKUP(BC$23,$G$18:$R$19,2,FALSE)*(1-$D$12)^($F32-'הנחות עבודה'!$C$5)/$D$11)/$D$11)</f>
        <v>0</v>
      </c>
      <c r="BD32" s="44">
        <f ca="1">IF(OR($F32&gt;$D$5,$F32&gt;MAX('הנחות עבודה'!$B$69:$B$89)),0,(VLOOKUP($F32,'התפלגות ייצור וסל דלקים'!$B$64:$BV$84,BD$2-$E$2,FALSE))*$D$9*$D$8*(HLOOKUP(BD$23,$G$18:$R$19,2,FALSE)*(1-$D$12)^($F32-'הנחות עבודה'!$C$5)/$D$11)/$D$11)</f>
        <v>0</v>
      </c>
      <c r="BE32" s="44">
        <f ca="1">IF(OR($F32&gt;$D$5,$F32&gt;MAX('הנחות עבודה'!$B$69:$B$89)),0,(VLOOKUP($F32,'התפלגות ייצור וסל דלקים'!$B$64:$BV$84,BE$2-$E$2,FALSE))*$D$9*$D$8*(HLOOKUP(BE$23,$G$18:$R$19,2,FALSE)*(1-$D$12)^($F32-'הנחות עבודה'!$C$5)/$D$11)/$D$11)</f>
        <v>0</v>
      </c>
      <c r="BF32" s="44">
        <f ca="1">IF(OR($F32&gt;$D$5,$F32&gt;MAX('הנחות עבודה'!$B$69:$B$89)),0,(VLOOKUP($F32,'התפלגות ייצור וסל דלקים'!$B$64:$BV$84,BF$2-$E$2,FALSE))*$D$9*$D$8*(HLOOKUP(BF$23,$G$18:$R$19,2,FALSE)*(1-$D$12)^($F32-'הנחות עבודה'!$C$5)/$D$11)/$D$11)</f>
        <v>0</v>
      </c>
      <c r="BG32" s="44">
        <f ca="1">IF(OR($F32&gt;$D$5,$F32&gt;MAX('הנחות עבודה'!$B$69:$B$89)),0,(VLOOKUP($F32,'התפלגות ייצור וסל דלקים'!$B$64:$BV$84,BG$2-$E$2,FALSE))*$D$9*$D$8*(HLOOKUP(BG$23,$G$18:$R$19,2,FALSE)*(1-$D$12)^($F32-'הנחות עבודה'!$C$5)/$D$11)/$D$11)</f>
        <v>0</v>
      </c>
      <c r="BH32" s="44">
        <f ca="1">IF(OR($F32&gt;$D$5,$F32&gt;MAX('הנחות עבודה'!$B$69:$B$89)),0,(VLOOKUP($F32,'התפלגות ייצור וסל דלקים'!$B$64:$BV$84,BH$2-$E$2,FALSE))*$D$9*$D$8*(HLOOKUP(BH$23,$G$18:$R$19,2,FALSE)*(1-$D$12)^($F32-'הנחות עבודה'!$C$5)/$D$11)/$D$11)</f>
        <v>0</v>
      </c>
      <c r="BI32" s="42">
        <f ca="1">IF(OR($F32&gt;$D$5,$F32&gt;MAX('הנחות עבודה'!$B$69:$B$89)),0,(VLOOKUP($F32,'התפלגות ייצור וסל דלקים'!$B$64:$BV$84,BI$2-$E$2,FALSE))*$D$9*$D$8*(HLOOKUP(BI$23,$G$18:$R$19,2,FALSE)*(1-$D$12)^($F32-'הנחות עבודה'!$C$5)/$D$11)/$D$11)</f>
        <v>7.2465120000000001</v>
      </c>
      <c r="BJ32" s="42">
        <f ca="1">IF(OR($F32&gt;$D$5,$F32&gt;MAX('הנחות עבודה'!$B$69:$B$89)),0,(VLOOKUP($F32,'התפלגות ייצור וסל דלקים'!$B$64:$BV$84,BJ$2-$E$2,FALSE))*$D$9*$D$8*(HLOOKUP(BJ$23,$G$18:$R$19,2,FALSE)*(1-$D$12)^($F32-'הנחות עבודה'!$C$5)/$D$11)/$D$11)</f>
        <v>19.309278174660001</v>
      </c>
      <c r="BK32" s="42">
        <f ca="1">IF(OR($F32&gt;$D$5,$F32&gt;MAX('הנחות עבודה'!$B$69:$B$89)),0,(VLOOKUP($F32,'התפלגות ייצור וסל דלקים'!$B$64:$BV$84,BK$2-$E$2,FALSE))*$D$9*$D$8*(HLOOKUP(BK$23,$G$18:$R$19,2,FALSE)*(1-$D$12)^($F32-'הנחות עבודה'!$C$5)/$D$11)/$D$11)</f>
        <v>0</v>
      </c>
      <c r="BL32" s="42">
        <f ca="1">IF(OR($F32&gt;$D$5,$F32&gt;MAX('הנחות עבודה'!$B$69:$B$89)),0,(VLOOKUP($F32,'התפלגות ייצור וסל דלקים'!$B$64:$BV$84,BL$2-$E$2,FALSE))*$D$9*$D$8*(HLOOKUP(BL$23,$G$18:$R$19,2,FALSE)*(1-$D$12)^($F32-'הנחות עבודה'!$C$5)/$D$11)/$D$11)</f>
        <v>0</v>
      </c>
      <c r="BM32" s="42">
        <f ca="1">IF(OR($F32&gt;$D$5,$F32&gt;MAX('הנחות עבודה'!$B$69:$B$89)),0,(VLOOKUP($F32,'התפלגות ייצור וסל דלקים'!$B$64:$BV$84,BM$2-$E$2,FALSE))*$D$9*$D$8*(HLOOKUP(BM$23,$G$18:$R$19,2,FALSE)*(1-$D$12)^($F32-'הנחות עבודה'!$C$5)/$D$11)/$D$11)</f>
        <v>0</v>
      </c>
      <c r="BN32" s="42">
        <f ca="1">IF(OR($F32&gt;$D$5,$F32&gt;MAX('הנחות עבודה'!$B$69:$B$89)),0,(VLOOKUP($F32,'התפלגות ייצור וסל דלקים'!$B$64:$BV$84,BN$2-$E$2,FALSE))*$D$9*$D$8*(HLOOKUP(BN$23,$G$18:$R$19,2,FALSE)*(1-$D$12)^($F32-'הנחות עבודה'!$C$5)/$D$11)/$D$11)</f>
        <v>0</v>
      </c>
      <c r="BO32" s="52">
        <f ca="1">IF(OR($F32&gt;$D$5,$F32&gt;MAX('הנחות עבודה'!$B$69:$B$89)),0,(VLOOKUP($F32,'התפלגות ייצור וסל דלקים'!$B$64:$BV$84,BO$2-$E$2,FALSE))*$D$9*$D$8*(HLOOKUP(BO$23,$G$18:$R$19,2,FALSE)*(1-$D$12)^($F32-'הנחות עבודה'!$C$5)/$D$11)/$D$11)</f>
        <v>0</v>
      </c>
      <c r="BP32" s="127">
        <f ca="1">IF(OR($F32&gt;$D$5,$F32&gt;MAX('הנחות עבודה'!$B$69:$B$89)),0,(VLOOKUP($F32,'התפלגות ייצור וסל דלקים'!$B$64:$BV$84,BP$2-$E$2,FALSE))*$D$9*$D$8*(HLOOKUP(BP$23,$G$18:$R$19,2,FALSE)*(1-$D$12)^($F32-'הנחות עבודה'!$C$5)/$D$11)/$D$11)</f>
        <v>0</v>
      </c>
      <c r="BQ32" s="127">
        <f ca="1">IF(OR($F32&gt;$D$5,$F32&gt;MAX('הנחות עבודה'!$B$69:$B$89)),0,(VLOOKUP($F32,'התפלגות ייצור וסל דלקים'!$B$64:$BV$84,BQ$2-$E$2,FALSE))*$D$9*$D$8*(HLOOKUP(BQ$23,$G$18:$R$19,2,FALSE)*(1-$D$12)^($F32-'הנחות עבודה'!$C$5)/$D$11)/$D$11)</f>
        <v>0</v>
      </c>
      <c r="BR32" s="127">
        <f ca="1">IF(OR($F32&gt;$D$5,$F32&gt;MAX('הנחות עבודה'!$B$69:$B$89)),0,(VLOOKUP($F32,'התפלגות ייצור וסל דלקים'!$B$64:$BV$84,BR$2-$E$2,FALSE))*$D$9*$D$8*(HLOOKUP(BR$23,$G$18:$R$19,2,FALSE)*(1-$D$12)^($F32-'הנחות עבודה'!$C$5)/$D$11)/$D$11)</f>
        <v>0</v>
      </c>
      <c r="BS32" s="127">
        <f ca="1">IF(OR($F32&gt;$D$5,$F32&gt;MAX('הנחות עבודה'!$B$69:$B$89)),0,(VLOOKUP($F32,'התפלגות ייצור וסל דלקים'!$B$64:$BV$84,BS$2-$E$2,FALSE))*$D$9*$D$8*(HLOOKUP(BS$23,$G$18:$R$19,2,FALSE)*(1-$D$12)^($F32-'הנחות עבודה'!$C$5)/$D$11)/$D$11)</f>
        <v>0</v>
      </c>
      <c r="BT32" s="127">
        <f ca="1">IF(OR($F32&gt;$D$5,$F32&gt;MAX('הנחות עבודה'!$B$69:$B$89)),0,(VLOOKUP($F32,'התפלגות ייצור וסל דלקים'!$B$64:$BV$84,BT$2-$E$2,FALSE))*$D$9*$D$8*(HLOOKUP(BT$23,$G$18:$R$19,2,FALSE)*(1-$D$12)^($F32-'הנחות עבודה'!$C$5)/$D$11)/$D$11)</f>
        <v>0</v>
      </c>
      <c r="BU32" s="52">
        <f ca="1">IF(OR($F32&gt;$D$5,$F32&gt;MAX('הנחות עבודה'!$B$69:$B$89)),0,(VLOOKUP($F32,'התפלגות ייצור וסל דלקים'!$B$64:$BV$84,BU$2-$E$2,FALSE))*$D$9*$D$8*(HLOOKUP(BU$23,$G$18:$R$19,2,FALSE)*(1-$D$12)^($F32-'הנחות עבודה'!$C$5)/$D$11)/$D$11)</f>
        <v>7.2465120000000001</v>
      </c>
      <c r="BV32" s="52">
        <f ca="1">IF(OR($F32&gt;$D$5,$F32&gt;MAX('הנחות עבודה'!$B$69:$B$89)),0,(VLOOKUP($F32,'התפלגות ייצור וסל דלקים'!$B$64:$BV$84,BV$2-$E$2,FALSE))*$D$9*$D$8*(HLOOKUP(BV$23,$G$18:$R$19,2,FALSE)*(1-$D$12)^($F32-'הנחות עבודה'!$C$5)/$D$11)/$D$11)</f>
        <v>19.309278174660001</v>
      </c>
      <c r="BW32" s="52">
        <f ca="1">IF(OR($F32&gt;$D$5,$F32&gt;MAX('הנחות עבודה'!$B$69:$B$89)),0,(VLOOKUP($F32,'התפלגות ייצור וסל דלקים'!$B$64:$BV$84,BW$2-$E$2,FALSE))*$D$9*$D$8*(HLOOKUP(BW$23,$G$18:$R$19,2,FALSE)*(1-$D$12)^($F32-'הנחות עבודה'!$C$5)/$D$11)/$D$11)</f>
        <v>0</v>
      </c>
      <c r="BX32" s="52">
        <f ca="1">IF(OR($F32&gt;$D$5,$F32&gt;MAX('הנחות עבודה'!$B$69:$B$89)),0,(VLOOKUP($F32,'התפלגות ייצור וסל דלקים'!$B$64:$BV$84,BX$2-$E$2,FALSE))*$D$9*$D$8*(HLOOKUP(BX$23,$G$18:$R$19,2,FALSE)*(1-$D$12)^($F32-'הנחות עבודה'!$C$5)/$D$11)/$D$11)</f>
        <v>0</v>
      </c>
      <c r="BY32" s="52">
        <f ca="1">IF(OR($F32&gt;$D$5,$F32&gt;MAX('הנחות עבודה'!$B$69:$B$89)),0,(VLOOKUP($F32,'התפלגות ייצור וסל דלקים'!$B$64:$BV$84,BY$2-$E$2,FALSE))*$D$9*$D$8*(HLOOKUP(BY$23,$G$18:$R$19,2,FALSE)*(1-$D$12)^($F32-'הנחות עבודה'!$C$5)/$D$11)/$D$11)</f>
        <v>0</v>
      </c>
      <c r="BZ32" s="52">
        <f ca="1">IF(OR($F32&gt;$D$5,$F32&gt;MAX('הנחות עבודה'!$B$69:$B$89)),0,(VLOOKUP($F32,'התפלגות ייצור וסל דלקים'!$B$64:$BV$84,BZ$2-$E$2,FALSE))*$D$9*$D$8*(HLOOKUP(BZ$23,$G$18:$R$19,2,FALSE)*(1-$D$12)^($F32-'הנחות עבודה'!$C$5)/$D$11)/$D$11)</f>
        <v>0</v>
      </c>
    </row>
    <row r="33" spans="6:78" ht="15.75">
      <c r="F33" s="10">
        <f t="shared" si="115"/>
        <v>2029</v>
      </c>
      <c r="G33" s="42">
        <f ca="1">IF(OR($F33&gt;$D$5,$F33&gt;MAX('הנחות עבודה'!$B$69:$B$89)),0,(VLOOKUP($F33,'התפלגות ייצור וסל דלקים'!$B$64:$BV$84,G$2-$E$2,FALSE))*$D$9*$D$8*(HLOOKUP(G$23,$G$18:$R$19,2,FALSE)*(1-$D$12)^($F33-'הנחות עבודה'!$C$5)/$D$11)/$D$11)</f>
        <v>0</v>
      </c>
      <c r="H33" s="44">
        <f ca="1">IF(OR($F33&gt;$D$5,$F33&gt;MAX('הנחות עבודה'!$B$69:$B$89)),0,(VLOOKUP($F33,'התפלגות ייצור וסל דלקים'!$B$64:$BV$84,H$2-$E$2,FALSE))*$D$9*$D$8*(HLOOKUP(H$23,$G$18:$R$19,2,FALSE)*(1-$D$12)^($F33-'הנחות עבודה'!$C$5)/$D$11)/$D$11)</f>
        <v>0</v>
      </c>
      <c r="I33" s="44">
        <f ca="1">IF(OR($F33&gt;$D$5,$F33&gt;MAX('הנחות עבודה'!$B$69:$B$89)),0,(VLOOKUP($F33,'התפלגות ייצור וסל דלקים'!$B$64:$BV$84,I$2-$E$2,FALSE))*$D$9*$D$8*(HLOOKUP(I$23,$G$18:$R$19,2,FALSE)*(1-$D$12)^($F33-'הנחות עבודה'!$C$5)/$D$11)/$D$11)</f>
        <v>0</v>
      </c>
      <c r="J33" s="44">
        <f ca="1">IF(OR($F33&gt;$D$5,$F33&gt;MAX('הנחות עבודה'!$B$69:$B$89)),0,(VLOOKUP($F33,'התפלגות ייצור וסל דלקים'!$B$64:$BV$84,J$2-$E$2,FALSE))*$D$9*$D$8*(HLOOKUP(J$23,$G$18:$R$19,2,FALSE)*(1-$D$12)^($F33-'הנחות עבודה'!$C$5)/$D$11)/$D$11)</f>
        <v>0</v>
      </c>
      <c r="K33" s="44">
        <f ca="1">IF(OR($F33&gt;$D$5,$F33&gt;MAX('הנחות עבודה'!$B$69:$B$89)),0,(VLOOKUP($F33,'התפלגות ייצור וסל דלקים'!$B$64:$BV$84,K$2-$E$2,FALSE))*$D$9*$D$8*(HLOOKUP(K$23,$G$18:$R$19,2,FALSE)*(1-$D$12)^($F33-'הנחות עבודה'!$C$5)/$D$11)/$D$11)</f>
        <v>0</v>
      </c>
      <c r="L33" s="44">
        <f ca="1">IF(OR($F33&gt;$D$5,$F33&gt;MAX('הנחות עבודה'!$B$69:$B$89)),0,(VLOOKUP($F33,'התפלגות ייצור וסל דלקים'!$B$64:$BV$84,L$2-$E$2,FALSE))*$D$9*$D$8*(HLOOKUP(L$23,$G$18:$R$19,2,FALSE)*(1-$D$12)^($F33-'הנחות עבודה'!$C$5)/$D$11)/$D$11)</f>
        <v>0</v>
      </c>
      <c r="M33" s="42">
        <f ca="1">IF(OR($F33&gt;$D$5,$F33&gt;MAX('הנחות עבודה'!$B$69:$B$89)),0,(VLOOKUP($F33,'התפלגות ייצור וסל דלקים'!$B$64:$BV$84,M$2-$E$2,FALSE))*$D$9*$D$8*(HLOOKUP(M$23,$G$18:$R$19,2,FALSE)*(1-$D$12)^($F33-'הנחות עבודה'!$C$5)/$D$11)/$D$11)</f>
        <v>6.9659466599999993</v>
      </c>
      <c r="N33" s="42">
        <f ca="1">IF(OR($F33&gt;$D$5,$F33&gt;MAX('הנחות עבודה'!$B$69:$B$89)),0,(VLOOKUP($F33,'התפלגות ייצור וסל דלקים'!$B$64:$BV$84,N$2-$E$2,FALSE))*$D$9*$D$8*(HLOOKUP(N$23,$G$18:$R$19,2,FALSE)*(1-$D$12)^($F33-'הנחות עבודה'!$C$5)/$D$11)/$D$11)</f>
        <v>23.703471656640001</v>
      </c>
      <c r="O33" s="42">
        <f ca="1">IF(OR($F33&gt;$D$5,$F33&gt;MAX('הנחות עבודה'!$B$69:$B$89)),0,(VLOOKUP($F33,'התפלגות ייצור וסל דלקים'!$B$64:$BV$84,O$2-$E$2,FALSE))*$D$9*$D$8*(HLOOKUP(O$23,$G$18:$R$19,2,FALSE)*(1-$D$12)^($F33-'הנחות עבודה'!$C$5)/$D$11)/$D$11)</f>
        <v>0</v>
      </c>
      <c r="P33" s="43">
        <f ca="1">IF(OR($F33&gt;$D$5,$F33&gt;MAX('הנחות עבודה'!$B$69:$B$89)),0,(VLOOKUP($F33,'התפלגות ייצור וסל דלקים'!$B$64:$BV$84,P$2-$E$2,FALSE))*$D$9*$D$8*(HLOOKUP(P$23,$G$18:$R$19,2,FALSE)*(1-$D$12)^($F33-'הנחות עבודה'!$C$5)/$D$11)/$D$11)</f>
        <v>0</v>
      </c>
      <c r="Q33" s="42">
        <f ca="1">IF(OR($F33&gt;$D$5,$F33&gt;MAX('הנחות עבודה'!$B$69:$B$89)),0,(VLOOKUP($F33,'התפלגות ייצור וסל דלקים'!$B$64:$BV$84,Q$2-$E$2,FALSE))*$D$9*$D$8*(HLOOKUP(Q$23,$G$18:$R$19,2,FALSE)*(1-$D$12)^($F33-'הנחות עבודה'!$C$5)/$D$11)/$D$11)</f>
        <v>0</v>
      </c>
      <c r="R33" s="43">
        <f ca="1">IF(OR($F33&gt;$D$5,$F33&gt;MAX('הנחות עבודה'!$B$69:$B$89)),0,(VLOOKUP($F33,'התפלגות ייצור וסל דלקים'!$B$64:$BV$84,R$2-$E$2,FALSE))*$D$9*$D$8*(HLOOKUP(R$23,$G$18:$R$19,2,FALSE)*(1-$D$12)^($F33-'הנחות עבודה'!$C$5)/$D$11)/$D$11)</f>
        <v>0</v>
      </c>
      <c r="S33" s="52">
        <f ca="1">IF(OR($F33&gt;$D$5,$F33&gt;MAX('הנחות עבודה'!$B$69:$B$89)),0,(VLOOKUP($F33,'התפלגות ייצור וסל דלקים'!$B$64:$BV$84,S$2-$E$2,FALSE))*$D$9*$D$8*(HLOOKUP(S$23,$G$18:$R$19,2,FALSE)*(1-$D$12)^($F33-'הנחות עבודה'!$C$5)/$D$11)/$D$11)</f>
        <v>0</v>
      </c>
      <c r="T33" s="127">
        <f ca="1">IF(OR($F33&gt;$D$5,$F33&gt;MAX('הנחות עבודה'!$B$69:$B$89)),0,(VLOOKUP($F33,'התפלגות ייצור וסל דלקים'!$B$64:$BV$84,T$2-$E$2,FALSE))*$D$9*$D$8*(HLOOKUP(T$23,$G$18:$R$19,2,FALSE)*(1-$D$12)^($F33-'הנחות עבודה'!$C$5)/$D$11)/$D$11)</f>
        <v>0</v>
      </c>
      <c r="U33" s="127">
        <f ca="1">IF(OR($F33&gt;$D$5,$F33&gt;MAX('הנחות עבודה'!$B$69:$B$89)),0,(VLOOKUP($F33,'התפלגות ייצור וסל דלקים'!$B$64:$BV$84,U$2-$E$2,FALSE))*$D$9*$D$8*(HLOOKUP(U$23,$G$18:$R$19,2,FALSE)*(1-$D$12)^($F33-'הנחות עבודה'!$C$5)/$D$11)/$D$11)</f>
        <v>0</v>
      </c>
      <c r="V33" s="127">
        <f ca="1">IF(OR($F33&gt;$D$5,$F33&gt;MAX('הנחות עבודה'!$B$69:$B$89)),0,(VLOOKUP($F33,'התפלגות ייצור וסל דלקים'!$B$64:$BV$84,V$2-$E$2,FALSE))*$D$9*$D$8*(HLOOKUP(V$23,$G$18:$R$19,2,FALSE)*(1-$D$12)^($F33-'הנחות עבודה'!$C$5)/$D$11)/$D$11)</f>
        <v>0</v>
      </c>
      <c r="W33" s="127">
        <f ca="1">IF(OR($F33&gt;$D$5,$F33&gt;MAX('הנחות עבודה'!$B$69:$B$89)),0,(VLOOKUP($F33,'התפלגות ייצור וסל דלקים'!$B$64:$BV$84,W$2-$E$2,FALSE))*$D$9*$D$8*(HLOOKUP(W$23,$G$18:$R$19,2,FALSE)*(1-$D$12)^($F33-'הנחות עבודה'!$C$5)/$D$11)/$D$11)</f>
        <v>0</v>
      </c>
      <c r="X33" s="127">
        <f ca="1">IF(OR($F33&gt;$D$5,$F33&gt;MAX('הנחות עבודה'!$B$69:$B$89)),0,(VLOOKUP($F33,'התפלגות ייצור וסל דלקים'!$B$64:$BV$84,X$2-$E$2,FALSE))*$D$9*$D$8*(HLOOKUP(X$23,$G$18:$R$19,2,FALSE)*(1-$D$12)^($F33-'הנחות עבודה'!$C$5)/$D$11)/$D$11)</f>
        <v>0</v>
      </c>
      <c r="Y33" s="52">
        <f ca="1">IF(OR($F33&gt;$D$5,$F33&gt;MAX('הנחות עבודה'!$B$69:$B$89)),0,(VLOOKUP($F33,'התפלגות ייצור וסל דלקים'!$B$64:$BV$84,Y$2-$E$2,FALSE))*$D$9*$D$8*(HLOOKUP(Y$23,$G$18:$R$19,2,FALSE)*(1-$D$12)^($F33-'הנחות עבודה'!$C$5)/$D$11)/$D$11)</f>
        <v>6.9659466599999993</v>
      </c>
      <c r="Z33" s="52">
        <f ca="1">IF(OR($F33&gt;$D$5,$F33&gt;MAX('הנחות עבודה'!$B$69:$B$89)),0,(VLOOKUP($F33,'התפלגות ייצור וסל דלקים'!$B$64:$BV$84,Z$2-$E$2,FALSE))*$D$9*$D$8*(HLOOKUP(Z$23,$G$18:$R$19,2,FALSE)*(1-$D$12)^($F33-'הנחות עבודה'!$C$5)/$D$11)/$D$11)</f>
        <v>23.703471656640001</v>
      </c>
      <c r="AA33" s="52">
        <f ca="1">IF(OR($F33&gt;$D$5,$F33&gt;MAX('הנחות עבודה'!$B$69:$B$89)),0,(VLOOKUP($F33,'התפלגות ייצור וסל דלקים'!$B$64:$BV$84,AA$2-$E$2,FALSE))*$D$9*$D$8*(HLOOKUP(AA$23,$G$18:$R$19,2,FALSE)*(1-$D$12)^($F33-'הנחות עבודה'!$C$5)/$D$11)/$D$11)</f>
        <v>0</v>
      </c>
      <c r="AB33" s="52">
        <f ca="1">IF(OR($F33&gt;$D$5,$F33&gt;MAX('הנחות עבודה'!$B$69:$B$89)),0,(VLOOKUP($F33,'התפלגות ייצור וסל דלקים'!$B$64:$BV$84,AB$2-$E$2,FALSE))*$D$9*$D$8*(HLOOKUP(AB$23,$G$18:$R$19,2,FALSE)*(1-$D$12)^($F33-'הנחות עבודה'!$C$5)/$D$11)/$D$11)</f>
        <v>0</v>
      </c>
      <c r="AC33" s="52">
        <f ca="1">IF(OR($F33&gt;$D$5,$F33&gt;MAX('הנחות עבודה'!$B$69:$B$89)),0,(VLOOKUP($F33,'התפלגות ייצור וסל דלקים'!$B$64:$BV$84,AC$2-$E$2,FALSE))*$D$9*$D$8*(HLOOKUP(AC$23,$G$18:$R$19,2,FALSE)*(1-$D$12)^($F33-'הנחות עבודה'!$C$5)/$D$11)/$D$11)</f>
        <v>0</v>
      </c>
      <c r="AD33" s="52">
        <f ca="1">IF(OR($F33&gt;$D$5,$F33&gt;MAX('הנחות עבודה'!$B$69:$B$89)),0,(VLOOKUP($F33,'התפלגות ייצור וסל דלקים'!$B$64:$BV$84,AD$2-$E$2,FALSE))*$D$9*$D$8*(HLOOKUP(AD$23,$G$18:$R$19,2,FALSE)*(1-$D$12)^($F33-'הנחות עבודה'!$C$5)/$D$11)/$D$11)</f>
        <v>0</v>
      </c>
      <c r="AE33" s="42">
        <f ca="1">IF(OR($F33&gt;$D$5,$F33&gt;MAX('הנחות עבודה'!$B$69:$B$89)),0,(VLOOKUP($F33,'התפלגות ייצור וסל דלקים'!$B$64:$BV$84,AE$2-$E$2,FALSE))*$D$9*$D$8*(HLOOKUP(AE$23,$G$18:$R$19,2,FALSE)*(1-$D$12)^($F33-'הנחות עבודה'!$C$5)/$D$11)/$D$11)</f>
        <v>0</v>
      </c>
      <c r="AF33" s="44">
        <f ca="1">IF(OR($F33&gt;$D$5,$F33&gt;MAX('הנחות עבודה'!$B$69:$B$89)),0,(VLOOKUP($F33,'התפלגות ייצור וסל דלקים'!$B$64:$BV$84,AF$2-$E$2,FALSE))*$D$9*$D$8*(HLOOKUP(AF$23,$G$18:$R$19,2,FALSE)*(1-$D$12)^($F33-'הנחות עבודה'!$C$5)/$D$11)/$D$11)</f>
        <v>0</v>
      </c>
      <c r="AG33" s="44">
        <f ca="1">IF(OR($F33&gt;$D$5,$F33&gt;MAX('הנחות עבודה'!$B$69:$B$89)),0,(VLOOKUP($F33,'התפלגות ייצור וסל דלקים'!$B$64:$BV$84,AG$2-$E$2,FALSE))*$D$9*$D$8*(HLOOKUP(AG$23,$G$18:$R$19,2,FALSE)*(1-$D$12)^($F33-'הנחות עבודה'!$C$5)/$D$11)/$D$11)</f>
        <v>0</v>
      </c>
      <c r="AH33" s="44">
        <f ca="1">IF(OR($F33&gt;$D$5,$F33&gt;MAX('הנחות עבודה'!$B$69:$B$89)),0,(VLOOKUP($F33,'התפלגות ייצור וסל דלקים'!$B$64:$BV$84,AH$2-$E$2,FALSE))*$D$9*$D$8*(HLOOKUP(AH$23,$G$18:$R$19,2,FALSE)*(1-$D$12)^($F33-'הנחות עבודה'!$C$5)/$D$11)/$D$11)</f>
        <v>0</v>
      </c>
      <c r="AI33" s="44">
        <f ca="1">IF(OR($F33&gt;$D$5,$F33&gt;MAX('הנחות עבודה'!$B$69:$B$89)),0,(VLOOKUP($F33,'התפלגות ייצור וסל דלקים'!$B$64:$BV$84,AI$2-$E$2,FALSE))*$D$9*$D$8*(HLOOKUP(AI$23,$G$18:$R$19,2,FALSE)*(1-$D$12)^($F33-'הנחות עבודה'!$C$5)/$D$11)/$D$11)</f>
        <v>0</v>
      </c>
      <c r="AJ33" s="44">
        <f ca="1">IF(OR($F33&gt;$D$5,$F33&gt;MAX('הנחות עבודה'!$B$69:$B$89)),0,(VLOOKUP($F33,'התפלגות ייצור וסל דלקים'!$B$64:$BV$84,AJ$2-$E$2,FALSE))*$D$9*$D$8*(HLOOKUP(AJ$23,$G$18:$R$19,2,FALSE)*(1-$D$12)^($F33-'הנחות עבודה'!$C$5)/$D$11)/$D$11)</f>
        <v>0</v>
      </c>
      <c r="AK33" s="42">
        <f ca="1">IF(OR($F33&gt;$D$5,$F33&gt;MAX('הנחות עבודה'!$B$69:$B$89)),0,(VLOOKUP($F33,'התפלגות ייצור וסל דלקים'!$B$64:$BV$84,AK$2-$E$2,FALSE))*$D$9*$D$8*(HLOOKUP(AK$23,$G$18:$R$19,2,FALSE)*(1-$D$12)^($F33-'הנחות עבודה'!$C$5)/$D$11)/$D$11)</f>
        <v>7.2119621400000007</v>
      </c>
      <c r="AL33" s="42">
        <f ca="1">IF(OR($F33&gt;$D$5,$F33&gt;MAX('הנחות עבודה'!$B$69:$B$89)),0,(VLOOKUP($F33,'התפלגות ייצור וסל דלקים'!$B$64:$BV$84,AL$2-$E$2,FALSE))*$D$9*$D$8*(HLOOKUP(AL$23,$G$18:$R$19,2,FALSE)*(1-$D$12)^($F33-'הנחות עבודה'!$C$5)/$D$11)/$D$11)</f>
        <v>20.962757824200001</v>
      </c>
      <c r="AM33" s="42">
        <f ca="1">IF(OR($F33&gt;$D$5,$F33&gt;MAX('הנחות עבודה'!$B$69:$B$89)),0,(VLOOKUP($F33,'התפלגות ייצור וסל דלקים'!$B$64:$BV$84,AM$2-$E$2,FALSE))*$D$9*$D$8*(HLOOKUP(AM$23,$G$18:$R$19,2,FALSE)*(1-$D$12)^($F33-'הנחות עבודה'!$C$5)/$D$11)/$D$11)</f>
        <v>0</v>
      </c>
      <c r="AN33" s="43">
        <f ca="1">IF(OR($F33&gt;$D$5,$F33&gt;MAX('הנחות עבודה'!$B$69:$B$89)),0,(VLOOKUP($F33,'התפלגות ייצור וסל דלקים'!$B$64:$BV$84,AN$2-$E$2,FALSE))*$D$9*$D$8*(HLOOKUP(AN$23,$G$18:$R$19,2,FALSE)*(1-$D$12)^($F33-'הנחות עבודה'!$C$5)/$D$11)/$D$11)</f>
        <v>0</v>
      </c>
      <c r="AO33" s="42">
        <f ca="1">IF(OR($F33&gt;$D$5,$F33&gt;MAX('הנחות עבודה'!$B$69:$B$89)),0,(VLOOKUP($F33,'התפלגות ייצור וסל דלקים'!$B$64:$BV$84,AO$2-$E$2,FALSE))*$D$9*$D$8*(HLOOKUP(AO$23,$G$18:$R$19,2,FALSE)*(1-$D$12)^($F33-'הנחות עבודה'!$C$5)/$D$11)/$D$11)</f>
        <v>0</v>
      </c>
      <c r="AP33" s="43">
        <f ca="1">IF(OR($F33&gt;$D$5,$F33&gt;MAX('הנחות עבודה'!$B$69:$B$89)),0,(VLOOKUP($F33,'התפלגות ייצור וסל דלקים'!$B$64:$BV$84,AP$2-$E$2,FALSE))*$D$9*$D$8*(HLOOKUP(AP$23,$G$18:$R$19,2,FALSE)*(1-$D$12)^($F33-'הנחות עבודה'!$C$5)/$D$11)/$D$11)</f>
        <v>0</v>
      </c>
      <c r="AQ33" s="52">
        <f ca="1">IF(OR($F33&gt;$D$5,$F33&gt;MAX('הנחות עבודה'!$B$69:$B$89)),0,(VLOOKUP($F33,'התפלגות ייצור וסל דלקים'!$B$64:$BV$84,AQ$2-$E$2,FALSE))*$D$9*$D$8*(HLOOKUP(AQ$23,$G$18:$R$19,2,FALSE)*(1-$D$12)^($F33-'הנחות עבודה'!$C$5)/$D$11)/$D$11)</f>
        <v>0</v>
      </c>
      <c r="AR33" s="127">
        <f ca="1">IF(OR($F33&gt;$D$5,$F33&gt;MAX('הנחות עבודה'!$B$69:$B$89)),0,(VLOOKUP($F33,'התפלגות ייצור וסל דלקים'!$B$64:$BV$84,AR$2-$E$2,FALSE))*$D$9*$D$8*(HLOOKUP(AR$23,$G$18:$R$19,2,FALSE)*(1-$D$12)^($F33-'הנחות עבודה'!$C$5)/$D$11)/$D$11)</f>
        <v>0</v>
      </c>
      <c r="AS33" s="127">
        <f ca="1">IF(OR($F33&gt;$D$5,$F33&gt;MAX('הנחות עבודה'!$B$69:$B$89)),0,(VLOOKUP($F33,'התפלגות ייצור וסל דלקים'!$B$64:$BV$84,AS$2-$E$2,FALSE))*$D$9*$D$8*(HLOOKUP(AS$23,$G$18:$R$19,2,FALSE)*(1-$D$12)^($F33-'הנחות עבודה'!$C$5)/$D$11)/$D$11)</f>
        <v>0</v>
      </c>
      <c r="AT33" s="127">
        <f ca="1">IF(OR($F33&gt;$D$5,$F33&gt;MAX('הנחות עבודה'!$B$69:$B$89)),0,(VLOOKUP($F33,'התפלגות ייצור וסל דלקים'!$B$64:$BV$84,AT$2-$E$2,FALSE))*$D$9*$D$8*(HLOOKUP(AT$23,$G$18:$R$19,2,FALSE)*(1-$D$12)^($F33-'הנחות עבודה'!$C$5)/$D$11)/$D$11)</f>
        <v>0</v>
      </c>
      <c r="AU33" s="127">
        <f ca="1">IF(OR($F33&gt;$D$5,$F33&gt;MAX('הנחות עבודה'!$B$69:$B$89)),0,(VLOOKUP($F33,'התפלגות ייצור וסל דלקים'!$B$64:$BV$84,AU$2-$E$2,FALSE))*$D$9*$D$8*(HLOOKUP(AU$23,$G$18:$R$19,2,FALSE)*(1-$D$12)^($F33-'הנחות עבודה'!$C$5)/$D$11)/$D$11)</f>
        <v>0</v>
      </c>
      <c r="AV33" s="127">
        <f ca="1">IF(OR($F33&gt;$D$5,$F33&gt;MAX('הנחות עבודה'!$B$69:$B$89)),0,(VLOOKUP($F33,'התפלגות ייצור וסל דלקים'!$B$64:$BV$84,AV$2-$E$2,FALSE))*$D$9*$D$8*(HLOOKUP(AV$23,$G$18:$R$19,2,FALSE)*(1-$D$12)^($F33-'הנחות עבודה'!$C$5)/$D$11)/$D$11)</f>
        <v>0</v>
      </c>
      <c r="AW33" s="52">
        <f ca="1">IF(OR($F33&gt;$D$5,$F33&gt;MAX('הנחות עבודה'!$B$69:$B$89)),0,(VLOOKUP($F33,'התפלגות ייצור וסל דלקים'!$B$64:$BV$84,AW$2-$E$2,FALSE))*$D$9*$D$8*(HLOOKUP(AW$23,$G$18:$R$19,2,FALSE)*(1-$D$12)^($F33-'הנחות עבודה'!$C$5)/$D$11)/$D$11)</f>
        <v>7.2119621400000007</v>
      </c>
      <c r="AX33" s="52">
        <f ca="1">IF(OR($F33&gt;$D$5,$F33&gt;MAX('הנחות עבודה'!$B$69:$B$89)),0,(VLOOKUP($F33,'התפלגות ייצור וסל דלקים'!$B$64:$BV$84,AX$2-$E$2,FALSE))*$D$9*$D$8*(HLOOKUP(AX$23,$G$18:$R$19,2,FALSE)*(1-$D$12)^($F33-'הנחות עבודה'!$C$5)/$D$11)/$D$11)</f>
        <v>20.962757824200001</v>
      </c>
      <c r="AY33" s="52">
        <f ca="1">IF(OR($F33&gt;$D$5,$F33&gt;MAX('הנחות עבודה'!$B$69:$B$89)),0,(VLOOKUP($F33,'התפלגות ייצור וסל דלקים'!$B$64:$BV$84,AY$2-$E$2,FALSE))*$D$9*$D$8*(HLOOKUP(AY$23,$G$18:$R$19,2,FALSE)*(1-$D$12)^($F33-'הנחות עבודה'!$C$5)/$D$11)/$D$11)</f>
        <v>0</v>
      </c>
      <c r="AZ33" s="52">
        <f ca="1">IF(OR($F33&gt;$D$5,$F33&gt;MAX('הנחות עבודה'!$B$69:$B$89)),0,(VLOOKUP($F33,'התפלגות ייצור וסל דלקים'!$B$64:$BV$84,AZ$2-$E$2,FALSE))*$D$9*$D$8*(HLOOKUP(AZ$23,$G$18:$R$19,2,FALSE)*(1-$D$12)^($F33-'הנחות עבודה'!$C$5)/$D$11)/$D$11)</f>
        <v>0</v>
      </c>
      <c r="BA33" s="52">
        <f ca="1">IF(OR($F33&gt;$D$5,$F33&gt;MAX('הנחות עבודה'!$B$69:$B$89)),0,(VLOOKUP($F33,'התפלגות ייצור וסל דלקים'!$B$64:$BV$84,BA$2-$E$2,FALSE))*$D$9*$D$8*(HLOOKUP(BA$23,$G$18:$R$19,2,FALSE)*(1-$D$12)^($F33-'הנחות עבודה'!$C$5)/$D$11)/$D$11)</f>
        <v>0</v>
      </c>
      <c r="BB33" s="52">
        <f ca="1">IF(OR($F33&gt;$D$5,$F33&gt;MAX('הנחות עבודה'!$B$69:$B$89)),0,(VLOOKUP($F33,'התפלגות ייצור וסל דלקים'!$B$64:$BV$84,BB$2-$E$2,FALSE))*$D$9*$D$8*(HLOOKUP(BB$23,$G$18:$R$19,2,FALSE)*(1-$D$12)^($F33-'הנחות עבודה'!$C$5)/$D$11)/$D$11)</f>
        <v>0</v>
      </c>
      <c r="BC33" s="42">
        <f ca="1">IF(OR($F33&gt;$D$5,$F33&gt;MAX('הנחות עבודה'!$B$69:$B$89)),0,(VLOOKUP($F33,'התפלגות ייצור וסל דלקים'!$B$64:$BV$84,BC$2-$E$2,FALSE))*$D$9*$D$8*(HLOOKUP(BC$23,$G$18:$R$19,2,FALSE)*(1-$D$12)^($F33-'הנחות עבודה'!$C$5)/$D$11)/$D$11)</f>
        <v>0</v>
      </c>
      <c r="BD33" s="44">
        <f ca="1">IF(OR($F33&gt;$D$5,$F33&gt;MAX('הנחות עבודה'!$B$69:$B$89)),0,(VLOOKUP($F33,'התפלגות ייצור וסל דלקים'!$B$64:$BV$84,BD$2-$E$2,FALSE))*$D$9*$D$8*(HLOOKUP(BD$23,$G$18:$R$19,2,FALSE)*(1-$D$12)^($F33-'הנחות עבודה'!$C$5)/$D$11)/$D$11)</f>
        <v>0</v>
      </c>
      <c r="BE33" s="44">
        <f ca="1">IF(OR($F33&gt;$D$5,$F33&gt;MAX('הנחות עבודה'!$B$69:$B$89)),0,(VLOOKUP($F33,'התפלגות ייצור וסל דלקים'!$B$64:$BV$84,BE$2-$E$2,FALSE))*$D$9*$D$8*(HLOOKUP(BE$23,$G$18:$R$19,2,FALSE)*(1-$D$12)^($F33-'הנחות עבודה'!$C$5)/$D$11)/$D$11)</f>
        <v>0</v>
      </c>
      <c r="BF33" s="44">
        <f ca="1">IF(OR($F33&gt;$D$5,$F33&gt;MAX('הנחות עבודה'!$B$69:$B$89)),0,(VLOOKUP($F33,'התפלגות ייצור וסל דלקים'!$B$64:$BV$84,BF$2-$E$2,FALSE))*$D$9*$D$8*(HLOOKUP(BF$23,$G$18:$R$19,2,FALSE)*(1-$D$12)^($F33-'הנחות עבודה'!$C$5)/$D$11)/$D$11)</f>
        <v>0</v>
      </c>
      <c r="BG33" s="44">
        <f ca="1">IF(OR($F33&gt;$D$5,$F33&gt;MAX('הנחות עבודה'!$B$69:$B$89)),0,(VLOOKUP($F33,'התפלגות ייצור וסל דלקים'!$B$64:$BV$84,BG$2-$E$2,FALSE))*$D$9*$D$8*(HLOOKUP(BG$23,$G$18:$R$19,2,FALSE)*(1-$D$12)^($F33-'הנחות עבודה'!$C$5)/$D$11)/$D$11)</f>
        <v>0</v>
      </c>
      <c r="BH33" s="44">
        <f ca="1">IF(OR($F33&gt;$D$5,$F33&gt;MAX('הנחות עבודה'!$B$69:$B$89)),0,(VLOOKUP($F33,'התפלגות ייצור וסל דלקים'!$B$64:$BV$84,BH$2-$E$2,FALSE))*$D$9*$D$8*(HLOOKUP(BH$23,$G$18:$R$19,2,FALSE)*(1-$D$12)^($F33-'הנחות עבודה'!$C$5)/$D$11)/$D$11)</f>
        <v>0</v>
      </c>
      <c r="BI33" s="42">
        <f ca="1">IF(OR($F33&gt;$D$5,$F33&gt;MAX('הנחות עבודה'!$B$69:$B$89)),0,(VLOOKUP($F33,'התפלגות ייצור וסל דלקים'!$B$64:$BV$84,BI$2-$E$2,FALSE))*$D$9*$D$8*(HLOOKUP(BI$23,$G$18:$R$19,2,FALSE)*(1-$D$12)^($F33-'הנחות עבודה'!$C$5)/$D$11)/$D$11)</f>
        <v>7.3967700000000001</v>
      </c>
      <c r="BJ33" s="42">
        <f ca="1">IF(OR($F33&gt;$D$5,$F33&gt;MAX('הנחות עבודה'!$B$69:$B$89)),0,(VLOOKUP($F33,'התפלגות ייצור וסל דלקים'!$B$64:$BV$84,BJ$2-$E$2,FALSE))*$D$9*$D$8*(HLOOKUP(BJ$23,$G$18:$R$19,2,FALSE)*(1-$D$12)^($F33-'הנחות עבודה'!$C$5)/$D$11)/$D$11)</f>
        <v>19.257241521600001</v>
      </c>
      <c r="BK33" s="42">
        <f ca="1">IF(OR($F33&gt;$D$5,$F33&gt;MAX('הנחות עבודה'!$B$69:$B$89)),0,(VLOOKUP($F33,'התפלגות ייצור וסל דלקים'!$B$64:$BV$84,BK$2-$E$2,FALSE))*$D$9*$D$8*(HLOOKUP(BK$23,$G$18:$R$19,2,FALSE)*(1-$D$12)^($F33-'הנחות עבודה'!$C$5)/$D$11)/$D$11)</f>
        <v>0</v>
      </c>
      <c r="BL33" s="42">
        <f ca="1">IF(OR($F33&gt;$D$5,$F33&gt;MAX('הנחות עבודה'!$B$69:$B$89)),0,(VLOOKUP($F33,'התפלגות ייצור וסל דלקים'!$B$64:$BV$84,BL$2-$E$2,FALSE))*$D$9*$D$8*(HLOOKUP(BL$23,$G$18:$R$19,2,FALSE)*(1-$D$12)^($F33-'הנחות עבודה'!$C$5)/$D$11)/$D$11)</f>
        <v>0</v>
      </c>
      <c r="BM33" s="42">
        <f ca="1">IF(OR($F33&gt;$D$5,$F33&gt;MAX('הנחות עבודה'!$B$69:$B$89)),0,(VLOOKUP($F33,'התפלגות ייצור וסל דלקים'!$B$64:$BV$84,BM$2-$E$2,FALSE))*$D$9*$D$8*(HLOOKUP(BM$23,$G$18:$R$19,2,FALSE)*(1-$D$12)^($F33-'הנחות עבודה'!$C$5)/$D$11)/$D$11)</f>
        <v>0</v>
      </c>
      <c r="BN33" s="42">
        <f ca="1">IF(OR($F33&gt;$D$5,$F33&gt;MAX('הנחות עבודה'!$B$69:$B$89)),0,(VLOOKUP($F33,'התפלגות ייצור וסל דלקים'!$B$64:$BV$84,BN$2-$E$2,FALSE))*$D$9*$D$8*(HLOOKUP(BN$23,$G$18:$R$19,2,FALSE)*(1-$D$12)^($F33-'הנחות עבודה'!$C$5)/$D$11)/$D$11)</f>
        <v>0</v>
      </c>
      <c r="BO33" s="52">
        <f ca="1">IF(OR($F33&gt;$D$5,$F33&gt;MAX('הנחות עבודה'!$B$69:$B$89)),0,(VLOOKUP($F33,'התפלגות ייצור וסל דלקים'!$B$64:$BV$84,BO$2-$E$2,FALSE))*$D$9*$D$8*(HLOOKUP(BO$23,$G$18:$R$19,2,FALSE)*(1-$D$12)^($F33-'הנחות עבודה'!$C$5)/$D$11)/$D$11)</f>
        <v>0</v>
      </c>
      <c r="BP33" s="127">
        <f ca="1">IF(OR($F33&gt;$D$5,$F33&gt;MAX('הנחות עבודה'!$B$69:$B$89)),0,(VLOOKUP($F33,'התפלגות ייצור וסל דלקים'!$B$64:$BV$84,BP$2-$E$2,FALSE))*$D$9*$D$8*(HLOOKUP(BP$23,$G$18:$R$19,2,FALSE)*(1-$D$12)^($F33-'הנחות עבודה'!$C$5)/$D$11)/$D$11)</f>
        <v>0</v>
      </c>
      <c r="BQ33" s="127">
        <f ca="1">IF(OR($F33&gt;$D$5,$F33&gt;MAX('הנחות עבודה'!$B$69:$B$89)),0,(VLOOKUP($F33,'התפלגות ייצור וסל דלקים'!$B$64:$BV$84,BQ$2-$E$2,FALSE))*$D$9*$D$8*(HLOOKUP(BQ$23,$G$18:$R$19,2,FALSE)*(1-$D$12)^($F33-'הנחות עבודה'!$C$5)/$D$11)/$D$11)</f>
        <v>0</v>
      </c>
      <c r="BR33" s="127">
        <f ca="1">IF(OR($F33&gt;$D$5,$F33&gt;MAX('הנחות עבודה'!$B$69:$B$89)),0,(VLOOKUP($F33,'התפלגות ייצור וסל דלקים'!$B$64:$BV$84,BR$2-$E$2,FALSE))*$D$9*$D$8*(HLOOKUP(BR$23,$G$18:$R$19,2,FALSE)*(1-$D$12)^($F33-'הנחות עבודה'!$C$5)/$D$11)/$D$11)</f>
        <v>0</v>
      </c>
      <c r="BS33" s="127">
        <f ca="1">IF(OR($F33&gt;$D$5,$F33&gt;MAX('הנחות עבודה'!$B$69:$B$89)),0,(VLOOKUP($F33,'התפלגות ייצור וסל דלקים'!$B$64:$BV$84,BS$2-$E$2,FALSE))*$D$9*$D$8*(HLOOKUP(BS$23,$G$18:$R$19,2,FALSE)*(1-$D$12)^($F33-'הנחות עבודה'!$C$5)/$D$11)/$D$11)</f>
        <v>0</v>
      </c>
      <c r="BT33" s="127">
        <f ca="1">IF(OR($F33&gt;$D$5,$F33&gt;MAX('הנחות עבודה'!$B$69:$B$89)),0,(VLOOKUP($F33,'התפלגות ייצור וסל דלקים'!$B$64:$BV$84,BT$2-$E$2,FALSE))*$D$9*$D$8*(HLOOKUP(BT$23,$G$18:$R$19,2,FALSE)*(1-$D$12)^($F33-'הנחות עבודה'!$C$5)/$D$11)/$D$11)</f>
        <v>0</v>
      </c>
      <c r="BU33" s="52">
        <f ca="1">IF(OR($F33&gt;$D$5,$F33&gt;MAX('הנחות עבודה'!$B$69:$B$89)),0,(VLOOKUP($F33,'התפלגות ייצור וסל דלקים'!$B$64:$BV$84,BU$2-$E$2,FALSE))*$D$9*$D$8*(HLOOKUP(BU$23,$G$18:$R$19,2,FALSE)*(1-$D$12)^($F33-'הנחות עבודה'!$C$5)/$D$11)/$D$11)</f>
        <v>7.3967700000000001</v>
      </c>
      <c r="BV33" s="52">
        <f ca="1">IF(OR($F33&gt;$D$5,$F33&gt;MAX('הנחות עבודה'!$B$69:$B$89)),0,(VLOOKUP($F33,'התפלגות ייצור וסל דלקים'!$B$64:$BV$84,BV$2-$E$2,FALSE))*$D$9*$D$8*(HLOOKUP(BV$23,$G$18:$R$19,2,FALSE)*(1-$D$12)^($F33-'הנחות עבודה'!$C$5)/$D$11)/$D$11)</f>
        <v>19.257241521600001</v>
      </c>
      <c r="BW33" s="52">
        <f ca="1">IF(OR($F33&gt;$D$5,$F33&gt;MAX('הנחות עבודה'!$B$69:$B$89)),0,(VLOOKUP($F33,'התפלגות ייצור וסל דלקים'!$B$64:$BV$84,BW$2-$E$2,FALSE))*$D$9*$D$8*(HLOOKUP(BW$23,$G$18:$R$19,2,FALSE)*(1-$D$12)^($F33-'הנחות עבודה'!$C$5)/$D$11)/$D$11)</f>
        <v>0</v>
      </c>
      <c r="BX33" s="52">
        <f ca="1">IF(OR($F33&gt;$D$5,$F33&gt;MAX('הנחות עבודה'!$B$69:$B$89)),0,(VLOOKUP($F33,'התפלגות ייצור וסל דלקים'!$B$64:$BV$84,BX$2-$E$2,FALSE))*$D$9*$D$8*(HLOOKUP(BX$23,$G$18:$R$19,2,FALSE)*(1-$D$12)^($F33-'הנחות עבודה'!$C$5)/$D$11)/$D$11)</f>
        <v>0</v>
      </c>
      <c r="BY33" s="52">
        <f ca="1">IF(OR($F33&gt;$D$5,$F33&gt;MAX('הנחות עבודה'!$B$69:$B$89)),0,(VLOOKUP($F33,'התפלגות ייצור וסל דלקים'!$B$64:$BV$84,BY$2-$E$2,FALSE))*$D$9*$D$8*(HLOOKUP(BY$23,$G$18:$R$19,2,FALSE)*(1-$D$12)^($F33-'הנחות עבודה'!$C$5)/$D$11)/$D$11)</f>
        <v>0</v>
      </c>
      <c r="BZ33" s="52">
        <f ca="1">IF(OR($F33&gt;$D$5,$F33&gt;MAX('הנחות עבודה'!$B$69:$B$89)),0,(VLOOKUP($F33,'התפלגות ייצור וסל דלקים'!$B$64:$BV$84,BZ$2-$E$2,FALSE))*$D$9*$D$8*(HLOOKUP(BZ$23,$G$18:$R$19,2,FALSE)*(1-$D$12)^($F33-'הנחות עבודה'!$C$5)/$D$11)/$D$11)</f>
        <v>0</v>
      </c>
    </row>
    <row r="34" spans="6:78" ht="15.75">
      <c r="F34" s="10">
        <f t="shared" si="115"/>
        <v>2030</v>
      </c>
      <c r="G34" s="42">
        <f ca="1">IF(OR($F34&gt;$D$5,$F34&gt;MAX('הנחות עבודה'!$B$69:$B$89)),0,(VLOOKUP($F34,'התפלגות ייצור וסל דלקים'!$B$64:$BV$84,G$2-$E$2,FALSE))*$D$9*$D$8*(HLOOKUP(G$23,$G$18:$R$19,2,FALSE)*(1-$D$12)^($F34-'הנחות עבודה'!$C$5)/$D$11)/$D$11)</f>
        <v>0</v>
      </c>
      <c r="H34" s="44">
        <f ca="1">IF(OR($F34&gt;$D$5,$F34&gt;MAX('הנחות עבודה'!$B$69:$B$89)),0,(VLOOKUP($F34,'התפלגות ייצור וסל דלקים'!$B$64:$BV$84,H$2-$E$2,FALSE))*$D$9*$D$8*(HLOOKUP(H$23,$G$18:$R$19,2,FALSE)*(1-$D$12)^($F34-'הנחות עבודה'!$C$5)/$D$11)/$D$11)</f>
        <v>0</v>
      </c>
      <c r="I34" s="44">
        <f ca="1">IF(OR($F34&gt;$D$5,$F34&gt;MAX('הנחות עבודה'!$B$69:$B$89)),0,(VLOOKUP($F34,'התפלגות ייצור וסל דלקים'!$B$64:$BV$84,I$2-$E$2,FALSE))*$D$9*$D$8*(HLOOKUP(I$23,$G$18:$R$19,2,FALSE)*(1-$D$12)^($F34-'הנחות עבודה'!$C$5)/$D$11)/$D$11)</f>
        <v>0</v>
      </c>
      <c r="J34" s="44">
        <f ca="1">IF(OR($F34&gt;$D$5,$F34&gt;MAX('הנחות עבודה'!$B$69:$B$89)),0,(VLOOKUP($F34,'התפלגות ייצור וסל דלקים'!$B$64:$BV$84,J$2-$E$2,FALSE))*$D$9*$D$8*(HLOOKUP(J$23,$G$18:$R$19,2,FALSE)*(1-$D$12)^($F34-'הנחות עבודה'!$C$5)/$D$11)/$D$11)</f>
        <v>0</v>
      </c>
      <c r="K34" s="44">
        <f ca="1">IF(OR($F34&gt;$D$5,$F34&gt;MAX('הנחות עבודה'!$B$69:$B$89)),0,(VLOOKUP($F34,'התפלגות ייצור וסל דלקים'!$B$64:$BV$84,K$2-$E$2,FALSE))*$D$9*$D$8*(HLOOKUP(K$23,$G$18:$R$19,2,FALSE)*(1-$D$12)^($F34-'הנחות עבודה'!$C$5)/$D$11)/$D$11)</f>
        <v>0</v>
      </c>
      <c r="L34" s="44">
        <f ca="1">IF(OR($F34&gt;$D$5,$F34&gt;MAX('הנחות עבודה'!$B$69:$B$89)),0,(VLOOKUP($F34,'התפלגות ייצור וסל דלקים'!$B$64:$BV$84,L$2-$E$2,FALSE))*$D$9*$D$8*(HLOOKUP(L$23,$G$18:$R$19,2,FALSE)*(1-$D$12)^($F34-'הנחות עבודה'!$C$5)/$D$11)/$D$11)</f>
        <v>0</v>
      </c>
      <c r="M34" s="42">
        <f ca="1">IF(OR($F34&gt;$D$5,$F34&gt;MAX('הנחות עבודה'!$B$69:$B$89)),0,(VLOOKUP($F34,'התפלגות ייצור וסל דלקים'!$B$64:$BV$84,M$2-$E$2,FALSE))*$D$9*$D$8*(HLOOKUP(M$23,$G$18:$R$19,2,FALSE)*(1-$D$12)^($F34-'הנחות עבודה'!$C$5)/$D$11)/$D$11)</f>
        <v>6.8970365399999993</v>
      </c>
      <c r="N34" s="42">
        <f ca="1">IF(OR($F34&gt;$D$5,$F34&gt;MAX('הנחות עבודה'!$B$69:$B$89)),0,(VLOOKUP($F34,'התפלגות ייצור וסל דלקים'!$B$64:$BV$84,N$2-$E$2,FALSE))*$D$9*$D$8*(HLOOKUP(N$23,$G$18:$R$19,2,FALSE)*(1-$D$12)^($F34-'הנחות עבודה'!$C$5)/$D$11)/$D$11)</f>
        <v>24.28691643837</v>
      </c>
      <c r="O34" s="42">
        <f ca="1">IF(OR($F34&gt;$D$5,$F34&gt;MAX('הנחות עבודה'!$B$69:$B$89)),0,(VLOOKUP($F34,'התפלגות ייצור וסל דלקים'!$B$64:$BV$84,O$2-$E$2,FALSE))*$D$9*$D$8*(HLOOKUP(O$23,$G$18:$R$19,2,FALSE)*(1-$D$12)^($F34-'הנחות עבודה'!$C$5)/$D$11)/$D$11)</f>
        <v>0</v>
      </c>
      <c r="P34" s="43">
        <f ca="1">IF(OR($F34&gt;$D$5,$F34&gt;MAX('הנחות עבודה'!$B$69:$B$89)),0,(VLOOKUP($F34,'התפלגות ייצור וסל דלקים'!$B$64:$BV$84,P$2-$E$2,FALSE))*$D$9*$D$8*(HLOOKUP(P$23,$G$18:$R$19,2,FALSE)*(1-$D$12)^($F34-'הנחות עבודה'!$C$5)/$D$11)/$D$11)</f>
        <v>0</v>
      </c>
      <c r="Q34" s="42">
        <f ca="1">IF(OR($F34&gt;$D$5,$F34&gt;MAX('הנחות עבודה'!$B$69:$B$89)),0,(VLOOKUP($F34,'התפלגות ייצור וסל דלקים'!$B$64:$BV$84,Q$2-$E$2,FALSE))*$D$9*$D$8*(HLOOKUP(Q$23,$G$18:$R$19,2,FALSE)*(1-$D$12)^($F34-'הנחות עבודה'!$C$5)/$D$11)/$D$11)</f>
        <v>0</v>
      </c>
      <c r="R34" s="43">
        <f ca="1">IF(OR($F34&gt;$D$5,$F34&gt;MAX('הנחות עבודה'!$B$69:$B$89)),0,(VLOOKUP($F34,'התפלגות ייצור וסל דלקים'!$B$64:$BV$84,R$2-$E$2,FALSE))*$D$9*$D$8*(HLOOKUP(R$23,$G$18:$R$19,2,FALSE)*(1-$D$12)^($F34-'הנחות עבודה'!$C$5)/$D$11)/$D$11)</f>
        <v>0</v>
      </c>
      <c r="S34" s="52">
        <f ca="1">IF(OR($F34&gt;$D$5,$F34&gt;MAX('הנחות עבודה'!$B$69:$B$89)),0,(VLOOKUP($F34,'התפלגות ייצור וסל דלקים'!$B$64:$BV$84,S$2-$E$2,FALSE))*$D$9*$D$8*(HLOOKUP(S$23,$G$18:$R$19,2,FALSE)*(1-$D$12)^($F34-'הנחות עבודה'!$C$5)/$D$11)/$D$11)</f>
        <v>0</v>
      </c>
      <c r="T34" s="127">
        <f ca="1">IF(OR($F34&gt;$D$5,$F34&gt;MAX('הנחות עבודה'!$B$69:$B$89)),0,(VLOOKUP($F34,'התפלגות ייצור וסל דלקים'!$B$64:$BV$84,T$2-$E$2,FALSE))*$D$9*$D$8*(HLOOKUP(T$23,$G$18:$R$19,2,FALSE)*(1-$D$12)^($F34-'הנחות עבודה'!$C$5)/$D$11)/$D$11)</f>
        <v>0</v>
      </c>
      <c r="U34" s="127">
        <f ca="1">IF(OR($F34&gt;$D$5,$F34&gt;MAX('הנחות עבודה'!$B$69:$B$89)),0,(VLOOKUP($F34,'התפלגות ייצור וסל דלקים'!$B$64:$BV$84,U$2-$E$2,FALSE))*$D$9*$D$8*(HLOOKUP(U$23,$G$18:$R$19,2,FALSE)*(1-$D$12)^($F34-'הנחות עבודה'!$C$5)/$D$11)/$D$11)</f>
        <v>0</v>
      </c>
      <c r="V34" s="127">
        <f ca="1">IF(OR($F34&gt;$D$5,$F34&gt;MAX('הנחות עבודה'!$B$69:$B$89)),0,(VLOOKUP($F34,'התפלגות ייצור וסל דלקים'!$B$64:$BV$84,V$2-$E$2,FALSE))*$D$9*$D$8*(HLOOKUP(V$23,$G$18:$R$19,2,FALSE)*(1-$D$12)^($F34-'הנחות עבודה'!$C$5)/$D$11)/$D$11)</f>
        <v>0</v>
      </c>
      <c r="W34" s="127">
        <f ca="1">IF(OR($F34&gt;$D$5,$F34&gt;MAX('הנחות עבודה'!$B$69:$B$89)),0,(VLOOKUP($F34,'התפלגות ייצור וסל דלקים'!$B$64:$BV$84,W$2-$E$2,FALSE))*$D$9*$D$8*(HLOOKUP(W$23,$G$18:$R$19,2,FALSE)*(1-$D$12)^($F34-'הנחות עבודה'!$C$5)/$D$11)/$D$11)</f>
        <v>0</v>
      </c>
      <c r="X34" s="127">
        <f ca="1">IF(OR($F34&gt;$D$5,$F34&gt;MAX('הנחות עבודה'!$B$69:$B$89)),0,(VLOOKUP($F34,'התפלגות ייצור וסל דלקים'!$B$64:$BV$84,X$2-$E$2,FALSE))*$D$9*$D$8*(HLOOKUP(X$23,$G$18:$R$19,2,FALSE)*(1-$D$12)^($F34-'הנחות עבודה'!$C$5)/$D$11)/$D$11)</f>
        <v>0</v>
      </c>
      <c r="Y34" s="52">
        <f ca="1">IF(OR($F34&gt;$D$5,$F34&gt;MAX('הנחות עבודה'!$B$69:$B$89)),0,(VLOOKUP($F34,'התפלגות ייצור וסל דלקים'!$B$64:$BV$84,Y$2-$E$2,FALSE))*$D$9*$D$8*(HLOOKUP(Y$23,$G$18:$R$19,2,FALSE)*(1-$D$12)^($F34-'הנחות עבודה'!$C$5)/$D$11)/$D$11)</f>
        <v>6.8970365399999993</v>
      </c>
      <c r="Z34" s="52">
        <f ca="1">IF(OR($F34&gt;$D$5,$F34&gt;MAX('הנחות עבודה'!$B$69:$B$89)),0,(VLOOKUP($F34,'התפלגות ייצור וסל דלקים'!$B$64:$BV$84,Z$2-$E$2,FALSE))*$D$9*$D$8*(HLOOKUP(Z$23,$G$18:$R$19,2,FALSE)*(1-$D$12)^($F34-'הנחות עבודה'!$C$5)/$D$11)/$D$11)</f>
        <v>24.28691643837</v>
      </c>
      <c r="AA34" s="52">
        <f ca="1">IF(OR($F34&gt;$D$5,$F34&gt;MAX('הנחות עבודה'!$B$69:$B$89)),0,(VLOOKUP($F34,'התפלגות ייצור וסל דלקים'!$B$64:$BV$84,AA$2-$E$2,FALSE))*$D$9*$D$8*(HLOOKUP(AA$23,$G$18:$R$19,2,FALSE)*(1-$D$12)^($F34-'הנחות עבודה'!$C$5)/$D$11)/$D$11)</f>
        <v>0</v>
      </c>
      <c r="AB34" s="52">
        <f ca="1">IF(OR($F34&gt;$D$5,$F34&gt;MAX('הנחות עבודה'!$B$69:$B$89)),0,(VLOOKUP($F34,'התפלגות ייצור וסל דלקים'!$B$64:$BV$84,AB$2-$E$2,FALSE))*$D$9*$D$8*(HLOOKUP(AB$23,$G$18:$R$19,2,FALSE)*(1-$D$12)^($F34-'הנחות עבודה'!$C$5)/$D$11)/$D$11)</f>
        <v>0</v>
      </c>
      <c r="AC34" s="52">
        <f ca="1">IF(OR($F34&gt;$D$5,$F34&gt;MAX('הנחות עבודה'!$B$69:$B$89)),0,(VLOOKUP($F34,'התפלגות ייצור וסל דלקים'!$B$64:$BV$84,AC$2-$E$2,FALSE))*$D$9*$D$8*(HLOOKUP(AC$23,$G$18:$R$19,2,FALSE)*(1-$D$12)^($F34-'הנחות עבודה'!$C$5)/$D$11)/$D$11)</f>
        <v>0</v>
      </c>
      <c r="AD34" s="52">
        <f ca="1">IF(OR($F34&gt;$D$5,$F34&gt;MAX('הנחות עבודה'!$B$69:$B$89)),0,(VLOOKUP($F34,'התפלגות ייצור וסל דלקים'!$B$64:$BV$84,AD$2-$E$2,FALSE))*$D$9*$D$8*(HLOOKUP(AD$23,$G$18:$R$19,2,FALSE)*(1-$D$12)^($F34-'הנחות עבודה'!$C$5)/$D$11)/$D$11)</f>
        <v>0</v>
      </c>
      <c r="AE34" s="42">
        <f ca="1">IF(OR($F34&gt;$D$5,$F34&gt;MAX('הנחות עבודה'!$B$69:$B$89)),0,(VLOOKUP($F34,'התפלגות ייצור וסל דלקים'!$B$64:$BV$84,AE$2-$E$2,FALSE))*$D$9*$D$8*(HLOOKUP(AE$23,$G$18:$R$19,2,FALSE)*(1-$D$12)^($F34-'הנחות עבודה'!$C$5)/$D$11)/$D$11)</f>
        <v>0</v>
      </c>
      <c r="AF34" s="44">
        <f ca="1">IF(OR($F34&gt;$D$5,$F34&gt;MAX('הנחות עבודה'!$B$69:$B$89)),0,(VLOOKUP($F34,'התפלגות ייצור וסל דלקים'!$B$64:$BV$84,AF$2-$E$2,FALSE))*$D$9*$D$8*(HLOOKUP(AF$23,$G$18:$R$19,2,FALSE)*(1-$D$12)^($F34-'הנחות עבודה'!$C$5)/$D$11)/$D$11)</f>
        <v>0</v>
      </c>
      <c r="AG34" s="44">
        <f ca="1">IF(OR($F34&gt;$D$5,$F34&gt;MAX('הנחות עבודה'!$B$69:$B$89)),0,(VLOOKUP($F34,'התפלגות ייצור וסל דלקים'!$B$64:$BV$84,AG$2-$E$2,FALSE))*$D$9*$D$8*(HLOOKUP(AG$23,$G$18:$R$19,2,FALSE)*(1-$D$12)^($F34-'הנחות עבודה'!$C$5)/$D$11)/$D$11)</f>
        <v>0</v>
      </c>
      <c r="AH34" s="44">
        <f ca="1">IF(OR($F34&gt;$D$5,$F34&gt;MAX('הנחות עבודה'!$B$69:$B$89)),0,(VLOOKUP($F34,'התפלגות ייצור וסל דלקים'!$B$64:$BV$84,AH$2-$E$2,FALSE))*$D$9*$D$8*(HLOOKUP(AH$23,$G$18:$R$19,2,FALSE)*(1-$D$12)^($F34-'הנחות עבודה'!$C$5)/$D$11)/$D$11)</f>
        <v>0</v>
      </c>
      <c r="AI34" s="44">
        <f ca="1">IF(OR($F34&gt;$D$5,$F34&gt;MAX('הנחות עבודה'!$B$69:$B$89)),0,(VLOOKUP($F34,'התפלגות ייצור וסל דלקים'!$B$64:$BV$84,AI$2-$E$2,FALSE))*$D$9*$D$8*(HLOOKUP(AI$23,$G$18:$R$19,2,FALSE)*(1-$D$12)^($F34-'הנחות עבודה'!$C$5)/$D$11)/$D$11)</f>
        <v>0</v>
      </c>
      <c r="AJ34" s="44">
        <f ca="1">IF(OR($F34&gt;$D$5,$F34&gt;MAX('הנחות עבודה'!$B$69:$B$89)),0,(VLOOKUP($F34,'התפלגות ייצור וסל דלקים'!$B$64:$BV$84,AJ$2-$E$2,FALSE))*$D$9*$D$8*(HLOOKUP(AJ$23,$G$18:$R$19,2,FALSE)*(1-$D$12)^($F34-'הנחות עבודה'!$C$5)/$D$11)/$D$11)</f>
        <v>0</v>
      </c>
      <c r="AK34" s="42">
        <f ca="1">IF(OR($F34&gt;$D$5,$F34&gt;MAX('הנחות עבודה'!$B$69:$B$89)),0,(VLOOKUP($F34,'התפלגות ייצור וסל דלקים'!$B$64:$BV$84,AK$2-$E$2,FALSE))*$D$9*$D$8*(HLOOKUP(AK$23,$G$18:$R$19,2,FALSE)*(1-$D$12)^($F34-'הנחות עבודה'!$C$5)/$D$11)/$D$11)</f>
        <v>7.3064777399999983</v>
      </c>
      <c r="AL34" s="42">
        <f ca="1">IF(OR($F34&gt;$D$5,$F34&gt;MAX('הנחות עבודה'!$B$69:$B$89)),0,(VLOOKUP($F34,'התפלגות ייצור וסל דלקים'!$B$64:$BV$84,AL$2-$E$2,FALSE))*$D$9*$D$8*(HLOOKUP(AL$23,$G$18:$R$19,2,FALSE)*(1-$D$12)^($F34-'הנחות עבודה'!$C$5)/$D$11)/$D$11)</f>
        <v>21.09566846925</v>
      </c>
      <c r="AM34" s="42">
        <f ca="1">IF(OR($F34&gt;$D$5,$F34&gt;MAX('הנחות עבודה'!$B$69:$B$89)),0,(VLOOKUP($F34,'התפלגות ייצור וסל דלקים'!$B$64:$BV$84,AM$2-$E$2,FALSE))*$D$9*$D$8*(HLOOKUP(AM$23,$G$18:$R$19,2,FALSE)*(1-$D$12)^($F34-'הנחות עבודה'!$C$5)/$D$11)/$D$11)</f>
        <v>0</v>
      </c>
      <c r="AN34" s="43">
        <f ca="1">IF(OR($F34&gt;$D$5,$F34&gt;MAX('הנחות עבודה'!$B$69:$B$89)),0,(VLOOKUP($F34,'התפלגות ייצור וסל דלקים'!$B$64:$BV$84,AN$2-$E$2,FALSE))*$D$9*$D$8*(HLOOKUP(AN$23,$G$18:$R$19,2,FALSE)*(1-$D$12)^($F34-'הנחות עבודה'!$C$5)/$D$11)/$D$11)</f>
        <v>0</v>
      </c>
      <c r="AO34" s="42">
        <f ca="1">IF(OR($F34&gt;$D$5,$F34&gt;MAX('הנחות עבודה'!$B$69:$B$89)),0,(VLOOKUP($F34,'התפלגות ייצור וסל דלקים'!$B$64:$BV$84,AO$2-$E$2,FALSE))*$D$9*$D$8*(HLOOKUP(AO$23,$G$18:$R$19,2,FALSE)*(1-$D$12)^($F34-'הנחות עבודה'!$C$5)/$D$11)/$D$11)</f>
        <v>0</v>
      </c>
      <c r="AP34" s="43">
        <f ca="1">IF(OR($F34&gt;$D$5,$F34&gt;MAX('הנחות עבודה'!$B$69:$B$89)),0,(VLOOKUP($F34,'התפלגות ייצור וסל דלקים'!$B$64:$BV$84,AP$2-$E$2,FALSE))*$D$9*$D$8*(HLOOKUP(AP$23,$G$18:$R$19,2,FALSE)*(1-$D$12)^($F34-'הנחות עבודה'!$C$5)/$D$11)/$D$11)</f>
        <v>0</v>
      </c>
      <c r="AQ34" s="52">
        <f ca="1">IF(OR($F34&gt;$D$5,$F34&gt;MAX('הנחות עבודה'!$B$69:$B$89)),0,(VLOOKUP($F34,'התפלגות ייצור וסל דלקים'!$B$64:$BV$84,AQ$2-$E$2,FALSE))*$D$9*$D$8*(HLOOKUP(AQ$23,$G$18:$R$19,2,FALSE)*(1-$D$12)^($F34-'הנחות עבודה'!$C$5)/$D$11)/$D$11)</f>
        <v>0</v>
      </c>
      <c r="AR34" s="127">
        <f ca="1">IF(OR($F34&gt;$D$5,$F34&gt;MAX('הנחות עבודה'!$B$69:$B$89)),0,(VLOOKUP($F34,'התפלגות ייצור וסל דלקים'!$B$64:$BV$84,AR$2-$E$2,FALSE))*$D$9*$D$8*(HLOOKUP(AR$23,$G$18:$R$19,2,FALSE)*(1-$D$12)^($F34-'הנחות עבודה'!$C$5)/$D$11)/$D$11)</f>
        <v>0</v>
      </c>
      <c r="AS34" s="127">
        <f ca="1">IF(OR($F34&gt;$D$5,$F34&gt;MAX('הנחות עבודה'!$B$69:$B$89)),0,(VLOOKUP($F34,'התפלגות ייצור וסל דלקים'!$B$64:$BV$84,AS$2-$E$2,FALSE))*$D$9*$D$8*(HLOOKUP(AS$23,$G$18:$R$19,2,FALSE)*(1-$D$12)^($F34-'הנחות עבודה'!$C$5)/$D$11)/$D$11)</f>
        <v>0</v>
      </c>
      <c r="AT34" s="127">
        <f ca="1">IF(OR($F34&gt;$D$5,$F34&gt;MAX('הנחות עבודה'!$B$69:$B$89)),0,(VLOOKUP($F34,'התפלגות ייצור וסל דלקים'!$B$64:$BV$84,AT$2-$E$2,FALSE))*$D$9*$D$8*(HLOOKUP(AT$23,$G$18:$R$19,2,FALSE)*(1-$D$12)^($F34-'הנחות עבודה'!$C$5)/$D$11)/$D$11)</f>
        <v>0</v>
      </c>
      <c r="AU34" s="127">
        <f ca="1">IF(OR($F34&gt;$D$5,$F34&gt;MAX('הנחות עבודה'!$B$69:$B$89)),0,(VLOOKUP($F34,'התפלגות ייצור וסל דלקים'!$B$64:$BV$84,AU$2-$E$2,FALSE))*$D$9*$D$8*(HLOOKUP(AU$23,$G$18:$R$19,2,FALSE)*(1-$D$12)^($F34-'הנחות עבודה'!$C$5)/$D$11)/$D$11)</f>
        <v>0</v>
      </c>
      <c r="AV34" s="127">
        <f ca="1">IF(OR($F34&gt;$D$5,$F34&gt;MAX('הנחות עבודה'!$B$69:$B$89)),0,(VLOOKUP($F34,'התפלגות ייצור וסל דלקים'!$B$64:$BV$84,AV$2-$E$2,FALSE))*$D$9*$D$8*(HLOOKUP(AV$23,$G$18:$R$19,2,FALSE)*(1-$D$12)^($F34-'הנחות עבודה'!$C$5)/$D$11)/$D$11)</f>
        <v>0</v>
      </c>
      <c r="AW34" s="52">
        <f ca="1">IF(OR($F34&gt;$D$5,$F34&gt;MAX('הנחות עבודה'!$B$69:$B$89)),0,(VLOOKUP($F34,'התפלגות ייצור וסל דלקים'!$B$64:$BV$84,AW$2-$E$2,FALSE))*$D$9*$D$8*(HLOOKUP(AW$23,$G$18:$R$19,2,FALSE)*(1-$D$12)^($F34-'הנחות עבודה'!$C$5)/$D$11)/$D$11)</f>
        <v>7.3064777399999983</v>
      </c>
      <c r="AX34" s="52">
        <f ca="1">IF(OR($F34&gt;$D$5,$F34&gt;MAX('הנחות עבודה'!$B$69:$B$89)),0,(VLOOKUP($F34,'התפלגות ייצור וסל דלקים'!$B$64:$BV$84,AX$2-$E$2,FALSE))*$D$9*$D$8*(HLOOKUP(AX$23,$G$18:$R$19,2,FALSE)*(1-$D$12)^($F34-'הנחות עבודה'!$C$5)/$D$11)/$D$11)</f>
        <v>21.09566846925</v>
      </c>
      <c r="AY34" s="52">
        <f ca="1">IF(OR($F34&gt;$D$5,$F34&gt;MAX('הנחות עבודה'!$B$69:$B$89)),0,(VLOOKUP($F34,'התפלגות ייצור וסל דלקים'!$B$64:$BV$84,AY$2-$E$2,FALSE))*$D$9*$D$8*(HLOOKUP(AY$23,$G$18:$R$19,2,FALSE)*(1-$D$12)^($F34-'הנחות עבודה'!$C$5)/$D$11)/$D$11)</f>
        <v>0</v>
      </c>
      <c r="AZ34" s="52">
        <f ca="1">IF(OR($F34&gt;$D$5,$F34&gt;MAX('הנחות עבודה'!$B$69:$B$89)),0,(VLOOKUP($F34,'התפלגות ייצור וסל דלקים'!$B$64:$BV$84,AZ$2-$E$2,FALSE))*$D$9*$D$8*(HLOOKUP(AZ$23,$G$18:$R$19,2,FALSE)*(1-$D$12)^($F34-'הנחות עבודה'!$C$5)/$D$11)/$D$11)</f>
        <v>0</v>
      </c>
      <c r="BA34" s="52">
        <f ca="1">IF(OR($F34&gt;$D$5,$F34&gt;MAX('הנחות עבודה'!$B$69:$B$89)),0,(VLOOKUP($F34,'התפלגות ייצור וסל דלקים'!$B$64:$BV$84,BA$2-$E$2,FALSE))*$D$9*$D$8*(HLOOKUP(BA$23,$G$18:$R$19,2,FALSE)*(1-$D$12)^($F34-'הנחות עבודה'!$C$5)/$D$11)/$D$11)</f>
        <v>0</v>
      </c>
      <c r="BB34" s="52">
        <f ca="1">IF(OR($F34&gt;$D$5,$F34&gt;MAX('הנחות עבודה'!$B$69:$B$89)),0,(VLOOKUP($F34,'התפלגות ייצור וסל דלקים'!$B$64:$BV$84,BB$2-$E$2,FALSE))*$D$9*$D$8*(HLOOKUP(BB$23,$G$18:$R$19,2,FALSE)*(1-$D$12)^($F34-'הנחות עבודה'!$C$5)/$D$11)/$D$11)</f>
        <v>0</v>
      </c>
      <c r="BC34" s="42">
        <f ca="1">IF(OR($F34&gt;$D$5,$F34&gt;MAX('הנחות עבודה'!$B$69:$B$89)),0,(VLOOKUP($F34,'התפלגות ייצור וסל דלקים'!$B$64:$BV$84,BC$2-$E$2,FALSE))*$D$9*$D$8*(HLOOKUP(BC$23,$G$18:$R$19,2,FALSE)*(1-$D$12)^($F34-'הנחות עבודה'!$C$5)/$D$11)/$D$11)</f>
        <v>0</v>
      </c>
      <c r="BD34" s="44">
        <f ca="1">IF(OR($F34&gt;$D$5,$F34&gt;MAX('הנחות עבודה'!$B$69:$B$89)),0,(VLOOKUP($F34,'התפלגות ייצור וסל דלקים'!$B$64:$BV$84,BD$2-$E$2,FALSE))*$D$9*$D$8*(HLOOKUP(BD$23,$G$18:$R$19,2,FALSE)*(1-$D$12)^($F34-'הנחות עבודה'!$C$5)/$D$11)/$D$11)</f>
        <v>0</v>
      </c>
      <c r="BE34" s="44">
        <f ca="1">IF(OR($F34&gt;$D$5,$F34&gt;MAX('הנחות עבודה'!$B$69:$B$89)),0,(VLOOKUP($F34,'התפלגות ייצור וסל דלקים'!$B$64:$BV$84,BE$2-$E$2,FALSE))*$D$9*$D$8*(HLOOKUP(BE$23,$G$18:$R$19,2,FALSE)*(1-$D$12)^($F34-'הנחות עבודה'!$C$5)/$D$11)/$D$11)</f>
        <v>0</v>
      </c>
      <c r="BF34" s="44">
        <f ca="1">IF(OR($F34&gt;$D$5,$F34&gt;MAX('הנחות עבודה'!$B$69:$B$89)),0,(VLOOKUP($F34,'התפלגות ייצור וסל דלקים'!$B$64:$BV$84,BF$2-$E$2,FALSE))*$D$9*$D$8*(HLOOKUP(BF$23,$G$18:$R$19,2,FALSE)*(1-$D$12)^($F34-'הנחות עבודה'!$C$5)/$D$11)/$D$11)</f>
        <v>0</v>
      </c>
      <c r="BG34" s="44">
        <f ca="1">IF(OR($F34&gt;$D$5,$F34&gt;MAX('הנחות עבודה'!$B$69:$B$89)),0,(VLOOKUP($F34,'התפלגות ייצור וסל דלקים'!$B$64:$BV$84,BG$2-$E$2,FALSE))*$D$9*$D$8*(HLOOKUP(BG$23,$G$18:$R$19,2,FALSE)*(1-$D$12)^($F34-'הנחות עבודה'!$C$5)/$D$11)/$D$11)</f>
        <v>0</v>
      </c>
      <c r="BH34" s="44">
        <f ca="1">IF(OR($F34&gt;$D$5,$F34&gt;MAX('הנחות עבודה'!$B$69:$B$89)),0,(VLOOKUP($F34,'התפלגות ייצור וסל דלקים'!$B$64:$BV$84,BH$2-$E$2,FALSE))*$D$9*$D$8*(HLOOKUP(BH$23,$G$18:$R$19,2,FALSE)*(1-$D$12)^($F34-'הנחות עבודה'!$C$5)/$D$11)/$D$11)</f>
        <v>0</v>
      </c>
      <c r="BI34" s="42">
        <f ca="1">IF(OR($F34&gt;$D$5,$F34&gt;MAX('הנחות עבודה'!$B$69:$B$89)),0,(VLOOKUP($F34,'התפלגות ייצור וסל דלקים'!$B$64:$BV$84,BI$2-$E$2,FALSE))*$D$9*$D$8*(HLOOKUP(BI$23,$G$18:$R$19,2,FALSE)*(1-$D$12)^($F34-'הנחות עבודה'!$C$5)/$D$11)/$D$11)</f>
        <v>7.4427479999999999</v>
      </c>
      <c r="BJ34" s="42">
        <f ca="1">IF(OR($F34&gt;$D$5,$F34&gt;MAX('הנחות עבודה'!$B$69:$B$89)),0,(VLOOKUP($F34,'התפלגות ייצור וסל דלקים'!$B$64:$BV$84,BJ$2-$E$2,FALSE))*$D$9*$D$8*(HLOOKUP(BJ$23,$G$18:$R$19,2,FALSE)*(1-$D$12)^($F34-'הנחות עבודה'!$C$5)/$D$11)/$D$11)</f>
        <v>19.206900807299995</v>
      </c>
      <c r="BK34" s="42">
        <f ca="1">IF(OR($F34&gt;$D$5,$F34&gt;MAX('הנחות עבודה'!$B$69:$B$89)),0,(VLOOKUP($F34,'התפלגות ייצור וסל דלקים'!$B$64:$BV$84,BK$2-$E$2,FALSE))*$D$9*$D$8*(HLOOKUP(BK$23,$G$18:$R$19,2,FALSE)*(1-$D$12)^($F34-'הנחות עבודה'!$C$5)/$D$11)/$D$11)</f>
        <v>0</v>
      </c>
      <c r="BL34" s="42">
        <f ca="1">IF(OR($F34&gt;$D$5,$F34&gt;MAX('הנחות עבודה'!$B$69:$B$89)),0,(VLOOKUP($F34,'התפלגות ייצור וסל דלקים'!$B$64:$BV$84,BL$2-$E$2,FALSE))*$D$9*$D$8*(HLOOKUP(BL$23,$G$18:$R$19,2,FALSE)*(1-$D$12)^($F34-'הנחות עבודה'!$C$5)/$D$11)/$D$11)</f>
        <v>0</v>
      </c>
      <c r="BM34" s="42">
        <f ca="1">IF(OR($F34&gt;$D$5,$F34&gt;MAX('הנחות עבודה'!$B$69:$B$89)),0,(VLOOKUP($F34,'התפלגות ייצור וסל דלקים'!$B$64:$BV$84,BM$2-$E$2,FALSE))*$D$9*$D$8*(HLOOKUP(BM$23,$G$18:$R$19,2,FALSE)*(1-$D$12)^($F34-'הנחות עבודה'!$C$5)/$D$11)/$D$11)</f>
        <v>0</v>
      </c>
      <c r="BN34" s="42">
        <f ca="1">IF(OR($F34&gt;$D$5,$F34&gt;MAX('הנחות עבודה'!$B$69:$B$89)),0,(VLOOKUP($F34,'התפלגות ייצור וסל דלקים'!$B$64:$BV$84,BN$2-$E$2,FALSE))*$D$9*$D$8*(HLOOKUP(BN$23,$G$18:$R$19,2,FALSE)*(1-$D$12)^($F34-'הנחות עבודה'!$C$5)/$D$11)/$D$11)</f>
        <v>0</v>
      </c>
      <c r="BO34" s="52">
        <f ca="1">IF(OR($F34&gt;$D$5,$F34&gt;MAX('הנחות עבודה'!$B$69:$B$89)),0,(VLOOKUP($F34,'התפלגות ייצור וסל דלקים'!$B$64:$BV$84,BO$2-$E$2,FALSE))*$D$9*$D$8*(HLOOKUP(BO$23,$G$18:$R$19,2,FALSE)*(1-$D$12)^($F34-'הנחות עבודה'!$C$5)/$D$11)/$D$11)</f>
        <v>0</v>
      </c>
      <c r="BP34" s="127">
        <f ca="1">IF(OR($F34&gt;$D$5,$F34&gt;MAX('הנחות עבודה'!$B$69:$B$89)),0,(VLOOKUP($F34,'התפלגות ייצור וסל דלקים'!$B$64:$BV$84,BP$2-$E$2,FALSE))*$D$9*$D$8*(HLOOKUP(BP$23,$G$18:$R$19,2,FALSE)*(1-$D$12)^($F34-'הנחות עבודה'!$C$5)/$D$11)/$D$11)</f>
        <v>0</v>
      </c>
      <c r="BQ34" s="127">
        <f ca="1">IF(OR($F34&gt;$D$5,$F34&gt;MAX('הנחות עבודה'!$B$69:$B$89)),0,(VLOOKUP($F34,'התפלגות ייצור וסל דלקים'!$B$64:$BV$84,BQ$2-$E$2,FALSE))*$D$9*$D$8*(HLOOKUP(BQ$23,$G$18:$R$19,2,FALSE)*(1-$D$12)^($F34-'הנחות עבודה'!$C$5)/$D$11)/$D$11)</f>
        <v>0</v>
      </c>
      <c r="BR34" s="127">
        <f ca="1">IF(OR($F34&gt;$D$5,$F34&gt;MAX('הנחות עבודה'!$B$69:$B$89)),0,(VLOOKUP($F34,'התפלגות ייצור וסל דלקים'!$B$64:$BV$84,BR$2-$E$2,FALSE))*$D$9*$D$8*(HLOOKUP(BR$23,$G$18:$R$19,2,FALSE)*(1-$D$12)^($F34-'הנחות עבודה'!$C$5)/$D$11)/$D$11)</f>
        <v>0</v>
      </c>
      <c r="BS34" s="127">
        <f ca="1">IF(OR($F34&gt;$D$5,$F34&gt;MAX('הנחות עבודה'!$B$69:$B$89)),0,(VLOOKUP($F34,'התפלגות ייצור וסל דלקים'!$B$64:$BV$84,BS$2-$E$2,FALSE))*$D$9*$D$8*(HLOOKUP(BS$23,$G$18:$R$19,2,FALSE)*(1-$D$12)^($F34-'הנחות עבודה'!$C$5)/$D$11)/$D$11)</f>
        <v>0</v>
      </c>
      <c r="BT34" s="127">
        <f ca="1">IF(OR($F34&gt;$D$5,$F34&gt;MAX('הנחות עבודה'!$B$69:$B$89)),0,(VLOOKUP($F34,'התפלגות ייצור וסל דלקים'!$B$64:$BV$84,BT$2-$E$2,FALSE))*$D$9*$D$8*(HLOOKUP(BT$23,$G$18:$R$19,2,FALSE)*(1-$D$12)^($F34-'הנחות עבודה'!$C$5)/$D$11)/$D$11)</f>
        <v>0</v>
      </c>
      <c r="BU34" s="52">
        <f ca="1">IF(OR($F34&gt;$D$5,$F34&gt;MAX('הנחות עבודה'!$B$69:$B$89)),0,(VLOOKUP($F34,'התפלגות ייצור וסל דלקים'!$B$64:$BV$84,BU$2-$E$2,FALSE))*$D$9*$D$8*(HLOOKUP(BU$23,$G$18:$R$19,2,FALSE)*(1-$D$12)^($F34-'הנחות עבודה'!$C$5)/$D$11)/$D$11)</f>
        <v>7.4427479999999999</v>
      </c>
      <c r="BV34" s="52">
        <f ca="1">IF(OR($F34&gt;$D$5,$F34&gt;MAX('הנחות עבודה'!$B$69:$B$89)),0,(VLOOKUP($F34,'התפלגות ייצור וסל דלקים'!$B$64:$BV$84,BV$2-$E$2,FALSE))*$D$9*$D$8*(HLOOKUP(BV$23,$G$18:$R$19,2,FALSE)*(1-$D$12)^($F34-'הנחות עבודה'!$C$5)/$D$11)/$D$11)</f>
        <v>19.206900807299995</v>
      </c>
      <c r="BW34" s="52">
        <f ca="1">IF(OR($F34&gt;$D$5,$F34&gt;MAX('הנחות עבודה'!$B$69:$B$89)),0,(VLOOKUP($F34,'התפלגות ייצור וסל דלקים'!$B$64:$BV$84,BW$2-$E$2,FALSE))*$D$9*$D$8*(HLOOKUP(BW$23,$G$18:$R$19,2,FALSE)*(1-$D$12)^($F34-'הנחות עבודה'!$C$5)/$D$11)/$D$11)</f>
        <v>0</v>
      </c>
      <c r="BX34" s="52">
        <f ca="1">IF(OR($F34&gt;$D$5,$F34&gt;MAX('הנחות עבודה'!$B$69:$B$89)),0,(VLOOKUP($F34,'התפלגות ייצור וסל דלקים'!$B$64:$BV$84,BX$2-$E$2,FALSE))*$D$9*$D$8*(HLOOKUP(BX$23,$G$18:$R$19,2,FALSE)*(1-$D$12)^($F34-'הנחות עבודה'!$C$5)/$D$11)/$D$11)</f>
        <v>0</v>
      </c>
      <c r="BY34" s="52">
        <f ca="1">IF(OR($F34&gt;$D$5,$F34&gt;MAX('הנחות עבודה'!$B$69:$B$89)),0,(VLOOKUP($F34,'התפלגות ייצור וסל דלקים'!$B$64:$BV$84,BY$2-$E$2,FALSE))*$D$9*$D$8*(HLOOKUP(BY$23,$G$18:$R$19,2,FALSE)*(1-$D$12)^($F34-'הנחות עבודה'!$C$5)/$D$11)/$D$11)</f>
        <v>0</v>
      </c>
      <c r="BZ34" s="52">
        <f ca="1">IF(OR($F34&gt;$D$5,$F34&gt;MAX('הנחות עבודה'!$B$69:$B$89)),0,(VLOOKUP($F34,'התפלגות ייצור וסל דלקים'!$B$64:$BV$84,BZ$2-$E$2,FALSE))*$D$9*$D$8*(HLOOKUP(BZ$23,$G$18:$R$19,2,FALSE)*(1-$D$12)^($F34-'הנחות עבודה'!$C$5)/$D$11)/$D$11)</f>
        <v>0</v>
      </c>
    </row>
    <row r="35" spans="6:78" ht="15.75">
      <c r="F35" s="10">
        <f t="shared" si="115"/>
        <v>2031</v>
      </c>
      <c r="G35" s="42">
        <f ca="1">IF(OR($F35&gt;$D$5,$F35&gt;MAX('הנחות עבודה'!$B$69:$B$89)),0,(VLOOKUP($F35,'התפלגות ייצור וסל דלקים'!$B$64:$BV$84,G$2-$E$2,FALSE))*$D$9*$D$8*(HLOOKUP(G$23,$G$18:$R$19,2,FALSE)*(1-$D$12)^($F35-'הנחות עבודה'!$C$5)/$D$11)/$D$11)</f>
        <v>0</v>
      </c>
      <c r="H35" s="44">
        <f ca="1">IF(OR($F35&gt;$D$5,$F35&gt;MAX('הנחות עבודה'!$B$69:$B$89)),0,(VLOOKUP($F35,'התפלגות ייצור וסל דלקים'!$B$64:$BV$84,H$2-$E$2,FALSE))*$D$9*$D$8*(HLOOKUP(H$23,$G$18:$R$19,2,FALSE)*(1-$D$12)^($F35-'הנחות עבודה'!$C$5)/$D$11)/$D$11)</f>
        <v>0</v>
      </c>
      <c r="I35" s="44">
        <f ca="1">IF(OR($F35&gt;$D$5,$F35&gt;MAX('הנחות עבודה'!$B$69:$B$89)),0,(VLOOKUP($F35,'התפלגות ייצור וסל דלקים'!$B$64:$BV$84,I$2-$E$2,FALSE))*$D$9*$D$8*(HLOOKUP(I$23,$G$18:$R$19,2,FALSE)*(1-$D$12)^($F35-'הנחות עבודה'!$C$5)/$D$11)/$D$11)</f>
        <v>0</v>
      </c>
      <c r="J35" s="44">
        <f ca="1">IF(OR($F35&gt;$D$5,$F35&gt;MAX('הנחות עבודה'!$B$69:$B$89)),0,(VLOOKUP($F35,'התפלגות ייצור וסל דלקים'!$B$64:$BV$84,J$2-$E$2,FALSE))*$D$9*$D$8*(HLOOKUP(J$23,$G$18:$R$19,2,FALSE)*(1-$D$12)^($F35-'הנחות עבודה'!$C$5)/$D$11)/$D$11)</f>
        <v>0</v>
      </c>
      <c r="K35" s="44">
        <f ca="1">IF(OR($F35&gt;$D$5,$F35&gt;MAX('הנחות עבודה'!$B$69:$B$89)),0,(VLOOKUP($F35,'התפלגות ייצור וסל דלקים'!$B$64:$BV$84,K$2-$E$2,FALSE))*$D$9*$D$8*(HLOOKUP(K$23,$G$18:$R$19,2,FALSE)*(1-$D$12)^($F35-'הנחות עבודה'!$C$5)/$D$11)/$D$11)</f>
        <v>0</v>
      </c>
      <c r="L35" s="44">
        <f ca="1">IF(OR($F35&gt;$D$5,$F35&gt;MAX('הנחות עבודה'!$B$69:$B$89)),0,(VLOOKUP($F35,'התפלגות ייצור וסל דלקים'!$B$64:$BV$84,L$2-$E$2,FALSE))*$D$9*$D$8*(HLOOKUP(L$23,$G$18:$R$19,2,FALSE)*(1-$D$12)^($F35-'הנחות עבודה'!$C$5)/$D$11)/$D$11)</f>
        <v>0</v>
      </c>
      <c r="M35" s="42">
        <f ca="1">IF(OR($F35&gt;$D$5,$F35&gt;MAX('הנחות עבודה'!$B$69:$B$89)),0,(VLOOKUP($F35,'התפלגות ייצור וסל דלקים'!$B$64:$BV$84,M$2-$E$2,FALSE))*$D$9*$D$8*(HLOOKUP(M$23,$G$18:$R$19,2,FALSE)*(1-$D$12)^($F35-'הנחות עבודה'!$C$5)/$D$11)/$D$11)</f>
        <v>6.8715448199999996</v>
      </c>
      <c r="N35" s="42">
        <f ca="1">IF(OR($F35&gt;$D$5,$F35&gt;MAX('הנחות עבודה'!$B$69:$B$89)),0,(VLOOKUP($F35,'התפלגות ייצור וסל דלקים'!$B$64:$BV$84,N$2-$E$2,FALSE))*$D$9*$D$8*(HLOOKUP(N$23,$G$18:$R$19,2,FALSE)*(1-$D$12)^($F35-'הנחות עבודה'!$C$5)/$D$11)/$D$11)</f>
        <v>25.413810398483765</v>
      </c>
      <c r="O35" s="42">
        <f ca="1">IF(OR($F35&gt;$D$5,$F35&gt;MAX('הנחות עבודה'!$B$69:$B$89)),0,(VLOOKUP($F35,'התפלגות ייצור וסל דלקים'!$B$64:$BV$84,O$2-$E$2,FALSE))*$D$9*$D$8*(HLOOKUP(O$23,$G$18:$R$19,2,FALSE)*(1-$D$12)^($F35-'הנחות עבודה'!$C$5)/$D$11)/$D$11)</f>
        <v>0</v>
      </c>
      <c r="P35" s="43">
        <f ca="1">IF(OR($F35&gt;$D$5,$F35&gt;MAX('הנחות עבודה'!$B$69:$B$89)),0,(VLOOKUP($F35,'התפלגות ייצור וסל דלקים'!$B$64:$BV$84,P$2-$E$2,FALSE))*$D$9*$D$8*(HLOOKUP(P$23,$G$18:$R$19,2,FALSE)*(1-$D$12)^($F35-'הנחות עבודה'!$C$5)/$D$11)/$D$11)</f>
        <v>0</v>
      </c>
      <c r="Q35" s="42">
        <f ca="1">IF(OR($F35&gt;$D$5,$F35&gt;MAX('הנחות עבודה'!$B$69:$B$89)),0,(VLOOKUP($F35,'התפלגות ייצור וסל דלקים'!$B$64:$BV$84,Q$2-$E$2,FALSE))*$D$9*$D$8*(HLOOKUP(Q$23,$G$18:$R$19,2,FALSE)*(1-$D$12)^($F35-'הנחות עבודה'!$C$5)/$D$11)/$D$11)</f>
        <v>0</v>
      </c>
      <c r="R35" s="43">
        <f ca="1">IF(OR($F35&gt;$D$5,$F35&gt;MAX('הנחות עבודה'!$B$69:$B$89)),0,(VLOOKUP($F35,'התפלגות ייצור וסל דלקים'!$B$64:$BV$84,R$2-$E$2,FALSE))*$D$9*$D$8*(HLOOKUP(R$23,$G$18:$R$19,2,FALSE)*(1-$D$12)^($F35-'הנחות עבודה'!$C$5)/$D$11)/$D$11)</f>
        <v>0</v>
      </c>
      <c r="S35" s="52">
        <f ca="1">IF(OR($F35&gt;$D$5,$F35&gt;MAX('הנחות עבודה'!$B$69:$B$89)),0,(VLOOKUP($F35,'התפלגות ייצור וסל דלקים'!$B$64:$BV$84,S$2-$E$2,FALSE))*$D$9*$D$8*(HLOOKUP(S$23,$G$18:$R$19,2,FALSE)*(1-$D$12)^($F35-'הנחות עבודה'!$C$5)/$D$11)/$D$11)</f>
        <v>0</v>
      </c>
      <c r="T35" s="127">
        <f ca="1">IF(OR($F35&gt;$D$5,$F35&gt;MAX('הנחות עבודה'!$B$69:$B$89)),0,(VLOOKUP($F35,'התפלגות ייצור וסל דלקים'!$B$64:$BV$84,T$2-$E$2,FALSE))*$D$9*$D$8*(HLOOKUP(T$23,$G$18:$R$19,2,FALSE)*(1-$D$12)^($F35-'הנחות עבודה'!$C$5)/$D$11)/$D$11)</f>
        <v>0</v>
      </c>
      <c r="U35" s="127">
        <f ca="1">IF(OR($F35&gt;$D$5,$F35&gt;MAX('הנחות עבודה'!$B$69:$B$89)),0,(VLOOKUP($F35,'התפלגות ייצור וסל דלקים'!$B$64:$BV$84,U$2-$E$2,FALSE))*$D$9*$D$8*(HLOOKUP(U$23,$G$18:$R$19,2,FALSE)*(1-$D$12)^($F35-'הנחות עבודה'!$C$5)/$D$11)/$D$11)</f>
        <v>0</v>
      </c>
      <c r="V35" s="127">
        <f ca="1">IF(OR($F35&gt;$D$5,$F35&gt;MAX('הנחות עבודה'!$B$69:$B$89)),0,(VLOOKUP($F35,'התפלגות ייצור וסל דלקים'!$B$64:$BV$84,V$2-$E$2,FALSE))*$D$9*$D$8*(HLOOKUP(V$23,$G$18:$R$19,2,FALSE)*(1-$D$12)^($F35-'הנחות עבודה'!$C$5)/$D$11)/$D$11)</f>
        <v>0</v>
      </c>
      <c r="W35" s="127">
        <f ca="1">IF(OR($F35&gt;$D$5,$F35&gt;MAX('הנחות עבודה'!$B$69:$B$89)),0,(VLOOKUP($F35,'התפלגות ייצור וסל דלקים'!$B$64:$BV$84,W$2-$E$2,FALSE))*$D$9*$D$8*(HLOOKUP(W$23,$G$18:$R$19,2,FALSE)*(1-$D$12)^($F35-'הנחות עבודה'!$C$5)/$D$11)/$D$11)</f>
        <v>0</v>
      </c>
      <c r="X35" s="127">
        <f ca="1">IF(OR($F35&gt;$D$5,$F35&gt;MAX('הנחות עבודה'!$B$69:$B$89)),0,(VLOOKUP($F35,'התפלגות ייצור וסל דלקים'!$B$64:$BV$84,X$2-$E$2,FALSE))*$D$9*$D$8*(HLOOKUP(X$23,$G$18:$R$19,2,FALSE)*(1-$D$12)^($F35-'הנחות עבודה'!$C$5)/$D$11)/$D$11)</f>
        <v>0</v>
      </c>
      <c r="Y35" s="52">
        <f ca="1">IF(OR($F35&gt;$D$5,$F35&gt;MAX('הנחות עבודה'!$B$69:$B$89)),0,(VLOOKUP($F35,'התפלגות ייצור וסל דלקים'!$B$64:$BV$84,Y$2-$E$2,FALSE))*$D$9*$D$8*(HLOOKUP(Y$23,$G$18:$R$19,2,FALSE)*(1-$D$12)^($F35-'הנחות עבודה'!$C$5)/$D$11)/$D$11)</f>
        <v>6.8715448199999996</v>
      </c>
      <c r="Z35" s="52">
        <f ca="1">IF(OR($F35&gt;$D$5,$F35&gt;MAX('הנחות עבודה'!$B$69:$B$89)),0,(VLOOKUP($F35,'התפלגות ייצור וסל דלקים'!$B$64:$BV$84,Z$2-$E$2,FALSE))*$D$9*$D$8*(HLOOKUP(Z$23,$G$18:$R$19,2,FALSE)*(1-$D$12)^($F35-'הנחות עבודה'!$C$5)/$D$11)/$D$11)</f>
        <v>25.413810398483765</v>
      </c>
      <c r="AA35" s="52">
        <f ca="1">IF(OR($F35&gt;$D$5,$F35&gt;MAX('הנחות עבודה'!$B$69:$B$89)),0,(VLOOKUP($F35,'התפלגות ייצור וסל דלקים'!$B$64:$BV$84,AA$2-$E$2,FALSE))*$D$9*$D$8*(HLOOKUP(AA$23,$G$18:$R$19,2,FALSE)*(1-$D$12)^($F35-'הנחות עבודה'!$C$5)/$D$11)/$D$11)</f>
        <v>0</v>
      </c>
      <c r="AB35" s="52">
        <f ca="1">IF(OR($F35&gt;$D$5,$F35&gt;MAX('הנחות עבודה'!$B$69:$B$89)),0,(VLOOKUP($F35,'התפלגות ייצור וסל דלקים'!$B$64:$BV$84,AB$2-$E$2,FALSE))*$D$9*$D$8*(HLOOKUP(AB$23,$G$18:$R$19,2,FALSE)*(1-$D$12)^($F35-'הנחות עבודה'!$C$5)/$D$11)/$D$11)</f>
        <v>0</v>
      </c>
      <c r="AC35" s="52">
        <f ca="1">IF(OR($F35&gt;$D$5,$F35&gt;MAX('הנחות עבודה'!$B$69:$B$89)),0,(VLOOKUP($F35,'התפלגות ייצור וסל דלקים'!$B$64:$BV$84,AC$2-$E$2,FALSE))*$D$9*$D$8*(HLOOKUP(AC$23,$G$18:$R$19,2,FALSE)*(1-$D$12)^($F35-'הנחות עבודה'!$C$5)/$D$11)/$D$11)</f>
        <v>0</v>
      </c>
      <c r="AD35" s="52">
        <f ca="1">IF(OR($F35&gt;$D$5,$F35&gt;MAX('הנחות עבודה'!$B$69:$B$89)),0,(VLOOKUP($F35,'התפלגות ייצור וסל דלקים'!$B$64:$BV$84,AD$2-$E$2,FALSE))*$D$9*$D$8*(HLOOKUP(AD$23,$G$18:$R$19,2,FALSE)*(1-$D$12)^($F35-'הנחות עבודה'!$C$5)/$D$11)/$D$11)</f>
        <v>0</v>
      </c>
      <c r="AE35" s="42">
        <f ca="1">IF(OR($F35&gt;$D$5,$F35&gt;MAX('הנחות עבודה'!$B$69:$B$89)),0,(VLOOKUP($F35,'התפלגות ייצור וסל דלקים'!$B$64:$BV$84,AE$2-$E$2,FALSE))*$D$9*$D$8*(HLOOKUP(AE$23,$G$18:$R$19,2,FALSE)*(1-$D$12)^($F35-'הנחות עבודה'!$C$5)/$D$11)/$D$11)</f>
        <v>0</v>
      </c>
      <c r="AF35" s="44">
        <f ca="1">IF(OR($F35&gt;$D$5,$F35&gt;MAX('הנחות עבודה'!$B$69:$B$89)),0,(VLOOKUP($F35,'התפלגות ייצור וסל דלקים'!$B$64:$BV$84,AF$2-$E$2,FALSE))*$D$9*$D$8*(HLOOKUP(AF$23,$G$18:$R$19,2,FALSE)*(1-$D$12)^($F35-'הנחות עבודה'!$C$5)/$D$11)/$D$11)</f>
        <v>0</v>
      </c>
      <c r="AG35" s="44">
        <f ca="1">IF(OR($F35&gt;$D$5,$F35&gt;MAX('הנחות עבודה'!$B$69:$B$89)),0,(VLOOKUP($F35,'התפלגות ייצור וסל דלקים'!$B$64:$BV$84,AG$2-$E$2,FALSE))*$D$9*$D$8*(HLOOKUP(AG$23,$G$18:$R$19,2,FALSE)*(1-$D$12)^($F35-'הנחות עבודה'!$C$5)/$D$11)/$D$11)</f>
        <v>0</v>
      </c>
      <c r="AH35" s="44">
        <f ca="1">IF(OR($F35&gt;$D$5,$F35&gt;MAX('הנחות עבודה'!$B$69:$B$89)),0,(VLOOKUP($F35,'התפלגות ייצור וסל דלקים'!$B$64:$BV$84,AH$2-$E$2,FALSE))*$D$9*$D$8*(HLOOKUP(AH$23,$G$18:$R$19,2,FALSE)*(1-$D$12)^($F35-'הנחות עבודה'!$C$5)/$D$11)/$D$11)</f>
        <v>0</v>
      </c>
      <c r="AI35" s="44">
        <f ca="1">IF(OR($F35&gt;$D$5,$F35&gt;MAX('הנחות עבודה'!$B$69:$B$89)),0,(VLOOKUP($F35,'התפלגות ייצור וסל דלקים'!$B$64:$BV$84,AI$2-$E$2,FALSE))*$D$9*$D$8*(HLOOKUP(AI$23,$G$18:$R$19,2,FALSE)*(1-$D$12)^($F35-'הנחות עבודה'!$C$5)/$D$11)/$D$11)</f>
        <v>0</v>
      </c>
      <c r="AJ35" s="44">
        <f ca="1">IF(OR($F35&gt;$D$5,$F35&gt;MAX('הנחות עבודה'!$B$69:$B$89)),0,(VLOOKUP($F35,'התפלגות ייצור וסל דלקים'!$B$64:$BV$84,AJ$2-$E$2,FALSE))*$D$9*$D$8*(HLOOKUP(AJ$23,$G$18:$R$19,2,FALSE)*(1-$D$12)^($F35-'הנחות עבודה'!$C$5)/$D$11)/$D$11)</f>
        <v>0</v>
      </c>
      <c r="AK35" s="42">
        <f ca="1">IF(OR($F35&gt;$D$5,$F35&gt;MAX('הנחות עבודה'!$B$69:$B$89)),0,(VLOOKUP($F35,'התפלגות ייצור וסל דלקים'!$B$64:$BV$84,AK$2-$E$2,FALSE))*$D$9*$D$8*(HLOOKUP(AK$23,$G$18:$R$19,2,FALSE)*(1-$D$12)^($F35-'הנחות עבודה'!$C$5)/$D$11)/$D$11)</f>
        <v>7.2993629999999996</v>
      </c>
      <c r="AL35" s="42">
        <f ca="1">IF(OR($F35&gt;$D$5,$F35&gt;MAX('הנחות עבודה'!$B$69:$B$89)),0,(VLOOKUP($F35,'התפלגות ייצור וסל דלקים'!$B$64:$BV$84,AL$2-$E$2,FALSE))*$D$9*$D$8*(HLOOKUP(AL$23,$G$18:$R$19,2,FALSE)*(1-$D$12)^($F35-'הנחות עבודה'!$C$5)/$D$11)/$D$11)</f>
        <v>22.227083782998481</v>
      </c>
      <c r="AM35" s="42">
        <f ca="1">IF(OR($F35&gt;$D$5,$F35&gt;MAX('הנחות עבודה'!$B$69:$B$89)),0,(VLOOKUP($F35,'התפלגות ייצור וסל דלקים'!$B$64:$BV$84,AM$2-$E$2,FALSE))*$D$9*$D$8*(HLOOKUP(AM$23,$G$18:$R$19,2,FALSE)*(1-$D$12)^($F35-'הנחות עבודה'!$C$5)/$D$11)/$D$11)</f>
        <v>0</v>
      </c>
      <c r="AN35" s="43">
        <f ca="1">IF(OR($F35&gt;$D$5,$F35&gt;MAX('הנחות עבודה'!$B$69:$B$89)),0,(VLOOKUP($F35,'התפלגות ייצור וסל דלקים'!$B$64:$BV$84,AN$2-$E$2,FALSE))*$D$9*$D$8*(HLOOKUP(AN$23,$G$18:$R$19,2,FALSE)*(1-$D$12)^($F35-'הנחות עבודה'!$C$5)/$D$11)/$D$11)</f>
        <v>0</v>
      </c>
      <c r="AO35" s="42">
        <f ca="1">IF(OR($F35&gt;$D$5,$F35&gt;MAX('הנחות עבודה'!$B$69:$B$89)),0,(VLOOKUP($F35,'התפלגות ייצור וסל דלקים'!$B$64:$BV$84,AO$2-$E$2,FALSE))*$D$9*$D$8*(HLOOKUP(AO$23,$G$18:$R$19,2,FALSE)*(1-$D$12)^($F35-'הנחות עבודה'!$C$5)/$D$11)/$D$11)</f>
        <v>0</v>
      </c>
      <c r="AP35" s="43">
        <f ca="1">IF(OR($F35&gt;$D$5,$F35&gt;MAX('הנחות עבודה'!$B$69:$B$89)),0,(VLOOKUP($F35,'התפלגות ייצור וסל דלקים'!$B$64:$BV$84,AP$2-$E$2,FALSE))*$D$9*$D$8*(HLOOKUP(AP$23,$G$18:$R$19,2,FALSE)*(1-$D$12)^($F35-'הנחות עבודה'!$C$5)/$D$11)/$D$11)</f>
        <v>0</v>
      </c>
      <c r="AQ35" s="52">
        <f ca="1">IF(OR($F35&gt;$D$5,$F35&gt;MAX('הנחות עבודה'!$B$69:$B$89)),0,(VLOOKUP($F35,'התפלגות ייצור וסל דלקים'!$B$64:$BV$84,AQ$2-$E$2,FALSE))*$D$9*$D$8*(HLOOKUP(AQ$23,$G$18:$R$19,2,FALSE)*(1-$D$12)^($F35-'הנחות עבודה'!$C$5)/$D$11)/$D$11)</f>
        <v>0</v>
      </c>
      <c r="AR35" s="127">
        <f ca="1">IF(OR($F35&gt;$D$5,$F35&gt;MAX('הנחות עבודה'!$B$69:$B$89)),0,(VLOOKUP($F35,'התפלגות ייצור וסל דלקים'!$B$64:$BV$84,AR$2-$E$2,FALSE))*$D$9*$D$8*(HLOOKUP(AR$23,$G$18:$R$19,2,FALSE)*(1-$D$12)^($F35-'הנחות עבודה'!$C$5)/$D$11)/$D$11)</f>
        <v>0</v>
      </c>
      <c r="AS35" s="127">
        <f ca="1">IF(OR($F35&gt;$D$5,$F35&gt;MAX('הנחות עבודה'!$B$69:$B$89)),0,(VLOOKUP($F35,'התפלגות ייצור וסל דלקים'!$B$64:$BV$84,AS$2-$E$2,FALSE))*$D$9*$D$8*(HLOOKUP(AS$23,$G$18:$R$19,2,FALSE)*(1-$D$12)^($F35-'הנחות עבודה'!$C$5)/$D$11)/$D$11)</f>
        <v>0</v>
      </c>
      <c r="AT35" s="127">
        <f ca="1">IF(OR($F35&gt;$D$5,$F35&gt;MAX('הנחות עבודה'!$B$69:$B$89)),0,(VLOOKUP($F35,'התפלגות ייצור וסל דלקים'!$B$64:$BV$84,AT$2-$E$2,FALSE))*$D$9*$D$8*(HLOOKUP(AT$23,$G$18:$R$19,2,FALSE)*(1-$D$12)^($F35-'הנחות עבודה'!$C$5)/$D$11)/$D$11)</f>
        <v>0</v>
      </c>
      <c r="AU35" s="127">
        <f ca="1">IF(OR($F35&gt;$D$5,$F35&gt;MAX('הנחות עבודה'!$B$69:$B$89)),0,(VLOOKUP($F35,'התפלגות ייצור וסל דלקים'!$B$64:$BV$84,AU$2-$E$2,FALSE))*$D$9*$D$8*(HLOOKUP(AU$23,$G$18:$R$19,2,FALSE)*(1-$D$12)^($F35-'הנחות עבודה'!$C$5)/$D$11)/$D$11)</f>
        <v>0</v>
      </c>
      <c r="AV35" s="127">
        <f ca="1">IF(OR($F35&gt;$D$5,$F35&gt;MAX('הנחות עבודה'!$B$69:$B$89)),0,(VLOOKUP($F35,'התפלגות ייצור וסל דלקים'!$B$64:$BV$84,AV$2-$E$2,FALSE))*$D$9*$D$8*(HLOOKUP(AV$23,$G$18:$R$19,2,FALSE)*(1-$D$12)^($F35-'הנחות עבודה'!$C$5)/$D$11)/$D$11)</f>
        <v>0</v>
      </c>
      <c r="AW35" s="52">
        <f ca="1">IF(OR($F35&gt;$D$5,$F35&gt;MAX('הנחות עבודה'!$B$69:$B$89)),0,(VLOOKUP($F35,'התפלגות ייצור וסל דלקים'!$B$64:$BV$84,AW$2-$E$2,FALSE))*$D$9*$D$8*(HLOOKUP(AW$23,$G$18:$R$19,2,FALSE)*(1-$D$12)^($F35-'הנחות עבודה'!$C$5)/$D$11)/$D$11)</f>
        <v>7.2993629999999996</v>
      </c>
      <c r="AX35" s="52">
        <f ca="1">IF(OR($F35&gt;$D$5,$F35&gt;MAX('הנחות עבודה'!$B$69:$B$89)),0,(VLOOKUP($F35,'התפלגות ייצור וסל דלקים'!$B$64:$BV$84,AX$2-$E$2,FALSE))*$D$9*$D$8*(HLOOKUP(AX$23,$G$18:$R$19,2,FALSE)*(1-$D$12)^($F35-'הנחות עבודה'!$C$5)/$D$11)/$D$11)</f>
        <v>22.227083782998481</v>
      </c>
      <c r="AY35" s="52">
        <f ca="1">IF(OR($F35&gt;$D$5,$F35&gt;MAX('הנחות עבודה'!$B$69:$B$89)),0,(VLOOKUP($F35,'התפלגות ייצור וסל דלקים'!$B$64:$BV$84,AY$2-$E$2,FALSE))*$D$9*$D$8*(HLOOKUP(AY$23,$G$18:$R$19,2,FALSE)*(1-$D$12)^($F35-'הנחות עבודה'!$C$5)/$D$11)/$D$11)</f>
        <v>0</v>
      </c>
      <c r="AZ35" s="52">
        <f ca="1">IF(OR($F35&gt;$D$5,$F35&gt;MAX('הנחות עבודה'!$B$69:$B$89)),0,(VLOOKUP($F35,'התפלגות ייצור וסל דלקים'!$B$64:$BV$84,AZ$2-$E$2,FALSE))*$D$9*$D$8*(HLOOKUP(AZ$23,$G$18:$R$19,2,FALSE)*(1-$D$12)^($F35-'הנחות עבודה'!$C$5)/$D$11)/$D$11)</f>
        <v>0</v>
      </c>
      <c r="BA35" s="52">
        <f ca="1">IF(OR($F35&gt;$D$5,$F35&gt;MAX('הנחות עבודה'!$B$69:$B$89)),0,(VLOOKUP($F35,'התפלגות ייצור וסל דלקים'!$B$64:$BV$84,BA$2-$E$2,FALSE))*$D$9*$D$8*(HLOOKUP(BA$23,$G$18:$R$19,2,FALSE)*(1-$D$12)^($F35-'הנחות עבודה'!$C$5)/$D$11)/$D$11)</f>
        <v>0</v>
      </c>
      <c r="BB35" s="52">
        <f ca="1">IF(OR($F35&gt;$D$5,$F35&gt;MAX('הנחות עבודה'!$B$69:$B$89)),0,(VLOOKUP($F35,'התפלגות ייצור וסל דלקים'!$B$64:$BV$84,BB$2-$E$2,FALSE))*$D$9*$D$8*(HLOOKUP(BB$23,$G$18:$R$19,2,FALSE)*(1-$D$12)^($F35-'הנחות עבודה'!$C$5)/$D$11)/$D$11)</f>
        <v>0</v>
      </c>
      <c r="BC35" s="42">
        <f ca="1">IF(OR($F35&gt;$D$5,$F35&gt;MAX('הנחות עבודה'!$B$69:$B$89)),0,(VLOOKUP($F35,'התפלגות ייצור וסל דלקים'!$B$64:$BV$84,BC$2-$E$2,FALSE))*$D$9*$D$8*(HLOOKUP(BC$23,$G$18:$R$19,2,FALSE)*(1-$D$12)^($F35-'הנחות עבודה'!$C$5)/$D$11)/$D$11)</f>
        <v>0</v>
      </c>
      <c r="BD35" s="44">
        <f ca="1">IF(OR($F35&gt;$D$5,$F35&gt;MAX('הנחות עבודה'!$B$69:$B$89)),0,(VLOOKUP($F35,'התפלגות ייצור וסל דלקים'!$B$64:$BV$84,BD$2-$E$2,FALSE))*$D$9*$D$8*(HLOOKUP(BD$23,$G$18:$R$19,2,FALSE)*(1-$D$12)^($F35-'הנחות עבודה'!$C$5)/$D$11)/$D$11)</f>
        <v>0</v>
      </c>
      <c r="BE35" s="44">
        <f ca="1">IF(OR($F35&gt;$D$5,$F35&gt;MAX('הנחות עבודה'!$B$69:$B$89)),0,(VLOOKUP($F35,'התפלגות ייצור וסל דלקים'!$B$64:$BV$84,BE$2-$E$2,FALSE))*$D$9*$D$8*(HLOOKUP(BE$23,$G$18:$R$19,2,FALSE)*(1-$D$12)^($F35-'הנחות עבודה'!$C$5)/$D$11)/$D$11)</f>
        <v>0</v>
      </c>
      <c r="BF35" s="44">
        <f ca="1">IF(OR($F35&gt;$D$5,$F35&gt;MAX('הנחות עבודה'!$B$69:$B$89)),0,(VLOOKUP($F35,'התפלגות ייצור וסל דלקים'!$B$64:$BV$84,BF$2-$E$2,FALSE))*$D$9*$D$8*(HLOOKUP(BF$23,$G$18:$R$19,2,FALSE)*(1-$D$12)^($F35-'הנחות עבודה'!$C$5)/$D$11)/$D$11)</f>
        <v>0</v>
      </c>
      <c r="BG35" s="44">
        <f ca="1">IF(OR($F35&gt;$D$5,$F35&gt;MAX('הנחות עבודה'!$B$69:$B$89)),0,(VLOOKUP($F35,'התפלגות ייצור וסל דלקים'!$B$64:$BV$84,BG$2-$E$2,FALSE))*$D$9*$D$8*(HLOOKUP(BG$23,$G$18:$R$19,2,FALSE)*(1-$D$12)^($F35-'הנחות עבודה'!$C$5)/$D$11)/$D$11)</f>
        <v>0</v>
      </c>
      <c r="BH35" s="44">
        <f ca="1">IF(OR($F35&gt;$D$5,$F35&gt;MAX('הנחות עבודה'!$B$69:$B$89)),0,(VLOOKUP($F35,'התפלגות ייצור וסל דלקים'!$B$64:$BV$84,BH$2-$E$2,FALSE))*$D$9*$D$8*(HLOOKUP(BH$23,$G$18:$R$19,2,FALSE)*(1-$D$12)^($F35-'הנחות עבודה'!$C$5)/$D$11)/$D$11)</f>
        <v>0</v>
      </c>
      <c r="BI35" s="42">
        <f ca="1">IF(OR($F35&gt;$D$5,$F35&gt;MAX('הנחות עבודה'!$B$69:$B$89)),0,(VLOOKUP($F35,'התפלגות ייצור וסל דלקים'!$B$64:$BV$84,BI$2-$E$2,FALSE))*$D$9*$D$8*(HLOOKUP(BI$23,$G$18:$R$19,2,FALSE)*(1-$D$12)^($F35-'הנחות עבודה'!$C$5)/$D$11)/$D$11)</f>
        <v>7.4503320000000004</v>
      </c>
      <c r="BJ35" s="42">
        <f ca="1">IF(OR($F35&gt;$D$5,$F35&gt;MAX('הנחות עבודה'!$B$69:$B$89)),0,(VLOOKUP($F35,'התפלגות ייצור וסל דלקים'!$B$64:$BV$84,BJ$2-$E$2,FALSE))*$D$9*$D$8*(HLOOKUP(BJ$23,$G$18:$R$19,2,FALSE)*(1-$D$12)^($F35-'הנחות עבודה'!$C$5)/$D$11)/$D$11)</f>
        <v>20.326920245820183</v>
      </c>
      <c r="BK35" s="42">
        <f ca="1">IF(OR($F35&gt;$D$5,$F35&gt;MAX('הנחות עבודה'!$B$69:$B$89)),0,(VLOOKUP($F35,'התפלגות ייצור וסל דלקים'!$B$64:$BV$84,BK$2-$E$2,FALSE))*$D$9*$D$8*(HLOOKUP(BK$23,$G$18:$R$19,2,FALSE)*(1-$D$12)^($F35-'הנחות עבודה'!$C$5)/$D$11)/$D$11)</f>
        <v>0</v>
      </c>
      <c r="BL35" s="42">
        <f ca="1">IF(OR($F35&gt;$D$5,$F35&gt;MAX('הנחות עבודה'!$B$69:$B$89)),0,(VLOOKUP($F35,'התפלגות ייצור וסל דלקים'!$B$64:$BV$84,BL$2-$E$2,FALSE))*$D$9*$D$8*(HLOOKUP(BL$23,$G$18:$R$19,2,FALSE)*(1-$D$12)^($F35-'הנחות עבודה'!$C$5)/$D$11)/$D$11)</f>
        <v>0</v>
      </c>
      <c r="BM35" s="42">
        <f ca="1">IF(OR($F35&gt;$D$5,$F35&gt;MAX('הנחות עבודה'!$B$69:$B$89)),0,(VLOOKUP($F35,'התפלגות ייצור וסל דלקים'!$B$64:$BV$84,BM$2-$E$2,FALSE))*$D$9*$D$8*(HLOOKUP(BM$23,$G$18:$R$19,2,FALSE)*(1-$D$12)^($F35-'הנחות עבודה'!$C$5)/$D$11)/$D$11)</f>
        <v>0</v>
      </c>
      <c r="BN35" s="42">
        <f ca="1">IF(OR($F35&gt;$D$5,$F35&gt;MAX('הנחות עבודה'!$B$69:$B$89)),0,(VLOOKUP($F35,'התפלגות ייצור וסל דלקים'!$B$64:$BV$84,BN$2-$E$2,FALSE))*$D$9*$D$8*(HLOOKUP(BN$23,$G$18:$R$19,2,FALSE)*(1-$D$12)^($F35-'הנחות עבודה'!$C$5)/$D$11)/$D$11)</f>
        <v>0</v>
      </c>
      <c r="BO35" s="52">
        <f ca="1">IF(OR($F35&gt;$D$5,$F35&gt;MAX('הנחות עבודה'!$B$69:$B$89)),0,(VLOOKUP($F35,'התפלגות ייצור וסל דלקים'!$B$64:$BV$84,BO$2-$E$2,FALSE))*$D$9*$D$8*(HLOOKUP(BO$23,$G$18:$R$19,2,FALSE)*(1-$D$12)^($F35-'הנחות עבודה'!$C$5)/$D$11)/$D$11)</f>
        <v>0</v>
      </c>
      <c r="BP35" s="127">
        <f ca="1">IF(OR($F35&gt;$D$5,$F35&gt;MAX('הנחות עבודה'!$B$69:$B$89)),0,(VLOOKUP($F35,'התפלגות ייצור וסל דלקים'!$B$64:$BV$84,BP$2-$E$2,FALSE))*$D$9*$D$8*(HLOOKUP(BP$23,$G$18:$R$19,2,FALSE)*(1-$D$12)^($F35-'הנחות עבודה'!$C$5)/$D$11)/$D$11)</f>
        <v>0</v>
      </c>
      <c r="BQ35" s="127">
        <f ca="1">IF(OR($F35&gt;$D$5,$F35&gt;MAX('הנחות עבודה'!$B$69:$B$89)),0,(VLOOKUP($F35,'התפלגות ייצור וסל דלקים'!$B$64:$BV$84,BQ$2-$E$2,FALSE))*$D$9*$D$8*(HLOOKUP(BQ$23,$G$18:$R$19,2,FALSE)*(1-$D$12)^($F35-'הנחות עבודה'!$C$5)/$D$11)/$D$11)</f>
        <v>0</v>
      </c>
      <c r="BR35" s="127">
        <f ca="1">IF(OR($F35&gt;$D$5,$F35&gt;MAX('הנחות עבודה'!$B$69:$B$89)),0,(VLOOKUP($F35,'התפלגות ייצור וסל דלקים'!$B$64:$BV$84,BR$2-$E$2,FALSE))*$D$9*$D$8*(HLOOKUP(BR$23,$G$18:$R$19,2,FALSE)*(1-$D$12)^($F35-'הנחות עבודה'!$C$5)/$D$11)/$D$11)</f>
        <v>0</v>
      </c>
      <c r="BS35" s="127">
        <f ca="1">IF(OR($F35&gt;$D$5,$F35&gt;MAX('הנחות עבודה'!$B$69:$B$89)),0,(VLOOKUP($F35,'התפלגות ייצור וסל דלקים'!$B$64:$BV$84,BS$2-$E$2,FALSE))*$D$9*$D$8*(HLOOKUP(BS$23,$G$18:$R$19,2,FALSE)*(1-$D$12)^($F35-'הנחות עבודה'!$C$5)/$D$11)/$D$11)</f>
        <v>0</v>
      </c>
      <c r="BT35" s="127">
        <f ca="1">IF(OR($F35&gt;$D$5,$F35&gt;MAX('הנחות עבודה'!$B$69:$B$89)),0,(VLOOKUP($F35,'התפלגות ייצור וסל דלקים'!$B$64:$BV$84,BT$2-$E$2,FALSE))*$D$9*$D$8*(HLOOKUP(BT$23,$G$18:$R$19,2,FALSE)*(1-$D$12)^($F35-'הנחות עבודה'!$C$5)/$D$11)/$D$11)</f>
        <v>0</v>
      </c>
      <c r="BU35" s="52">
        <f ca="1">IF(OR($F35&gt;$D$5,$F35&gt;MAX('הנחות עבודה'!$B$69:$B$89)),0,(VLOOKUP($F35,'התפלגות ייצור וסל דלקים'!$B$64:$BV$84,BU$2-$E$2,FALSE))*$D$9*$D$8*(HLOOKUP(BU$23,$G$18:$R$19,2,FALSE)*(1-$D$12)^($F35-'הנחות עבודה'!$C$5)/$D$11)/$D$11)</f>
        <v>7.4503320000000004</v>
      </c>
      <c r="BV35" s="52">
        <f ca="1">IF(OR($F35&gt;$D$5,$F35&gt;MAX('הנחות עבודה'!$B$69:$B$89)),0,(VLOOKUP($F35,'התפלגות ייצור וסל דלקים'!$B$64:$BV$84,BV$2-$E$2,FALSE))*$D$9*$D$8*(HLOOKUP(BV$23,$G$18:$R$19,2,FALSE)*(1-$D$12)^($F35-'הנחות עבודה'!$C$5)/$D$11)/$D$11)</f>
        <v>20.326920245820183</v>
      </c>
      <c r="BW35" s="52">
        <f ca="1">IF(OR($F35&gt;$D$5,$F35&gt;MAX('הנחות עבודה'!$B$69:$B$89)),0,(VLOOKUP($F35,'התפלגות ייצור וסל דלקים'!$B$64:$BV$84,BW$2-$E$2,FALSE))*$D$9*$D$8*(HLOOKUP(BW$23,$G$18:$R$19,2,FALSE)*(1-$D$12)^($F35-'הנחות עבודה'!$C$5)/$D$11)/$D$11)</f>
        <v>0</v>
      </c>
      <c r="BX35" s="52">
        <f ca="1">IF(OR($F35&gt;$D$5,$F35&gt;MAX('הנחות עבודה'!$B$69:$B$89)),0,(VLOOKUP($F35,'התפלגות ייצור וסל דלקים'!$B$64:$BV$84,BX$2-$E$2,FALSE))*$D$9*$D$8*(HLOOKUP(BX$23,$G$18:$R$19,2,FALSE)*(1-$D$12)^($F35-'הנחות עבודה'!$C$5)/$D$11)/$D$11)</f>
        <v>0</v>
      </c>
      <c r="BY35" s="52">
        <f ca="1">IF(OR($F35&gt;$D$5,$F35&gt;MAX('הנחות עבודה'!$B$69:$B$89)),0,(VLOOKUP($F35,'התפלגות ייצור וסל דלקים'!$B$64:$BV$84,BY$2-$E$2,FALSE))*$D$9*$D$8*(HLOOKUP(BY$23,$G$18:$R$19,2,FALSE)*(1-$D$12)^($F35-'הנחות עבודה'!$C$5)/$D$11)/$D$11)</f>
        <v>0</v>
      </c>
      <c r="BZ35" s="52">
        <f ca="1">IF(OR($F35&gt;$D$5,$F35&gt;MAX('הנחות עבודה'!$B$69:$B$89)),0,(VLOOKUP($F35,'התפלגות ייצור וסל דלקים'!$B$64:$BV$84,BZ$2-$E$2,FALSE))*$D$9*$D$8*(HLOOKUP(BZ$23,$G$18:$R$19,2,FALSE)*(1-$D$12)^($F35-'הנחות עבודה'!$C$5)/$D$11)/$D$11)</f>
        <v>0</v>
      </c>
    </row>
    <row r="36" spans="6:78" ht="15.75">
      <c r="F36" s="10">
        <f t="shared" si="115"/>
        <v>2032</v>
      </c>
      <c r="G36" s="42">
        <f ca="1">IF(OR($F36&gt;$D$5,$F36&gt;MAX('הנחות עבודה'!$B$69:$B$89)),0,(VLOOKUP($F36,'התפלגות ייצור וסל דלקים'!$B$64:$BV$84,G$2-$E$2,FALSE))*$D$9*$D$8*(HLOOKUP(G$23,$G$18:$R$19,2,FALSE)*(1-$D$12)^($F36-'הנחות עבודה'!$C$5)/$D$11)/$D$11)</f>
        <v>0</v>
      </c>
      <c r="H36" s="44">
        <f ca="1">IF(OR($F36&gt;$D$5,$F36&gt;MAX('הנחות עבודה'!$B$69:$B$89)),0,(VLOOKUP($F36,'התפלגות ייצור וסל דלקים'!$B$64:$BV$84,H$2-$E$2,FALSE))*$D$9*$D$8*(HLOOKUP(H$23,$G$18:$R$19,2,FALSE)*(1-$D$12)^($F36-'הנחות עבודה'!$C$5)/$D$11)/$D$11)</f>
        <v>0</v>
      </c>
      <c r="I36" s="44">
        <f ca="1">IF(OR($F36&gt;$D$5,$F36&gt;MAX('הנחות עבודה'!$B$69:$B$89)),0,(VLOOKUP($F36,'התפלגות ייצור וסל דלקים'!$B$64:$BV$84,I$2-$E$2,FALSE))*$D$9*$D$8*(HLOOKUP(I$23,$G$18:$R$19,2,FALSE)*(1-$D$12)^($F36-'הנחות עבודה'!$C$5)/$D$11)/$D$11)</f>
        <v>0</v>
      </c>
      <c r="J36" s="44">
        <f ca="1">IF(OR($F36&gt;$D$5,$F36&gt;MAX('הנחות עבודה'!$B$69:$B$89)),0,(VLOOKUP($F36,'התפלגות ייצור וסל דלקים'!$B$64:$BV$84,J$2-$E$2,FALSE))*$D$9*$D$8*(HLOOKUP(J$23,$G$18:$R$19,2,FALSE)*(1-$D$12)^($F36-'הנחות עבודה'!$C$5)/$D$11)/$D$11)</f>
        <v>0</v>
      </c>
      <c r="K36" s="44">
        <f ca="1">IF(OR($F36&gt;$D$5,$F36&gt;MAX('הנחות עבודה'!$B$69:$B$89)),0,(VLOOKUP($F36,'התפלגות ייצור וסל דלקים'!$B$64:$BV$84,K$2-$E$2,FALSE))*$D$9*$D$8*(HLOOKUP(K$23,$G$18:$R$19,2,FALSE)*(1-$D$12)^($F36-'הנחות עבודה'!$C$5)/$D$11)/$D$11)</f>
        <v>0</v>
      </c>
      <c r="L36" s="44">
        <f ca="1">IF(OR($F36&gt;$D$5,$F36&gt;MAX('הנחות עבודה'!$B$69:$B$89)),0,(VLOOKUP($F36,'התפלגות ייצור וסל דלקים'!$B$64:$BV$84,L$2-$E$2,FALSE))*$D$9*$D$8*(HLOOKUP(L$23,$G$18:$R$19,2,FALSE)*(1-$D$12)^($F36-'הנחות עבודה'!$C$5)/$D$11)/$D$11)</f>
        <v>0</v>
      </c>
      <c r="M36" s="42">
        <f ca="1">IF(OR($F36&gt;$D$5,$F36&gt;MAX('הנחות עבודה'!$B$69:$B$89)),0,(VLOOKUP($F36,'התפלגות ייצור וסל דלקים'!$B$64:$BV$84,M$2-$E$2,FALSE))*$D$9*$D$8*(HLOOKUP(M$23,$G$18:$R$19,2,FALSE)*(1-$D$12)^($F36-'הנחות עבודה'!$C$5)/$D$11)/$D$11)</f>
        <v>6.8683595400000002</v>
      </c>
      <c r="N36" s="42">
        <f ca="1">IF(OR($F36&gt;$D$5,$F36&gt;MAX('הנחות עבודה'!$B$69:$B$89)),0,(VLOOKUP($F36,'התפלגות ייצור וסל דלקים'!$B$64:$BV$84,N$2-$E$2,FALSE))*$D$9*$D$8*(HLOOKUP(N$23,$G$18:$R$19,2,FALSE)*(1-$D$12)^($F36-'הנחות עבודה'!$C$5)/$D$11)/$D$11)</f>
        <v>26.555299500634963</v>
      </c>
      <c r="O36" s="42">
        <f ca="1">IF(OR($F36&gt;$D$5,$F36&gt;MAX('הנחות עבודה'!$B$69:$B$89)),0,(VLOOKUP($F36,'התפלגות ייצור וסל דלקים'!$B$64:$BV$84,O$2-$E$2,FALSE))*$D$9*$D$8*(HLOOKUP(O$23,$G$18:$R$19,2,FALSE)*(1-$D$12)^($F36-'הנחות עבודה'!$C$5)/$D$11)/$D$11)</f>
        <v>0</v>
      </c>
      <c r="P36" s="43">
        <f ca="1">IF(OR($F36&gt;$D$5,$F36&gt;MAX('הנחות עבודה'!$B$69:$B$89)),0,(VLOOKUP($F36,'התפלגות ייצור וסל דלקים'!$B$64:$BV$84,P$2-$E$2,FALSE))*$D$9*$D$8*(HLOOKUP(P$23,$G$18:$R$19,2,FALSE)*(1-$D$12)^($F36-'הנחות עבודה'!$C$5)/$D$11)/$D$11)</f>
        <v>0</v>
      </c>
      <c r="Q36" s="42">
        <f ca="1">IF(OR($F36&gt;$D$5,$F36&gt;MAX('הנחות עבודה'!$B$69:$B$89)),0,(VLOOKUP($F36,'התפלגות ייצור וסל דלקים'!$B$64:$BV$84,Q$2-$E$2,FALSE))*$D$9*$D$8*(HLOOKUP(Q$23,$G$18:$R$19,2,FALSE)*(1-$D$12)^($F36-'הנחות עבודה'!$C$5)/$D$11)/$D$11)</f>
        <v>0</v>
      </c>
      <c r="R36" s="43">
        <f ca="1">IF(OR($F36&gt;$D$5,$F36&gt;MAX('הנחות עבודה'!$B$69:$B$89)),0,(VLOOKUP($F36,'התפלגות ייצור וסל דלקים'!$B$64:$BV$84,R$2-$E$2,FALSE))*$D$9*$D$8*(HLOOKUP(R$23,$G$18:$R$19,2,FALSE)*(1-$D$12)^($F36-'הנחות עבודה'!$C$5)/$D$11)/$D$11)</f>
        <v>0</v>
      </c>
      <c r="S36" s="52">
        <f ca="1">IF(OR($F36&gt;$D$5,$F36&gt;MAX('הנחות עבודה'!$B$69:$B$89)),0,(VLOOKUP($F36,'התפלגות ייצור וסל דלקים'!$B$64:$BV$84,S$2-$E$2,FALSE))*$D$9*$D$8*(HLOOKUP(S$23,$G$18:$R$19,2,FALSE)*(1-$D$12)^($F36-'הנחות עבודה'!$C$5)/$D$11)/$D$11)</f>
        <v>0</v>
      </c>
      <c r="T36" s="127">
        <f ca="1">IF(OR($F36&gt;$D$5,$F36&gt;MAX('הנחות עבודה'!$B$69:$B$89)),0,(VLOOKUP($F36,'התפלגות ייצור וסל דלקים'!$B$64:$BV$84,T$2-$E$2,FALSE))*$D$9*$D$8*(HLOOKUP(T$23,$G$18:$R$19,2,FALSE)*(1-$D$12)^($F36-'הנחות עבודה'!$C$5)/$D$11)/$D$11)</f>
        <v>0</v>
      </c>
      <c r="U36" s="127">
        <f ca="1">IF(OR($F36&gt;$D$5,$F36&gt;MAX('הנחות עבודה'!$B$69:$B$89)),0,(VLOOKUP($F36,'התפלגות ייצור וסל דלקים'!$B$64:$BV$84,U$2-$E$2,FALSE))*$D$9*$D$8*(HLOOKUP(U$23,$G$18:$R$19,2,FALSE)*(1-$D$12)^($F36-'הנחות עבודה'!$C$5)/$D$11)/$D$11)</f>
        <v>0</v>
      </c>
      <c r="V36" s="127">
        <f ca="1">IF(OR($F36&gt;$D$5,$F36&gt;MAX('הנחות עבודה'!$B$69:$B$89)),0,(VLOOKUP($F36,'התפלגות ייצור וסל דלקים'!$B$64:$BV$84,V$2-$E$2,FALSE))*$D$9*$D$8*(HLOOKUP(V$23,$G$18:$R$19,2,FALSE)*(1-$D$12)^($F36-'הנחות עבודה'!$C$5)/$D$11)/$D$11)</f>
        <v>0</v>
      </c>
      <c r="W36" s="127">
        <f ca="1">IF(OR($F36&gt;$D$5,$F36&gt;MAX('הנחות עבודה'!$B$69:$B$89)),0,(VLOOKUP($F36,'התפלגות ייצור וסל דלקים'!$B$64:$BV$84,W$2-$E$2,FALSE))*$D$9*$D$8*(HLOOKUP(W$23,$G$18:$R$19,2,FALSE)*(1-$D$12)^($F36-'הנחות עבודה'!$C$5)/$D$11)/$D$11)</f>
        <v>0</v>
      </c>
      <c r="X36" s="127">
        <f ca="1">IF(OR($F36&gt;$D$5,$F36&gt;MAX('הנחות עבודה'!$B$69:$B$89)),0,(VLOOKUP($F36,'התפלגות ייצור וסל דלקים'!$B$64:$BV$84,X$2-$E$2,FALSE))*$D$9*$D$8*(HLOOKUP(X$23,$G$18:$R$19,2,FALSE)*(1-$D$12)^($F36-'הנחות עבודה'!$C$5)/$D$11)/$D$11)</f>
        <v>0</v>
      </c>
      <c r="Y36" s="52">
        <f ca="1">IF(OR($F36&gt;$D$5,$F36&gt;MAX('הנחות עבודה'!$B$69:$B$89)),0,(VLOOKUP($F36,'התפלגות ייצור וסל דלקים'!$B$64:$BV$84,Y$2-$E$2,FALSE))*$D$9*$D$8*(HLOOKUP(Y$23,$G$18:$R$19,2,FALSE)*(1-$D$12)^($F36-'הנחות עבודה'!$C$5)/$D$11)/$D$11)</f>
        <v>6.8683595400000002</v>
      </c>
      <c r="Z36" s="52">
        <f ca="1">IF(OR($F36&gt;$D$5,$F36&gt;MAX('הנחות עבודה'!$B$69:$B$89)),0,(VLOOKUP($F36,'התפלגות ייצור וסל דלקים'!$B$64:$BV$84,Z$2-$E$2,FALSE))*$D$9*$D$8*(HLOOKUP(Z$23,$G$18:$R$19,2,FALSE)*(1-$D$12)^($F36-'הנחות עבודה'!$C$5)/$D$11)/$D$11)</f>
        <v>26.555299500634963</v>
      </c>
      <c r="AA36" s="52">
        <f ca="1">IF(OR($F36&gt;$D$5,$F36&gt;MAX('הנחות עבודה'!$B$69:$B$89)),0,(VLOOKUP($F36,'התפלגות ייצור וסל דלקים'!$B$64:$BV$84,AA$2-$E$2,FALSE))*$D$9*$D$8*(HLOOKUP(AA$23,$G$18:$R$19,2,FALSE)*(1-$D$12)^($F36-'הנחות עבודה'!$C$5)/$D$11)/$D$11)</f>
        <v>0</v>
      </c>
      <c r="AB36" s="52">
        <f ca="1">IF(OR($F36&gt;$D$5,$F36&gt;MAX('הנחות עבודה'!$B$69:$B$89)),0,(VLOOKUP($F36,'התפלגות ייצור וסל דלקים'!$B$64:$BV$84,AB$2-$E$2,FALSE))*$D$9*$D$8*(HLOOKUP(AB$23,$G$18:$R$19,2,FALSE)*(1-$D$12)^($F36-'הנחות עבודה'!$C$5)/$D$11)/$D$11)</f>
        <v>0</v>
      </c>
      <c r="AC36" s="52">
        <f ca="1">IF(OR($F36&gt;$D$5,$F36&gt;MAX('הנחות עבודה'!$B$69:$B$89)),0,(VLOOKUP($F36,'התפלגות ייצור וסל דלקים'!$B$64:$BV$84,AC$2-$E$2,FALSE))*$D$9*$D$8*(HLOOKUP(AC$23,$G$18:$R$19,2,FALSE)*(1-$D$12)^($F36-'הנחות עבודה'!$C$5)/$D$11)/$D$11)</f>
        <v>0</v>
      </c>
      <c r="AD36" s="52">
        <f ca="1">IF(OR($F36&gt;$D$5,$F36&gt;MAX('הנחות עבודה'!$B$69:$B$89)),0,(VLOOKUP($F36,'התפלגות ייצור וסל דלקים'!$B$64:$BV$84,AD$2-$E$2,FALSE))*$D$9*$D$8*(HLOOKUP(AD$23,$G$18:$R$19,2,FALSE)*(1-$D$12)^($F36-'הנחות עבודה'!$C$5)/$D$11)/$D$11)</f>
        <v>0</v>
      </c>
      <c r="AE36" s="42">
        <f ca="1">IF(OR($F36&gt;$D$5,$F36&gt;MAX('הנחות עבודה'!$B$69:$B$89)),0,(VLOOKUP($F36,'התפלגות ייצור וסל דלקים'!$B$64:$BV$84,AE$2-$E$2,FALSE))*$D$9*$D$8*(HLOOKUP(AE$23,$G$18:$R$19,2,FALSE)*(1-$D$12)^($F36-'הנחות עבודה'!$C$5)/$D$11)/$D$11)</f>
        <v>0</v>
      </c>
      <c r="AF36" s="44">
        <f ca="1">IF(OR($F36&gt;$D$5,$F36&gt;MAX('הנחות עבודה'!$B$69:$B$89)),0,(VLOOKUP($F36,'התפלגות ייצור וסל דלקים'!$B$64:$BV$84,AF$2-$E$2,FALSE))*$D$9*$D$8*(HLOOKUP(AF$23,$G$18:$R$19,2,FALSE)*(1-$D$12)^($F36-'הנחות עבודה'!$C$5)/$D$11)/$D$11)</f>
        <v>0</v>
      </c>
      <c r="AG36" s="44">
        <f ca="1">IF(OR($F36&gt;$D$5,$F36&gt;MAX('הנחות עבודה'!$B$69:$B$89)),0,(VLOOKUP($F36,'התפלגות ייצור וסל דלקים'!$B$64:$BV$84,AG$2-$E$2,FALSE))*$D$9*$D$8*(HLOOKUP(AG$23,$G$18:$R$19,2,FALSE)*(1-$D$12)^($F36-'הנחות עבודה'!$C$5)/$D$11)/$D$11)</f>
        <v>0</v>
      </c>
      <c r="AH36" s="44">
        <f ca="1">IF(OR($F36&gt;$D$5,$F36&gt;MAX('הנחות עבודה'!$B$69:$B$89)),0,(VLOOKUP($F36,'התפלגות ייצור וסל דלקים'!$B$64:$BV$84,AH$2-$E$2,FALSE))*$D$9*$D$8*(HLOOKUP(AH$23,$G$18:$R$19,2,FALSE)*(1-$D$12)^($F36-'הנחות עבודה'!$C$5)/$D$11)/$D$11)</f>
        <v>0</v>
      </c>
      <c r="AI36" s="44">
        <f ca="1">IF(OR($F36&gt;$D$5,$F36&gt;MAX('הנחות עבודה'!$B$69:$B$89)),0,(VLOOKUP($F36,'התפלגות ייצור וסל דלקים'!$B$64:$BV$84,AI$2-$E$2,FALSE))*$D$9*$D$8*(HLOOKUP(AI$23,$G$18:$R$19,2,FALSE)*(1-$D$12)^($F36-'הנחות עבודה'!$C$5)/$D$11)/$D$11)</f>
        <v>0</v>
      </c>
      <c r="AJ36" s="44">
        <f ca="1">IF(OR($F36&gt;$D$5,$F36&gt;MAX('הנחות עבודה'!$B$69:$B$89)),0,(VLOOKUP($F36,'התפלגות ייצור וסל דלקים'!$B$64:$BV$84,AJ$2-$E$2,FALSE))*$D$9*$D$8*(HLOOKUP(AJ$23,$G$18:$R$19,2,FALSE)*(1-$D$12)^($F36-'הנחות עבודה'!$C$5)/$D$11)/$D$11)</f>
        <v>0</v>
      </c>
      <c r="AK36" s="42">
        <f ca="1">IF(OR($F36&gt;$D$5,$F36&gt;MAX('הנחות עבודה'!$B$69:$B$89)),0,(VLOOKUP($F36,'התפלגות ייצור וסל דלקים'!$B$64:$BV$84,AK$2-$E$2,FALSE))*$D$9*$D$8*(HLOOKUP(AK$23,$G$18:$R$19,2,FALSE)*(1-$D$12)^($F36-'הנחות עבודה'!$C$5)/$D$11)/$D$11)</f>
        <v>7.3276134000000006</v>
      </c>
      <c r="AL36" s="42">
        <f ca="1">IF(OR($F36&gt;$D$5,$F36&gt;MAX('הנחות עבודה'!$B$69:$B$89)),0,(VLOOKUP($F36,'התפלגות ייצור וסל דלקים'!$B$64:$BV$84,AL$2-$E$2,FALSE))*$D$9*$D$8*(HLOOKUP(AL$23,$G$18:$R$19,2,FALSE)*(1-$D$12)^($F36-'הנחות עבודה'!$C$5)/$D$11)/$D$11)</f>
        <v>23.360861852642593</v>
      </c>
      <c r="AM36" s="42">
        <f ca="1">IF(OR($F36&gt;$D$5,$F36&gt;MAX('הנחות עבודה'!$B$69:$B$89)),0,(VLOOKUP($F36,'התפלגות ייצור וסל דלקים'!$B$64:$BV$84,AM$2-$E$2,FALSE))*$D$9*$D$8*(HLOOKUP(AM$23,$G$18:$R$19,2,FALSE)*(1-$D$12)^($F36-'הנחות עבודה'!$C$5)/$D$11)/$D$11)</f>
        <v>0</v>
      </c>
      <c r="AN36" s="43">
        <f ca="1">IF(OR($F36&gt;$D$5,$F36&gt;MAX('הנחות עבודה'!$B$69:$B$89)),0,(VLOOKUP($F36,'התפלגות ייצור וסל דלקים'!$B$64:$BV$84,AN$2-$E$2,FALSE))*$D$9*$D$8*(HLOOKUP(AN$23,$G$18:$R$19,2,FALSE)*(1-$D$12)^($F36-'הנחות עבודה'!$C$5)/$D$11)/$D$11)</f>
        <v>0</v>
      </c>
      <c r="AO36" s="42">
        <f ca="1">IF(OR($F36&gt;$D$5,$F36&gt;MAX('הנחות עבודה'!$B$69:$B$89)),0,(VLOOKUP($F36,'התפלגות ייצור וסל דלקים'!$B$64:$BV$84,AO$2-$E$2,FALSE))*$D$9*$D$8*(HLOOKUP(AO$23,$G$18:$R$19,2,FALSE)*(1-$D$12)^($F36-'הנחות עבודה'!$C$5)/$D$11)/$D$11)</f>
        <v>0</v>
      </c>
      <c r="AP36" s="43">
        <f ca="1">IF(OR($F36&gt;$D$5,$F36&gt;MAX('הנחות עבודה'!$B$69:$B$89)),0,(VLOOKUP($F36,'התפלגות ייצור וסל דלקים'!$B$64:$BV$84,AP$2-$E$2,FALSE))*$D$9*$D$8*(HLOOKUP(AP$23,$G$18:$R$19,2,FALSE)*(1-$D$12)^($F36-'הנחות עבודה'!$C$5)/$D$11)/$D$11)</f>
        <v>0</v>
      </c>
      <c r="AQ36" s="52">
        <f ca="1">IF(OR($F36&gt;$D$5,$F36&gt;MAX('הנחות עבודה'!$B$69:$B$89)),0,(VLOOKUP($F36,'התפלגות ייצור וסל דלקים'!$B$64:$BV$84,AQ$2-$E$2,FALSE))*$D$9*$D$8*(HLOOKUP(AQ$23,$G$18:$R$19,2,FALSE)*(1-$D$12)^($F36-'הנחות עבודה'!$C$5)/$D$11)/$D$11)</f>
        <v>0</v>
      </c>
      <c r="AR36" s="127">
        <f ca="1">IF(OR($F36&gt;$D$5,$F36&gt;MAX('הנחות עבודה'!$B$69:$B$89)),0,(VLOOKUP($F36,'התפלגות ייצור וסל דלקים'!$B$64:$BV$84,AR$2-$E$2,FALSE))*$D$9*$D$8*(HLOOKUP(AR$23,$G$18:$R$19,2,FALSE)*(1-$D$12)^($F36-'הנחות עבודה'!$C$5)/$D$11)/$D$11)</f>
        <v>0</v>
      </c>
      <c r="AS36" s="127">
        <f ca="1">IF(OR($F36&gt;$D$5,$F36&gt;MAX('הנחות עבודה'!$B$69:$B$89)),0,(VLOOKUP($F36,'התפלגות ייצור וסל דלקים'!$B$64:$BV$84,AS$2-$E$2,FALSE))*$D$9*$D$8*(HLOOKUP(AS$23,$G$18:$R$19,2,FALSE)*(1-$D$12)^($F36-'הנחות עבודה'!$C$5)/$D$11)/$D$11)</f>
        <v>0</v>
      </c>
      <c r="AT36" s="127">
        <f ca="1">IF(OR($F36&gt;$D$5,$F36&gt;MAX('הנחות עבודה'!$B$69:$B$89)),0,(VLOOKUP($F36,'התפלגות ייצור וסל דלקים'!$B$64:$BV$84,AT$2-$E$2,FALSE))*$D$9*$D$8*(HLOOKUP(AT$23,$G$18:$R$19,2,FALSE)*(1-$D$12)^($F36-'הנחות עבודה'!$C$5)/$D$11)/$D$11)</f>
        <v>0</v>
      </c>
      <c r="AU36" s="127">
        <f ca="1">IF(OR($F36&gt;$D$5,$F36&gt;MAX('הנחות עבודה'!$B$69:$B$89)),0,(VLOOKUP($F36,'התפלגות ייצור וסל דלקים'!$B$64:$BV$84,AU$2-$E$2,FALSE))*$D$9*$D$8*(HLOOKUP(AU$23,$G$18:$R$19,2,FALSE)*(1-$D$12)^($F36-'הנחות עבודה'!$C$5)/$D$11)/$D$11)</f>
        <v>0</v>
      </c>
      <c r="AV36" s="127">
        <f ca="1">IF(OR($F36&gt;$D$5,$F36&gt;MAX('הנחות עבודה'!$B$69:$B$89)),0,(VLOOKUP($F36,'התפלגות ייצור וסל דלקים'!$B$64:$BV$84,AV$2-$E$2,FALSE))*$D$9*$D$8*(HLOOKUP(AV$23,$G$18:$R$19,2,FALSE)*(1-$D$12)^($F36-'הנחות עבודה'!$C$5)/$D$11)/$D$11)</f>
        <v>0</v>
      </c>
      <c r="AW36" s="52">
        <f ca="1">IF(OR($F36&gt;$D$5,$F36&gt;MAX('הנחות עבודה'!$B$69:$B$89)),0,(VLOOKUP($F36,'התפלגות ייצור וסל דלקים'!$B$64:$BV$84,AW$2-$E$2,FALSE))*$D$9*$D$8*(HLOOKUP(AW$23,$G$18:$R$19,2,FALSE)*(1-$D$12)^($F36-'הנחות עבודה'!$C$5)/$D$11)/$D$11)</f>
        <v>7.3276134000000006</v>
      </c>
      <c r="AX36" s="52">
        <f ca="1">IF(OR($F36&gt;$D$5,$F36&gt;MAX('הנחות עבודה'!$B$69:$B$89)),0,(VLOOKUP($F36,'התפלגות ייצור וסל דלקים'!$B$64:$BV$84,AX$2-$E$2,FALSE))*$D$9*$D$8*(HLOOKUP(AX$23,$G$18:$R$19,2,FALSE)*(1-$D$12)^($F36-'הנחות עבודה'!$C$5)/$D$11)/$D$11)</f>
        <v>23.360861852642593</v>
      </c>
      <c r="AY36" s="52">
        <f ca="1">IF(OR($F36&gt;$D$5,$F36&gt;MAX('הנחות עבודה'!$B$69:$B$89)),0,(VLOOKUP($F36,'התפלגות ייצור וסל דלקים'!$B$64:$BV$84,AY$2-$E$2,FALSE))*$D$9*$D$8*(HLOOKUP(AY$23,$G$18:$R$19,2,FALSE)*(1-$D$12)^($F36-'הנחות עבודה'!$C$5)/$D$11)/$D$11)</f>
        <v>0</v>
      </c>
      <c r="AZ36" s="52">
        <f ca="1">IF(OR($F36&gt;$D$5,$F36&gt;MAX('הנחות עבודה'!$B$69:$B$89)),0,(VLOOKUP($F36,'התפלגות ייצור וסל דלקים'!$B$64:$BV$84,AZ$2-$E$2,FALSE))*$D$9*$D$8*(HLOOKUP(AZ$23,$G$18:$R$19,2,FALSE)*(1-$D$12)^($F36-'הנחות עבודה'!$C$5)/$D$11)/$D$11)</f>
        <v>0</v>
      </c>
      <c r="BA36" s="52">
        <f ca="1">IF(OR($F36&gt;$D$5,$F36&gt;MAX('הנחות עבודה'!$B$69:$B$89)),0,(VLOOKUP($F36,'התפלגות ייצור וסל דלקים'!$B$64:$BV$84,BA$2-$E$2,FALSE))*$D$9*$D$8*(HLOOKUP(BA$23,$G$18:$R$19,2,FALSE)*(1-$D$12)^($F36-'הנחות עבודה'!$C$5)/$D$11)/$D$11)</f>
        <v>0</v>
      </c>
      <c r="BB36" s="52">
        <f ca="1">IF(OR($F36&gt;$D$5,$F36&gt;MAX('הנחות עבודה'!$B$69:$B$89)),0,(VLOOKUP($F36,'התפלגות ייצור וסל דלקים'!$B$64:$BV$84,BB$2-$E$2,FALSE))*$D$9*$D$8*(HLOOKUP(BB$23,$G$18:$R$19,2,FALSE)*(1-$D$12)^($F36-'הנחות עבודה'!$C$5)/$D$11)/$D$11)</f>
        <v>0</v>
      </c>
      <c r="BC36" s="42">
        <f ca="1">IF(OR($F36&gt;$D$5,$F36&gt;MAX('הנחות עבודה'!$B$69:$B$89)),0,(VLOOKUP($F36,'התפלגות ייצור וסל דלקים'!$B$64:$BV$84,BC$2-$E$2,FALSE))*$D$9*$D$8*(HLOOKUP(BC$23,$G$18:$R$19,2,FALSE)*(1-$D$12)^($F36-'הנחות עבודה'!$C$5)/$D$11)/$D$11)</f>
        <v>0</v>
      </c>
      <c r="BD36" s="44">
        <f ca="1">IF(OR($F36&gt;$D$5,$F36&gt;MAX('הנחות עבודה'!$B$69:$B$89)),0,(VLOOKUP($F36,'התפלגות ייצור וסל דלקים'!$B$64:$BV$84,BD$2-$E$2,FALSE))*$D$9*$D$8*(HLOOKUP(BD$23,$G$18:$R$19,2,FALSE)*(1-$D$12)^($F36-'הנחות עבודה'!$C$5)/$D$11)/$D$11)</f>
        <v>0</v>
      </c>
      <c r="BE36" s="44">
        <f ca="1">IF(OR($F36&gt;$D$5,$F36&gt;MAX('הנחות עבודה'!$B$69:$B$89)),0,(VLOOKUP($F36,'התפלגות ייצור וסל דלקים'!$B$64:$BV$84,BE$2-$E$2,FALSE))*$D$9*$D$8*(HLOOKUP(BE$23,$G$18:$R$19,2,FALSE)*(1-$D$12)^($F36-'הנחות עבודה'!$C$5)/$D$11)/$D$11)</f>
        <v>0</v>
      </c>
      <c r="BF36" s="44">
        <f ca="1">IF(OR($F36&gt;$D$5,$F36&gt;MAX('הנחות עבודה'!$B$69:$B$89)),0,(VLOOKUP($F36,'התפלגות ייצור וסל דלקים'!$B$64:$BV$84,BF$2-$E$2,FALSE))*$D$9*$D$8*(HLOOKUP(BF$23,$G$18:$R$19,2,FALSE)*(1-$D$12)^($F36-'הנחות עבודה'!$C$5)/$D$11)/$D$11)</f>
        <v>0</v>
      </c>
      <c r="BG36" s="44">
        <f ca="1">IF(OR($F36&gt;$D$5,$F36&gt;MAX('הנחות עבודה'!$B$69:$B$89)),0,(VLOOKUP($F36,'התפלגות ייצור וסל דלקים'!$B$64:$BV$84,BG$2-$E$2,FALSE))*$D$9*$D$8*(HLOOKUP(BG$23,$G$18:$R$19,2,FALSE)*(1-$D$12)^($F36-'הנחות עבודה'!$C$5)/$D$11)/$D$11)</f>
        <v>0</v>
      </c>
      <c r="BH36" s="44">
        <f ca="1">IF(OR($F36&gt;$D$5,$F36&gt;MAX('הנחות עבודה'!$B$69:$B$89)),0,(VLOOKUP($F36,'התפלגות ייצור וסל דלקים'!$B$64:$BV$84,BH$2-$E$2,FALSE))*$D$9*$D$8*(HLOOKUP(BH$23,$G$18:$R$19,2,FALSE)*(1-$D$12)^($F36-'הנחות עבודה'!$C$5)/$D$11)/$D$11)</f>
        <v>0</v>
      </c>
      <c r="BI36" s="42">
        <f ca="1">IF(OR($F36&gt;$D$5,$F36&gt;MAX('הנחות עבודה'!$B$69:$B$89)),0,(VLOOKUP($F36,'התפלגות ייצור וסל דלקים'!$B$64:$BV$84,BI$2-$E$2,FALSE))*$D$9*$D$8*(HLOOKUP(BI$23,$G$18:$R$19,2,FALSE)*(1-$D$12)^($F36-'הנחות עבודה'!$C$5)/$D$11)/$D$11)</f>
        <v>7.4958359999999997</v>
      </c>
      <c r="BJ36" s="42">
        <f ca="1">IF(OR($F36&gt;$D$5,$F36&gt;MAX('הנחות עבודה'!$B$69:$B$89)),0,(VLOOKUP($F36,'התפלגות ייצור וסל דלקים'!$B$64:$BV$84,BJ$2-$E$2,FALSE))*$D$9*$D$8*(HLOOKUP(BJ$23,$G$18:$R$19,2,FALSE)*(1-$D$12)^($F36-'הנחות עבודה'!$C$5)/$D$11)/$D$11)</f>
        <v>21.459141802647359</v>
      </c>
      <c r="BK36" s="42">
        <f ca="1">IF(OR($F36&gt;$D$5,$F36&gt;MAX('הנחות עבודה'!$B$69:$B$89)),0,(VLOOKUP($F36,'התפלגות ייצור וסל דלקים'!$B$64:$BV$84,BK$2-$E$2,FALSE))*$D$9*$D$8*(HLOOKUP(BK$23,$G$18:$R$19,2,FALSE)*(1-$D$12)^($F36-'הנחות עבודה'!$C$5)/$D$11)/$D$11)</f>
        <v>0</v>
      </c>
      <c r="BL36" s="42">
        <f ca="1">IF(OR($F36&gt;$D$5,$F36&gt;MAX('הנחות עבודה'!$B$69:$B$89)),0,(VLOOKUP($F36,'התפלגות ייצור וסל דלקים'!$B$64:$BV$84,BL$2-$E$2,FALSE))*$D$9*$D$8*(HLOOKUP(BL$23,$G$18:$R$19,2,FALSE)*(1-$D$12)^($F36-'הנחות עבודה'!$C$5)/$D$11)/$D$11)</f>
        <v>0</v>
      </c>
      <c r="BM36" s="42">
        <f ca="1">IF(OR($F36&gt;$D$5,$F36&gt;MAX('הנחות עבודה'!$B$69:$B$89)),0,(VLOOKUP($F36,'התפלגות ייצור וסל דלקים'!$B$64:$BV$84,BM$2-$E$2,FALSE))*$D$9*$D$8*(HLOOKUP(BM$23,$G$18:$R$19,2,FALSE)*(1-$D$12)^($F36-'הנחות עבודה'!$C$5)/$D$11)/$D$11)</f>
        <v>0</v>
      </c>
      <c r="BN36" s="42">
        <f ca="1">IF(OR($F36&gt;$D$5,$F36&gt;MAX('הנחות עבודה'!$B$69:$B$89)),0,(VLOOKUP($F36,'התפלגות ייצור וסל דלקים'!$B$64:$BV$84,BN$2-$E$2,FALSE))*$D$9*$D$8*(HLOOKUP(BN$23,$G$18:$R$19,2,FALSE)*(1-$D$12)^($F36-'הנחות עבודה'!$C$5)/$D$11)/$D$11)</f>
        <v>0</v>
      </c>
      <c r="BO36" s="52">
        <f ca="1">IF(OR($F36&gt;$D$5,$F36&gt;MAX('הנחות עבודה'!$B$69:$B$89)),0,(VLOOKUP($F36,'התפלגות ייצור וסל דלקים'!$B$64:$BV$84,BO$2-$E$2,FALSE))*$D$9*$D$8*(HLOOKUP(BO$23,$G$18:$R$19,2,FALSE)*(1-$D$12)^($F36-'הנחות עבודה'!$C$5)/$D$11)/$D$11)</f>
        <v>0</v>
      </c>
      <c r="BP36" s="127">
        <f ca="1">IF(OR($F36&gt;$D$5,$F36&gt;MAX('הנחות עבודה'!$B$69:$B$89)),0,(VLOOKUP($F36,'התפלגות ייצור וסל דלקים'!$B$64:$BV$84,BP$2-$E$2,FALSE))*$D$9*$D$8*(HLOOKUP(BP$23,$G$18:$R$19,2,FALSE)*(1-$D$12)^($F36-'הנחות עבודה'!$C$5)/$D$11)/$D$11)</f>
        <v>0</v>
      </c>
      <c r="BQ36" s="127">
        <f ca="1">IF(OR($F36&gt;$D$5,$F36&gt;MAX('הנחות עבודה'!$B$69:$B$89)),0,(VLOOKUP($F36,'התפלגות ייצור וסל דלקים'!$B$64:$BV$84,BQ$2-$E$2,FALSE))*$D$9*$D$8*(HLOOKUP(BQ$23,$G$18:$R$19,2,FALSE)*(1-$D$12)^($F36-'הנחות עבודה'!$C$5)/$D$11)/$D$11)</f>
        <v>0</v>
      </c>
      <c r="BR36" s="127">
        <f ca="1">IF(OR($F36&gt;$D$5,$F36&gt;MAX('הנחות עבודה'!$B$69:$B$89)),0,(VLOOKUP($F36,'התפלגות ייצור וסל דלקים'!$B$64:$BV$84,BR$2-$E$2,FALSE))*$D$9*$D$8*(HLOOKUP(BR$23,$G$18:$R$19,2,FALSE)*(1-$D$12)^($F36-'הנחות עבודה'!$C$5)/$D$11)/$D$11)</f>
        <v>0</v>
      </c>
      <c r="BS36" s="127">
        <f ca="1">IF(OR($F36&gt;$D$5,$F36&gt;MAX('הנחות עבודה'!$B$69:$B$89)),0,(VLOOKUP($F36,'התפלגות ייצור וסל דלקים'!$B$64:$BV$84,BS$2-$E$2,FALSE))*$D$9*$D$8*(HLOOKUP(BS$23,$G$18:$R$19,2,FALSE)*(1-$D$12)^($F36-'הנחות עבודה'!$C$5)/$D$11)/$D$11)</f>
        <v>0</v>
      </c>
      <c r="BT36" s="127">
        <f ca="1">IF(OR($F36&gt;$D$5,$F36&gt;MAX('הנחות עבודה'!$B$69:$B$89)),0,(VLOOKUP($F36,'התפלגות ייצור וסל דלקים'!$B$64:$BV$84,BT$2-$E$2,FALSE))*$D$9*$D$8*(HLOOKUP(BT$23,$G$18:$R$19,2,FALSE)*(1-$D$12)^($F36-'הנחות עבודה'!$C$5)/$D$11)/$D$11)</f>
        <v>0</v>
      </c>
      <c r="BU36" s="52">
        <f ca="1">IF(OR($F36&gt;$D$5,$F36&gt;MAX('הנחות עבודה'!$B$69:$B$89)),0,(VLOOKUP($F36,'התפלגות ייצור וסל דלקים'!$B$64:$BV$84,BU$2-$E$2,FALSE))*$D$9*$D$8*(HLOOKUP(BU$23,$G$18:$R$19,2,FALSE)*(1-$D$12)^($F36-'הנחות עבודה'!$C$5)/$D$11)/$D$11)</f>
        <v>7.4958359999999997</v>
      </c>
      <c r="BV36" s="52">
        <f ca="1">IF(OR($F36&gt;$D$5,$F36&gt;MAX('הנחות עבודה'!$B$69:$B$89)),0,(VLOOKUP($F36,'התפלגות ייצור וסל דלקים'!$B$64:$BV$84,BV$2-$E$2,FALSE))*$D$9*$D$8*(HLOOKUP(BV$23,$G$18:$R$19,2,FALSE)*(1-$D$12)^($F36-'הנחות עבודה'!$C$5)/$D$11)/$D$11)</f>
        <v>21.459141802647359</v>
      </c>
      <c r="BW36" s="52">
        <f ca="1">IF(OR($F36&gt;$D$5,$F36&gt;MAX('הנחות עבודה'!$B$69:$B$89)),0,(VLOOKUP($F36,'התפלגות ייצור וסל דלקים'!$B$64:$BV$84,BW$2-$E$2,FALSE))*$D$9*$D$8*(HLOOKUP(BW$23,$G$18:$R$19,2,FALSE)*(1-$D$12)^($F36-'הנחות עבודה'!$C$5)/$D$11)/$D$11)</f>
        <v>0</v>
      </c>
      <c r="BX36" s="52">
        <f ca="1">IF(OR($F36&gt;$D$5,$F36&gt;MAX('הנחות עבודה'!$B$69:$B$89)),0,(VLOOKUP($F36,'התפלגות ייצור וסל דלקים'!$B$64:$BV$84,BX$2-$E$2,FALSE))*$D$9*$D$8*(HLOOKUP(BX$23,$G$18:$R$19,2,FALSE)*(1-$D$12)^($F36-'הנחות עבודה'!$C$5)/$D$11)/$D$11)</f>
        <v>0</v>
      </c>
      <c r="BY36" s="52">
        <f ca="1">IF(OR($F36&gt;$D$5,$F36&gt;MAX('הנחות עבודה'!$B$69:$B$89)),0,(VLOOKUP($F36,'התפלגות ייצור וסל דלקים'!$B$64:$BV$84,BY$2-$E$2,FALSE))*$D$9*$D$8*(HLOOKUP(BY$23,$G$18:$R$19,2,FALSE)*(1-$D$12)^($F36-'הנחות עבודה'!$C$5)/$D$11)/$D$11)</f>
        <v>0</v>
      </c>
      <c r="BZ36" s="52">
        <f ca="1">IF(OR($F36&gt;$D$5,$F36&gt;MAX('הנחות עבודה'!$B$69:$B$89)),0,(VLOOKUP($F36,'התפלגות ייצור וסל דלקים'!$B$64:$BV$84,BZ$2-$E$2,FALSE))*$D$9*$D$8*(HLOOKUP(BZ$23,$G$18:$R$19,2,FALSE)*(1-$D$12)^($F36-'הנחות עבודה'!$C$5)/$D$11)/$D$11)</f>
        <v>0</v>
      </c>
    </row>
    <row r="37" spans="6:78" ht="15.75">
      <c r="F37" s="10">
        <f t="shared" si="115"/>
        <v>2033</v>
      </c>
      <c r="G37" s="42">
        <f ca="1">IF(OR($F37&gt;$D$5,$F37&gt;MAX('הנחות עבודה'!$B$69:$B$89)),0,(VLOOKUP($F37,'התפלגות ייצור וסל דלקים'!$B$64:$BV$84,G$2-$E$2,FALSE))*$D$9*$D$8*(HLOOKUP(G$23,$G$18:$R$19,2,FALSE)*(1-$D$12)^($F37-'הנחות עבודה'!$C$5)/$D$11)/$D$11)</f>
        <v>0</v>
      </c>
      <c r="H37" s="44">
        <f ca="1">IF(OR($F37&gt;$D$5,$F37&gt;MAX('הנחות עבודה'!$B$69:$B$89)),0,(VLOOKUP($F37,'התפלגות ייצור וסל דלקים'!$B$64:$BV$84,H$2-$E$2,FALSE))*$D$9*$D$8*(HLOOKUP(H$23,$G$18:$R$19,2,FALSE)*(1-$D$12)^($F37-'הנחות עבודה'!$C$5)/$D$11)/$D$11)</f>
        <v>0</v>
      </c>
      <c r="I37" s="44">
        <f ca="1">IF(OR($F37&gt;$D$5,$F37&gt;MAX('הנחות עבודה'!$B$69:$B$89)),0,(VLOOKUP($F37,'התפלגות ייצור וסל דלקים'!$B$64:$BV$84,I$2-$E$2,FALSE))*$D$9*$D$8*(HLOOKUP(I$23,$G$18:$R$19,2,FALSE)*(1-$D$12)^($F37-'הנחות עבודה'!$C$5)/$D$11)/$D$11)</f>
        <v>0</v>
      </c>
      <c r="J37" s="44">
        <f ca="1">IF(OR($F37&gt;$D$5,$F37&gt;MAX('הנחות עבודה'!$B$69:$B$89)),0,(VLOOKUP($F37,'התפלגות ייצור וסל דלקים'!$B$64:$BV$84,J$2-$E$2,FALSE))*$D$9*$D$8*(HLOOKUP(J$23,$G$18:$R$19,2,FALSE)*(1-$D$12)^($F37-'הנחות עבודה'!$C$5)/$D$11)/$D$11)</f>
        <v>0</v>
      </c>
      <c r="K37" s="44">
        <f ca="1">IF(OR($F37&gt;$D$5,$F37&gt;MAX('הנחות עבודה'!$B$69:$B$89)),0,(VLOOKUP($F37,'התפלגות ייצור וסל דלקים'!$B$64:$BV$84,K$2-$E$2,FALSE))*$D$9*$D$8*(HLOOKUP(K$23,$G$18:$R$19,2,FALSE)*(1-$D$12)^($F37-'הנחות עבודה'!$C$5)/$D$11)/$D$11)</f>
        <v>0</v>
      </c>
      <c r="L37" s="44">
        <f ca="1">IF(OR($F37&gt;$D$5,$F37&gt;MAX('הנחות עבודה'!$B$69:$B$89)),0,(VLOOKUP($F37,'התפלגות ייצור וסל דלקים'!$B$64:$BV$84,L$2-$E$2,FALSE))*$D$9*$D$8*(HLOOKUP(L$23,$G$18:$R$19,2,FALSE)*(1-$D$12)^($F37-'הנחות עבודה'!$C$5)/$D$11)/$D$11)</f>
        <v>0</v>
      </c>
      <c r="M37" s="42">
        <f ca="1">IF(OR($F37&gt;$D$5,$F37&gt;MAX('הנחות עבודה'!$B$69:$B$89)),0,(VLOOKUP($F37,'התפלגות ייצור וסל דלקים'!$B$64:$BV$84,M$2-$E$2,FALSE))*$D$9*$D$8*(HLOOKUP(M$23,$G$18:$R$19,2,FALSE)*(1-$D$12)^($F37-'הנחות עבודה'!$C$5)/$D$11)/$D$11)</f>
        <v>7.0105168799999991</v>
      </c>
      <c r="N37" s="42">
        <f ca="1">IF(OR($F37&gt;$D$5,$F37&gt;MAX('הנחות עבודה'!$B$69:$B$89)),0,(VLOOKUP($F37,'התפלגות ייצור וסל דלקים'!$B$64:$BV$84,N$2-$E$2,FALSE))*$D$9*$D$8*(HLOOKUP(N$23,$G$18:$R$19,2,FALSE)*(1-$D$12)^($F37-'הנחות עבודה'!$C$5)/$D$11)/$D$11)</f>
        <v>27.61272743342672</v>
      </c>
      <c r="O37" s="42">
        <f ca="1">IF(OR($F37&gt;$D$5,$F37&gt;MAX('הנחות עבודה'!$B$69:$B$89)),0,(VLOOKUP($F37,'התפלגות ייצור וסל דלקים'!$B$64:$BV$84,O$2-$E$2,FALSE))*$D$9*$D$8*(HLOOKUP(O$23,$G$18:$R$19,2,FALSE)*(1-$D$12)^($F37-'הנחות עבודה'!$C$5)/$D$11)/$D$11)</f>
        <v>0</v>
      </c>
      <c r="P37" s="43">
        <f ca="1">IF(OR($F37&gt;$D$5,$F37&gt;MAX('הנחות עבודה'!$B$69:$B$89)),0,(VLOOKUP($F37,'התפלגות ייצור וסל דלקים'!$B$64:$BV$84,P$2-$E$2,FALSE))*$D$9*$D$8*(HLOOKUP(P$23,$G$18:$R$19,2,FALSE)*(1-$D$12)^($F37-'הנחות עבודה'!$C$5)/$D$11)/$D$11)</f>
        <v>0</v>
      </c>
      <c r="Q37" s="42">
        <f ca="1">IF(OR($F37&gt;$D$5,$F37&gt;MAX('הנחות עבודה'!$B$69:$B$89)),0,(VLOOKUP($F37,'התפלגות ייצור וסל דלקים'!$B$64:$BV$84,Q$2-$E$2,FALSE))*$D$9*$D$8*(HLOOKUP(Q$23,$G$18:$R$19,2,FALSE)*(1-$D$12)^($F37-'הנחות עבודה'!$C$5)/$D$11)/$D$11)</f>
        <v>0</v>
      </c>
      <c r="R37" s="43">
        <f ca="1">IF(OR($F37&gt;$D$5,$F37&gt;MAX('הנחות עבודה'!$B$69:$B$89)),0,(VLOOKUP($F37,'התפלגות ייצור וסל דלקים'!$B$64:$BV$84,R$2-$E$2,FALSE))*$D$9*$D$8*(HLOOKUP(R$23,$G$18:$R$19,2,FALSE)*(1-$D$12)^($F37-'הנחות עבודה'!$C$5)/$D$11)/$D$11)</f>
        <v>0</v>
      </c>
      <c r="S37" s="52">
        <f ca="1">IF(OR($F37&gt;$D$5,$F37&gt;MAX('הנחות עבודה'!$B$69:$B$89)),0,(VLOOKUP($F37,'התפלגות ייצור וסל דלקים'!$B$64:$BV$84,S$2-$E$2,FALSE))*$D$9*$D$8*(HLOOKUP(S$23,$G$18:$R$19,2,FALSE)*(1-$D$12)^($F37-'הנחות עבודה'!$C$5)/$D$11)/$D$11)</f>
        <v>0</v>
      </c>
      <c r="T37" s="127">
        <f ca="1">IF(OR($F37&gt;$D$5,$F37&gt;MAX('הנחות עבודה'!$B$69:$B$89)),0,(VLOOKUP($F37,'התפלגות ייצור וסל דלקים'!$B$64:$BV$84,T$2-$E$2,FALSE))*$D$9*$D$8*(HLOOKUP(T$23,$G$18:$R$19,2,FALSE)*(1-$D$12)^($F37-'הנחות עבודה'!$C$5)/$D$11)/$D$11)</f>
        <v>0</v>
      </c>
      <c r="U37" s="127">
        <f ca="1">IF(OR($F37&gt;$D$5,$F37&gt;MAX('הנחות עבודה'!$B$69:$B$89)),0,(VLOOKUP($F37,'התפלגות ייצור וסל דלקים'!$B$64:$BV$84,U$2-$E$2,FALSE))*$D$9*$D$8*(HLOOKUP(U$23,$G$18:$R$19,2,FALSE)*(1-$D$12)^($F37-'הנחות עבודה'!$C$5)/$D$11)/$D$11)</f>
        <v>0</v>
      </c>
      <c r="V37" s="127">
        <f ca="1">IF(OR($F37&gt;$D$5,$F37&gt;MAX('הנחות עבודה'!$B$69:$B$89)),0,(VLOOKUP($F37,'התפלגות ייצור וסל דלקים'!$B$64:$BV$84,V$2-$E$2,FALSE))*$D$9*$D$8*(HLOOKUP(V$23,$G$18:$R$19,2,FALSE)*(1-$D$12)^($F37-'הנחות עבודה'!$C$5)/$D$11)/$D$11)</f>
        <v>0</v>
      </c>
      <c r="W37" s="127">
        <f ca="1">IF(OR($F37&gt;$D$5,$F37&gt;MAX('הנחות עבודה'!$B$69:$B$89)),0,(VLOOKUP($F37,'התפלגות ייצור וסל דלקים'!$B$64:$BV$84,W$2-$E$2,FALSE))*$D$9*$D$8*(HLOOKUP(W$23,$G$18:$R$19,2,FALSE)*(1-$D$12)^($F37-'הנחות עבודה'!$C$5)/$D$11)/$D$11)</f>
        <v>0</v>
      </c>
      <c r="X37" s="127">
        <f ca="1">IF(OR($F37&gt;$D$5,$F37&gt;MAX('הנחות עבודה'!$B$69:$B$89)),0,(VLOOKUP($F37,'התפלגות ייצור וסל דלקים'!$B$64:$BV$84,X$2-$E$2,FALSE))*$D$9*$D$8*(HLOOKUP(X$23,$G$18:$R$19,2,FALSE)*(1-$D$12)^($F37-'הנחות עבודה'!$C$5)/$D$11)/$D$11)</f>
        <v>0</v>
      </c>
      <c r="Y37" s="52">
        <f ca="1">IF(OR($F37&gt;$D$5,$F37&gt;MAX('הנחות עבודה'!$B$69:$B$89)),0,(VLOOKUP($F37,'התפלגות ייצור וסל דלקים'!$B$64:$BV$84,Y$2-$E$2,FALSE))*$D$9*$D$8*(HLOOKUP(Y$23,$G$18:$R$19,2,FALSE)*(1-$D$12)^($F37-'הנחות עבודה'!$C$5)/$D$11)/$D$11)</f>
        <v>7.0105168799999991</v>
      </c>
      <c r="Z37" s="52">
        <f ca="1">IF(OR($F37&gt;$D$5,$F37&gt;MAX('הנחות עבודה'!$B$69:$B$89)),0,(VLOOKUP($F37,'התפלגות ייצור וסל דלקים'!$B$64:$BV$84,Z$2-$E$2,FALSE))*$D$9*$D$8*(HLOOKUP(Z$23,$G$18:$R$19,2,FALSE)*(1-$D$12)^($F37-'הנחות עבודה'!$C$5)/$D$11)/$D$11)</f>
        <v>27.61272743342672</v>
      </c>
      <c r="AA37" s="52">
        <f ca="1">IF(OR($F37&gt;$D$5,$F37&gt;MAX('הנחות עבודה'!$B$69:$B$89)),0,(VLOOKUP($F37,'התפלגות ייצור וסל דלקים'!$B$64:$BV$84,AA$2-$E$2,FALSE))*$D$9*$D$8*(HLOOKUP(AA$23,$G$18:$R$19,2,FALSE)*(1-$D$12)^($F37-'הנחות עבודה'!$C$5)/$D$11)/$D$11)</f>
        <v>0</v>
      </c>
      <c r="AB37" s="52">
        <f ca="1">IF(OR($F37&gt;$D$5,$F37&gt;MAX('הנחות עבודה'!$B$69:$B$89)),0,(VLOOKUP($F37,'התפלגות ייצור וסל דלקים'!$B$64:$BV$84,AB$2-$E$2,FALSE))*$D$9*$D$8*(HLOOKUP(AB$23,$G$18:$R$19,2,FALSE)*(1-$D$12)^($F37-'הנחות עבודה'!$C$5)/$D$11)/$D$11)</f>
        <v>0</v>
      </c>
      <c r="AC37" s="52">
        <f ca="1">IF(OR($F37&gt;$D$5,$F37&gt;MAX('הנחות עבודה'!$B$69:$B$89)),0,(VLOOKUP($F37,'התפלגות ייצור וסל דלקים'!$B$64:$BV$84,AC$2-$E$2,FALSE))*$D$9*$D$8*(HLOOKUP(AC$23,$G$18:$R$19,2,FALSE)*(1-$D$12)^($F37-'הנחות עבודה'!$C$5)/$D$11)/$D$11)</f>
        <v>0</v>
      </c>
      <c r="AD37" s="52">
        <f ca="1">IF(OR($F37&gt;$D$5,$F37&gt;MAX('הנחות עבודה'!$B$69:$B$89)),0,(VLOOKUP($F37,'התפלגות ייצור וסל דלקים'!$B$64:$BV$84,AD$2-$E$2,FALSE))*$D$9*$D$8*(HLOOKUP(AD$23,$G$18:$R$19,2,FALSE)*(1-$D$12)^($F37-'הנחות עבודה'!$C$5)/$D$11)/$D$11)</f>
        <v>0</v>
      </c>
      <c r="AE37" s="42">
        <f ca="1">IF(OR($F37&gt;$D$5,$F37&gt;MAX('הנחות עבודה'!$B$69:$B$89)),0,(VLOOKUP($F37,'התפלגות ייצור וסל דלקים'!$B$64:$BV$84,AE$2-$E$2,FALSE))*$D$9*$D$8*(HLOOKUP(AE$23,$G$18:$R$19,2,FALSE)*(1-$D$12)^($F37-'הנחות עבודה'!$C$5)/$D$11)/$D$11)</f>
        <v>0</v>
      </c>
      <c r="AF37" s="44">
        <f ca="1">IF(OR($F37&gt;$D$5,$F37&gt;MAX('הנחות עבודה'!$B$69:$B$89)),0,(VLOOKUP($F37,'התפלגות ייצור וסל דלקים'!$B$64:$BV$84,AF$2-$E$2,FALSE))*$D$9*$D$8*(HLOOKUP(AF$23,$G$18:$R$19,2,FALSE)*(1-$D$12)^($F37-'הנחות עבודה'!$C$5)/$D$11)/$D$11)</f>
        <v>0</v>
      </c>
      <c r="AG37" s="44">
        <f ca="1">IF(OR($F37&gt;$D$5,$F37&gt;MAX('הנחות עבודה'!$B$69:$B$89)),0,(VLOOKUP($F37,'התפלגות ייצור וסל דלקים'!$B$64:$BV$84,AG$2-$E$2,FALSE))*$D$9*$D$8*(HLOOKUP(AG$23,$G$18:$R$19,2,FALSE)*(1-$D$12)^($F37-'הנחות עבודה'!$C$5)/$D$11)/$D$11)</f>
        <v>0</v>
      </c>
      <c r="AH37" s="44">
        <f ca="1">IF(OR($F37&gt;$D$5,$F37&gt;MAX('הנחות עבודה'!$B$69:$B$89)),0,(VLOOKUP($F37,'התפלגות ייצור וסל דלקים'!$B$64:$BV$84,AH$2-$E$2,FALSE))*$D$9*$D$8*(HLOOKUP(AH$23,$G$18:$R$19,2,FALSE)*(1-$D$12)^($F37-'הנחות עבודה'!$C$5)/$D$11)/$D$11)</f>
        <v>0</v>
      </c>
      <c r="AI37" s="44">
        <f ca="1">IF(OR($F37&gt;$D$5,$F37&gt;MAX('הנחות עבודה'!$B$69:$B$89)),0,(VLOOKUP($F37,'התפלגות ייצור וסל דלקים'!$B$64:$BV$84,AI$2-$E$2,FALSE))*$D$9*$D$8*(HLOOKUP(AI$23,$G$18:$R$19,2,FALSE)*(1-$D$12)^($F37-'הנחות עבודה'!$C$5)/$D$11)/$D$11)</f>
        <v>0</v>
      </c>
      <c r="AJ37" s="44">
        <f ca="1">IF(OR($F37&gt;$D$5,$F37&gt;MAX('הנחות עבודה'!$B$69:$B$89)),0,(VLOOKUP($F37,'התפלגות ייצור וסל דלקים'!$B$64:$BV$84,AJ$2-$E$2,FALSE))*$D$9*$D$8*(HLOOKUP(AJ$23,$G$18:$R$19,2,FALSE)*(1-$D$12)^($F37-'הנחות עבודה'!$C$5)/$D$11)/$D$11)</f>
        <v>0</v>
      </c>
      <c r="AK37" s="42">
        <f ca="1">IF(OR($F37&gt;$D$5,$F37&gt;MAX('הנחות עבודה'!$B$69:$B$89)),0,(VLOOKUP($F37,'התפלגות ייצור וסל דלקים'!$B$64:$BV$84,AK$2-$E$2,FALSE))*$D$9*$D$8*(HLOOKUP(AK$23,$G$18:$R$19,2,FALSE)*(1-$D$12)^($F37-'הנחות עבודה'!$C$5)/$D$11)/$D$11)</f>
        <v>7.46969964</v>
      </c>
      <c r="AL37" s="42">
        <f ca="1">IF(OR($F37&gt;$D$5,$F37&gt;MAX('הנחות עבודה'!$B$69:$B$89)),0,(VLOOKUP($F37,'התפלגות ייצור וסל דלקים'!$B$64:$BV$84,AL$2-$E$2,FALSE))*$D$9*$D$8*(HLOOKUP(AL$23,$G$18:$R$19,2,FALSE)*(1-$D$12)^($F37-'הנחות עבודה'!$C$5)/$D$11)/$D$11)</f>
        <v>24.4341399869223</v>
      </c>
      <c r="AM37" s="42">
        <f ca="1">IF(OR($F37&gt;$D$5,$F37&gt;MAX('הנחות עבודה'!$B$69:$B$89)),0,(VLOOKUP($F37,'התפלגות ייצור וסל דלקים'!$B$64:$BV$84,AM$2-$E$2,FALSE))*$D$9*$D$8*(HLOOKUP(AM$23,$G$18:$R$19,2,FALSE)*(1-$D$12)^($F37-'הנחות עבודה'!$C$5)/$D$11)/$D$11)</f>
        <v>0</v>
      </c>
      <c r="AN37" s="43">
        <f ca="1">IF(OR($F37&gt;$D$5,$F37&gt;MAX('הנחות עבודה'!$B$69:$B$89)),0,(VLOOKUP($F37,'התפלגות ייצור וסל דלקים'!$B$64:$BV$84,AN$2-$E$2,FALSE))*$D$9*$D$8*(HLOOKUP(AN$23,$G$18:$R$19,2,FALSE)*(1-$D$12)^($F37-'הנחות עבודה'!$C$5)/$D$11)/$D$11)</f>
        <v>0</v>
      </c>
      <c r="AO37" s="42">
        <f ca="1">IF(OR($F37&gt;$D$5,$F37&gt;MAX('הנחות עבודה'!$B$69:$B$89)),0,(VLOOKUP($F37,'התפלגות ייצור וסל דלקים'!$B$64:$BV$84,AO$2-$E$2,FALSE))*$D$9*$D$8*(HLOOKUP(AO$23,$G$18:$R$19,2,FALSE)*(1-$D$12)^($F37-'הנחות עבודה'!$C$5)/$D$11)/$D$11)</f>
        <v>0</v>
      </c>
      <c r="AP37" s="43">
        <f ca="1">IF(OR($F37&gt;$D$5,$F37&gt;MAX('הנחות עבודה'!$B$69:$B$89)),0,(VLOOKUP($F37,'התפלגות ייצור וסל דלקים'!$B$64:$BV$84,AP$2-$E$2,FALSE))*$D$9*$D$8*(HLOOKUP(AP$23,$G$18:$R$19,2,FALSE)*(1-$D$12)^($F37-'הנחות עבודה'!$C$5)/$D$11)/$D$11)</f>
        <v>0</v>
      </c>
      <c r="AQ37" s="52">
        <f ca="1">IF(OR($F37&gt;$D$5,$F37&gt;MAX('הנחות עבודה'!$B$69:$B$89)),0,(VLOOKUP($F37,'התפלגות ייצור וסל דלקים'!$B$64:$BV$84,AQ$2-$E$2,FALSE))*$D$9*$D$8*(HLOOKUP(AQ$23,$G$18:$R$19,2,FALSE)*(1-$D$12)^($F37-'הנחות עבודה'!$C$5)/$D$11)/$D$11)</f>
        <v>0</v>
      </c>
      <c r="AR37" s="127">
        <f ca="1">IF(OR($F37&gt;$D$5,$F37&gt;MAX('הנחות עבודה'!$B$69:$B$89)),0,(VLOOKUP($F37,'התפלגות ייצור וסל דלקים'!$B$64:$BV$84,AR$2-$E$2,FALSE))*$D$9*$D$8*(HLOOKUP(AR$23,$G$18:$R$19,2,FALSE)*(1-$D$12)^($F37-'הנחות עבודה'!$C$5)/$D$11)/$D$11)</f>
        <v>0</v>
      </c>
      <c r="AS37" s="127">
        <f ca="1">IF(OR($F37&gt;$D$5,$F37&gt;MAX('הנחות עבודה'!$B$69:$B$89)),0,(VLOOKUP($F37,'התפלגות ייצור וסל דלקים'!$B$64:$BV$84,AS$2-$E$2,FALSE))*$D$9*$D$8*(HLOOKUP(AS$23,$G$18:$R$19,2,FALSE)*(1-$D$12)^($F37-'הנחות עבודה'!$C$5)/$D$11)/$D$11)</f>
        <v>0</v>
      </c>
      <c r="AT37" s="127">
        <f ca="1">IF(OR($F37&gt;$D$5,$F37&gt;MAX('הנחות עבודה'!$B$69:$B$89)),0,(VLOOKUP($F37,'התפלגות ייצור וסל דלקים'!$B$64:$BV$84,AT$2-$E$2,FALSE))*$D$9*$D$8*(HLOOKUP(AT$23,$G$18:$R$19,2,FALSE)*(1-$D$12)^($F37-'הנחות עבודה'!$C$5)/$D$11)/$D$11)</f>
        <v>0</v>
      </c>
      <c r="AU37" s="127">
        <f ca="1">IF(OR($F37&gt;$D$5,$F37&gt;MAX('הנחות עבודה'!$B$69:$B$89)),0,(VLOOKUP($F37,'התפלגות ייצור וסל דלקים'!$B$64:$BV$84,AU$2-$E$2,FALSE))*$D$9*$D$8*(HLOOKUP(AU$23,$G$18:$R$19,2,FALSE)*(1-$D$12)^($F37-'הנחות עבודה'!$C$5)/$D$11)/$D$11)</f>
        <v>0</v>
      </c>
      <c r="AV37" s="127">
        <f ca="1">IF(OR($F37&gt;$D$5,$F37&gt;MAX('הנחות עבודה'!$B$69:$B$89)),0,(VLOOKUP($F37,'התפלגות ייצור וסל דלקים'!$B$64:$BV$84,AV$2-$E$2,FALSE))*$D$9*$D$8*(HLOOKUP(AV$23,$G$18:$R$19,2,FALSE)*(1-$D$12)^($F37-'הנחות עבודה'!$C$5)/$D$11)/$D$11)</f>
        <v>0</v>
      </c>
      <c r="AW37" s="52">
        <f ca="1">IF(OR($F37&gt;$D$5,$F37&gt;MAX('הנחות עבודה'!$B$69:$B$89)),0,(VLOOKUP($F37,'התפלגות ייצור וסל דלקים'!$B$64:$BV$84,AW$2-$E$2,FALSE))*$D$9*$D$8*(HLOOKUP(AW$23,$G$18:$R$19,2,FALSE)*(1-$D$12)^($F37-'הנחות עבודה'!$C$5)/$D$11)/$D$11)</f>
        <v>7.46969964</v>
      </c>
      <c r="AX37" s="52">
        <f ca="1">IF(OR($F37&gt;$D$5,$F37&gt;MAX('הנחות עבודה'!$B$69:$B$89)),0,(VLOOKUP($F37,'התפלגות ייצור וסל דלקים'!$B$64:$BV$84,AX$2-$E$2,FALSE))*$D$9*$D$8*(HLOOKUP(AX$23,$G$18:$R$19,2,FALSE)*(1-$D$12)^($F37-'הנחות עבודה'!$C$5)/$D$11)/$D$11)</f>
        <v>24.4341399869223</v>
      </c>
      <c r="AY37" s="52">
        <f ca="1">IF(OR($F37&gt;$D$5,$F37&gt;MAX('הנחות עבודה'!$B$69:$B$89)),0,(VLOOKUP($F37,'התפלגות ייצור וסל דלקים'!$B$64:$BV$84,AY$2-$E$2,FALSE))*$D$9*$D$8*(HLOOKUP(AY$23,$G$18:$R$19,2,FALSE)*(1-$D$12)^($F37-'הנחות עבודה'!$C$5)/$D$11)/$D$11)</f>
        <v>0</v>
      </c>
      <c r="AZ37" s="52">
        <f ca="1">IF(OR($F37&gt;$D$5,$F37&gt;MAX('הנחות עבודה'!$B$69:$B$89)),0,(VLOOKUP($F37,'התפלגות ייצור וסל דלקים'!$B$64:$BV$84,AZ$2-$E$2,FALSE))*$D$9*$D$8*(HLOOKUP(AZ$23,$G$18:$R$19,2,FALSE)*(1-$D$12)^($F37-'הנחות עבודה'!$C$5)/$D$11)/$D$11)</f>
        <v>0</v>
      </c>
      <c r="BA37" s="52">
        <f ca="1">IF(OR($F37&gt;$D$5,$F37&gt;MAX('הנחות עבודה'!$B$69:$B$89)),0,(VLOOKUP($F37,'התפלגות ייצור וסל דלקים'!$B$64:$BV$84,BA$2-$E$2,FALSE))*$D$9*$D$8*(HLOOKUP(BA$23,$G$18:$R$19,2,FALSE)*(1-$D$12)^($F37-'הנחות עבודה'!$C$5)/$D$11)/$D$11)</f>
        <v>0</v>
      </c>
      <c r="BB37" s="52">
        <f ca="1">IF(OR($F37&gt;$D$5,$F37&gt;MAX('הנחות עבודה'!$B$69:$B$89)),0,(VLOOKUP($F37,'התפלגות ייצור וסל דלקים'!$B$64:$BV$84,BB$2-$E$2,FALSE))*$D$9*$D$8*(HLOOKUP(BB$23,$G$18:$R$19,2,FALSE)*(1-$D$12)^($F37-'הנחות עבודה'!$C$5)/$D$11)/$D$11)</f>
        <v>0</v>
      </c>
      <c r="BC37" s="42">
        <f ca="1">IF(OR($F37&gt;$D$5,$F37&gt;MAX('הנחות עבודה'!$B$69:$B$89)),0,(VLOOKUP($F37,'התפלגות ייצור וסל דלקים'!$B$64:$BV$84,BC$2-$E$2,FALSE))*$D$9*$D$8*(HLOOKUP(BC$23,$G$18:$R$19,2,FALSE)*(1-$D$12)^($F37-'הנחות עבודה'!$C$5)/$D$11)/$D$11)</f>
        <v>0</v>
      </c>
      <c r="BD37" s="44">
        <f ca="1">IF(OR($F37&gt;$D$5,$F37&gt;MAX('הנחות עבודה'!$B$69:$B$89)),0,(VLOOKUP($F37,'התפלגות ייצור וסל דלקים'!$B$64:$BV$84,BD$2-$E$2,FALSE))*$D$9*$D$8*(HLOOKUP(BD$23,$G$18:$R$19,2,FALSE)*(1-$D$12)^($F37-'הנחות עבודה'!$C$5)/$D$11)/$D$11)</f>
        <v>0</v>
      </c>
      <c r="BE37" s="44">
        <f ca="1">IF(OR($F37&gt;$D$5,$F37&gt;MAX('הנחות עבודה'!$B$69:$B$89)),0,(VLOOKUP($F37,'התפלגות ייצור וסל דלקים'!$B$64:$BV$84,BE$2-$E$2,FALSE))*$D$9*$D$8*(HLOOKUP(BE$23,$G$18:$R$19,2,FALSE)*(1-$D$12)^($F37-'הנחות עבודה'!$C$5)/$D$11)/$D$11)</f>
        <v>0</v>
      </c>
      <c r="BF37" s="44">
        <f ca="1">IF(OR($F37&gt;$D$5,$F37&gt;MAX('הנחות עבודה'!$B$69:$B$89)),0,(VLOOKUP($F37,'התפלגות ייצור וסל דלקים'!$B$64:$BV$84,BF$2-$E$2,FALSE))*$D$9*$D$8*(HLOOKUP(BF$23,$G$18:$R$19,2,FALSE)*(1-$D$12)^($F37-'הנחות עבודה'!$C$5)/$D$11)/$D$11)</f>
        <v>0</v>
      </c>
      <c r="BG37" s="44">
        <f ca="1">IF(OR($F37&gt;$D$5,$F37&gt;MAX('הנחות עבודה'!$B$69:$B$89)),0,(VLOOKUP($F37,'התפלגות ייצור וסל דלקים'!$B$64:$BV$84,BG$2-$E$2,FALSE))*$D$9*$D$8*(HLOOKUP(BG$23,$G$18:$R$19,2,FALSE)*(1-$D$12)^($F37-'הנחות עבודה'!$C$5)/$D$11)/$D$11)</f>
        <v>0</v>
      </c>
      <c r="BH37" s="44">
        <f ca="1">IF(OR($F37&gt;$D$5,$F37&gt;MAX('הנחות עבודה'!$B$69:$B$89)),0,(VLOOKUP($F37,'התפלגות ייצור וסל דלקים'!$B$64:$BV$84,BH$2-$E$2,FALSE))*$D$9*$D$8*(HLOOKUP(BH$23,$G$18:$R$19,2,FALSE)*(1-$D$12)^($F37-'הנחות עבודה'!$C$5)/$D$11)/$D$11)</f>
        <v>0</v>
      </c>
      <c r="BI37" s="42">
        <f ca="1">IF(OR($F37&gt;$D$5,$F37&gt;MAX('הנחות עבודה'!$B$69:$B$89)),0,(VLOOKUP($F37,'התפלגות ייצור וסל דלקים'!$B$64:$BV$84,BI$2-$E$2,FALSE))*$D$9*$D$8*(HLOOKUP(BI$23,$G$18:$R$19,2,FALSE)*(1-$D$12)^($F37-'הנחות עבודה'!$C$5)/$D$11)/$D$11)</f>
        <v>7.663158000000001</v>
      </c>
      <c r="BJ37" s="42">
        <f ca="1">IF(OR($F37&gt;$D$5,$F37&gt;MAX('הנחות עבודה'!$B$69:$B$89)),0,(VLOOKUP($F37,'התפלגות ייצור וסל דלקים'!$B$64:$BV$84,BJ$2-$E$2,FALSE))*$D$9*$D$8*(HLOOKUP(BJ$23,$G$18:$R$19,2,FALSE)*(1-$D$12)^($F37-'הנחות עבודה'!$C$5)/$D$11)/$D$11)</f>
        <v>22.523408144107044</v>
      </c>
      <c r="BK37" s="42">
        <f ca="1">IF(OR($F37&gt;$D$5,$F37&gt;MAX('הנחות עבודה'!$B$69:$B$89)),0,(VLOOKUP($F37,'התפלגות ייצור וסל דלקים'!$B$64:$BV$84,BK$2-$E$2,FALSE))*$D$9*$D$8*(HLOOKUP(BK$23,$G$18:$R$19,2,FALSE)*(1-$D$12)^($F37-'הנחות עבודה'!$C$5)/$D$11)/$D$11)</f>
        <v>0</v>
      </c>
      <c r="BL37" s="42">
        <f ca="1">IF(OR($F37&gt;$D$5,$F37&gt;MAX('הנחות עבודה'!$B$69:$B$89)),0,(VLOOKUP($F37,'התפלגות ייצור וסל דלקים'!$B$64:$BV$84,BL$2-$E$2,FALSE))*$D$9*$D$8*(HLOOKUP(BL$23,$G$18:$R$19,2,FALSE)*(1-$D$12)^($F37-'הנחות עבודה'!$C$5)/$D$11)/$D$11)</f>
        <v>0</v>
      </c>
      <c r="BM37" s="42">
        <f ca="1">IF(OR($F37&gt;$D$5,$F37&gt;MAX('הנחות עבודה'!$B$69:$B$89)),0,(VLOOKUP($F37,'התפלגות ייצור וסל דלקים'!$B$64:$BV$84,BM$2-$E$2,FALSE))*$D$9*$D$8*(HLOOKUP(BM$23,$G$18:$R$19,2,FALSE)*(1-$D$12)^($F37-'הנחות עבודה'!$C$5)/$D$11)/$D$11)</f>
        <v>0</v>
      </c>
      <c r="BN37" s="42">
        <f ca="1">IF(OR($F37&gt;$D$5,$F37&gt;MAX('הנחות עבודה'!$B$69:$B$89)),0,(VLOOKUP($F37,'התפלגות ייצור וסל דלקים'!$B$64:$BV$84,BN$2-$E$2,FALSE))*$D$9*$D$8*(HLOOKUP(BN$23,$G$18:$R$19,2,FALSE)*(1-$D$12)^($F37-'הנחות עבודה'!$C$5)/$D$11)/$D$11)</f>
        <v>0</v>
      </c>
      <c r="BO37" s="52">
        <f ca="1">IF(OR($F37&gt;$D$5,$F37&gt;MAX('הנחות עבודה'!$B$69:$B$89)),0,(VLOOKUP($F37,'התפלגות ייצור וסל דלקים'!$B$64:$BV$84,BO$2-$E$2,FALSE))*$D$9*$D$8*(HLOOKUP(BO$23,$G$18:$R$19,2,FALSE)*(1-$D$12)^($F37-'הנחות עבודה'!$C$5)/$D$11)/$D$11)</f>
        <v>0</v>
      </c>
      <c r="BP37" s="127">
        <f ca="1">IF(OR($F37&gt;$D$5,$F37&gt;MAX('הנחות עבודה'!$B$69:$B$89)),0,(VLOOKUP($F37,'התפלגות ייצור וסל דלקים'!$B$64:$BV$84,BP$2-$E$2,FALSE))*$D$9*$D$8*(HLOOKUP(BP$23,$G$18:$R$19,2,FALSE)*(1-$D$12)^($F37-'הנחות עבודה'!$C$5)/$D$11)/$D$11)</f>
        <v>0</v>
      </c>
      <c r="BQ37" s="127">
        <f ca="1">IF(OR($F37&gt;$D$5,$F37&gt;MAX('הנחות עבודה'!$B$69:$B$89)),0,(VLOOKUP($F37,'התפלגות ייצור וסל דלקים'!$B$64:$BV$84,BQ$2-$E$2,FALSE))*$D$9*$D$8*(HLOOKUP(BQ$23,$G$18:$R$19,2,FALSE)*(1-$D$12)^($F37-'הנחות עבודה'!$C$5)/$D$11)/$D$11)</f>
        <v>0</v>
      </c>
      <c r="BR37" s="127">
        <f ca="1">IF(OR($F37&gt;$D$5,$F37&gt;MAX('הנחות עבודה'!$B$69:$B$89)),0,(VLOOKUP($F37,'התפלגות ייצור וסל דלקים'!$B$64:$BV$84,BR$2-$E$2,FALSE))*$D$9*$D$8*(HLOOKUP(BR$23,$G$18:$R$19,2,FALSE)*(1-$D$12)^($F37-'הנחות עבודה'!$C$5)/$D$11)/$D$11)</f>
        <v>0</v>
      </c>
      <c r="BS37" s="127">
        <f ca="1">IF(OR($F37&gt;$D$5,$F37&gt;MAX('הנחות עבודה'!$B$69:$B$89)),0,(VLOOKUP($F37,'התפלגות ייצור וסל דלקים'!$B$64:$BV$84,BS$2-$E$2,FALSE))*$D$9*$D$8*(HLOOKUP(BS$23,$G$18:$R$19,2,FALSE)*(1-$D$12)^($F37-'הנחות עבודה'!$C$5)/$D$11)/$D$11)</f>
        <v>0</v>
      </c>
      <c r="BT37" s="127">
        <f ca="1">IF(OR($F37&gt;$D$5,$F37&gt;MAX('הנחות עבודה'!$B$69:$B$89)),0,(VLOOKUP($F37,'התפלגות ייצור וסל דלקים'!$B$64:$BV$84,BT$2-$E$2,FALSE))*$D$9*$D$8*(HLOOKUP(BT$23,$G$18:$R$19,2,FALSE)*(1-$D$12)^($F37-'הנחות עבודה'!$C$5)/$D$11)/$D$11)</f>
        <v>0</v>
      </c>
      <c r="BU37" s="52">
        <f ca="1">IF(OR($F37&gt;$D$5,$F37&gt;MAX('הנחות עבודה'!$B$69:$B$89)),0,(VLOOKUP($F37,'התפלגות ייצור וסל דלקים'!$B$64:$BV$84,BU$2-$E$2,FALSE))*$D$9*$D$8*(HLOOKUP(BU$23,$G$18:$R$19,2,FALSE)*(1-$D$12)^($F37-'הנחות עבודה'!$C$5)/$D$11)/$D$11)</f>
        <v>7.663158000000001</v>
      </c>
      <c r="BV37" s="52">
        <f ca="1">IF(OR($F37&gt;$D$5,$F37&gt;MAX('הנחות עבודה'!$B$69:$B$89)),0,(VLOOKUP($F37,'התפלגות ייצור וסל דלקים'!$B$64:$BV$84,BV$2-$E$2,FALSE))*$D$9*$D$8*(HLOOKUP(BV$23,$G$18:$R$19,2,FALSE)*(1-$D$12)^($F37-'הנחות עבודה'!$C$5)/$D$11)/$D$11)</f>
        <v>22.523408144107044</v>
      </c>
      <c r="BW37" s="52">
        <f ca="1">IF(OR($F37&gt;$D$5,$F37&gt;MAX('הנחות עבודה'!$B$69:$B$89)),0,(VLOOKUP($F37,'התפלגות ייצור וסל דלקים'!$B$64:$BV$84,BW$2-$E$2,FALSE))*$D$9*$D$8*(HLOOKUP(BW$23,$G$18:$R$19,2,FALSE)*(1-$D$12)^($F37-'הנחות עבודה'!$C$5)/$D$11)/$D$11)</f>
        <v>0</v>
      </c>
      <c r="BX37" s="52">
        <f ca="1">IF(OR($F37&gt;$D$5,$F37&gt;MAX('הנחות עבודה'!$B$69:$B$89)),0,(VLOOKUP($F37,'התפלגות ייצור וסל דלקים'!$B$64:$BV$84,BX$2-$E$2,FALSE))*$D$9*$D$8*(HLOOKUP(BX$23,$G$18:$R$19,2,FALSE)*(1-$D$12)^($F37-'הנחות עבודה'!$C$5)/$D$11)/$D$11)</f>
        <v>0</v>
      </c>
      <c r="BY37" s="52">
        <f ca="1">IF(OR($F37&gt;$D$5,$F37&gt;MAX('הנחות עבודה'!$B$69:$B$89)),0,(VLOOKUP($F37,'התפלגות ייצור וסל דלקים'!$B$64:$BV$84,BY$2-$E$2,FALSE))*$D$9*$D$8*(HLOOKUP(BY$23,$G$18:$R$19,2,FALSE)*(1-$D$12)^($F37-'הנחות עבודה'!$C$5)/$D$11)/$D$11)</f>
        <v>0</v>
      </c>
      <c r="BZ37" s="52">
        <f ca="1">IF(OR($F37&gt;$D$5,$F37&gt;MAX('הנחות עבודה'!$B$69:$B$89)),0,(VLOOKUP($F37,'התפלגות ייצור וסל דלקים'!$B$64:$BV$84,BZ$2-$E$2,FALSE))*$D$9*$D$8*(HLOOKUP(BZ$23,$G$18:$R$19,2,FALSE)*(1-$D$12)^($F37-'הנחות עבודה'!$C$5)/$D$11)/$D$11)</f>
        <v>0</v>
      </c>
    </row>
    <row r="38" spans="6:78" ht="15.75">
      <c r="F38" s="10">
        <f t="shared" si="115"/>
        <v>2034</v>
      </c>
      <c r="G38" s="42">
        <f ca="1">IF(OR($F38&gt;$D$5,$F38&gt;MAX('הנחות עבודה'!$B$69:$B$89)),0,(VLOOKUP($F38,'התפלגות ייצור וסל דלקים'!$B$64:$BV$84,G$2-$E$2,FALSE))*$D$9*$D$8*(HLOOKUP(G$23,$G$18:$R$19,2,FALSE)*(1-$D$12)^($F38-'הנחות עבודה'!$C$5)/$D$11)/$D$11)</f>
        <v>0</v>
      </c>
      <c r="H38" s="44">
        <f ca="1">IF(OR($F38&gt;$D$5,$F38&gt;MAX('הנחות עבודה'!$B$69:$B$89)),0,(VLOOKUP($F38,'התפלגות ייצור וסל דלקים'!$B$64:$BV$84,H$2-$E$2,FALSE))*$D$9*$D$8*(HLOOKUP(H$23,$G$18:$R$19,2,FALSE)*(1-$D$12)^($F38-'הנחות עבודה'!$C$5)/$D$11)/$D$11)</f>
        <v>0</v>
      </c>
      <c r="I38" s="44">
        <f ca="1">IF(OR($F38&gt;$D$5,$F38&gt;MAX('הנחות עבודה'!$B$69:$B$89)),0,(VLOOKUP($F38,'התפלגות ייצור וסל דלקים'!$B$64:$BV$84,I$2-$E$2,FALSE))*$D$9*$D$8*(HLOOKUP(I$23,$G$18:$R$19,2,FALSE)*(1-$D$12)^($F38-'הנחות עבודה'!$C$5)/$D$11)/$D$11)</f>
        <v>0</v>
      </c>
      <c r="J38" s="44">
        <f ca="1">IF(OR($F38&gt;$D$5,$F38&gt;MAX('הנחות עבודה'!$B$69:$B$89)),0,(VLOOKUP($F38,'התפלגות ייצור וסל דלקים'!$B$64:$BV$84,J$2-$E$2,FALSE))*$D$9*$D$8*(HLOOKUP(J$23,$G$18:$R$19,2,FALSE)*(1-$D$12)^($F38-'הנחות עבודה'!$C$5)/$D$11)/$D$11)</f>
        <v>0</v>
      </c>
      <c r="K38" s="44">
        <f ca="1">IF(OR($F38&gt;$D$5,$F38&gt;MAX('הנחות עבודה'!$B$69:$B$89)),0,(VLOOKUP($F38,'התפלגות ייצור וסל דלקים'!$B$64:$BV$84,K$2-$E$2,FALSE))*$D$9*$D$8*(HLOOKUP(K$23,$G$18:$R$19,2,FALSE)*(1-$D$12)^($F38-'הנחות עבודה'!$C$5)/$D$11)/$D$11)</f>
        <v>0</v>
      </c>
      <c r="L38" s="44">
        <f ca="1">IF(OR($F38&gt;$D$5,$F38&gt;MAX('הנחות עבודה'!$B$69:$B$89)),0,(VLOOKUP($F38,'התפלגות ייצור וסל דלקים'!$B$64:$BV$84,L$2-$E$2,FALSE))*$D$9*$D$8*(HLOOKUP(L$23,$G$18:$R$19,2,FALSE)*(1-$D$12)^($F38-'הנחות עבודה'!$C$5)/$D$11)/$D$11)</f>
        <v>0</v>
      </c>
      <c r="M38" s="42">
        <f ca="1">IF(OR($F38&gt;$D$5,$F38&gt;MAX('הנחות עבודה'!$B$69:$B$89)),0,(VLOOKUP($F38,'התפלגות ייצור וסל דלקים'!$B$64:$BV$84,M$2-$E$2,FALSE))*$D$9*$D$8*(HLOOKUP(M$23,$G$18:$R$19,2,FALSE)*(1-$D$12)^($F38-'הנחות עבודה'!$C$5)/$D$11)/$D$11)</f>
        <v>6.9756115199999984</v>
      </c>
      <c r="N38" s="42">
        <f ca="1">IF(OR($F38&gt;$D$5,$F38&gt;MAX('הנחות עבודה'!$B$69:$B$89)),0,(VLOOKUP($F38,'התפלגות ייצור וסל דלקים'!$B$64:$BV$84,N$2-$E$2,FALSE))*$D$9*$D$8*(HLOOKUP(N$23,$G$18:$R$19,2,FALSE)*(1-$D$12)^($F38-'הנחות עבודה'!$C$5)/$D$11)/$D$11)</f>
        <v>28.84662571816839</v>
      </c>
      <c r="O38" s="42">
        <f ca="1">IF(OR($F38&gt;$D$5,$F38&gt;MAX('הנחות עבודה'!$B$69:$B$89)),0,(VLOOKUP($F38,'התפלגות ייצור וסל דלקים'!$B$64:$BV$84,O$2-$E$2,FALSE))*$D$9*$D$8*(HLOOKUP(O$23,$G$18:$R$19,2,FALSE)*(1-$D$12)^($F38-'הנחות עבודה'!$C$5)/$D$11)/$D$11)</f>
        <v>0</v>
      </c>
      <c r="P38" s="43">
        <f ca="1">IF(OR($F38&gt;$D$5,$F38&gt;MAX('הנחות עבודה'!$B$69:$B$89)),0,(VLOOKUP($F38,'התפלגות ייצור וסל דלקים'!$B$64:$BV$84,P$2-$E$2,FALSE))*$D$9*$D$8*(HLOOKUP(P$23,$G$18:$R$19,2,FALSE)*(1-$D$12)^($F38-'הנחות עבודה'!$C$5)/$D$11)/$D$11)</f>
        <v>0</v>
      </c>
      <c r="Q38" s="42">
        <f ca="1">IF(OR($F38&gt;$D$5,$F38&gt;MAX('הנחות עבודה'!$B$69:$B$89)),0,(VLOOKUP($F38,'התפלגות ייצור וסל דלקים'!$B$64:$BV$84,Q$2-$E$2,FALSE))*$D$9*$D$8*(HLOOKUP(Q$23,$G$18:$R$19,2,FALSE)*(1-$D$12)^($F38-'הנחות עבודה'!$C$5)/$D$11)/$D$11)</f>
        <v>0</v>
      </c>
      <c r="R38" s="43">
        <f ca="1">IF(OR($F38&gt;$D$5,$F38&gt;MAX('הנחות עבודה'!$B$69:$B$89)),0,(VLOOKUP($F38,'התפלגות ייצור וסל דלקים'!$B$64:$BV$84,R$2-$E$2,FALSE))*$D$9*$D$8*(HLOOKUP(R$23,$G$18:$R$19,2,FALSE)*(1-$D$12)^($F38-'הנחות עבודה'!$C$5)/$D$11)/$D$11)</f>
        <v>0</v>
      </c>
      <c r="S38" s="52">
        <f ca="1">IF(OR($F38&gt;$D$5,$F38&gt;MAX('הנחות עבודה'!$B$69:$B$89)),0,(VLOOKUP($F38,'התפלגות ייצור וסל דלקים'!$B$64:$BV$84,S$2-$E$2,FALSE))*$D$9*$D$8*(HLOOKUP(S$23,$G$18:$R$19,2,FALSE)*(1-$D$12)^($F38-'הנחות עבודה'!$C$5)/$D$11)/$D$11)</f>
        <v>0</v>
      </c>
      <c r="T38" s="127">
        <f ca="1">IF(OR($F38&gt;$D$5,$F38&gt;MAX('הנחות עבודה'!$B$69:$B$89)),0,(VLOOKUP($F38,'התפלגות ייצור וסל דלקים'!$B$64:$BV$84,T$2-$E$2,FALSE))*$D$9*$D$8*(HLOOKUP(T$23,$G$18:$R$19,2,FALSE)*(1-$D$12)^($F38-'הנחות עבודה'!$C$5)/$D$11)/$D$11)</f>
        <v>0</v>
      </c>
      <c r="U38" s="127">
        <f ca="1">IF(OR($F38&gt;$D$5,$F38&gt;MAX('הנחות עבודה'!$B$69:$B$89)),0,(VLOOKUP($F38,'התפלגות ייצור וסל דלקים'!$B$64:$BV$84,U$2-$E$2,FALSE))*$D$9*$D$8*(HLOOKUP(U$23,$G$18:$R$19,2,FALSE)*(1-$D$12)^($F38-'הנחות עבודה'!$C$5)/$D$11)/$D$11)</f>
        <v>0</v>
      </c>
      <c r="V38" s="127">
        <f ca="1">IF(OR($F38&gt;$D$5,$F38&gt;MAX('הנחות עבודה'!$B$69:$B$89)),0,(VLOOKUP($F38,'התפלגות ייצור וסל דלקים'!$B$64:$BV$84,V$2-$E$2,FALSE))*$D$9*$D$8*(HLOOKUP(V$23,$G$18:$R$19,2,FALSE)*(1-$D$12)^($F38-'הנחות עבודה'!$C$5)/$D$11)/$D$11)</f>
        <v>0</v>
      </c>
      <c r="W38" s="127">
        <f ca="1">IF(OR($F38&gt;$D$5,$F38&gt;MAX('הנחות עבודה'!$B$69:$B$89)),0,(VLOOKUP($F38,'התפלגות ייצור וסל דלקים'!$B$64:$BV$84,W$2-$E$2,FALSE))*$D$9*$D$8*(HLOOKUP(W$23,$G$18:$R$19,2,FALSE)*(1-$D$12)^($F38-'הנחות עבודה'!$C$5)/$D$11)/$D$11)</f>
        <v>0</v>
      </c>
      <c r="X38" s="127">
        <f ca="1">IF(OR($F38&gt;$D$5,$F38&gt;MAX('הנחות עבודה'!$B$69:$B$89)),0,(VLOOKUP($F38,'התפלגות ייצור וסל דלקים'!$B$64:$BV$84,X$2-$E$2,FALSE))*$D$9*$D$8*(HLOOKUP(X$23,$G$18:$R$19,2,FALSE)*(1-$D$12)^($F38-'הנחות עבודה'!$C$5)/$D$11)/$D$11)</f>
        <v>0</v>
      </c>
      <c r="Y38" s="52">
        <f ca="1">IF(OR($F38&gt;$D$5,$F38&gt;MAX('הנחות עבודה'!$B$69:$B$89)),0,(VLOOKUP($F38,'התפלגות ייצור וסל דלקים'!$B$64:$BV$84,Y$2-$E$2,FALSE))*$D$9*$D$8*(HLOOKUP(Y$23,$G$18:$R$19,2,FALSE)*(1-$D$12)^($F38-'הנחות עבודה'!$C$5)/$D$11)/$D$11)</f>
        <v>6.9756115199999984</v>
      </c>
      <c r="Z38" s="52">
        <f ca="1">IF(OR($F38&gt;$D$5,$F38&gt;MAX('הנחות עבודה'!$B$69:$B$89)),0,(VLOOKUP($F38,'התפלגות ייצור וסל דלקים'!$B$64:$BV$84,Z$2-$E$2,FALSE))*$D$9*$D$8*(HLOOKUP(Z$23,$G$18:$R$19,2,FALSE)*(1-$D$12)^($F38-'הנחות עבודה'!$C$5)/$D$11)/$D$11)</f>
        <v>28.84662571816839</v>
      </c>
      <c r="AA38" s="52">
        <f ca="1">IF(OR($F38&gt;$D$5,$F38&gt;MAX('הנחות עבודה'!$B$69:$B$89)),0,(VLOOKUP($F38,'התפלגות ייצור וסל דלקים'!$B$64:$BV$84,AA$2-$E$2,FALSE))*$D$9*$D$8*(HLOOKUP(AA$23,$G$18:$R$19,2,FALSE)*(1-$D$12)^($F38-'הנחות עבודה'!$C$5)/$D$11)/$D$11)</f>
        <v>0</v>
      </c>
      <c r="AB38" s="52">
        <f ca="1">IF(OR($F38&gt;$D$5,$F38&gt;MAX('הנחות עבודה'!$B$69:$B$89)),0,(VLOOKUP($F38,'התפלגות ייצור וסל דלקים'!$B$64:$BV$84,AB$2-$E$2,FALSE))*$D$9*$D$8*(HLOOKUP(AB$23,$G$18:$R$19,2,FALSE)*(1-$D$12)^($F38-'הנחות עבודה'!$C$5)/$D$11)/$D$11)</f>
        <v>0</v>
      </c>
      <c r="AC38" s="52">
        <f ca="1">IF(OR($F38&gt;$D$5,$F38&gt;MAX('הנחות עבודה'!$B$69:$B$89)),0,(VLOOKUP($F38,'התפלגות ייצור וסל דלקים'!$B$64:$BV$84,AC$2-$E$2,FALSE))*$D$9*$D$8*(HLOOKUP(AC$23,$G$18:$R$19,2,FALSE)*(1-$D$12)^($F38-'הנחות עבודה'!$C$5)/$D$11)/$D$11)</f>
        <v>0</v>
      </c>
      <c r="AD38" s="52">
        <f ca="1">IF(OR($F38&gt;$D$5,$F38&gt;MAX('הנחות עבודה'!$B$69:$B$89)),0,(VLOOKUP($F38,'התפלגות ייצור וסל דלקים'!$B$64:$BV$84,AD$2-$E$2,FALSE))*$D$9*$D$8*(HLOOKUP(AD$23,$G$18:$R$19,2,FALSE)*(1-$D$12)^($F38-'הנחות עבודה'!$C$5)/$D$11)/$D$11)</f>
        <v>0</v>
      </c>
      <c r="AE38" s="42">
        <f ca="1">IF(OR($F38&gt;$D$5,$F38&gt;MAX('הנחות עבודה'!$B$69:$B$89)),0,(VLOOKUP($F38,'התפלגות ייצור וסל דלקים'!$B$64:$BV$84,AE$2-$E$2,FALSE))*$D$9*$D$8*(HLOOKUP(AE$23,$G$18:$R$19,2,FALSE)*(1-$D$12)^($F38-'הנחות עבודה'!$C$5)/$D$11)/$D$11)</f>
        <v>0</v>
      </c>
      <c r="AF38" s="44">
        <f ca="1">IF(OR($F38&gt;$D$5,$F38&gt;MAX('הנחות עבודה'!$B$69:$B$89)),0,(VLOOKUP($F38,'התפלגות ייצור וסל דלקים'!$B$64:$BV$84,AF$2-$E$2,FALSE))*$D$9*$D$8*(HLOOKUP(AF$23,$G$18:$R$19,2,FALSE)*(1-$D$12)^($F38-'הנחות עבודה'!$C$5)/$D$11)/$D$11)</f>
        <v>0</v>
      </c>
      <c r="AG38" s="44">
        <f ca="1">IF(OR($F38&gt;$D$5,$F38&gt;MAX('הנחות עבודה'!$B$69:$B$89)),0,(VLOOKUP($F38,'התפלגות ייצור וסל דלקים'!$B$64:$BV$84,AG$2-$E$2,FALSE))*$D$9*$D$8*(HLOOKUP(AG$23,$G$18:$R$19,2,FALSE)*(1-$D$12)^($F38-'הנחות עבודה'!$C$5)/$D$11)/$D$11)</f>
        <v>0</v>
      </c>
      <c r="AH38" s="44">
        <f ca="1">IF(OR($F38&gt;$D$5,$F38&gt;MAX('הנחות עבודה'!$B$69:$B$89)),0,(VLOOKUP($F38,'התפלגות ייצור וסל דלקים'!$B$64:$BV$84,AH$2-$E$2,FALSE))*$D$9*$D$8*(HLOOKUP(AH$23,$G$18:$R$19,2,FALSE)*(1-$D$12)^($F38-'הנחות עבודה'!$C$5)/$D$11)/$D$11)</f>
        <v>0</v>
      </c>
      <c r="AI38" s="44">
        <f ca="1">IF(OR($F38&gt;$D$5,$F38&gt;MAX('הנחות עבודה'!$B$69:$B$89)),0,(VLOOKUP($F38,'התפלגות ייצור וסל דלקים'!$B$64:$BV$84,AI$2-$E$2,FALSE))*$D$9*$D$8*(HLOOKUP(AI$23,$G$18:$R$19,2,FALSE)*(1-$D$12)^($F38-'הנחות עבודה'!$C$5)/$D$11)/$D$11)</f>
        <v>0</v>
      </c>
      <c r="AJ38" s="44">
        <f ca="1">IF(OR($F38&gt;$D$5,$F38&gt;MAX('הנחות עבודה'!$B$69:$B$89)),0,(VLOOKUP($F38,'התפלגות ייצור וסל דלקים'!$B$64:$BV$84,AJ$2-$E$2,FALSE))*$D$9*$D$8*(HLOOKUP(AJ$23,$G$18:$R$19,2,FALSE)*(1-$D$12)^($F38-'הנחות עבודה'!$C$5)/$D$11)/$D$11)</f>
        <v>0</v>
      </c>
      <c r="AK38" s="42">
        <f ca="1">IF(OR($F38&gt;$D$5,$F38&gt;MAX('הנחות עבודה'!$B$69:$B$89)),0,(VLOOKUP($F38,'התפלגות ייצור וסל דלקים'!$B$64:$BV$84,AK$2-$E$2,FALSE))*$D$9*$D$8*(HLOOKUP(AK$23,$G$18:$R$19,2,FALSE)*(1-$D$12)^($F38-'הנחות עבודה'!$C$5)/$D$11)/$D$11)</f>
        <v>7.4393873399999997</v>
      </c>
      <c r="AL38" s="42">
        <f ca="1">IF(OR($F38&gt;$D$5,$F38&gt;MAX('הנחות עבודה'!$B$69:$B$89)),0,(VLOOKUP($F38,'התפלגות ייצור וסל דלקים'!$B$64:$BV$84,AL$2-$E$2,FALSE))*$D$9*$D$8*(HLOOKUP(AL$23,$G$18:$R$19,2,FALSE)*(1-$D$12)^($F38-'הנחות עבודה'!$C$5)/$D$11)/$D$11)</f>
        <v>25.681007783563004</v>
      </c>
      <c r="AM38" s="42">
        <f ca="1">IF(OR($F38&gt;$D$5,$F38&gt;MAX('הנחות עבודה'!$B$69:$B$89)),0,(VLOOKUP($F38,'התפלגות ייצור וסל דלקים'!$B$64:$BV$84,AM$2-$E$2,FALSE))*$D$9*$D$8*(HLOOKUP(AM$23,$G$18:$R$19,2,FALSE)*(1-$D$12)^($F38-'הנחות עבודה'!$C$5)/$D$11)/$D$11)</f>
        <v>0</v>
      </c>
      <c r="AN38" s="43">
        <f ca="1">IF(OR($F38&gt;$D$5,$F38&gt;MAX('הנחות עבודה'!$B$69:$B$89)),0,(VLOOKUP($F38,'התפלגות ייצור וסל דלקים'!$B$64:$BV$84,AN$2-$E$2,FALSE))*$D$9*$D$8*(HLOOKUP(AN$23,$G$18:$R$19,2,FALSE)*(1-$D$12)^($F38-'הנחות עבודה'!$C$5)/$D$11)/$D$11)</f>
        <v>0</v>
      </c>
      <c r="AO38" s="42">
        <f ca="1">IF(OR($F38&gt;$D$5,$F38&gt;MAX('הנחות עבודה'!$B$69:$B$89)),0,(VLOOKUP($F38,'התפלגות ייצור וסל דלקים'!$B$64:$BV$84,AO$2-$E$2,FALSE))*$D$9*$D$8*(HLOOKUP(AO$23,$G$18:$R$19,2,FALSE)*(1-$D$12)^($F38-'הנחות עבודה'!$C$5)/$D$11)/$D$11)</f>
        <v>0</v>
      </c>
      <c r="AP38" s="43">
        <f ca="1">IF(OR($F38&gt;$D$5,$F38&gt;MAX('הנחות עבודה'!$B$69:$B$89)),0,(VLOOKUP($F38,'התפלגות ייצור וסל דלקים'!$B$64:$BV$84,AP$2-$E$2,FALSE))*$D$9*$D$8*(HLOOKUP(AP$23,$G$18:$R$19,2,FALSE)*(1-$D$12)^($F38-'הנחות עבודה'!$C$5)/$D$11)/$D$11)</f>
        <v>0</v>
      </c>
      <c r="AQ38" s="52">
        <f ca="1">IF(OR($F38&gt;$D$5,$F38&gt;MAX('הנחות עבודה'!$B$69:$B$89)),0,(VLOOKUP($F38,'התפלגות ייצור וסל דלקים'!$B$64:$BV$84,AQ$2-$E$2,FALSE))*$D$9*$D$8*(HLOOKUP(AQ$23,$G$18:$R$19,2,FALSE)*(1-$D$12)^($F38-'הנחות עבודה'!$C$5)/$D$11)/$D$11)</f>
        <v>0</v>
      </c>
      <c r="AR38" s="127">
        <f ca="1">IF(OR($F38&gt;$D$5,$F38&gt;MAX('הנחות עבודה'!$B$69:$B$89)),0,(VLOOKUP($F38,'התפלגות ייצור וסל דלקים'!$B$64:$BV$84,AR$2-$E$2,FALSE))*$D$9*$D$8*(HLOOKUP(AR$23,$G$18:$R$19,2,FALSE)*(1-$D$12)^($F38-'הנחות עבודה'!$C$5)/$D$11)/$D$11)</f>
        <v>0</v>
      </c>
      <c r="AS38" s="127">
        <f ca="1">IF(OR($F38&gt;$D$5,$F38&gt;MAX('הנחות עבודה'!$B$69:$B$89)),0,(VLOOKUP($F38,'התפלגות ייצור וסל דלקים'!$B$64:$BV$84,AS$2-$E$2,FALSE))*$D$9*$D$8*(HLOOKUP(AS$23,$G$18:$R$19,2,FALSE)*(1-$D$12)^($F38-'הנחות עבודה'!$C$5)/$D$11)/$D$11)</f>
        <v>0</v>
      </c>
      <c r="AT38" s="127">
        <f ca="1">IF(OR($F38&gt;$D$5,$F38&gt;MAX('הנחות עבודה'!$B$69:$B$89)),0,(VLOOKUP($F38,'התפלגות ייצור וסל דלקים'!$B$64:$BV$84,AT$2-$E$2,FALSE))*$D$9*$D$8*(HLOOKUP(AT$23,$G$18:$R$19,2,FALSE)*(1-$D$12)^($F38-'הנחות עבודה'!$C$5)/$D$11)/$D$11)</f>
        <v>0</v>
      </c>
      <c r="AU38" s="127">
        <f ca="1">IF(OR($F38&gt;$D$5,$F38&gt;MAX('הנחות עבודה'!$B$69:$B$89)),0,(VLOOKUP($F38,'התפלגות ייצור וסל דלקים'!$B$64:$BV$84,AU$2-$E$2,FALSE))*$D$9*$D$8*(HLOOKUP(AU$23,$G$18:$R$19,2,FALSE)*(1-$D$12)^($F38-'הנחות עבודה'!$C$5)/$D$11)/$D$11)</f>
        <v>0</v>
      </c>
      <c r="AV38" s="127">
        <f ca="1">IF(OR($F38&gt;$D$5,$F38&gt;MAX('הנחות עבודה'!$B$69:$B$89)),0,(VLOOKUP($F38,'התפלגות ייצור וסל דלקים'!$B$64:$BV$84,AV$2-$E$2,FALSE))*$D$9*$D$8*(HLOOKUP(AV$23,$G$18:$R$19,2,FALSE)*(1-$D$12)^($F38-'הנחות עבודה'!$C$5)/$D$11)/$D$11)</f>
        <v>0</v>
      </c>
      <c r="AW38" s="52">
        <f ca="1">IF(OR($F38&gt;$D$5,$F38&gt;MAX('הנחות עבודה'!$B$69:$B$89)),0,(VLOOKUP($F38,'התפלגות ייצור וסל דלקים'!$B$64:$BV$84,AW$2-$E$2,FALSE))*$D$9*$D$8*(HLOOKUP(AW$23,$G$18:$R$19,2,FALSE)*(1-$D$12)^($F38-'הנחות עבודה'!$C$5)/$D$11)/$D$11)</f>
        <v>7.4393873399999997</v>
      </c>
      <c r="AX38" s="52">
        <f ca="1">IF(OR($F38&gt;$D$5,$F38&gt;MAX('הנחות עבודה'!$B$69:$B$89)),0,(VLOOKUP($F38,'התפלגות ייצור וסל דלקים'!$B$64:$BV$84,AX$2-$E$2,FALSE))*$D$9*$D$8*(HLOOKUP(AX$23,$G$18:$R$19,2,FALSE)*(1-$D$12)^($F38-'הנחות עבודה'!$C$5)/$D$11)/$D$11)</f>
        <v>25.681007783563004</v>
      </c>
      <c r="AY38" s="52">
        <f ca="1">IF(OR($F38&gt;$D$5,$F38&gt;MAX('הנחות עבודה'!$B$69:$B$89)),0,(VLOOKUP($F38,'התפלגות ייצור וסל דלקים'!$B$64:$BV$84,AY$2-$E$2,FALSE))*$D$9*$D$8*(HLOOKUP(AY$23,$G$18:$R$19,2,FALSE)*(1-$D$12)^($F38-'הנחות עבודה'!$C$5)/$D$11)/$D$11)</f>
        <v>0</v>
      </c>
      <c r="AZ38" s="52">
        <f ca="1">IF(OR($F38&gt;$D$5,$F38&gt;MAX('הנחות עבודה'!$B$69:$B$89)),0,(VLOOKUP($F38,'התפלגות ייצור וסל דלקים'!$B$64:$BV$84,AZ$2-$E$2,FALSE))*$D$9*$D$8*(HLOOKUP(AZ$23,$G$18:$R$19,2,FALSE)*(1-$D$12)^($F38-'הנחות עבודה'!$C$5)/$D$11)/$D$11)</f>
        <v>0</v>
      </c>
      <c r="BA38" s="52">
        <f ca="1">IF(OR($F38&gt;$D$5,$F38&gt;MAX('הנחות עבודה'!$B$69:$B$89)),0,(VLOOKUP($F38,'התפלגות ייצור וסל דלקים'!$B$64:$BV$84,BA$2-$E$2,FALSE))*$D$9*$D$8*(HLOOKUP(BA$23,$G$18:$R$19,2,FALSE)*(1-$D$12)^($F38-'הנחות עבודה'!$C$5)/$D$11)/$D$11)</f>
        <v>0</v>
      </c>
      <c r="BB38" s="52">
        <f ca="1">IF(OR($F38&gt;$D$5,$F38&gt;MAX('הנחות עבודה'!$B$69:$B$89)),0,(VLOOKUP($F38,'התפלגות ייצור וסל דלקים'!$B$64:$BV$84,BB$2-$E$2,FALSE))*$D$9*$D$8*(HLOOKUP(BB$23,$G$18:$R$19,2,FALSE)*(1-$D$12)^($F38-'הנחות עבודה'!$C$5)/$D$11)/$D$11)</f>
        <v>0</v>
      </c>
      <c r="BC38" s="42">
        <f ca="1">IF(OR($F38&gt;$D$5,$F38&gt;MAX('הנחות עבודה'!$B$69:$B$89)),0,(VLOOKUP($F38,'התפלגות ייצור וסל דלקים'!$B$64:$BV$84,BC$2-$E$2,FALSE))*$D$9*$D$8*(HLOOKUP(BC$23,$G$18:$R$19,2,FALSE)*(1-$D$12)^($F38-'הנחות עבודה'!$C$5)/$D$11)/$D$11)</f>
        <v>0</v>
      </c>
      <c r="BD38" s="44">
        <f ca="1">IF(OR($F38&gt;$D$5,$F38&gt;MAX('הנחות עבודה'!$B$69:$B$89)),0,(VLOOKUP($F38,'התפלגות ייצור וסל דלקים'!$B$64:$BV$84,BD$2-$E$2,FALSE))*$D$9*$D$8*(HLOOKUP(BD$23,$G$18:$R$19,2,FALSE)*(1-$D$12)^($F38-'הנחות עבודה'!$C$5)/$D$11)/$D$11)</f>
        <v>0</v>
      </c>
      <c r="BE38" s="44">
        <f ca="1">IF(OR($F38&gt;$D$5,$F38&gt;MAX('הנחות עבודה'!$B$69:$B$89)),0,(VLOOKUP($F38,'התפלגות ייצור וסל דלקים'!$B$64:$BV$84,BE$2-$E$2,FALSE))*$D$9*$D$8*(HLOOKUP(BE$23,$G$18:$R$19,2,FALSE)*(1-$D$12)^($F38-'הנחות עבודה'!$C$5)/$D$11)/$D$11)</f>
        <v>0</v>
      </c>
      <c r="BF38" s="44">
        <f ca="1">IF(OR($F38&gt;$D$5,$F38&gt;MAX('הנחות עבודה'!$B$69:$B$89)),0,(VLOOKUP($F38,'התפלגות ייצור וסל דלקים'!$B$64:$BV$84,BF$2-$E$2,FALSE))*$D$9*$D$8*(HLOOKUP(BF$23,$G$18:$R$19,2,FALSE)*(1-$D$12)^($F38-'הנחות עבודה'!$C$5)/$D$11)/$D$11)</f>
        <v>0</v>
      </c>
      <c r="BG38" s="44">
        <f ca="1">IF(OR($F38&gt;$D$5,$F38&gt;MAX('הנחות עבודה'!$B$69:$B$89)),0,(VLOOKUP($F38,'התפלגות ייצור וסל דלקים'!$B$64:$BV$84,BG$2-$E$2,FALSE))*$D$9*$D$8*(HLOOKUP(BG$23,$G$18:$R$19,2,FALSE)*(1-$D$12)^($F38-'הנחות עבודה'!$C$5)/$D$11)/$D$11)</f>
        <v>0</v>
      </c>
      <c r="BH38" s="44">
        <f ca="1">IF(OR($F38&gt;$D$5,$F38&gt;MAX('הנחות עבודה'!$B$69:$B$89)),0,(VLOOKUP($F38,'התפלגות ייצור וסל דלקים'!$B$64:$BV$84,BH$2-$E$2,FALSE))*$D$9*$D$8*(HLOOKUP(BH$23,$G$18:$R$19,2,FALSE)*(1-$D$12)^($F38-'הנחות עבודה'!$C$5)/$D$11)/$D$11)</f>
        <v>0</v>
      </c>
      <c r="BI38" s="42">
        <f ca="1">IF(OR($F38&gt;$D$5,$F38&gt;MAX('הנחות עבודה'!$B$69:$B$89)),0,(VLOOKUP($F38,'התפלגות ייצור וסל דלקים'!$B$64:$BV$84,BI$2-$E$2,FALSE))*$D$9*$D$8*(HLOOKUP(BI$23,$G$18:$R$19,2,FALSE)*(1-$D$12)^($F38-'הנחות עבודה'!$C$5)/$D$11)/$D$11)</f>
        <v>7.6204980000000013</v>
      </c>
      <c r="BJ38" s="42">
        <f ca="1">IF(OR($F38&gt;$D$5,$F38&gt;MAX('הנחות עבודה'!$B$69:$B$89)),0,(VLOOKUP($F38,'התפלגות ייצור וסל דלקים'!$B$64:$BV$84,BJ$2-$E$2,FALSE))*$D$9*$D$8*(HLOOKUP(BJ$23,$G$18:$R$19,2,FALSE)*(1-$D$12)^($F38-'הנחות עבודה'!$C$5)/$D$11)/$D$11)</f>
        <v>23.791307033184633</v>
      </c>
      <c r="BK38" s="42">
        <f ca="1">IF(OR($F38&gt;$D$5,$F38&gt;MAX('הנחות עבודה'!$B$69:$B$89)),0,(VLOOKUP($F38,'התפלגות ייצור וסל דלקים'!$B$64:$BV$84,BK$2-$E$2,FALSE))*$D$9*$D$8*(HLOOKUP(BK$23,$G$18:$R$19,2,FALSE)*(1-$D$12)^($F38-'הנחות עבודה'!$C$5)/$D$11)/$D$11)</f>
        <v>0</v>
      </c>
      <c r="BL38" s="42">
        <f ca="1">IF(OR($F38&gt;$D$5,$F38&gt;MAX('הנחות עבודה'!$B$69:$B$89)),0,(VLOOKUP($F38,'התפלגות ייצור וסל דלקים'!$B$64:$BV$84,BL$2-$E$2,FALSE))*$D$9*$D$8*(HLOOKUP(BL$23,$G$18:$R$19,2,FALSE)*(1-$D$12)^($F38-'הנחות עבודה'!$C$5)/$D$11)/$D$11)</f>
        <v>0</v>
      </c>
      <c r="BM38" s="42">
        <f ca="1">IF(OR($F38&gt;$D$5,$F38&gt;MAX('הנחות עבודה'!$B$69:$B$89)),0,(VLOOKUP($F38,'התפלגות ייצור וסל דלקים'!$B$64:$BV$84,BM$2-$E$2,FALSE))*$D$9*$D$8*(HLOOKUP(BM$23,$G$18:$R$19,2,FALSE)*(1-$D$12)^($F38-'הנחות עבודה'!$C$5)/$D$11)/$D$11)</f>
        <v>0</v>
      </c>
      <c r="BN38" s="42">
        <f ca="1">IF(OR($F38&gt;$D$5,$F38&gt;MAX('הנחות עבודה'!$B$69:$B$89)),0,(VLOOKUP($F38,'התפלגות ייצור וסל דלקים'!$B$64:$BV$84,BN$2-$E$2,FALSE))*$D$9*$D$8*(HLOOKUP(BN$23,$G$18:$R$19,2,FALSE)*(1-$D$12)^($F38-'הנחות עבודה'!$C$5)/$D$11)/$D$11)</f>
        <v>0</v>
      </c>
      <c r="BO38" s="52">
        <f ca="1">IF(OR($F38&gt;$D$5,$F38&gt;MAX('הנחות עבודה'!$B$69:$B$89)),0,(VLOOKUP($F38,'התפלגות ייצור וסל דלקים'!$B$64:$BV$84,BO$2-$E$2,FALSE))*$D$9*$D$8*(HLOOKUP(BO$23,$G$18:$R$19,2,FALSE)*(1-$D$12)^($F38-'הנחות עבודה'!$C$5)/$D$11)/$D$11)</f>
        <v>0</v>
      </c>
      <c r="BP38" s="127">
        <f ca="1">IF(OR($F38&gt;$D$5,$F38&gt;MAX('הנחות עבודה'!$B$69:$B$89)),0,(VLOOKUP($F38,'התפלגות ייצור וסל דלקים'!$B$64:$BV$84,BP$2-$E$2,FALSE))*$D$9*$D$8*(HLOOKUP(BP$23,$G$18:$R$19,2,FALSE)*(1-$D$12)^($F38-'הנחות עבודה'!$C$5)/$D$11)/$D$11)</f>
        <v>0</v>
      </c>
      <c r="BQ38" s="127">
        <f ca="1">IF(OR($F38&gt;$D$5,$F38&gt;MAX('הנחות עבודה'!$B$69:$B$89)),0,(VLOOKUP($F38,'התפלגות ייצור וסל דלקים'!$B$64:$BV$84,BQ$2-$E$2,FALSE))*$D$9*$D$8*(HLOOKUP(BQ$23,$G$18:$R$19,2,FALSE)*(1-$D$12)^($F38-'הנחות עבודה'!$C$5)/$D$11)/$D$11)</f>
        <v>0</v>
      </c>
      <c r="BR38" s="127">
        <f ca="1">IF(OR($F38&gt;$D$5,$F38&gt;MAX('הנחות עבודה'!$B$69:$B$89)),0,(VLOOKUP($F38,'התפלגות ייצור וסל דלקים'!$B$64:$BV$84,BR$2-$E$2,FALSE))*$D$9*$D$8*(HLOOKUP(BR$23,$G$18:$R$19,2,FALSE)*(1-$D$12)^($F38-'הנחות עבודה'!$C$5)/$D$11)/$D$11)</f>
        <v>0</v>
      </c>
      <c r="BS38" s="127">
        <f ca="1">IF(OR($F38&gt;$D$5,$F38&gt;MAX('הנחות עבודה'!$B$69:$B$89)),0,(VLOOKUP($F38,'התפלגות ייצור וסל דלקים'!$B$64:$BV$84,BS$2-$E$2,FALSE))*$D$9*$D$8*(HLOOKUP(BS$23,$G$18:$R$19,2,FALSE)*(1-$D$12)^($F38-'הנחות עבודה'!$C$5)/$D$11)/$D$11)</f>
        <v>0</v>
      </c>
      <c r="BT38" s="127">
        <f ca="1">IF(OR($F38&gt;$D$5,$F38&gt;MAX('הנחות עבודה'!$B$69:$B$89)),0,(VLOOKUP($F38,'התפלגות ייצור וסל דלקים'!$B$64:$BV$84,BT$2-$E$2,FALSE))*$D$9*$D$8*(HLOOKUP(BT$23,$G$18:$R$19,2,FALSE)*(1-$D$12)^($F38-'הנחות עבודה'!$C$5)/$D$11)/$D$11)</f>
        <v>0</v>
      </c>
      <c r="BU38" s="52">
        <f ca="1">IF(OR($F38&gt;$D$5,$F38&gt;MAX('הנחות עבודה'!$B$69:$B$89)),0,(VLOOKUP($F38,'התפלגות ייצור וסל דלקים'!$B$64:$BV$84,BU$2-$E$2,FALSE))*$D$9*$D$8*(HLOOKUP(BU$23,$G$18:$R$19,2,FALSE)*(1-$D$12)^($F38-'הנחות עבודה'!$C$5)/$D$11)/$D$11)</f>
        <v>7.6204980000000013</v>
      </c>
      <c r="BV38" s="52">
        <f ca="1">IF(OR($F38&gt;$D$5,$F38&gt;MAX('הנחות עבודה'!$B$69:$B$89)),0,(VLOOKUP($F38,'התפלגות ייצור וסל דלקים'!$B$64:$BV$84,BV$2-$E$2,FALSE))*$D$9*$D$8*(HLOOKUP(BV$23,$G$18:$R$19,2,FALSE)*(1-$D$12)^($F38-'הנחות עבודה'!$C$5)/$D$11)/$D$11)</f>
        <v>23.791307033184633</v>
      </c>
      <c r="BW38" s="52">
        <f ca="1">IF(OR($F38&gt;$D$5,$F38&gt;MAX('הנחות עבודה'!$B$69:$B$89)),0,(VLOOKUP($F38,'התפלגות ייצור וסל דלקים'!$B$64:$BV$84,BW$2-$E$2,FALSE))*$D$9*$D$8*(HLOOKUP(BW$23,$G$18:$R$19,2,FALSE)*(1-$D$12)^($F38-'הנחות עבודה'!$C$5)/$D$11)/$D$11)</f>
        <v>0</v>
      </c>
      <c r="BX38" s="52">
        <f ca="1">IF(OR($F38&gt;$D$5,$F38&gt;MAX('הנחות עבודה'!$B$69:$B$89)),0,(VLOOKUP($F38,'התפלגות ייצור וסל דלקים'!$B$64:$BV$84,BX$2-$E$2,FALSE))*$D$9*$D$8*(HLOOKUP(BX$23,$G$18:$R$19,2,FALSE)*(1-$D$12)^($F38-'הנחות עבודה'!$C$5)/$D$11)/$D$11)</f>
        <v>0</v>
      </c>
      <c r="BY38" s="52">
        <f ca="1">IF(OR($F38&gt;$D$5,$F38&gt;MAX('הנחות עבודה'!$B$69:$B$89)),0,(VLOOKUP($F38,'התפלגות ייצור וסל דלקים'!$B$64:$BV$84,BY$2-$E$2,FALSE))*$D$9*$D$8*(HLOOKUP(BY$23,$G$18:$R$19,2,FALSE)*(1-$D$12)^($F38-'הנחות עבודה'!$C$5)/$D$11)/$D$11)</f>
        <v>0</v>
      </c>
      <c r="BZ38" s="52">
        <f ca="1">IF(OR($F38&gt;$D$5,$F38&gt;MAX('הנחות עבודה'!$B$69:$B$89)),0,(VLOOKUP($F38,'התפלגות ייצור וסל דלקים'!$B$64:$BV$84,BZ$2-$E$2,FALSE))*$D$9*$D$8*(HLOOKUP(BZ$23,$G$18:$R$19,2,FALSE)*(1-$D$12)^($F38-'הנחות עבודה'!$C$5)/$D$11)/$D$11)</f>
        <v>0</v>
      </c>
    </row>
    <row r="39" spans="6:78" ht="15.75">
      <c r="F39" s="10">
        <f t="shared" si="115"/>
        <v>2035</v>
      </c>
      <c r="G39" s="42">
        <f ca="1">IF(OR($F39&gt;$D$5,$F39&gt;MAX('הנחות עבודה'!$B$69:$B$89)),0,(VLOOKUP($F39,'התפלגות ייצור וסל דלקים'!$B$64:$BV$84,G$2-$E$2,FALSE))*$D$9*$D$8*(HLOOKUP(G$23,$G$18:$R$19,2,FALSE)*(1-$D$12)^($F39-'הנחות עבודה'!$C$5)/$D$11)/$D$11)</f>
        <v>0</v>
      </c>
      <c r="H39" s="44">
        <f ca="1">IF(OR($F39&gt;$D$5,$F39&gt;MAX('הנחות עבודה'!$B$69:$B$89)),0,(VLOOKUP($F39,'התפלגות ייצור וסל דלקים'!$B$64:$BV$84,H$2-$E$2,FALSE))*$D$9*$D$8*(HLOOKUP(H$23,$G$18:$R$19,2,FALSE)*(1-$D$12)^($F39-'הנחות עבודה'!$C$5)/$D$11)/$D$11)</f>
        <v>0</v>
      </c>
      <c r="I39" s="44">
        <f ca="1">IF(OR($F39&gt;$D$5,$F39&gt;MAX('הנחות עבודה'!$B$69:$B$89)),0,(VLOOKUP($F39,'התפלגות ייצור וסל דלקים'!$B$64:$BV$84,I$2-$E$2,FALSE))*$D$9*$D$8*(HLOOKUP(I$23,$G$18:$R$19,2,FALSE)*(1-$D$12)^($F39-'הנחות עבודה'!$C$5)/$D$11)/$D$11)</f>
        <v>0</v>
      </c>
      <c r="J39" s="44">
        <f ca="1">IF(OR($F39&gt;$D$5,$F39&gt;MAX('הנחות עבודה'!$B$69:$B$89)),0,(VLOOKUP($F39,'התפלגות ייצור וסל דלקים'!$B$64:$BV$84,J$2-$E$2,FALSE))*$D$9*$D$8*(HLOOKUP(J$23,$G$18:$R$19,2,FALSE)*(1-$D$12)^($F39-'הנחות עבודה'!$C$5)/$D$11)/$D$11)</f>
        <v>0</v>
      </c>
      <c r="K39" s="44">
        <f ca="1">IF(OR($F39&gt;$D$5,$F39&gt;MAX('הנחות עבודה'!$B$69:$B$89)),0,(VLOOKUP($F39,'התפלגות ייצור וסל דלקים'!$B$64:$BV$84,K$2-$E$2,FALSE))*$D$9*$D$8*(HLOOKUP(K$23,$G$18:$R$19,2,FALSE)*(1-$D$12)^($F39-'הנחות עבודה'!$C$5)/$D$11)/$D$11)</f>
        <v>0</v>
      </c>
      <c r="L39" s="44">
        <f ca="1">IF(OR($F39&gt;$D$5,$F39&gt;MAX('הנחות עבודה'!$B$69:$B$89)),0,(VLOOKUP($F39,'התפלגות ייצור וסל דלקים'!$B$64:$BV$84,L$2-$E$2,FALSE))*$D$9*$D$8*(HLOOKUP(L$23,$G$18:$R$19,2,FALSE)*(1-$D$12)^($F39-'הנחות עבודה'!$C$5)/$D$11)/$D$11)</f>
        <v>0</v>
      </c>
      <c r="M39" s="42">
        <f ca="1">IF(OR($F39&gt;$D$5,$F39&gt;MAX('הנחות עבודה'!$B$69:$B$89)),0,(VLOOKUP($F39,'התפלגות ייצור וסל דלקים'!$B$64:$BV$84,M$2-$E$2,FALSE))*$D$9*$D$8*(HLOOKUP(M$23,$G$18:$R$19,2,FALSE)*(1-$D$12)^($F39-'הנחות עבודה'!$C$5)/$D$11)/$D$11)</f>
        <v>7.02058464</v>
      </c>
      <c r="N39" s="42">
        <f ca="1">IF(OR($F39&gt;$D$5,$F39&gt;MAX('הנחות עבודה'!$B$69:$B$89)),0,(VLOOKUP($F39,'התפלגות ייצור וסל דלקים'!$B$64:$BV$84,N$2-$E$2,FALSE))*$D$9*$D$8*(HLOOKUP(N$23,$G$18:$R$19,2,FALSE)*(1-$D$12)^($F39-'הנחות עבודה'!$C$5)/$D$11)/$D$11)</f>
        <v>30.051807700980284</v>
      </c>
      <c r="O39" s="42">
        <f ca="1">IF(OR($F39&gt;$D$5,$F39&gt;MAX('הנחות עבודה'!$B$69:$B$89)),0,(VLOOKUP($F39,'התפלגות ייצור וסל דלקים'!$B$64:$BV$84,O$2-$E$2,FALSE))*$D$9*$D$8*(HLOOKUP(O$23,$G$18:$R$19,2,FALSE)*(1-$D$12)^($F39-'הנחות עבודה'!$C$5)/$D$11)/$D$11)</f>
        <v>0</v>
      </c>
      <c r="P39" s="43">
        <f ca="1">IF(OR($F39&gt;$D$5,$F39&gt;MAX('הנחות עבודה'!$B$69:$B$89)),0,(VLOOKUP($F39,'התפלגות ייצור וסל דלקים'!$B$64:$BV$84,P$2-$E$2,FALSE))*$D$9*$D$8*(HLOOKUP(P$23,$G$18:$R$19,2,FALSE)*(1-$D$12)^($F39-'הנחות עבודה'!$C$5)/$D$11)/$D$11)</f>
        <v>0</v>
      </c>
      <c r="Q39" s="42">
        <f ca="1">IF(OR($F39&gt;$D$5,$F39&gt;MAX('הנחות עבודה'!$B$69:$B$89)),0,(VLOOKUP($F39,'התפלגות ייצור וסל דלקים'!$B$64:$BV$84,Q$2-$E$2,FALSE))*$D$9*$D$8*(HLOOKUP(Q$23,$G$18:$R$19,2,FALSE)*(1-$D$12)^($F39-'הנחות עבודה'!$C$5)/$D$11)/$D$11)</f>
        <v>0</v>
      </c>
      <c r="R39" s="43">
        <f ca="1">IF(OR($F39&gt;$D$5,$F39&gt;MAX('הנחות עבודה'!$B$69:$B$89)),0,(VLOOKUP($F39,'התפלגות ייצור וסל דלקים'!$B$64:$BV$84,R$2-$E$2,FALSE))*$D$9*$D$8*(HLOOKUP(R$23,$G$18:$R$19,2,FALSE)*(1-$D$12)^($F39-'הנחות עבודה'!$C$5)/$D$11)/$D$11)</f>
        <v>0</v>
      </c>
      <c r="S39" s="52">
        <f ca="1">IF(OR($F39&gt;$D$5,$F39&gt;MAX('הנחות עבודה'!$B$69:$B$89)),0,(VLOOKUP($F39,'התפלגות ייצור וסל דלקים'!$B$64:$BV$84,S$2-$E$2,FALSE))*$D$9*$D$8*(HLOOKUP(S$23,$G$18:$R$19,2,FALSE)*(1-$D$12)^($F39-'הנחות עבודה'!$C$5)/$D$11)/$D$11)</f>
        <v>0</v>
      </c>
      <c r="T39" s="127">
        <f ca="1">IF(OR($F39&gt;$D$5,$F39&gt;MAX('הנחות עבודה'!$B$69:$B$89)),0,(VLOOKUP($F39,'התפלגות ייצור וסל דלקים'!$B$64:$BV$84,T$2-$E$2,FALSE))*$D$9*$D$8*(HLOOKUP(T$23,$G$18:$R$19,2,FALSE)*(1-$D$12)^($F39-'הנחות עבודה'!$C$5)/$D$11)/$D$11)</f>
        <v>0</v>
      </c>
      <c r="U39" s="127">
        <f ca="1">IF(OR($F39&gt;$D$5,$F39&gt;MAX('הנחות עבודה'!$B$69:$B$89)),0,(VLOOKUP($F39,'התפלגות ייצור וסל דלקים'!$B$64:$BV$84,U$2-$E$2,FALSE))*$D$9*$D$8*(HLOOKUP(U$23,$G$18:$R$19,2,FALSE)*(1-$D$12)^($F39-'הנחות עבודה'!$C$5)/$D$11)/$D$11)</f>
        <v>0</v>
      </c>
      <c r="V39" s="127">
        <f ca="1">IF(OR($F39&gt;$D$5,$F39&gt;MAX('הנחות עבודה'!$B$69:$B$89)),0,(VLOOKUP($F39,'התפלגות ייצור וסל דלקים'!$B$64:$BV$84,V$2-$E$2,FALSE))*$D$9*$D$8*(HLOOKUP(V$23,$G$18:$R$19,2,FALSE)*(1-$D$12)^($F39-'הנחות עבודה'!$C$5)/$D$11)/$D$11)</f>
        <v>0</v>
      </c>
      <c r="W39" s="127">
        <f ca="1">IF(OR($F39&gt;$D$5,$F39&gt;MAX('הנחות עבודה'!$B$69:$B$89)),0,(VLOOKUP($F39,'התפלגות ייצור וסל דלקים'!$B$64:$BV$84,W$2-$E$2,FALSE))*$D$9*$D$8*(HLOOKUP(W$23,$G$18:$R$19,2,FALSE)*(1-$D$12)^($F39-'הנחות עבודה'!$C$5)/$D$11)/$D$11)</f>
        <v>0</v>
      </c>
      <c r="X39" s="127">
        <f ca="1">IF(OR($F39&gt;$D$5,$F39&gt;MAX('הנחות עבודה'!$B$69:$B$89)),0,(VLOOKUP($F39,'התפלגות ייצור וסל דלקים'!$B$64:$BV$84,X$2-$E$2,FALSE))*$D$9*$D$8*(HLOOKUP(X$23,$G$18:$R$19,2,FALSE)*(1-$D$12)^($F39-'הנחות עבודה'!$C$5)/$D$11)/$D$11)</f>
        <v>0</v>
      </c>
      <c r="Y39" s="52">
        <f ca="1">IF(OR($F39&gt;$D$5,$F39&gt;MAX('הנחות עבודה'!$B$69:$B$89)),0,(VLOOKUP($F39,'התפלגות ייצור וסל דלקים'!$B$64:$BV$84,Y$2-$E$2,FALSE))*$D$9*$D$8*(HLOOKUP(Y$23,$G$18:$R$19,2,FALSE)*(1-$D$12)^($F39-'הנחות עבודה'!$C$5)/$D$11)/$D$11)</f>
        <v>7.02058464</v>
      </c>
      <c r="Z39" s="52">
        <f ca="1">IF(OR($F39&gt;$D$5,$F39&gt;MAX('הנחות עבודה'!$B$69:$B$89)),0,(VLOOKUP($F39,'התפלגות ייצור וסל דלקים'!$B$64:$BV$84,Z$2-$E$2,FALSE))*$D$9*$D$8*(HLOOKUP(Z$23,$G$18:$R$19,2,FALSE)*(1-$D$12)^($F39-'הנחות עבודה'!$C$5)/$D$11)/$D$11)</f>
        <v>30.051807700980284</v>
      </c>
      <c r="AA39" s="52">
        <f ca="1">IF(OR($F39&gt;$D$5,$F39&gt;MAX('הנחות עבודה'!$B$69:$B$89)),0,(VLOOKUP($F39,'התפלגות ייצור וסל דלקים'!$B$64:$BV$84,AA$2-$E$2,FALSE))*$D$9*$D$8*(HLOOKUP(AA$23,$G$18:$R$19,2,FALSE)*(1-$D$12)^($F39-'הנחות עבודה'!$C$5)/$D$11)/$D$11)</f>
        <v>0</v>
      </c>
      <c r="AB39" s="52">
        <f ca="1">IF(OR($F39&gt;$D$5,$F39&gt;MAX('הנחות עבודה'!$B$69:$B$89)),0,(VLOOKUP($F39,'התפלגות ייצור וסל דלקים'!$B$64:$BV$84,AB$2-$E$2,FALSE))*$D$9*$D$8*(HLOOKUP(AB$23,$G$18:$R$19,2,FALSE)*(1-$D$12)^($F39-'הנחות עבודה'!$C$5)/$D$11)/$D$11)</f>
        <v>0</v>
      </c>
      <c r="AC39" s="52">
        <f ca="1">IF(OR($F39&gt;$D$5,$F39&gt;MAX('הנחות עבודה'!$B$69:$B$89)),0,(VLOOKUP($F39,'התפלגות ייצור וסל דלקים'!$B$64:$BV$84,AC$2-$E$2,FALSE))*$D$9*$D$8*(HLOOKUP(AC$23,$G$18:$R$19,2,FALSE)*(1-$D$12)^($F39-'הנחות עבודה'!$C$5)/$D$11)/$D$11)</f>
        <v>0</v>
      </c>
      <c r="AD39" s="52">
        <f ca="1">IF(OR($F39&gt;$D$5,$F39&gt;MAX('הנחות עבודה'!$B$69:$B$89)),0,(VLOOKUP($F39,'התפלגות ייצור וסל דלקים'!$B$64:$BV$84,AD$2-$E$2,FALSE))*$D$9*$D$8*(HLOOKUP(AD$23,$G$18:$R$19,2,FALSE)*(1-$D$12)^($F39-'הנחות עבודה'!$C$5)/$D$11)/$D$11)</f>
        <v>0</v>
      </c>
      <c r="AE39" s="42">
        <f ca="1">IF(OR($F39&gt;$D$5,$F39&gt;MAX('הנחות עבודה'!$B$69:$B$89)),0,(VLOOKUP($F39,'התפלגות ייצור וסל דלקים'!$B$64:$BV$84,AE$2-$E$2,FALSE))*$D$9*$D$8*(HLOOKUP(AE$23,$G$18:$R$19,2,FALSE)*(1-$D$12)^($F39-'הנחות עבודה'!$C$5)/$D$11)/$D$11)</f>
        <v>0</v>
      </c>
      <c r="AF39" s="44">
        <f ca="1">IF(OR($F39&gt;$D$5,$F39&gt;MAX('הנחות עבודה'!$B$69:$B$89)),0,(VLOOKUP($F39,'התפלגות ייצור וסל דלקים'!$B$64:$BV$84,AF$2-$E$2,FALSE))*$D$9*$D$8*(HLOOKUP(AF$23,$G$18:$R$19,2,FALSE)*(1-$D$12)^($F39-'הנחות עבודה'!$C$5)/$D$11)/$D$11)</f>
        <v>0</v>
      </c>
      <c r="AG39" s="44">
        <f ca="1">IF(OR($F39&gt;$D$5,$F39&gt;MAX('הנחות עבודה'!$B$69:$B$89)),0,(VLOOKUP($F39,'התפלגות ייצור וסל דלקים'!$B$64:$BV$84,AG$2-$E$2,FALSE))*$D$9*$D$8*(HLOOKUP(AG$23,$G$18:$R$19,2,FALSE)*(1-$D$12)^($F39-'הנחות עבודה'!$C$5)/$D$11)/$D$11)</f>
        <v>0</v>
      </c>
      <c r="AH39" s="44">
        <f ca="1">IF(OR($F39&gt;$D$5,$F39&gt;MAX('הנחות עבודה'!$B$69:$B$89)),0,(VLOOKUP($F39,'התפלגות ייצור וסל דלקים'!$B$64:$BV$84,AH$2-$E$2,FALSE))*$D$9*$D$8*(HLOOKUP(AH$23,$G$18:$R$19,2,FALSE)*(1-$D$12)^($F39-'הנחות עבודה'!$C$5)/$D$11)/$D$11)</f>
        <v>0</v>
      </c>
      <c r="AI39" s="44">
        <f ca="1">IF(OR($F39&gt;$D$5,$F39&gt;MAX('הנחות עבודה'!$B$69:$B$89)),0,(VLOOKUP($F39,'התפלגות ייצור וסל דלקים'!$B$64:$BV$84,AI$2-$E$2,FALSE))*$D$9*$D$8*(HLOOKUP(AI$23,$G$18:$R$19,2,FALSE)*(1-$D$12)^($F39-'הנחות עבודה'!$C$5)/$D$11)/$D$11)</f>
        <v>0</v>
      </c>
      <c r="AJ39" s="44">
        <f ca="1">IF(OR($F39&gt;$D$5,$F39&gt;MAX('הנחות עבודה'!$B$69:$B$89)),0,(VLOOKUP($F39,'התפלגות ייצור וסל דלקים'!$B$64:$BV$84,AJ$2-$E$2,FALSE))*$D$9*$D$8*(HLOOKUP(AJ$23,$G$18:$R$19,2,FALSE)*(1-$D$12)^($F39-'הנחות עבודה'!$C$5)/$D$11)/$D$11)</f>
        <v>0</v>
      </c>
      <c r="AK39" s="42">
        <f ca="1">IF(OR($F39&gt;$D$5,$F39&gt;MAX('הנחות עבודה'!$B$69:$B$89)),0,(VLOOKUP($F39,'התפלגות ייצור וסל דלקים'!$B$64:$BV$84,AK$2-$E$2,FALSE))*$D$9*$D$8*(HLOOKUP(AK$23,$G$18:$R$19,2,FALSE)*(1-$D$12)^($F39-'הנחות עבודה'!$C$5)/$D$11)/$D$11)</f>
        <v>7.5041025599999998</v>
      </c>
      <c r="AL39" s="42">
        <f ca="1">IF(OR($F39&gt;$D$5,$F39&gt;MAX('הנחות עבודה'!$B$69:$B$89)),0,(VLOOKUP($F39,'התפלגות ייצור וסל דלקים'!$B$64:$BV$84,AL$2-$E$2,FALSE))*$D$9*$D$8*(HLOOKUP(AL$23,$G$18:$R$19,2,FALSE)*(1-$D$12)^($F39-'הנחות עבודה'!$C$5)/$D$11)/$D$11)</f>
        <v>26.888973001402526</v>
      </c>
      <c r="AM39" s="42">
        <f ca="1">IF(OR($F39&gt;$D$5,$F39&gt;MAX('הנחות עבודה'!$B$69:$B$89)),0,(VLOOKUP($F39,'התפלגות ייצור וסל דלקים'!$B$64:$BV$84,AM$2-$E$2,FALSE))*$D$9*$D$8*(HLOOKUP(AM$23,$G$18:$R$19,2,FALSE)*(1-$D$12)^($F39-'הנחות עבודה'!$C$5)/$D$11)/$D$11)</f>
        <v>0</v>
      </c>
      <c r="AN39" s="43">
        <f ca="1">IF(OR($F39&gt;$D$5,$F39&gt;MAX('הנחות עבודה'!$B$69:$B$89)),0,(VLOOKUP($F39,'התפלגות ייצור וסל דלקים'!$B$64:$BV$84,AN$2-$E$2,FALSE))*$D$9*$D$8*(HLOOKUP(AN$23,$G$18:$R$19,2,FALSE)*(1-$D$12)^($F39-'הנחות עבודה'!$C$5)/$D$11)/$D$11)</f>
        <v>0</v>
      </c>
      <c r="AO39" s="42">
        <f ca="1">IF(OR($F39&gt;$D$5,$F39&gt;MAX('הנחות עבודה'!$B$69:$B$89)),0,(VLOOKUP($F39,'התפלגות ייצור וסל דלקים'!$B$64:$BV$84,AO$2-$E$2,FALSE))*$D$9*$D$8*(HLOOKUP(AO$23,$G$18:$R$19,2,FALSE)*(1-$D$12)^($F39-'הנחות עבודה'!$C$5)/$D$11)/$D$11)</f>
        <v>0</v>
      </c>
      <c r="AP39" s="43">
        <f ca="1">IF(OR($F39&gt;$D$5,$F39&gt;MAX('הנחות עבודה'!$B$69:$B$89)),0,(VLOOKUP($F39,'התפלגות ייצור וסל דלקים'!$B$64:$BV$84,AP$2-$E$2,FALSE))*$D$9*$D$8*(HLOOKUP(AP$23,$G$18:$R$19,2,FALSE)*(1-$D$12)^($F39-'הנחות עבודה'!$C$5)/$D$11)/$D$11)</f>
        <v>0</v>
      </c>
      <c r="AQ39" s="52">
        <f ca="1">IF(OR($F39&gt;$D$5,$F39&gt;MAX('הנחות עבודה'!$B$69:$B$89)),0,(VLOOKUP($F39,'התפלגות ייצור וסל דלקים'!$B$64:$BV$84,AQ$2-$E$2,FALSE))*$D$9*$D$8*(HLOOKUP(AQ$23,$G$18:$R$19,2,FALSE)*(1-$D$12)^($F39-'הנחות עבודה'!$C$5)/$D$11)/$D$11)</f>
        <v>0</v>
      </c>
      <c r="AR39" s="127">
        <f ca="1">IF(OR($F39&gt;$D$5,$F39&gt;MAX('הנחות עבודה'!$B$69:$B$89)),0,(VLOOKUP($F39,'התפלגות ייצור וסל דלקים'!$B$64:$BV$84,AR$2-$E$2,FALSE))*$D$9*$D$8*(HLOOKUP(AR$23,$G$18:$R$19,2,FALSE)*(1-$D$12)^($F39-'הנחות עבודה'!$C$5)/$D$11)/$D$11)</f>
        <v>0</v>
      </c>
      <c r="AS39" s="127">
        <f ca="1">IF(OR($F39&gt;$D$5,$F39&gt;MAX('הנחות עבודה'!$B$69:$B$89)),0,(VLOOKUP($F39,'התפלגות ייצור וסל דלקים'!$B$64:$BV$84,AS$2-$E$2,FALSE))*$D$9*$D$8*(HLOOKUP(AS$23,$G$18:$R$19,2,FALSE)*(1-$D$12)^($F39-'הנחות עבודה'!$C$5)/$D$11)/$D$11)</f>
        <v>0</v>
      </c>
      <c r="AT39" s="127">
        <f ca="1">IF(OR($F39&gt;$D$5,$F39&gt;MAX('הנחות עבודה'!$B$69:$B$89)),0,(VLOOKUP($F39,'התפלגות ייצור וסל דלקים'!$B$64:$BV$84,AT$2-$E$2,FALSE))*$D$9*$D$8*(HLOOKUP(AT$23,$G$18:$R$19,2,FALSE)*(1-$D$12)^($F39-'הנחות עבודה'!$C$5)/$D$11)/$D$11)</f>
        <v>0</v>
      </c>
      <c r="AU39" s="127">
        <f ca="1">IF(OR($F39&gt;$D$5,$F39&gt;MAX('הנחות עבודה'!$B$69:$B$89)),0,(VLOOKUP($F39,'התפלגות ייצור וסל דלקים'!$B$64:$BV$84,AU$2-$E$2,FALSE))*$D$9*$D$8*(HLOOKUP(AU$23,$G$18:$R$19,2,FALSE)*(1-$D$12)^($F39-'הנחות עבודה'!$C$5)/$D$11)/$D$11)</f>
        <v>0</v>
      </c>
      <c r="AV39" s="127">
        <f ca="1">IF(OR($F39&gt;$D$5,$F39&gt;MAX('הנחות עבודה'!$B$69:$B$89)),0,(VLOOKUP($F39,'התפלגות ייצור וסל דלקים'!$B$64:$BV$84,AV$2-$E$2,FALSE))*$D$9*$D$8*(HLOOKUP(AV$23,$G$18:$R$19,2,FALSE)*(1-$D$12)^($F39-'הנחות עבודה'!$C$5)/$D$11)/$D$11)</f>
        <v>0</v>
      </c>
      <c r="AW39" s="52">
        <f ca="1">IF(OR($F39&gt;$D$5,$F39&gt;MAX('הנחות עבודה'!$B$69:$B$89)),0,(VLOOKUP($F39,'התפלגות ייצור וסל דלקים'!$B$64:$BV$84,AW$2-$E$2,FALSE))*$D$9*$D$8*(HLOOKUP(AW$23,$G$18:$R$19,2,FALSE)*(1-$D$12)^($F39-'הנחות עבודה'!$C$5)/$D$11)/$D$11)</f>
        <v>7.5041025599999998</v>
      </c>
      <c r="AX39" s="52">
        <f ca="1">IF(OR($F39&gt;$D$5,$F39&gt;MAX('הנחות עבודה'!$B$69:$B$89)),0,(VLOOKUP($F39,'התפלגות ייצור וסל דלקים'!$B$64:$BV$84,AX$2-$E$2,FALSE))*$D$9*$D$8*(HLOOKUP(AX$23,$G$18:$R$19,2,FALSE)*(1-$D$12)^($F39-'הנחות עבודה'!$C$5)/$D$11)/$D$11)</f>
        <v>26.888973001402526</v>
      </c>
      <c r="AY39" s="52">
        <f ca="1">IF(OR($F39&gt;$D$5,$F39&gt;MAX('הנחות עבודה'!$B$69:$B$89)),0,(VLOOKUP($F39,'התפלגות ייצור וסל דלקים'!$B$64:$BV$84,AY$2-$E$2,FALSE))*$D$9*$D$8*(HLOOKUP(AY$23,$G$18:$R$19,2,FALSE)*(1-$D$12)^($F39-'הנחות עבודה'!$C$5)/$D$11)/$D$11)</f>
        <v>0</v>
      </c>
      <c r="AZ39" s="52">
        <f ca="1">IF(OR($F39&gt;$D$5,$F39&gt;MAX('הנחות עבודה'!$B$69:$B$89)),0,(VLOOKUP($F39,'התפלגות ייצור וסל דלקים'!$B$64:$BV$84,AZ$2-$E$2,FALSE))*$D$9*$D$8*(HLOOKUP(AZ$23,$G$18:$R$19,2,FALSE)*(1-$D$12)^($F39-'הנחות עבודה'!$C$5)/$D$11)/$D$11)</f>
        <v>0</v>
      </c>
      <c r="BA39" s="52">
        <f ca="1">IF(OR($F39&gt;$D$5,$F39&gt;MAX('הנחות עבודה'!$B$69:$B$89)),0,(VLOOKUP($F39,'התפלגות ייצור וסל דלקים'!$B$64:$BV$84,BA$2-$E$2,FALSE))*$D$9*$D$8*(HLOOKUP(BA$23,$G$18:$R$19,2,FALSE)*(1-$D$12)^($F39-'הנחות עבודה'!$C$5)/$D$11)/$D$11)</f>
        <v>0</v>
      </c>
      <c r="BB39" s="52">
        <f ca="1">IF(OR($F39&gt;$D$5,$F39&gt;MAX('הנחות עבודה'!$B$69:$B$89)),0,(VLOOKUP($F39,'התפלגות ייצור וסל דלקים'!$B$64:$BV$84,BB$2-$E$2,FALSE))*$D$9*$D$8*(HLOOKUP(BB$23,$G$18:$R$19,2,FALSE)*(1-$D$12)^($F39-'הנחות עבודה'!$C$5)/$D$11)/$D$11)</f>
        <v>0</v>
      </c>
      <c r="BC39" s="42">
        <f ca="1">IF(OR($F39&gt;$D$5,$F39&gt;MAX('הנחות עבודה'!$B$69:$B$89)),0,(VLOOKUP($F39,'התפלגות ייצור וסל דלקים'!$B$64:$BV$84,BC$2-$E$2,FALSE))*$D$9*$D$8*(HLOOKUP(BC$23,$G$18:$R$19,2,FALSE)*(1-$D$12)^($F39-'הנחות עבודה'!$C$5)/$D$11)/$D$11)</f>
        <v>0</v>
      </c>
      <c r="BD39" s="44">
        <f ca="1">IF(OR($F39&gt;$D$5,$F39&gt;MAX('הנחות עבודה'!$B$69:$B$89)),0,(VLOOKUP($F39,'התפלגות ייצור וסל דלקים'!$B$64:$BV$84,BD$2-$E$2,FALSE))*$D$9*$D$8*(HLOOKUP(BD$23,$G$18:$R$19,2,FALSE)*(1-$D$12)^($F39-'הנחות עבודה'!$C$5)/$D$11)/$D$11)</f>
        <v>0</v>
      </c>
      <c r="BE39" s="44">
        <f ca="1">IF(OR($F39&gt;$D$5,$F39&gt;MAX('הנחות עבודה'!$B$69:$B$89)),0,(VLOOKUP($F39,'התפלגות ייצור וסל דלקים'!$B$64:$BV$84,BE$2-$E$2,FALSE))*$D$9*$D$8*(HLOOKUP(BE$23,$G$18:$R$19,2,FALSE)*(1-$D$12)^($F39-'הנחות עבודה'!$C$5)/$D$11)/$D$11)</f>
        <v>0</v>
      </c>
      <c r="BF39" s="44">
        <f ca="1">IF(OR($F39&gt;$D$5,$F39&gt;MAX('הנחות עבודה'!$B$69:$B$89)),0,(VLOOKUP($F39,'התפלגות ייצור וסל דלקים'!$B$64:$BV$84,BF$2-$E$2,FALSE))*$D$9*$D$8*(HLOOKUP(BF$23,$G$18:$R$19,2,FALSE)*(1-$D$12)^($F39-'הנחות עבודה'!$C$5)/$D$11)/$D$11)</f>
        <v>0</v>
      </c>
      <c r="BG39" s="44">
        <f ca="1">IF(OR($F39&gt;$D$5,$F39&gt;MAX('הנחות עבודה'!$B$69:$B$89)),0,(VLOOKUP($F39,'התפלגות ייצור וסל דלקים'!$B$64:$BV$84,BG$2-$E$2,FALSE))*$D$9*$D$8*(HLOOKUP(BG$23,$G$18:$R$19,2,FALSE)*(1-$D$12)^($F39-'הנחות עבודה'!$C$5)/$D$11)/$D$11)</f>
        <v>0</v>
      </c>
      <c r="BH39" s="44">
        <f ca="1">IF(OR($F39&gt;$D$5,$F39&gt;MAX('הנחות עבודה'!$B$69:$B$89)),0,(VLOOKUP($F39,'התפלגות ייצור וסל דלקים'!$B$64:$BV$84,BH$2-$E$2,FALSE))*$D$9*$D$8*(HLOOKUP(BH$23,$G$18:$R$19,2,FALSE)*(1-$D$12)^($F39-'הנחות עבודה'!$C$5)/$D$11)/$D$11)</f>
        <v>0</v>
      </c>
      <c r="BI39" s="42">
        <f ca="1">IF(OR($F39&gt;$D$5,$F39&gt;MAX('הנחות עבודה'!$B$69:$B$89)),0,(VLOOKUP($F39,'התפלגות ייצור וסל דלקים'!$B$64:$BV$84,BI$2-$E$2,FALSE))*$D$9*$D$8*(HLOOKUP(BI$23,$G$18:$R$19,2,FALSE)*(1-$D$12)^($F39-'הנחות עבודה'!$C$5)/$D$11)/$D$11)</f>
        <v>7.6645800000000008</v>
      </c>
      <c r="BJ39" s="42">
        <f ca="1">IF(OR($F39&gt;$D$5,$F39&gt;MAX('הנחות עבודה'!$B$69:$B$89)),0,(VLOOKUP($F39,'התפלגות ייצור וסל דלקים'!$B$64:$BV$84,BJ$2-$E$2,FALSE))*$D$9*$D$8*(HLOOKUP(BJ$23,$G$18:$R$19,2,FALSE)*(1-$D$12)^($F39-'הנחות עבודה'!$C$5)/$D$11)/$D$11)</f>
        <v>25.024055361666431</v>
      </c>
      <c r="BK39" s="42">
        <f ca="1">IF(OR($F39&gt;$D$5,$F39&gt;MAX('הנחות עבודה'!$B$69:$B$89)),0,(VLOOKUP($F39,'התפלגות ייצור וסל דלקים'!$B$64:$BV$84,BK$2-$E$2,FALSE))*$D$9*$D$8*(HLOOKUP(BK$23,$G$18:$R$19,2,FALSE)*(1-$D$12)^($F39-'הנחות עבודה'!$C$5)/$D$11)/$D$11)</f>
        <v>0</v>
      </c>
      <c r="BL39" s="42">
        <f ca="1">IF(OR($F39&gt;$D$5,$F39&gt;MAX('הנחות עבודה'!$B$69:$B$89)),0,(VLOOKUP($F39,'התפלגות ייצור וסל דלקים'!$B$64:$BV$84,BL$2-$E$2,FALSE))*$D$9*$D$8*(HLOOKUP(BL$23,$G$18:$R$19,2,FALSE)*(1-$D$12)^($F39-'הנחות עבודה'!$C$5)/$D$11)/$D$11)</f>
        <v>0</v>
      </c>
      <c r="BM39" s="42">
        <f ca="1">IF(OR($F39&gt;$D$5,$F39&gt;MAX('הנחות עבודה'!$B$69:$B$89)),0,(VLOOKUP($F39,'התפלגות ייצור וסל דלקים'!$B$64:$BV$84,BM$2-$E$2,FALSE))*$D$9*$D$8*(HLOOKUP(BM$23,$G$18:$R$19,2,FALSE)*(1-$D$12)^($F39-'הנחות עבודה'!$C$5)/$D$11)/$D$11)</f>
        <v>0</v>
      </c>
      <c r="BN39" s="42">
        <f ca="1">IF(OR($F39&gt;$D$5,$F39&gt;MAX('הנחות עבודה'!$B$69:$B$89)),0,(VLOOKUP($F39,'התפלגות ייצור וסל דלקים'!$B$64:$BV$84,BN$2-$E$2,FALSE))*$D$9*$D$8*(HLOOKUP(BN$23,$G$18:$R$19,2,FALSE)*(1-$D$12)^($F39-'הנחות עבודה'!$C$5)/$D$11)/$D$11)</f>
        <v>0</v>
      </c>
      <c r="BO39" s="52">
        <f ca="1">IF(OR($F39&gt;$D$5,$F39&gt;MAX('הנחות עבודה'!$B$69:$B$89)),0,(VLOOKUP($F39,'התפלגות ייצור וסל דלקים'!$B$64:$BV$84,BO$2-$E$2,FALSE))*$D$9*$D$8*(HLOOKUP(BO$23,$G$18:$R$19,2,FALSE)*(1-$D$12)^($F39-'הנחות עבודה'!$C$5)/$D$11)/$D$11)</f>
        <v>0</v>
      </c>
      <c r="BP39" s="127">
        <f ca="1">IF(OR($F39&gt;$D$5,$F39&gt;MAX('הנחות עבודה'!$B$69:$B$89)),0,(VLOOKUP($F39,'התפלגות ייצור וסל דלקים'!$B$64:$BV$84,BP$2-$E$2,FALSE))*$D$9*$D$8*(HLOOKUP(BP$23,$G$18:$R$19,2,FALSE)*(1-$D$12)^($F39-'הנחות עבודה'!$C$5)/$D$11)/$D$11)</f>
        <v>0</v>
      </c>
      <c r="BQ39" s="127">
        <f ca="1">IF(OR($F39&gt;$D$5,$F39&gt;MAX('הנחות עבודה'!$B$69:$B$89)),0,(VLOOKUP($F39,'התפלגות ייצור וסל דלקים'!$B$64:$BV$84,BQ$2-$E$2,FALSE))*$D$9*$D$8*(HLOOKUP(BQ$23,$G$18:$R$19,2,FALSE)*(1-$D$12)^($F39-'הנחות עבודה'!$C$5)/$D$11)/$D$11)</f>
        <v>0</v>
      </c>
      <c r="BR39" s="127">
        <f ca="1">IF(OR($F39&gt;$D$5,$F39&gt;MAX('הנחות עבודה'!$B$69:$B$89)),0,(VLOOKUP($F39,'התפלגות ייצור וסל דלקים'!$B$64:$BV$84,BR$2-$E$2,FALSE))*$D$9*$D$8*(HLOOKUP(BR$23,$G$18:$R$19,2,FALSE)*(1-$D$12)^($F39-'הנחות עבודה'!$C$5)/$D$11)/$D$11)</f>
        <v>0</v>
      </c>
      <c r="BS39" s="127">
        <f ca="1">IF(OR($F39&gt;$D$5,$F39&gt;MAX('הנחות עבודה'!$B$69:$B$89)),0,(VLOOKUP($F39,'התפלגות ייצור וסל דלקים'!$B$64:$BV$84,BS$2-$E$2,FALSE))*$D$9*$D$8*(HLOOKUP(BS$23,$G$18:$R$19,2,FALSE)*(1-$D$12)^($F39-'הנחות עבודה'!$C$5)/$D$11)/$D$11)</f>
        <v>0</v>
      </c>
      <c r="BT39" s="127">
        <f ca="1">IF(OR($F39&gt;$D$5,$F39&gt;MAX('הנחות עבודה'!$B$69:$B$89)),0,(VLOOKUP($F39,'התפלגות ייצור וסל דלקים'!$B$64:$BV$84,BT$2-$E$2,FALSE))*$D$9*$D$8*(HLOOKUP(BT$23,$G$18:$R$19,2,FALSE)*(1-$D$12)^($F39-'הנחות עבודה'!$C$5)/$D$11)/$D$11)</f>
        <v>0</v>
      </c>
      <c r="BU39" s="52">
        <f ca="1">IF(OR($F39&gt;$D$5,$F39&gt;MAX('הנחות עבודה'!$B$69:$B$89)),0,(VLOOKUP($F39,'התפלגות ייצור וסל דלקים'!$B$64:$BV$84,BU$2-$E$2,FALSE))*$D$9*$D$8*(HLOOKUP(BU$23,$G$18:$R$19,2,FALSE)*(1-$D$12)^($F39-'הנחות עבודה'!$C$5)/$D$11)/$D$11)</f>
        <v>7.6645800000000008</v>
      </c>
      <c r="BV39" s="52">
        <f ca="1">IF(OR($F39&gt;$D$5,$F39&gt;MAX('הנחות עבודה'!$B$69:$B$89)),0,(VLOOKUP($F39,'התפלגות ייצור וסל דלקים'!$B$64:$BV$84,BV$2-$E$2,FALSE))*$D$9*$D$8*(HLOOKUP(BV$23,$G$18:$R$19,2,FALSE)*(1-$D$12)^($F39-'הנחות עבודה'!$C$5)/$D$11)/$D$11)</f>
        <v>25.024055361666431</v>
      </c>
      <c r="BW39" s="52">
        <f ca="1">IF(OR($F39&gt;$D$5,$F39&gt;MAX('הנחות עבודה'!$B$69:$B$89)),0,(VLOOKUP($F39,'התפלגות ייצור וסל דלקים'!$B$64:$BV$84,BW$2-$E$2,FALSE))*$D$9*$D$8*(HLOOKUP(BW$23,$G$18:$R$19,2,FALSE)*(1-$D$12)^($F39-'הנחות עבודה'!$C$5)/$D$11)/$D$11)</f>
        <v>0</v>
      </c>
      <c r="BX39" s="52">
        <f ca="1">IF(OR($F39&gt;$D$5,$F39&gt;MAX('הנחות עבודה'!$B$69:$B$89)),0,(VLOOKUP($F39,'התפלגות ייצור וסל דלקים'!$B$64:$BV$84,BX$2-$E$2,FALSE))*$D$9*$D$8*(HLOOKUP(BX$23,$G$18:$R$19,2,FALSE)*(1-$D$12)^($F39-'הנחות עבודה'!$C$5)/$D$11)/$D$11)</f>
        <v>0</v>
      </c>
      <c r="BY39" s="52">
        <f ca="1">IF(OR($F39&gt;$D$5,$F39&gt;MAX('הנחות עבודה'!$B$69:$B$89)),0,(VLOOKUP($F39,'התפלגות ייצור וסל דלקים'!$B$64:$BV$84,BY$2-$E$2,FALSE))*$D$9*$D$8*(HLOOKUP(BY$23,$G$18:$R$19,2,FALSE)*(1-$D$12)^($F39-'הנחות עבודה'!$C$5)/$D$11)/$D$11)</f>
        <v>0</v>
      </c>
      <c r="BZ39" s="52">
        <f ca="1">IF(OR($F39&gt;$D$5,$F39&gt;MAX('הנחות עבודה'!$B$69:$B$89)),0,(VLOOKUP($F39,'התפלגות ייצור וסל דלקים'!$B$64:$BV$84,BZ$2-$E$2,FALSE))*$D$9*$D$8*(HLOOKUP(BZ$23,$G$18:$R$19,2,FALSE)*(1-$D$12)^($F39-'הנחות עבודה'!$C$5)/$D$11)/$D$11)</f>
        <v>0</v>
      </c>
    </row>
    <row r="40" spans="6:78" ht="15.75">
      <c r="F40" s="10">
        <f t="shared" si="115"/>
        <v>2036</v>
      </c>
      <c r="G40" s="42">
        <f ca="1">IF(OR($F40&gt;$D$5,$F40&gt;MAX('הנחות עבודה'!$B$69:$B$89)),0,(VLOOKUP($F40,'התפלגות ייצור וסל דלקים'!$B$64:$BV$84,G$2-$E$2,FALSE))*$D$9*$D$8*(HLOOKUP(G$23,$G$18:$R$19,2,FALSE)*(1-$D$12)^($F40-'הנחות עבודה'!$C$5)/$D$11)/$D$11)</f>
        <v>0</v>
      </c>
      <c r="H40" s="44">
        <f ca="1">IF(OR($F40&gt;$D$5,$F40&gt;MAX('הנחות עבודה'!$B$69:$B$89)),0,(VLOOKUP($F40,'התפלגות ייצור וסל דלקים'!$B$64:$BV$84,H$2-$E$2,FALSE))*$D$9*$D$8*(HLOOKUP(H$23,$G$18:$R$19,2,FALSE)*(1-$D$12)^($F40-'הנחות עבודה'!$C$5)/$D$11)/$D$11)</f>
        <v>0</v>
      </c>
      <c r="I40" s="44">
        <f ca="1">IF(OR($F40&gt;$D$5,$F40&gt;MAX('הנחות עבודה'!$B$69:$B$89)),0,(VLOOKUP($F40,'התפלגות ייצור וסל דלקים'!$B$64:$BV$84,I$2-$E$2,FALSE))*$D$9*$D$8*(HLOOKUP(I$23,$G$18:$R$19,2,FALSE)*(1-$D$12)^($F40-'הנחות עבודה'!$C$5)/$D$11)/$D$11)</f>
        <v>0</v>
      </c>
      <c r="J40" s="44">
        <f ca="1">IF(OR($F40&gt;$D$5,$F40&gt;MAX('הנחות עבודה'!$B$69:$B$89)),0,(VLOOKUP($F40,'התפלגות ייצור וסל דלקים'!$B$64:$BV$84,J$2-$E$2,FALSE))*$D$9*$D$8*(HLOOKUP(J$23,$G$18:$R$19,2,FALSE)*(1-$D$12)^($F40-'הנחות עבודה'!$C$5)/$D$11)/$D$11)</f>
        <v>0</v>
      </c>
      <c r="K40" s="44">
        <f ca="1">IF(OR($F40&gt;$D$5,$F40&gt;MAX('הנחות עבודה'!$B$69:$B$89)),0,(VLOOKUP($F40,'התפלגות ייצור וסל דלקים'!$B$64:$BV$84,K$2-$E$2,FALSE))*$D$9*$D$8*(HLOOKUP(K$23,$G$18:$R$19,2,FALSE)*(1-$D$12)^($F40-'הנחות עבודה'!$C$5)/$D$11)/$D$11)</f>
        <v>0</v>
      </c>
      <c r="L40" s="44">
        <f ca="1">IF(OR($F40&gt;$D$5,$F40&gt;MAX('הנחות עבודה'!$B$69:$B$89)),0,(VLOOKUP($F40,'התפלגות ייצור וסל דלקים'!$B$64:$BV$84,L$2-$E$2,FALSE))*$D$9*$D$8*(HLOOKUP(L$23,$G$18:$R$19,2,FALSE)*(1-$D$12)^($F40-'הנחות עבודה'!$C$5)/$D$11)/$D$11)</f>
        <v>0</v>
      </c>
      <c r="M40" s="42">
        <f ca="1">IF(OR($F40&gt;$D$5,$F40&gt;MAX('הנחות עבודה'!$B$69:$B$89)),0,(VLOOKUP($F40,'התפלגות ייצור וסל דלקים'!$B$64:$BV$84,M$2-$E$2,FALSE))*$D$9*$D$8*(HLOOKUP(M$23,$G$18:$R$19,2,FALSE)*(1-$D$12)^($F40-'הנחות עבודה'!$C$5)/$D$11)/$D$11)</f>
        <v>7.1653063199999991</v>
      </c>
      <c r="N40" s="42">
        <f ca="1">IF(OR($F40&gt;$D$5,$F40&gt;MAX('הנחות עבודה'!$B$69:$B$89)),0,(VLOOKUP($F40,'התפלגות ייצור וסל דלקים'!$B$64:$BV$84,N$2-$E$2,FALSE))*$D$9*$D$8*(HLOOKUP(N$23,$G$18:$R$19,2,FALSE)*(1-$D$12)^($F40-'הנחות עבודה'!$C$5)/$D$11)/$D$11)</f>
        <v>31.214152551060121</v>
      </c>
      <c r="O40" s="42">
        <f ca="1">IF(OR($F40&gt;$D$5,$F40&gt;MAX('הנחות עבודה'!$B$69:$B$89)),0,(VLOOKUP($F40,'התפלגות ייצור וסל דלקים'!$B$64:$BV$84,O$2-$E$2,FALSE))*$D$9*$D$8*(HLOOKUP(O$23,$G$18:$R$19,2,FALSE)*(1-$D$12)^($F40-'הנחות עבודה'!$C$5)/$D$11)/$D$11)</f>
        <v>0</v>
      </c>
      <c r="P40" s="43">
        <f ca="1">IF(OR($F40&gt;$D$5,$F40&gt;MAX('הנחות עבודה'!$B$69:$B$89)),0,(VLOOKUP($F40,'התפלגות ייצור וסל דלקים'!$B$64:$BV$84,P$2-$E$2,FALSE))*$D$9*$D$8*(HLOOKUP(P$23,$G$18:$R$19,2,FALSE)*(1-$D$12)^($F40-'הנחות עבודה'!$C$5)/$D$11)/$D$11)</f>
        <v>0</v>
      </c>
      <c r="Q40" s="42">
        <f ca="1">IF(OR($F40&gt;$D$5,$F40&gt;MAX('הנחות עבודה'!$B$69:$B$89)),0,(VLOOKUP($F40,'התפלגות ייצור וסל דלקים'!$B$64:$BV$84,Q$2-$E$2,FALSE))*$D$9*$D$8*(HLOOKUP(Q$23,$G$18:$R$19,2,FALSE)*(1-$D$12)^($F40-'הנחות עבודה'!$C$5)/$D$11)/$D$11)</f>
        <v>0</v>
      </c>
      <c r="R40" s="43">
        <f ca="1">IF(OR($F40&gt;$D$5,$F40&gt;MAX('הנחות עבודה'!$B$69:$B$89)),0,(VLOOKUP($F40,'התפלגות ייצור וסל דלקים'!$B$64:$BV$84,R$2-$E$2,FALSE))*$D$9*$D$8*(HLOOKUP(R$23,$G$18:$R$19,2,FALSE)*(1-$D$12)^($F40-'הנחות עבודה'!$C$5)/$D$11)/$D$11)</f>
        <v>0</v>
      </c>
      <c r="S40" s="52">
        <f ca="1">IF(OR($F40&gt;$D$5,$F40&gt;MAX('הנחות עבודה'!$B$69:$B$89)),0,(VLOOKUP($F40,'התפלגות ייצור וסל דלקים'!$B$64:$BV$84,S$2-$E$2,FALSE))*$D$9*$D$8*(HLOOKUP(S$23,$G$18:$R$19,2,FALSE)*(1-$D$12)^($F40-'הנחות עבודה'!$C$5)/$D$11)/$D$11)</f>
        <v>0</v>
      </c>
      <c r="T40" s="127">
        <f ca="1">IF(OR($F40&gt;$D$5,$F40&gt;MAX('הנחות עבודה'!$B$69:$B$89)),0,(VLOOKUP($F40,'התפלגות ייצור וסל דלקים'!$B$64:$BV$84,T$2-$E$2,FALSE))*$D$9*$D$8*(HLOOKUP(T$23,$G$18:$R$19,2,FALSE)*(1-$D$12)^($F40-'הנחות עבודה'!$C$5)/$D$11)/$D$11)</f>
        <v>0</v>
      </c>
      <c r="U40" s="127">
        <f ca="1">IF(OR($F40&gt;$D$5,$F40&gt;MAX('הנחות עבודה'!$B$69:$B$89)),0,(VLOOKUP($F40,'התפלגות ייצור וסל דלקים'!$B$64:$BV$84,U$2-$E$2,FALSE))*$D$9*$D$8*(HLOOKUP(U$23,$G$18:$R$19,2,FALSE)*(1-$D$12)^($F40-'הנחות עבודה'!$C$5)/$D$11)/$D$11)</f>
        <v>0</v>
      </c>
      <c r="V40" s="127">
        <f ca="1">IF(OR($F40&gt;$D$5,$F40&gt;MAX('הנחות עבודה'!$B$69:$B$89)),0,(VLOOKUP($F40,'התפלגות ייצור וסל דלקים'!$B$64:$BV$84,V$2-$E$2,FALSE))*$D$9*$D$8*(HLOOKUP(V$23,$G$18:$R$19,2,FALSE)*(1-$D$12)^($F40-'הנחות עבודה'!$C$5)/$D$11)/$D$11)</f>
        <v>0</v>
      </c>
      <c r="W40" s="127">
        <f ca="1">IF(OR($F40&gt;$D$5,$F40&gt;MAX('הנחות עבודה'!$B$69:$B$89)),0,(VLOOKUP($F40,'התפלגות ייצור וסל דלקים'!$B$64:$BV$84,W$2-$E$2,FALSE))*$D$9*$D$8*(HLOOKUP(W$23,$G$18:$R$19,2,FALSE)*(1-$D$12)^($F40-'הנחות עבודה'!$C$5)/$D$11)/$D$11)</f>
        <v>0</v>
      </c>
      <c r="X40" s="127">
        <f ca="1">IF(OR($F40&gt;$D$5,$F40&gt;MAX('הנחות עבודה'!$B$69:$B$89)),0,(VLOOKUP($F40,'התפלגות ייצור וסל דלקים'!$B$64:$BV$84,X$2-$E$2,FALSE))*$D$9*$D$8*(HLOOKUP(X$23,$G$18:$R$19,2,FALSE)*(1-$D$12)^($F40-'הנחות עבודה'!$C$5)/$D$11)/$D$11)</f>
        <v>0</v>
      </c>
      <c r="Y40" s="52">
        <f ca="1">IF(OR($F40&gt;$D$5,$F40&gt;MAX('הנחות עבודה'!$B$69:$B$89)),0,(VLOOKUP($F40,'התפלגות ייצור וסל דלקים'!$B$64:$BV$84,Y$2-$E$2,FALSE))*$D$9*$D$8*(HLOOKUP(Y$23,$G$18:$R$19,2,FALSE)*(1-$D$12)^($F40-'הנחות עבודה'!$C$5)/$D$11)/$D$11)</f>
        <v>7.1653063199999991</v>
      </c>
      <c r="Z40" s="52">
        <f ca="1">IF(OR($F40&gt;$D$5,$F40&gt;MAX('הנחות עבודה'!$B$69:$B$89)),0,(VLOOKUP($F40,'התפלגות ייצור וסל דלקים'!$B$64:$BV$84,Z$2-$E$2,FALSE))*$D$9*$D$8*(HLOOKUP(Z$23,$G$18:$R$19,2,FALSE)*(1-$D$12)^($F40-'הנחות עבודה'!$C$5)/$D$11)/$D$11)</f>
        <v>31.214152551060121</v>
      </c>
      <c r="AA40" s="52">
        <f ca="1">IF(OR($F40&gt;$D$5,$F40&gt;MAX('הנחות עבודה'!$B$69:$B$89)),0,(VLOOKUP($F40,'התפלגות ייצור וסל דלקים'!$B$64:$BV$84,AA$2-$E$2,FALSE))*$D$9*$D$8*(HLOOKUP(AA$23,$G$18:$R$19,2,FALSE)*(1-$D$12)^($F40-'הנחות עבודה'!$C$5)/$D$11)/$D$11)</f>
        <v>0</v>
      </c>
      <c r="AB40" s="52">
        <f ca="1">IF(OR($F40&gt;$D$5,$F40&gt;MAX('הנחות עבודה'!$B$69:$B$89)),0,(VLOOKUP($F40,'התפלגות ייצור וסל דלקים'!$B$64:$BV$84,AB$2-$E$2,FALSE))*$D$9*$D$8*(HLOOKUP(AB$23,$G$18:$R$19,2,FALSE)*(1-$D$12)^($F40-'הנחות עבודה'!$C$5)/$D$11)/$D$11)</f>
        <v>0</v>
      </c>
      <c r="AC40" s="52">
        <f ca="1">IF(OR($F40&gt;$D$5,$F40&gt;MAX('הנחות עבודה'!$B$69:$B$89)),0,(VLOOKUP($F40,'התפלגות ייצור וסל דלקים'!$B$64:$BV$84,AC$2-$E$2,FALSE))*$D$9*$D$8*(HLOOKUP(AC$23,$G$18:$R$19,2,FALSE)*(1-$D$12)^($F40-'הנחות עבודה'!$C$5)/$D$11)/$D$11)</f>
        <v>0</v>
      </c>
      <c r="AD40" s="52">
        <f ca="1">IF(OR($F40&gt;$D$5,$F40&gt;MAX('הנחות עבודה'!$B$69:$B$89)),0,(VLOOKUP($F40,'התפלגות ייצור וסל דלקים'!$B$64:$BV$84,AD$2-$E$2,FALSE))*$D$9*$D$8*(HLOOKUP(AD$23,$G$18:$R$19,2,FALSE)*(1-$D$12)^($F40-'הנחות עבודה'!$C$5)/$D$11)/$D$11)</f>
        <v>0</v>
      </c>
      <c r="AE40" s="42">
        <f ca="1">IF(OR($F40&gt;$D$5,$F40&gt;MAX('הנחות עבודה'!$B$69:$B$89)),0,(VLOOKUP($F40,'התפלגות ייצור וסל דלקים'!$B$64:$BV$84,AE$2-$E$2,FALSE))*$D$9*$D$8*(HLOOKUP(AE$23,$G$18:$R$19,2,FALSE)*(1-$D$12)^($F40-'הנחות עבודה'!$C$5)/$D$11)/$D$11)</f>
        <v>0</v>
      </c>
      <c r="AF40" s="44">
        <f ca="1">IF(OR($F40&gt;$D$5,$F40&gt;MAX('הנחות עבודה'!$B$69:$B$89)),0,(VLOOKUP($F40,'התפלגות ייצור וסל דלקים'!$B$64:$BV$84,AF$2-$E$2,FALSE))*$D$9*$D$8*(HLOOKUP(AF$23,$G$18:$R$19,2,FALSE)*(1-$D$12)^($F40-'הנחות עבודה'!$C$5)/$D$11)/$D$11)</f>
        <v>0</v>
      </c>
      <c r="AG40" s="44">
        <f ca="1">IF(OR($F40&gt;$D$5,$F40&gt;MAX('הנחות עבודה'!$B$69:$B$89)),0,(VLOOKUP($F40,'התפלגות ייצור וסל דלקים'!$B$64:$BV$84,AG$2-$E$2,FALSE))*$D$9*$D$8*(HLOOKUP(AG$23,$G$18:$R$19,2,FALSE)*(1-$D$12)^($F40-'הנחות עבודה'!$C$5)/$D$11)/$D$11)</f>
        <v>0</v>
      </c>
      <c r="AH40" s="44">
        <f ca="1">IF(OR($F40&gt;$D$5,$F40&gt;MAX('הנחות עבודה'!$B$69:$B$89)),0,(VLOOKUP($F40,'התפלגות ייצור וסל דלקים'!$B$64:$BV$84,AH$2-$E$2,FALSE))*$D$9*$D$8*(HLOOKUP(AH$23,$G$18:$R$19,2,FALSE)*(1-$D$12)^($F40-'הנחות עבודה'!$C$5)/$D$11)/$D$11)</f>
        <v>0</v>
      </c>
      <c r="AI40" s="44">
        <f ca="1">IF(OR($F40&gt;$D$5,$F40&gt;MAX('הנחות עבודה'!$B$69:$B$89)),0,(VLOOKUP($F40,'התפלגות ייצור וסל דלקים'!$B$64:$BV$84,AI$2-$E$2,FALSE))*$D$9*$D$8*(HLOOKUP(AI$23,$G$18:$R$19,2,FALSE)*(1-$D$12)^($F40-'הנחות עבודה'!$C$5)/$D$11)/$D$11)</f>
        <v>0</v>
      </c>
      <c r="AJ40" s="44">
        <f ca="1">IF(OR($F40&gt;$D$5,$F40&gt;MAX('הנחות עבודה'!$B$69:$B$89)),0,(VLOOKUP($F40,'התפלגות ייצור וסל דלקים'!$B$64:$BV$84,AJ$2-$E$2,FALSE))*$D$9*$D$8*(HLOOKUP(AJ$23,$G$18:$R$19,2,FALSE)*(1-$D$12)^($F40-'הנחות עבודה'!$C$5)/$D$11)/$D$11)</f>
        <v>0</v>
      </c>
      <c r="AK40" s="42">
        <f ca="1">IF(OR($F40&gt;$D$5,$F40&gt;MAX('הנחות עבודה'!$B$69:$B$89)),0,(VLOOKUP($F40,'התפלגות ייצור וסל דלקים'!$B$64:$BV$84,AK$2-$E$2,FALSE))*$D$9*$D$8*(HLOOKUP(AK$23,$G$18:$R$19,2,FALSE)*(1-$D$12)^($F40-'הנחות עבודה'!$C$5)/$D$11)/$D$11)</f>
        <v>7.5805445399999991</v>
      </c>
      <c r="AL40" s="42">
        <f ca="1">IF(OR($F40&gt;$D$5,$F40&gt;MAX('הנחות עבודה'!$B$69:$B$89)),0,(VLOOKUP($F40,'התפלגות ייצור וסל דלקים'!$B$64:$BV$84,AL$2-$E$2,FALSE))*$D$9*$D$8*(HLOOKUP(AL$23,$G$18:$R$19,2,FALSE)*(1-$D$12)^($F40-'הנחות עבודה'!$C$5)/$D$11)/$D$11)</f>
        <v>28.121128668679841</v>
      </c>
      <c r="AM40" s="42">
        <f ca="1">IF(OR($F40&gt;$D$5,$F40&gt;MAX('הנחות עבודה'!$B$69:$B$89)),0,(VLOOKUP($F40,'התפלגות ייצור וסל דלקים'!$B$64:$BV$84,AM$2-$E$2,FALSE))*$D$9*$D$8*(HLOOKUP(AM$23,$G$18:$R$19,2,FALSE)*(1-$D$12)^($F40-'הנחות עבודה'!$C$5)/$D$11)/$D$11)</f>
        <v>0</v>
      </c>
      <c r="AN40" s="43">
        <f ca="1">IF(OR($F40&gt;$D$5,$F40&gt;MAX('הנחות עבודה'!$B$69:$B$89)),0,(VLOOKUP($F40,'התפלגות ייצור וסל דלקים'!$B$64:$BV$84,AN$2-$E$2,FALSE))*$D$9*$D$8*(HLOOKUP(AN$23,$G$18:$R$19,2,FALSE)*(1-$D$12)^($F40-'הנחות עבודה'!$C$5)/$D$11)/$D$11)</f>
        <v>0</v>
      </c>
      <c r="AO40" s="42">
        <f ca="1">IF(OR($F40&gt;$D$5,$F40&gt;MAX('הנחות עבודה'!$B$69:$B$89)),0,(VLOOKUP($F40,'התפלגות ייצור וסל דלקים'!$B$64:$BV$84,AO$2-$E$2,FALSE))*$D$9*$D$8*(HLOOKUP(AO$23,$G$18:$R$19,2,FALSE)*(1-$D$12)^($F40-'הנחות עבודה'!$C$5)/$D$11)/$D$11)</f>
        <v>0</v>
      </c>
      <c r="AP40" s="43">
        <f ca="1">IF(OR($F40&gt;$D$5,$F40&gt;MAX('הנחות עבודה'!$B$69:$B$89)),0,(VLOOKUP($F40,'התפלגות ייצור וסל דלקים'!$B$64:$BV$84,AP$2-$E$2,FALSE))*$D$9*$D$8*(HLOOKUP(AP$23,$G$18:$R$19,2,FALSE)*(1-$D$12)^($F40-'הנחות עבודה'!$C$5)/$D$11)/$D$11)</f>
        <v>0</v>
      </c>
      <c r="AQ40" s="52">
        <f ca="1">IF(OR($F40&gt;$D$5,$F40&gt;MAX('הנחות עבודה'!$B$69:$B$89)),0,(VLOOKUP($F40,'התפלגות ייצור וסל דלקים'!$B$64:$BV$84,AQ$2-$E$2,FALSE))*$D$9*$D$8*(HLOOKUP(AQ$23,$G$18:$R$19,2,FALSE)*(1-$D$12)^($F40-'הנחות עבודה'!$C$5)/$D$11)/$D$11)</f>
        <v>0</v>
      </c>
      <c r="AR40" s="127">
        <f ca="1">IF(OR($F40&gt;$D$5,$F40&gt;MAX('הנחות עבודה'!$B$69:$B$89)),0,(VLOOKUP($F40,'התפלגות ייצור וסל דלקים'!$B$64:$BV$84,AR$2-$E$2,FALSE))*$D$9*$D$8*(HLOOKUP(AR$23,$G$18:$R$19,2,FALSE)*(1-$D$12)^($F40-'הנחות עבודה'!$C$5)/$D$11)/$D$11)</f>
        <v>0</v>
      </c>
      <c r="AS40" s="127">
        <f ca="1">IF(OR($F40&gt;$D$5,$F40&gt;MAX('הנחות עבודה'!$B$69:$B$89)),0,(VLOOKUP($F40,'התפלגות ייצור וסל דלקים'!$B$64:$BV$84,AS$2-$E$2,FALSE))*$D$9*$D$8*(HLOOKUP(AS$23,$G$18:$R$19,2,FALSE)*(1-$D$12)^($F40-'הנחות עבודה'!$C$5)/$D$11)/$D$11)</f>
        <v>0</v>
      </c>
      <c r="AT40" s="127">
        <f ca="1">IF(OR($F40&gt;$D$5,$F40&gt;MAX('הנחות עבודה'!$B$69:$B$89)),0,(VLOOKUP($F40,'התפלגות ייצור וסל דלקים'!$B$64:$BV$84,AT$2-$E$2,FALSE))*$D$9*$D$8*(HLOOKUP(AT$23,$G$18:$R$19,2,FALSE)*(1-$D$12)^($F40-'הנחות עבודה'!$C$5)/$D$11)/$D$11)</f>
        <v>0</v>
      </c>
      <c r="AU40" s="127">
        <f ca="1">IF(OR($F40&gt;$D$5,$F40&gt;MAX('הנחות עבודה'!$B$69:$B$89)),0,(VLOOKUP($F40,'התפלגות ייצור וסל דלקים'!$B$64:$BV$84,AU$2-$E$2,FALSE))*$D$9*$D$8*(HLOOKUP(AU$23,$G$18:$R$19,2,FALSE)*(1-$D$12)^($F40-'הנחות עבודה'!$C$5)/$D$11)/$D$11)</f>
        <v>0</v>
      </c>
      <c r="AV40" s="127">
        <f ca="1">IF(OR($F40&gt;$D$5,$F40&gt;MAX('הנחות עבודה'!$B$69:$B$89)),0,(VLOOKUP($F40,'התפלגות ייצור וסל דלקים'!$B$64:$BV$84,AV$2-$E$2,FALSE))*$D$9*$D$8*(HLOOKUP(AV$23,$G$18:$R$19,2,FALSE)*(1-$D$12)^($F40-'הנחות עבודה'!$C$5)/$D$11)/$D$11)</f>
        <v>0</v>
      </c>
      <c r="AW40" s="52">
        <f ca="1">IF(OR($F40&gt;$D$5,$F40&gt;MAX('הנחות עבודה'!$B$69:$B$89)),0,(VLOOKUP($F40,'התפלגות ייצור וסל דלקים'!$B$64:$BV$84,AW$2-$E$2,FALSE))*$D$9*$D$8*(HLOOKUP(AW$23,$G$18:$R$19,2,FALSE)*(1-$D$12)^($F40-'הנחות עבודה'!$C$5)/$D$11)/$D$11)</f>
        <v>7.5805445399999991</v>
      </c>
      <c r="AX40" s="52">
        <f ca="1">IF(OR($F40&gt;$D$5,$F40&gt;MAX('הנחות עבודה'!$B$69:$B$89)),0,(VLOOKUP($F40,'התפלגות ייצור וסל דלקים'!$B$64:$BV$84,AX$2-$E$2,FALSE))*$D$9*$D$8*(HLOOKUP(AX$23,$G$18:$R$19,2,FALSE)*(1-$D$12)^($F40-'הנחות עבודה'!$C$5)/$D$11)/$D$11)</f>
        <v>28.121128668679841</v>
      </c>
      <c r="AY40" s="52">
        <f ca="1">IF(OR($F40&gt;$D$5,$F40&gt;MAX('הנחות עבודה'!$B$69:$B$89)),0,(VLOOKUP($F40,'התפלגות ייצור וסל דלקים'!$B$64:$BV$84,AY$2-$E$2,FALSE))*$D$9*$D$8*(HLOOKUP(AY$23,$G$18:$R$19,2,FALSE)*(1-$D$12)^($F40-'הנחות עבודה'!$C$5)/$D$11)/$D$11)</f>
        <v>0</v>
      </c>
      <c r="AZ40" s="52">
        <f ca="1">IF(OR($F40&gt;$D$5,$F40&gt;MAX('הנחות עבודה'!$B$69:$B$89)),0,(VLOOKUP($F40,'התפלגות ייצור וסל דלקים'!$B$64:$BV$84,AZ$2-$E$2,FALSE))*$D$9*$D$8*(HLOOKUP(AZ$23,$G$18:$R$19,2,FALSE)*(1-$D$12)^($F40-'הנחות עבודה'!$C$5)/$D$11)/$D$11)</f>
        <v>0</v>
      </c>
      <c r="BA40" s="52">
        <f ca="1">IF(OR($F40&gt;$D$5,$F40&gt;MAX('הנחות עבודה'!$B$69:$B$89)),0,(VLOOKUP($F40,'התפלגות ייצור וסל דלקים'!$B$64:$BV$84,BA$2-$E$2,FALSE))*$D$9*$D$8*(HLOOKUP(BA$23,$G$18:$R$19,2,FALSE)*(1-$D$12)^($F40-'הנחות עבודה'!$C$5)/$D$11)/$D$11)</f>
        <v>0</v>
      </c>
      <c r="BB40" s="52">
        <f ca="1">IF(OR($F40&gt;$D$5,$F40&gt;MAX('הנחות עבודה'!$B$69:$B$89)),0,(VLOOKUP($F40,'התפלגות ייצור וסל דלקים'!$B$64:$BV$84,BB$2-$E$2,FALSE))*$D$9*$D$8*(HLOOKUP(BB$23,$G$18:$R$19,2,FALSE)*(1-$D$12)^($F40-'הנחות עבודה'!$C$5)/$D$11)/$D$11)</f>
        <v>0</v>
      </c>
      <c r="BC40" s="42">
        <f ca="1">IF(OR($F40&gt;$D$5,$F40&gt;MAX('הנחות עבודה'!$B$69:$B$89)),0,(VLOOKUP($F40,'התפלגות ייצור וסל דלקים'!$B$64:$BV$84,BC$2-$E$2,FALSE))*$D$9*$D$8*(HLOOKUP(BC$23,$G$18:$R$19,2,FALSE)*(1-$D$12)^($F40-'הנחות עבודה'!$C$5)/$D$11)/$D$11)</f>
        <v>0</v>
      </c>
      <c r="BD40" s="44">
        <f ca="1">IF(OR($F40&gt;$D$5,$F40&gt;MAX('הנחות עבודה'!$B$69:$B$89)),0,(VLOOKUP($F40,'התפלגות ייצור וסל דלקים'!$B$64:$BV$84,BD$2-$E$2,FALSE))*$D$9*$D$8*(HLOOKUP(BD$23,$G$18:$R$19,2,FALSE)*(1-$D$12)^($F40-'הנחות עבודה'!$C$5)/$D$11)/$D$11)</f>
        <v>0</v>
      </c>
      <c r="BE40" s="44">
        <f ca="1">IF(OR($F40&gt;$D$5,$F40&gt;MAX('הנחות עבודה'!$B$69:$B$89)),0,(VLOOKUP($F40,'התפלגות ייצור וסל דלקים'!$B$64:$BV$84,BE$2-$E$2,FALSE))*$D$9*$D$8*(HLOOKUP(BE$23,$G$18:$R$19,2,FALSE)*(1-$D$12)^($F40-'הנחות עבודה'!$C$5)/$D$11)/$D$11)</f>
        <v>0</v>
      </c>
      <c r="BF40" s="44">
        <f ca="1">IF(OR($F40&gt;$D$5,$F40&gt;MAX('הנחות עבודה'!$B$69:$B$89)),0,(VLOOKUP($F40,'התפלגות ייצור וסל דלקים'!$B$64:$BV$84,BF$2-$E$2,FALSE))*$D$9*$D$8*(HLOOKUP(BF$23,$G$18:$R$19,2,FALSE)*(1-$D$12)^($F40-'הנחות עבודה'!$C$5)/$D$11)/$D$11)</f>
        <v>0</v>
      </c>
      <c r="BG40" s="44">
        <f ca="1">IF(OR($F40&gt;$D$5,$F40&gt;MAX('הנחות עבודה'!$B$69:$B$89)),0,(VLOOKUP($F40,'התפלגות ייצור וסל דלקים'!$B$64:$BV$84,BG$2-$E$2,FALSE))*$D$9*$D$8*(HLOOKUP(BG$23,$G$18:$R$19,2,FALSE)*(1-$D$12)^($F40-'הנחות עבודה'!$C$5)/$D$11)/$D$11)</f>
        <v>0</v>
      </c>
      <c r="BH40" s="44">
        <f ca="1">IF(OR($F40&gt;$D$5,$F40&gt;MAX('הנחות עבודה'!$B$69:$B$89)),0,(VLOOKUP($F40,'התפלגות ייצור וסל דלקים'!$B$64:$BV$84,BH$2-$E$2,FALSE))*$D$9*$D$8*(HLOOKUP(BH$23,$G$18:$R$19,2,FALSE)*(1-$D$12)^($F40-'הנחות עבודה'!$C$5)/$D$11)/$D$11)</f>
        <v>0</v>
      </c>
      <c r="BI40" s="42">
        <f ca="1">IF(OR($F40&gt;$D$5,$F40&gt;MAX('הנחות עבודה'!$B$69:$B$89)),0,(VLOOKUP($F40,'התפלגות ייצור וסל דלקים'!$B$64:$BV$84,BI$2-$E$2,FALSE))*$D$9*$D$8*(HLOOKUP(BI$23,$G$18:$R$19,2,FALSE)*(1-$D$12)^($F40-'הנחות עבודה'!$C$5)/$D$11)/$D$11)</f>
        <v>7.7366279999999996</v>
      </c>
      <c r="BJ40" s="42">
        <f ca="1">IF(OR($F40&gt;$D$5,$F40&gt;MAX('הנחות עבודה'!$B$69:$B$89)),0,(VLOOKUP($F40,'התפלגות ייצור וסל דלקים'!$B$64:$BV$84,BJ$2-$E$2,FALSE))*$D$9*$D$8*(HLOOKUP(BJ$23,$G$18:$R$19,2,FALSE)*(1-$D$12)^($F40-'הנחות עבודה'!$C$5)/$D$11)/$D$11)</f>
        <v>26.269798348442155</v>
      </c>
      <c r="BK40" s="42">
        <f ca="1">IF(OR($F40&gt;$D$5,$F40&gt;MAX('הנחות עבודה'!$B$69:$B$89)),0,(VLOOKUP($F40,'התפלגות ייצור וסל דלקים'!$B$64:$BV$84,BK$2-$E$2,FALSE))*$D$9*$D$8*(HLOOKUP(BK$23,$G$18:$R$19,2,FALSE)*(1-$D$12)^($F40-'הנחות עבודה'!$C$5)/$D$11)/$D$11)</f>
        <v>0</v>
      </c>
      <c r="BL40" s="42">
        <f ca="1">IF(OR($F40&gt;$D$5,$F40&gt;MAX('הנחות עבודה'!$B$69:$B$89)),0,(VLOOKUP($F40,'התפלגות ייצור וסל דלקים'!$B$64:$BV$84,BL$2-$E$2,FALSE))*$D$9*$D$8*(HLOOKUP(BL$23,$G$18:$R$19,2,FALSE)*(1-$D$12)^($F40-'הנחות עבודה'!$C$5)/$D$11)/$D$11)</f>
        <v>0</v>
      </c>
      <c r="BM40" s="42">
        <f ca="1">IF(OR($F40&gt;$D$5,$F40&gt;MAX('הנחות עבודה'!$B$69:$B$89)),0,(VLOOKUP($F40,'התפלגות ייצור וסל דלקים'!$B$64:$BV$84,BM$2-$E$2,FALSE))*$D$9*$D$8*(HLOOKUP(BM$23,$G$18:$R$19,2,FALSE)*(1-$D$12)^($F40-'הנחות עבודה'!$C$5)/$D$11)/$D$11)</f>
        <v>0</v>
      </c>
      <c r="BN40" s="42">
        <f ca="1">IF(OR($F40&gt;$D$5,$F40&gt;MAX('הנחות עבודה'!$B$69:$B$89)),0,(VLOOKUP($F40,'התפלגות ייצור וסל דלקים'!$B$64:$BV$84,BN$2-$E$2,FALSE))*$D$9*$D$8*(HLOOKUP(BN$23,$G$18:$R$19,2,FALSE)*(1-$D$12)^($F40-'הנחות עבודה'!$C$5)/$D$11)/$D$11)</f>
        <v>0</v>
      </c>
      <c r="BO40" s="52">
        <f ca="1">IF(OR($F40&gt;$D$5,$F40&gt;MAX('הנחות עבודה'!$B$69:$B$89)),0,(VLOOKUP($F40,'התפלגות ייצור וסל דלקים'!$B$64:$BV$84,BO$2-$E$2,FALSE))*$D$9*$D$8*(HLOOKUP(BO$23,$G$18:$R$19,2,FALSE)*(1-$D$12)^($F40-'הנחות עבודה'!$C$5)/$D$11)/$D$11)</f>
        <v>0</v>
      </c>
      <c r="BP40" s="127">
        <f ca="1">IF(OR($F40&gt;$D$5,$F40&gt;MAX('הנחות עבודה'!$B$69:$B$89)),0,(VLOOKUP($F40,'התפלגות ייצור וסל דלקים'!$B$64:$BV$84,BP$2-$E$2,FALSE))*$D$9*$D$8*(HLOOKUP(BP$23,$G$18:$R$19,2,FALSE)*(1-$D$12)^($F40-'הנחות עבודה'!$C$5)/$D$11)/$D$11)</f>
        <v>0</v>
      </c>
      <c r="BQ40" s="127">
        <f ca="1">IF(OR($F40&gt;$D$5,$F40&gt;MAX('הנחות עבודה'!$B$69:$B$89)),0,(VLOOKUP($F40,'התפלגות ייצור וסל דלקים'!$B$64:$BV$84,BQ$2-$E$2,FALSE))*$D$9*$D$8*(HLOOKUP(BQ$23,$G$18:$R$19,2,FALSE)*(1-$D$12)^($F40-'הנחות עבודה'!$C$5)/$D$11)/$D$11)</f>
        <v>0</v>
      </c>
      <c r="BR40" s="127">
        <f ca="1">IF(OR($F40&gt;$D$5,$F40&gt;MAX('הנחות עבודה'!$B$69:$B$89)),0,(VLOOKUP($F40,'התפלגות ייצור וסל דלקים'!$B$64:$BV$84,BR$2-$E$2,FALSE))*$D$9*$D$8*(HLOOKUP(BR$23,$G$18:$R$19,2,FALSE)*(1-$D$12)^($F40-'הנחות עבודה'!$C$5)/$D$11)/$D$11)</f>
        <v>0</v>
      </c>
      <c r="BS40" s="127">
        <f ca="1">IF(OR($F40&gt;$D$5,$F40&gt;MAX('הנחות עבודה'!$B$69:$B$89)),0,(VLOOKUP($F40,'התפלגות ייצור וסל דלקים'!$B$64:$BV$84,BS$2-$E$2,FALSE))*$D$9*$D$8*(HLOOKUP(BS$23,$G$18:$R$19,2,FALSE)*(1-$D$12)^($F40-'הנחות עבודה'!$C$5)/$D$11)/$D$11)</f>
        <v>0</v>
      </c>
      <c r="BT40" s="127">
        <f ca="1">IF(OR($F40&gt;$D$5,$F40&gt;MAX('הנחות עבודה'!$B$69:$B$89)),0,(VLOOKUP($F40,'התפלגות ייצור וסל דלקים'!$B$64:$BV$84,BT$2-$E$2,FALSE))*$D$9*$D$8*(HLOOKUP(BT$23,$G$18:$R$19,2,FALSE)*(1-$D$12)^($F40-'הנחות עבודה'!$C$5)/$D$11)/$D$11)</f>
        <v>0</v>
      </c>
      <c r="BU40" s="52">
        <f ca="1">IF(OR($F40&gt;$D$5,$F40&gt;MAX('הנחות עבודה'!$B$69:$B$89)),0,(VLOOKUP($F40,'התפלגות ייצור וסל דלקים'!$B$64:$BV$84,BU$2-$E$2,FALSE))*$D$9*$D$8*(HLOOKUP(BU$23,$G$18:$R$19,2,FALSE)*(1-$D$12)^($F40-'הנחות עבודה'!$C$5)/$D$11)/$D$11)</f>
        <v>7.7366279999999996</v>
      </c>
      <c r="BV40" s="52">
        <f ca="1">IF(OR($F40&gt;$D$5,$F40&gt;MAX('הנחות עבודה'!$B$69:$B$89)),0,(VLOOKUP($F40,'התפלגות ייצור וסל דלקים'!$B$64:$BV$84,BV$2-$E$2,FALSE))*$D$9*$D$8*(HLOOKUP(BV$23,$G$18:$R$19,2,FALSE)*(1-$D$12)^($F40-'הנחות עבודה'!$C$5)/$D$11)/$D$11)</f>
        <v>26.269798348442155</v>
      </c>
      <c r="BW40" s="52">
        <f ca="1">IF(OR($F40&gt;$D$5,$F40&gt;MAX('הנחות עבודה'!$B$69:$B$89)),0,(VLOOKUP($F40,'התפלגות ייצור וסל דלקים'!$B$64:$BV$84,BW$2-$E$2,FALSE))*$D$9*$D$8*(HLOOKUP(BW$23,$G$18:$R$19,2,FALSE)*(1-$D$12)^($F40-'הנחות עבודה'!$C$5)/$D$11)/$D$11)</f>
        <v>0</v>
      </c>
      <c r="BX40" s="52">
        <f ca="1">IF(OR($F40&gt;$D$5,$F40&gt;MAX('הנחות עבודה'!$B$69:$B$89)),0,(VLOOKUP($F40,'התפלגות ייצור וסל דלקים'!$B$64:$BV$84,BX$2-$E$2,FALSE))*$D$9*$D$8*(HLOOKUP(BX$23,$G$18:$R$19,2,FALSE)*(1-$D$12)^($F40-'הנחות עבודה'!$C$5)/$D$11)/$D$11)</f>
        <v>0</v>
      </c>
      <c r="BY40" s="52">
        <f ca="1">IF(OR($F40&gt;$D$5,$F40&gt;MAX('הנחות עבודה'!$B$69:$B$89)),0,(VLOOKUP($F40,'התפלגות ייצור וסל דלקים'!$B$64:$BV$84,BY$2-$E$2,FALSE))*$D$9*$D$8*(HLOOKUP(BY$23,$G$18:$R$19,2,FALSE)*(1-$D$12)^($F40-'הנחות עבודה'!$C$5)/$D$11)/$D$11)</f>
        <v>0</v>
      </c>
      <c r="BZ40" s="52">
        <f ca="1">IF(OR($F40&gt;$D$5,$F40&gt;MAX('הנחות עבודה'!$B$69:$B$89)),0,(VLOOKUP($F40,'התפלגות ייצור וסל דלקים'!$B$64:$BV$84,BZ$2-$E$2,FALSE))*$D$9*$D$8*(HLOOKUP(BZ$23,$G$18:$R$19,2,FALSE)*(1-$D$12)^($F40-'הנחות עבודה'!$C$5)/$D$11)/$D$11)</f>
        <v>0</v>
      </c>
    </row>
    <row r="41" spans="6:78" ht="15.75">
      <c r="F41" s="10">
        <f t="shared" si="115"/>
        <v>2037</v>
      </c>
      <c r="G41" s="42">
        <f ca="1">IF(OR($F41&gt;$D$5,$F41&gt;MAX('הנחות עבודה'!$B$69:$B$89)),0,(VLOOKUP($F41,'התפלגות ייצור וסל דלקים'!$B$64:$BV$84,G$2-$E$2,FALSE))*$D$9*$D$8*(HLOOKUP(G$23,$G$18:$R$19,2,FALSE)*(1-$D$12)^($F41-'הנחות עבודה'!$C$5)/$D$11)/$D$11)</f>
        <v>0</v>
      </c>
      <c r="H41" s="44">
        <f ca="1">IF(OR($F41&gt;$D$5,$F41&gt;MAX('הנחות עבודה'!$B$69:$B$89)),0,(VLOOKUP($F41,'התפלגות ייצור וסל דלקים'!$B$64:$BV$84,H$2-$E$2,FALSE))*$D$9*$D$8*(HLOOKUP(H$23,$G$18:$R$19,2,FALSE)*(1-$D$12)^($F41-'הנחות עבודה'!$C$5)/$D$11)/$D$11)</f>
        <v>0</v>
      </c>
      <c r="I41" s="44">
        <f ca="1">IF(OR($F41&gt;$D$5,$F41&gt;MAX('הנחות עבודה'!$B$69:$B$89)),0,(VLOOKUP($F41,'התפלגות ייצור וסל דלקים'!$B$64:$BV$84,I$2-$E$2,FALSE))*$D$9*$D$8*(HLOOKUP(I$23,$G$18:$R$19,2,FALSE)*(1-$D$12)^($F41-'הנחות עבודה'!$C$5)/$D$11)/$D$11)</f>
        <v>0</v>
      </c>
      <c r="J41" s="44">
        <f ca="1">IF(OR($F41&gt;$D$5,$F41&gt;MAX('הנחות עבודה'!$B$69:$B$89)),0,(VLOOKUP($F41,'התפלגות ייצור וסל דלקים'!$B$64:$BV$84,J$2-$E$2,FALSE))*$D$9*$D$8*(HLOOKUP(J$23,$G$18:$R$19,2,FALSE)*(1-$D$12)^($F41-'הנחות עבודה'!$C$5)/$D$11)/$D$11)</f>
        <v>0</v>
      </c>
      <c r="K41" s="44">
        <f ca="1">IF(OR($F41&gt;$D$5,$F41&gt;MAX('הנחות עבודה'!$B$69:$B$89)),0,(VLOOKUP($F41,'התפלגות ייצור וסל דלקים'!$B$64:$BV$84,K$2-$E$2,FALSE))*$D$9*$D$8*(HLOOKUP(K$23,$G$18:$R$19,2,FALSE)*(1-$D$12)^($F41-'הנחות עבודה'!$C$5)/$D$11)/$D$11)</f>
        <v>0</v>
      </c>
      <c r="L41" s="44">
        <f ca="1">IF(OR($F41&gt;$D$5,$F41&gt;MAX('הנחות עבודה'!$B$69:$B$89)),0,(VLOOKUP($F41,'התפלגות ייצור וסל דלקים'!$B$64:$BV$84,L$2-$E$2,FALSE))*$D$9*$D$8*(HLOOKUP(L$23,$G$18:$R$19,2,FALSE)*(1-$D$12)^($F41-'הנחות עבודה'!$C$5)/$D$11)/$D$11)</f>
        <v>0</v>
      </c>
      <c r="M41" s="42">
        <f ca="1">IF(OR($F41&gt;$D$5,$F41&gt;MAX('הנחות עבודה'!$B$69:$B$89)),0,(VLOOKUP($F41,'התפלגות ייצור וסל דלקים'!$B$64:$BV$84,M$2-$E$2,FALSE))*$D$9*$D$8*(HLOOKUP(M$23,$G$18:$R$19,2,FALSE)*(1-$D$12)^($F41-'הנחות עבודה'!$C$5)/$D$11)/$D$11)</f>
        <v>7.2457820400000008</v>
      </c>
      <c r="N41" s="42">
        <f ca="1">IF(OR($F41&gt;$D$5,$F41&gt;MAX('הנחות עבודה'!$B$69:$B$89)),0,(VLOOKUP($F41,'התפלגות ייצור וסל דלקים'!$B$64:$BV$84,N$2-$E$2,FALSE))*$D$9*$D$8*(HLOOKUP(N$23,$G$18:$R$19,2,FALSE)*(1-$D$12)^($F41-'הנחות עבודה'!$C$5)/$D$11)/$D$11)</f>
        <v>32.464702585896255</v>
      </c>
      <c r="O41" s="42">
        <f ca="1">IF(OR($F41&gt;$D$5,$F41&gt;MAX('הנחות עבודה'!$B$69:$B$89)),0,(VLOOKUP($F41,'התפלגות ייצור וסל דלקים'!$B$64:$BV$84,O$2-$E$2,FALSE))*$D$9*$D$8*(HLOOKUP(O$23,$G$18:$R$19,2,FALSE)*(1-$D$12)^($F41-'הנחות עבודה'!$C$5)/$D$11)/$D$11)</f>
        <v>0</v>
      </c>
      <c r="P41" s="43">
        <f ca="1">IF(OR($F41&gt;$D$5,$F41&gt;MAX('הנחות עבודה'!$B$69:$B$89)),0,(VLOOKUP($F41,'התפלגות ייצור וסל דלקים'!$B$64:$BV$84,P$2-$E$2,FALSE))*$D$9*$D$8*(HLOOKUP(P$23,$G$18:$R$19,2,FALSE)*(1-$D$12)^($F41-'הנחות עבודה'!$C$5)/$D$11)/$D$11)</f>
        <v>0</v>
      </c>
      <c r="Q41" s="42">
        <f ca="1">IF(OR($F41&gt;$D$5,$F41&gt;MAX('הנחות עבודה'!$B$69:$B$89)),0,(VLOOKUP($F41,'התפלגות ייצור וסל דלקים'!$B$64:$BV$84,Q$2-$E$2,FALSE))*$D$9*$D$8*(HLOOKUP(Q$23,$G$18:$R$19,2,FALSE)*(1-$D$12)^($F41-'הנחות עבודה'!$C$5)/$D$11)/$D$11)</f>
        <v>0</v>
      </c>
      <c r="R41" s="43">
        <f ca="1">IF(OR($F41&gt;$D$5,$F41&gt;MAX('הנחות עבודה'!$B$69:$B$89)),0,(VLOOKUP($F41,'התפלגות ייצור וסל דלקים'!$B$64:$BV$84,R$2-$E$2,FALSE))*$D$9*$D$8*(HLOOKUP(R$23,$G$18:$R$19,2,FALSE)*(1-$D$12)^($F41-'הנחות עבודה'!$C$5)/$D$11)/$D$11)</f>
        <v>0</v>
      </c>
      <c r="S41" s="52">
        <f ca="1">IF(OR($F41&gt;$D$5,$F41&gt;MAX('הנחות עבודה'!$B$69:$B$89)),0,(VLOOKUP($F41,'התפלגות ייצור וסל דלקים'!$B$64:$BV$84,S$2-$E$2,FALSE))*$D$9*$D$8*(HLOOKUP(S$23,$G$18:$R$19,2,FALSE)*(1-$D$12)^($F41-'הנחות עבודה'!$C$5)/$D$11)/$D$11)</f>
        <v>0</v>
      </c>
      <c r="T41" s="127">
        <f ca="1">IF(OR($F41&gt;$D$5,$F41&gt;MAX('הנחות עבודה'!$B$69:$B$89)),0,(VLOOKUP($F41,'התפלגות ייצור וסל דלקים'!$B$64:$BV$84,T$2-$E$2,FALSE))*$D$9*$D$8*(HLOOKUP(T$23,$G$18:$R$19,2,FALSE)*(1-$D$12)^($F41-'הנחות עבודה'!$C$5)/$D$11)/$D$11)</f>
        <v>0</v>
      </c>
      <c r="U41" s="127">
        <f ca="1">IF(OR($F41&gt;$D$5,$F41&gt;MAX('הנחות עבודה'!$B$69:$B$89)),0,(VLOOKUP($F41,'התפלגות ייצור וסל דלקים'!$B$64:$BV$84,U$2-$E$2,FALSE))*$D$9*$D$8*(HLOOKUP(U$23,$G$18:$R$19,2,FALSE)*(1-$D$12)^($F41-'הנחות עבודה'!$C$5)/$D$11)/$D$11)</f>
        <v>0</v>
      </c>
      <c r="V41" s="127">
        <f ca="1">IF(OR($F41&gt;$D$5,$F41&gt;MAX('הנחות עבודה'!$B$69:$B$89)),0,(VLOOKUP($F41,'התפלגות ייצור וסל דלקים'!$B$64:$BV$84,V$2-$E$2,FALSE))*$D$9*$D$8*(HLOOKUP(V$23,$G$18:$R$19,2,FALSE)*(1-$D$12)^($F41-'הנחות עבודה'!$C$5)/$D$11)/$D$11)</f>
        <v>0</v>
      </c>
      <c r="W41" s="127">
        <f ca="1">IF(OR($F41&gt;$D$5,$F41&gt;MAX('הנחות עבודה'!$B$69:$B$89)),0,(VLOOKUP($F41,'התפלגות ייצור וסל דלקים'!$B$64:$BV$84,W$2-$E$2,FALSE))*$D$9*$D$8*(HLOOKUP(W$23,$G$18:$R$19,2,FALSE)*(1-$D$12)^($F41-'הנחות עבודה'!$C$5)/$D$11)/$D$11)</f>
        <v>0</v>
      </c>
      <c r="X41" s="127">
        <f ca="1">IF(OR($F41&gt;$D$5,$F41&gt;MAX('הנחות עבודה'!$B$69:$B$89)),0,(VLOOKUP($F41,'התפלגות ייצור וסל דלקים'!$B$64:$BV$84,X$2-$E$2,FALSE))*$D$9*$D$8*(HLOOKUP(X$23,$G$18:$R$19,2,FALSE)*(1-$D$12)^($F41-'הנחות עבודה'!$C$5)/$D$11)/$D$11)</f>
        <v>0</v>
      </c>
      <c r="Y41" s="52">
        <f ca="1">IF(OR($F41&gt;$D$5,$F41&gt;MAX('הנחות עבודה'!$B$69:$B$89)),0,(VLOOKUP($F41,'התפלגות ייצור וסל דלקים'!$B$64:$BV$84,Y$2-$E$2,FALSE))*$D$9*$D$8*(HLOOKUP(Y$23,$G$18:$R$19,2,FALSE)*(1-$D$12)^($F41-'הנחות עבודה'!$C$5)/$D$11)/$D$11)</f>
        <v>7.2457820400000008</v>
      </c>
      <c r="Z41" s="52">
        <f ca="1">IF(OR($F41&gt;$D$5,$F41&gt;MAX('הנחות עבודה'!$B$69:$B$89)),0,(VLOOKUP($F41,'התפלגות ייצור וסל דלקים'!$B$64:$BV$84,Z$2-$E$2,FALSE))*$D$9*$D$8*(HLOOKUP(Z$23,$G$18:$R$19,2,FALSE)*(1-$D$12)^($F41-'הנחות עבודה'!$C$5)/$D$11)/$D$11)</f>
        <v>32.464702585896255</v>
      </c>
      <c r="AA41" s="52">
        <f ca="1">IF(OR($F41&gt;$D$5,$F41&gt;MAX('הנחות עבודה'!$B$69:$B$89)),0,(VLOOKUP($F41,'התפלגות ייצור וסל דלקים'!$B$64:$BV$84,AA$2-$E$2,FALSE))*$D$9*$D$8*(HLOOKUP(AA$23,$G$18:$R$19,2,FALSE)*(1-$D$12)^($F41-'הנחות עבודה'!$C$5)/$D$11)/$D$11)</f>
        <v>0</v>
      </c>
      <c r="AB41" s="52">
        <f ca="1">IF(OR($F41&gt;$D$5,$F41&gt;MAX('הנחות עבודה'!$B$69:$B$89)),0,(VLOOKUP($F41,'התפלגות ייצור וסל דלקים'!$B$64:$BV$84,AB$2-$E$2,FALSE))*$D$9*$D$8*(HLOOKUP(AB$23,$G$18:$R$19,2,FALSE)*(1-$D$12)^($F41-'הנחות עבודה'!$C$5)/$D$11)/$D$11)</f>
        <v>0</v>
      </c>
      <c r="AC41" s="52">
        <f ca="1">IF(OR($F41&gt;$D$5,$F41&gt;MAX('הנחות עבודה'!$B$69:$B$89)),0,(VLOOKUP($F41,'התפלגות ייצור וסל דלקים'!$B$64:$BV$84,AC$2-$E$2,FALSE))*$D$9*$D$8*(HLOOKUP(AC$23,$G$18:$R$19,2,FALSE)*(1-$D$12)^($F41-'הנחות עבודה'!$C$5)/$D$11)/$D$11)</f>
        <v>0</v>
      </c>
      <c r="AD41" s="52">
        <f ca="1">IF(OR($F41&gt;$D$5,$F41&gt;MAX('הנחות עבודה'!$B$69:$B$89)),0,(VLOOKUP($F41,'התפלגות ייצור וסל דלקים'!$B$64:$BV$84,AD$2-$E$2,FALSE))*$D$9*$D$8*(HLOOKUP(AD$23,$G$18:$R$19,2,FALSE)*(1-$D$12)^($F41-'הנחות עבודה'!$C$5)/$D$11)/$D$11)</f>
        <v>0</v>
      </c>
      <c r="AE41" s="42">
        <f ca="1">IF(OR($F41&gt;$D$5,$F41&gt;MAX('הנחות עבודה'!$B$69:$B$89)),0,(VLOOKUP($F41,'התפלגות ייצור וסל דלקים'!$B$64:$BV$84,AE$2-$E$2,FALSE))*$D$9*$D$8*(HLOOKUP(AE$23,$G$18:$R$19,2,FALSE)*(1-$D$12)^($F41-'הנחות עבודה'!$C$5)/$D$11)/$D$11)</f>
        <v>0</v>
      </c>
      <c r="AF41" s="44">
        <f ca="1">IF(OR($F41&gt;$D$5,$F41&gt;MAX('הנחות עבודה'!$B$69:$B$89)),0,(VLOOKUP($F41,'התפלגות ייצור וסל דלקים'!$B$64:$BV$84,AF$2-$E$2,FALSE))*$D$9*$D$8*(HLOOKUP(AF$23,$G$18:$R$19,2,FALSE)*(1-$D$12)^($F41-'הנחות עבודה'!$C$5)/$D$11)/$D$11)</f>
        <v>0</v>
      </c>
      <c r="AG41" s="44">
        <f ca="1">IF(OR($F41&gt;$D$5,$F41&gt;MAX('הנחות עבודה'!$B$69:$B$89)),0,(VLOOKUP($F41,'התפלגות ייצור וסל דלקים'!$B$64:$BV$84,AG$2-$E$2,FALSE))*$D$9*$D$8*(HLOOKUP(AG$23,$G$18:$R$19,2,FALSE)*(1-$D$12)^($F41-'הנחות עבודה'!$C$5)/$D$11)/$D$11)</f>
        <v>0</v>
      </c>
      <c r="AH41" s="44">
        <f ca="1">IF(OR($F41&gt;$D$5,$F41&gt;MAX('הנחות עבודה'!$B$69:$B$89)),0,(VLOOKUP($F41,'התפלגות ייצור וסל דלקים'!$B$64:$BV$84,AH$2-$E$2,FALSE))*$D$9*$D$8*(HLOOKUP(AH$23,$G$18:$R$19,2,FALSE)*(1-$D$12)^($F41-'הנחות עבודה'!$C$5)/$D$11)/$D$11)</f>
        <v>0</v>
      </c>
      <c r="AI41" s="44">
        <f ca="1">IF(OR($F41&gt;$D$5,$F41&gt;MAX('הנחות עבודה'!$B$69:$B$89)),0,(VLOOKUP($F41,'התפלגות ייצור וסל דלקים'!$B$64:$BV$84,AI$2-$E$2,FALSE))*$D$9*$D$8*(HLOOKUP(AI$23,$G$18:$R$19,2,FALSE)*(1-$D$12)^($F41-'הנחות עבודה'!$C$5)/$D$11)/$D$11)</f>
        <v>0</v>
      </c>
      <c r="AJ41" s="44">
        <f ca="1">IF(OR($F41&gt;$D$5,$F41&gt;MAX('הנחות עבודה'!$B$69:$B$89)),0,(VLOOKUP($F41,'התפלגות ייצור וסל דלקים'!$B$64:$BV$84,AJ$2-$E$2,FALSE))*$D$9*$D$8*(HLOOKUP(AJ$23,$G$18:$R$19,2,FALSE)*(1-$D$12)^($F41-'הנחות עבודה'!$C$5)/$D$11)/$D$11)</f>
        <v>0</v>
      </c>
      <c r="AK41" s="42">
        <f ca="1">IF(OR($F41&gt;$D$5,$F41&gt;MAX('הנחות עבודה'!$B$69:$B$89)),0,(VLOOKUP($F41,'התפלגות ייצור וסל דלקים'!$B$64:$BV$84,AK$2-$E$2,FALSE))*$D$9*$D$8*(HLOOKUP(AK$23,$G$18:$R$19,2,FALSE)*(1-$D$12)^($F41-'הנחות עבודה'!$C$5)/$D$11)/$D$11)</f>
        <v>7.5660496199999994</v>
      </c>
      <c r="AL41" s="42">
        <f ca="1">IF(OR($F41&gt;$D$5,$F41&gt;MAX('הנחות עבודה'!$B$69:$B$89)),0,(VLOOKUP($F41,'התפלגות ייצור וסל דלקים'!$B$64:$BV$84,AL$2-$E$2,FALSE))*$D$9*$D$8*(HLOOKUP(AL$23,$G$18:$R$19,2,FALSE)*(1-$D$12)^($F41-'הנחות עבודה'!$C$5)/$D$11)/$D$11)</f>
        <v>29.461318918270258</v>
      </c>
      <c r="AM41" s="42">
        <f ca="1">IF(OR($F41&gt;$D$5,$F41&gt;MAX('הנחות עבודה'!$B$69:$B$89)),0,(VLOOKUP($F41,'התפלגות ייצור וסל דלקים'!$B$64:$BV$84,AM$2-$E$2,FALSE))*$D$9*$D$8*(HLOOKUP(AM$23,$G$18:$R$19,2,FALSE)*(1-$D$12)^($F41-'הנחות עבודה'!$C$5)/$D$11)/$D$11)</f>
        <v>0</v>
      </c>
      <c r="AN41" s="43">
        <f ca="1">IF(OR($F41&gt;$D$5,$F41&gt;MAX('הנחות עבודה'!$B$69:$B$89)),0,(VLOOKUP($F41,'התפלגות ייצור וסל דלקים'!$B$64:$BV$84,AN$2-$E$2,FALSE))*$D$9*$D$8*(HLOOKUP(AN$23,$G$18:$R$19,2,FALSE)*(1-$D$12)^($F41-'הנחות עבודה'!$C$5)/$D$11)/$D$11)</f>
        <v>0</v>
      </c>
      <c r="AO41" s="42">
        <f ca="1">IF(OR($F41&gt;$D$5,$F41&gt;MAX('הנחות עבודה'!$B$69:$B$89)),0,(VLOOKUP($F41,'התפלגות ייצור וסל דלקים'!$B$64:$BV$84,AO$2-$E$2,FALSE))*$D$9*$D$8*(HLOOKUP(AO$23,$G$18:$R$19,2,FALSE)*(1-$D$12)^($F41-'הנחות עבודה'!$C$5)/$D$11)/$D$11)</f>
        <v>0</v>
      </c>
      <c r="AP41" s="43">
        <f ca="1">IF(OR($F41&gt;$D$5,$F41&gt;MAX('הנחות עבודה'!$B$69:$B$89)),0,(VLOOKUP($F41,'התפלגות ייצור וסל דלקים'!$B$64:$BV$84,AP$2-$E$2,FALSE))*$D$9*$D$8*(HLOOKUP(AP$23,$G$18:$R$19,2,FALSE)*(1-$D$12)^($F41-'הנחות עבודה'!$C$5)/$D$11)/$D$11)</f>
        <v>0</v>
      </c>
      <c r="AQ41" s="52">
        <f ca="1">IF(OR($F41&gt;$D$5,$F41&gt;MAX('הנחות עבודה'!$B$69:$B$89)),0,(VLOOKUP($F41,'התפלגות ייצור וסל דלקים'!$B$64:$BV$84,AQ$2-$E$2,FALSE))*$D$9*$D$8*(HLOOKUP(AQ$23,$G$18:$R$19,2,FALSE)*(1-$D$12)^($F41-'הנחות עבודה'!$C$5)/$D$11)/$D$11)</f>
        <v>0</v>
      </c>
      <c r="AR41" s="127">
        <f ca="1">IF(OR($F41&gt;$D$5,$F41&gt;MAX('הנחות עבודה'!$B$69:$B$89)),0,(VLOOKUP($F41,'התפלגות ייצור וסל דלקים'!$B$64:$BV$84,AR$2-$E$2,FALSE))*$D$9*$D$8*(HLOOKUP(AR$23,$G$18:$R$19,2,FALSE)*(1-$D$12)^($F41-'הנחות עבודה'!$C$5)/$D$11)/$D$11)</f>
        <v>0</v>
      </c>
      <c r="AS41" s="127">
        <f ca="1">IF(OR($F41&gt;$D$5,$F41&gt;MAX('הנחות עבודה'!$B$69:$B$89)),0,(VLOOKUP($F41,'התפלגות ייצור וסל דלקים'!$B$64:$BV$84,AS$2-$E$2,FALSE))*$D$9*$D$8*(HLOOKUP(AS$23,$G$18:$R$19,2,FALSE)*(1-$D$12)^($F41-'הנחות עבודה'!$C$5)/$D$11)/$D$11)</f>
        <v>0</v>
      </c>
      <c r="AT41" s="127">
        <f ca="1">IF(OR($F41&gt;$D$5,$F41&gt;MAX('הנחות עבודה'!$B$69:$B$89)),0,(VLOOKUP($F41,'התפלגות ייצור וסל דלקים'!$B$64:$BV$84,AT$2-$E$2,FALSE))*$D$9*$D$8*(HLOOKUP(AT$23,$G$18:$R$19,2,FALSE)*(1-$D$12)^($F41-'הנחות עבודה'!$C$5)/$D$11)/$D$11)</f>
        <v>0</v>
      </c>
      <c r="AU41" s="127">
        <f ca="1">IF(OR($F41&gt;$D$5,$F41&gt;MAX('הנחות עבודה'!$B$69:$B$89)),0,(VLOOKUP($F41,'התפלגות ייצור וסל דלקים'!$B$64:$BV$84,AU$2-$E$2,FALSE))*$D$9*$D$8*(HLOOKUP(AU$23,$G$18:$R$19,2,FALSE)*(1-$D$12)^($F41-'הנחות עבודה'!$C$5)/$D$11)/$D$11)</f>
        <v>0</v>
      </c>
      <c r="AV41" s="127">
        <f ca="1">IF(OR($F41&gt;$D$5,$F41&gt;MAX('הנחות עבודה'!$B$69:$B$89)),0,(VLOOKUP($F41,'התפלגות ייצור וסל דלקים'!$B$64:$BV$84,AV$2-$E$2,FALSE))*$D$9*$D$8*(HLOOKUP(AV$23,$G$18:$R$19,2,FALSE)*(1-$D$12)^($F41-'הנחות עבודה'!$C$5)/$D$11)/$D$11)</f>
        <v>0</v>
      </c>
      <c r="AW41" s="52">
        <f ca="1">IF(OR($F41&gt;$D$5,$F41&gt;MAX('הנחות עבודה'!$B$69:$B$89)),0,(VLOOKUP($F41,'התפלגות ייצור וסל דלקים'!$B$64:$BV$84,AW$2-$E$2,FALSE))*$D$9*$D$8*(HLOOKUP(AW$23,$G$18:$R$19,2,FALSE)*(1-$D$12)^($F41-'הנחות עבודה'!$C$5)/$D$11)/$D$11)</f>
        <v>7.5660496199999994</v>
      </c>
      <c r="AX41" s="52">
        <f ca="1">IF(OR($F41&gt;$D$5,$F41&gt;MAX('הנחות עבודה'!$B$69:$B$89)),0,(VLOOKUP($F41,'התפלגות ייצור וסל דלקים'!$B$64:$BV$84,AX$2-$E$2,FALSE))*$D$9*$D$8*(HLOOKUP(AX$23,$G$18:$R$19,2,FALSE)*(1-$D$12)^($F41-'הנחות עבודה'!$C$5)/$D$11)/$D$11)</f>
        <v>29.461318918270258</v>
      </c>
      <c r="AY41" s="52">
        <f ca="1">IF(OR($F41&gt;$D$5,$F41&gt;MAX('הנחות עבודה'!$B$69:$B$89)),0,(VLOOKUP($F41,'התפלגות ייצור וסל דלקים'!$B$64:$BV$84,AY$2-$E$2,FALSE))*$D$9*$D$8*(HLOOKUP(AY$23,$G$18:$R$19,2,FALSE)*(1-$D$12)^($F41-'הנחות עבודה'!$C$5)/$D$11)/$D$11)</f>
        <v>0</v>
      </c>
      <c r="AZ41" s="52">
        <f ca="1">IF(OR($F41&gt;$D$5,$F41&gt;MAX('הנחות עבודה'!$B$69:$B$89)),0,(VLOOKUP($F41,'התפלגות ייצור וסל דלקים'!$B$64:$BV$84,AZ$2-$E$2,FALSE))*$D$9*$D$8*(HLOOKUP(AZ$23,$G$18:$R$19,2,FALSE)*(1-$D$12)^($F41-'הנחות עבודה'!$C$5)/$D$11)/$D$11)</f>
        <v>0</v>
      </c>
      <c r="BA41" s="52">
        <f ca="1">IF(OR($F41&gt;$D$5,$F41&gt;MAX('הנחות עבודה'!$B$69:$B$89)),0,(VLOOKUP($F41,'התפלגות ייצור וסל דלקים'!$B$64:$BV$84,BA$2-$E$2,FALSE))*$D$9*$D$8*(HLOOKUP(BA$23,$G$18:$R$19,2,FALSE)*(1-$D$12)^($F41-'הנחות עבודה'!$C$5)/$D$11)/$D$11)</f>
        <v>0</v>
      </c>
      <c r="BB41" s="52">
        <f ca="1">IF(OR($F41&gt;$D$5,$F41&gt;MAX('הנחות עבודה'!$B$69:$B$89)),0,(VLOOKUP($F41,'התפלגות ייצור וסל דלקים'!$B$64:$BV$84,BB$2-$E$2,FALSE))*$D$9*$D$8*(HLOOKUP(BB$23,$G$18:$R$19,2,FALSE)*(1-$D$12)^($F41-'הנחות עבודה'!$C$5)/$D$11)/$D$11)</f>
        <v>0</v>
      </c>
      <c r="BC41" s="42">
        <f ca="1">IF(OR($F41&gt;$D$5,$F41&gt;MAX('הנחות עבודה'!$B$69:$B$89)),0,(VLOOKUP($F41,'התפלגות ייצור וסל דלקים'!$B$64:$BV$84,BC$2-$E$2,FALSE))*$D$9*$D$8*(HLOOKUP(BC$23,$G$18:$R$19,2,FALSE)*(1-$D$12)^($F41-'הנחות עבודה'!$C$5)/$D$11)/$D$11)</f>
        <v>0</v>
      </c>
      <c r="BD41" s="44">
        <f ca="1">IF(OR($F41&gt;$D$5,$F41&gt;MAX('הנחות עבודה'!$B$69:$B$89)),0,(VLOOKUP($F41,'התפלגות ייצור וסל דלקים'!$B$64:$BV$84,BD$2-$E$2,FALSE))*$D$9*$D$8*(HLOOKUP(BD$23,$G$18:$R$19,2,FALSE)*(1-$D$12)^($F41-'הנחות עבודה'!$C$5)/$D$11)/$D$11)</f>
        <v>0</v>
      </c>
      <c r="BE41" s="44">
        <f ca="1">IF(OR($F41&gt;$D$5,$F41&gt;MAX('הנחות עבודה'!$B$69:$B$89)),0,(VLOOKUP($F41,'התפלגות ייצור וסל דלקים'!$B$64:$BV$84,BE$2-$E$2,FALSE))*$D$9*$D$8*(HLOOKUP(BE$23,$G$18:$R$19,2,FALSE)*(1-$D$12)^($F41-'הנחות עבודה'!$C$5)/$D$11)/$D$11)</f>
        <v>0</v>
      </c>
      <c r="BF41" s="44">
        <f ca="1">IF(OR($F41&gt;$D$5,$F41&gt;MAX('הנחות עבודה'!$B$69:$B$89)),0,(VLOOKUP($F41,'התפלגות ייצור וסל דלקים'!$B$64:$BV$84,BF$2-$E$2,FALSE))*$D$9*$D$8*(HLOOKUP(BF$23,$G$18:$R$19,2,FALSE)*(1-$D$12)^($F41-'הנחות עבודה'!$C$5)/$D$11)/$D$11)</f>
        <v>0</v>
      </c>
      <c r="BG41" s="44">
        <f ca="1">IF(OR($F41&gt;$D$5,$F41&gt;MAX('הנחות עבודה'!$B$69:$B$89)),0,(VLOOKUP($F41,'התפלגות ייצור וסל דלקים'!$B$64:$BV$84,BG$2-$E$2,FALSE))*$D$9*$D$8*(HLOOKUP(BG$23,$G$18:$R$19,2,FALSE)*(1-$D$12)^($F41-'הנחות עבודה'!$C$5)/$D$11)/$D$11)</f>
        <v>0</v>
      </c>
      <c r="BH41" s="44">
        <f ca="1">IF(OR($F41&gt;$D$5,$F41&gt;MAX('הנחות עבודה'!$B$69:$B$89)),0,(VLOOKUP($F41,'התפלגות ייצור וסל דלקים'!$B$64:$BV$84,BH$2-$E$2,FALSE))*$D$9*$D$8*(HLOOKUP(BH$23,$G$18:$R$19,2,FALSE)*(1-$D$12)^($F41-'הנחות עבודה'!$C$5)/$D$11)/$D$11)</f>
        <v>0</v>
      </c>
      <c r="BI41" s="42">
        <f ca="1">IF(OR($F41&gt;$D$5,$F41&gt;MAX('הנחות עבודה'!$B$69:$B$89)),0,(VLOOKUP($F41,'התפלגות ייצור וסל דלקים'!$B$64:$BV$84,BI$2-$E$2,FALSE))*$D$9*$D$8*(HLOOKUP(BI$23,$G$18:$R$19,2,FALSE)*(1-$D$12)^($F41-'הנחות עבודה'!$C$5)/$D$11)/$D$11)</f>
        <v>7.7181420000000012</v>
      </c>
      <c r="BJ41" s="42">
        <f ca="1">IF(OR($F41&gt;$D$5,$F41&gt;MAX('הנחות עבודה'!$B$69:$B$89)),0,(VLOOKUP($F41,'התפלגות ייצור וסל דלקים'!$B$64:$BV$84,BJ$2-$E$2,FALSE))*$D$9*$D$8*(HLOOKUP(BJ$23,$G$18:$R$19,2,FALSE)*(1-$D$12)^($F41-'הנחות עבודה'!$C$5)/$D$11)/$D$11)</f>
        <v>27.624904364754002</v>
      </c>
      <c r="BK41" s="42">
        <f ca="1">IF(OR($F41&gt;$D$5,$F41&gt;MAX('הנחות עבודה'!$B$69:$B$89)),0,(VLOOKUP($F41,'התפלגות ייצור וסל דלקים'!$B$64:$BV$84,BK$2-$E$2,FALSE))*$D$9*$D$8*(HLOOKUP(BK$23,$G$18:$R$19,2,FALSE)*(1-$D$12)^($F41-'הנחות עבודה'!$C$5)/$D$11)/$D$11)</f>
        <v>0</v>
      </c>
      <c r="BL41" s="42">
        <f ca="1">IF(OR($F41&gt;$D$5,$F41&gt;MAX('הנחות עבודה'!$B$69:$B$89)),0,(VLOOKUP($F41,'התפלגות ייצור וסל דלקים'!$B$64:$BV$84,BL$2-$E$2,FALSE))*$D$9*$D$8*(HLOOKUP(BL$23,$G$18:$R$19,2,FALSE)*(1-$D$12)^($F41-'הנחות עבודה'!$C$5)/$D$11)/$D$11)</f>
        <v>0</v>
      </c>
      <c r="BM41" s="42">
        <f ca="1">IF(OR($F41&gt;$D$5,$F41&gt;MAX('הנחות עבודה'!$B$69:$B$89)),0,(VLOOKUP($F41,'התפלגות ייצור וסל דלקים'!$B$64:$BV$84,BM$2-$E$2,FALSE))*$D$9*$D$8*(HLOOKUP(BM$23,$G$18:$R$19,2,FALSE)*(1-$D$12)^($F41-'הנחות עבודה'!$C$5)/$D$11)/$D$11)</f>
        <v>0</v>
      </c>
      <c r="BN41" s="42">
        <f ca="1">IF(OR($F41&gt;$D$5,$F41&gt;MAX('הנחות עבודה'!$B$69:$B$89)),0,(VLOOKUP($F41,'התפלגות ייצור וסל דלקים'!$B$64:$BV$84,BN$2-$E$2,FALSE))*$D$9*$D$8*(HLOOKUP(BN$23,$G$18:$R$19,2,FALSE)*(1-$D$12)^($F41-'הנחות עבודה'!$C$5)/$D$11)/$D$11)</f>
        <v>0</v>
      </c>
      <c r="BO41" s="52">
        <f ca="1">IF(OR($F41&gt;$D$5,$F41&gt;MAX('הנחות עבודה'!$B$69:$B$89)),0,(VLOOKUP($F41,'התפלגות ייצור וסל דלקים'!$B$64:$BV$84,BO$2-$E$2,FALSE))*$D$9*$D$8*(HLOOKUP(BO$23,$G$18:$R$19,2,FALSE)*(1-$D$12)^($F41-'הנחות עבודה'!$C$5)/$D$11)/$D$11)</f>
        <v>0</v>
      </c>
      <c r="BP41" s="127">
        <f ca="1">IF(OR($F41&gt;$D$5,$F41&gt;MAX('הנחות עבודה'!$B$69:$B$89)),0,(VLOOKUP($F41,'התפלגות ייצור וסל דלקים'!$B$64:$BV$84,BP$2-$E$2,FALSE))*$D$9*$D$8*(HLOOKUP(BP$23,$G$18:$R$19,2,FALSE)*(1-$D$12)^($F41-'הנחות עבודה'!$C$5)/$D$11)/$D$11)</f>
        <v>0</v>
      </c>
      <c r="BQ41" s="127">
        <f ca="1">IF(OR($F41&gt;$D$5,$F41&gt;MAX('הנחות עבודה'!$B$69:$B$89)),0,(VLOOKUP($F41,'התפלגות ייצור וסל דלקים'!$B$64:$BV$84,BQ$2-$E$2,FALSE))*$D$9*$D$8*(HLOOKUP(BQ$23,$G$18:$R$19,2,FALSE)*(1-$D$12)^($F41-'הנחות עבודה'!$C$5)/$D$11)/$D$11)</f>
        <v>0</v>
      </c>
      <c r="BR41" s="127">
        <f ca="1">IF(OR($F41&gt;$D$5,$F41&gt;MAX('הנחות עבודה'!$B$69:$B$89)),0,(VLOOKUP($F41,'התפלגות ייצור וסל דלקים'!$B$64:$BV$84,BR$2-$E$2,FALSE))*$D$9*$D$8*(HLOOKUP(BR$23,$G$18:$R$19,2,FALSE)*(1-$D$12)^($F41-'הנחות עבודה'!$C$5)/$D$11)/$D$11)</f>
        <v>0</v>
      </c>
      <c r="BS41" s="127">
        <f ca="1">IF(OR($F41&gt;$D$5,$F41&gt;MAX('הנחות עבודה'!$B$69:$B$89)),0,(VLOOKUP($F41,'התפלגות ייצור וסל דלקים'!$B$64:$BV$84,BS$2-$E$2,FALSE))*$D$9*$D$8*(HLOOKUP(BS$23,$G$18:$R$19,2,FALSE)*(1-$D$12)^($F41-'הנחות עבודה'!$C$5)/$D$11)/$D$11)</f>
        <v>0</v>
      </c>
      <c r="BT41" s="127">
        <f ca="1">IF(OR($F41&gt;$D$5,$F41&gt;MAX('הנחות עבודה'!$B$69:$B$89)),0,(VLOOKUP($F41,'התפלגות ייצור וסל דלקים'!$B$64:$BV$84,BT$2-$E$2,FALSE))*$D$9*$D$8*(HLOOKUP(BT$23,$G$18:$R$19,2,FALSE)*(1-$D$12)^($F41-'הנחות עבודה'!$C$5)/$D$11)/$D$11)</f>
        <v>0</v>
      </c>
      <c r="BU41" s="52">
        <f ca="1">IF(OR($F41&gt;$D$5,$F41&gt;MAX('הנחות עבודה'!$B$69:$B$89)),0,(VLOOKUP($F41,'התפלגות ייצור וסל דלקים'!$B$64:$BV$84,BU$2-$E$2,FALSE))*$D$9*$D$8*(HLOOKUP(BU$23,$G$18:$R$19,2,FALSE)*(1-$D$12)^($F41-'הנחות עבודה'!$C$5)/$D$11)/$D$11)</f>
        <v>7.7181420000000012</v>
      </c>
      <c r="BV41" s="52">
        <f ca="1">IF(OR($F41&gt;$D$5,$F41&gt;MAX('הנחות עבודה'!$B$69:$B$89)),0,(VLOOKUP($F41,'התפלגות ייצור וסל דלקים'!$B$64:$BV$84,BV$2-$E$2,FALSE))*$D$9*$D$8*(HLOOKUP(BV$23,$G$18:$R$19,2,FALSE)*(1-$D$12)^($F41-'הנחות עבודה'!$C$5)/$D$11)/$D$11)</f>
        <v>27.624904364754002</v>
      </c>
      <c r="BW41" s="52">
        <f ca="1">IF(OR($F41&gt;$D$5,$F41&gt;MAX('הנחות עבודה'!$B$69:$B$89)),0,(VLOOKUP($F41,'התפלגות ייצור וסל דלקים'!$B$64:$BV$84,BW$2-$E$2,FALSE))*$D$9*$D$8*(HLOOKUP(BW$23,$G$18:$R$19,2,FALSE)*(1-$D$12)^($F41-'הנחות עבודה'!$C$5)/$D$11)/$D$11)</f>
        <v>0</v>
      </c>
      <c r="BX41" s="52">
        <f ca="1">IF(OR($F41&gt;$D$5,$F41&gt;MAX('הנחות עבודה'!$B$69:$B$89)),0,(VLOOKUP($F41,'התפלגות ייצור וסל דלקים'!$B$64:$BV$84,BX$2-$E$2,FALSE))*$D$9*$D$8*(HLOOKUP(BX$23,$G$18:$R$19,2,FALSE)*(1-$D$12)^($F41-'הנחות עבודה'!$C$5)/$D$11)/$D$11)</f>
        <v>0</v>
      </c>
      <c r="BY41" s="52">
        <f ca="1">IF(OR($F41&gt;$D$5,$F41&gt;MAX('הנחות עבודה'!$B$69:$B$89)),0,(VLOOKUP($F41,'התפלגות ייצור וסל דלקים'!$B$64:$BV$84,BY$2-$E$2,FALSE))*$D$9*$D$8*(HLOOKUP(BY$23,$G$18:$R$19,2,FALSE)*(1-$D$12)^($F41-'הנחות עבודה'!$C$5)/$D$11)/$D$11)</f>
        <v>0</v>
      </c>
      <c r="BZ41" s="52">
        <f ca="1">IF(OR($F41&gt;$D$5,$F41&gt;MAX('הנחות עבודה'!$B$69:$B$89)),0,(VLOOKUP($F41,'התפלגות ייצור וסל דלקים'!$B$64:$BV$84,BZ$2-$E$2,FALSE))*$D$9*$D$8*(HLOOKUP(BZ$23,$G$18:$R$19,2,FALSE)*(1-$D$12)^($F41-'הנחות עבודה'!$C$5)/$D$11)/$D$11)</f>
        <v>0</v>
      </c>
    </row>
    <row r="42" spans="6:78" ht="15.75">
      <c r="F42" s="10">
        <f t="shared" si="115"/>
        <v>2038</v>
      </c>
      <c r="G42" s="42">
        <f ca="1">IF(OR($F42&gt;$D$5,$F42&gt;MAX('הנחות עבודה'!$B$69:$B$89)),0,(VLOOKUP($F42,'התפלגות ייצור וסל דלקים'!$B$64:$BV$84,G$2-$E$2,FALSE))*$D$9*$D$8*(HLOOKUP(G$23,$G$18:$R$19,2,FALSE)*(1-$D$12)^($F42-'הנחות עבודה'!$C$5)/$D$11)/$D$11)</f>
        <v>0</v>
      </c>
      <c r="H42" s="44">
        <f ca="1">IF(OR($F42&gt;$D$5,$F42&gt;MAX('הנחות עבודה'!$B$69:$B$89)),0,(VLOOKUP($F42,'התפלגות ייצור וסל דלקים'!$B$64:$BV$84,H$2-$E$2,FALSE))*$D$9*$D$8*(HLOOKUP(H$23,$G$18:$R$19,2,FALSE)*(1-$D$12)^($F42-'הנחות עבודה'!$C$5)/$D$11)/$D$11)</f>
        <v>0</v>
      </c>
      <c r="I42" s="44">
        <f ca="1">IF(OR($F42&gt;$D$5,$F42&gt;MAX('הנחות עבודה'!$B$69:$B$89)),0,(VLOOKUP($F42,'התפלגות ייצור וסל דלקים'!$B$64:$BV$84,I$2-$E$2,FALSE))*$D$9*$D$8*(HLOOKUP(I$23,$G$18:$R$19,2,FALSE)*(1-$D$12)^($F42-'הנחות עבודה'!$C$5)/$D$11)/$D$11)</f>
        <v>0</v>
      </c>
      <c r="J42" s="44">
        <f ca="1">IF(OR($F42&gt;$D$5,$F42&gt;MAX('הנחות עבודה'!$B$69:$B$89)),0,(VLOOKUP($F42,'התפלגות ייצור וסל דלקים'!$B$64:$BV$84,J$2-$E$2,FALSE))*$D$9*$D$8*(HLOOKUP(J$23,$G$18:$R$19,2,FALSE)*(1-$D$12)^($F42-'הנחות עבודה'!$C$5)/$D$11)/$D$11)</f>
        <v>0</v>
      </c>
      <c r="K42" s="44">
        <f ca="1">IF(OR($F42&gt;$D$5,$F42&gt;MAX('הנחות עבודה'!$B$69:$B$89)),0,(VLOOKUP($F42,'התפלגות ייצור וסל דלקים'!$B$64:$BV$84,K$2-$E$2,FALSE))*$D$9*$D$8*(HLOOKUP(K$23,$G$18:$R$19,2,FALSE)*(1-$D$12)^($F42-'הנחות עבודה'!$C$5)/$D$11)/$D$11)</f>
        <v>0</v>
      </c>
      <c r="L42" s="44">
        <f ca="1">IF(OR($F42&gt;$D$5,$F42&gt;MAX('הנחות עבודה'!$B$69:$B$89)),0,(VLOOKUP($F42,'התפלגות ייצור וסל דלקים'!$B$64:$BV$84,L$2-$E$2,FALSE))*$D$9*$D$8*(HLOOKUP(L$23,$G$18:$R$19,2,FALSE)*(1-$D$12)^($F42-'הנחות עבודה'!$C$5)/$D$11)/$D$11)</f>
        <v>0</v>
      </c>
      <c r="M42" s="42">
        <f ca="1">IF(OR($F42&gt;$D$5,$F42&gt;MAX('הנחות עבודה'!$B$69:$B$89)),0,(VLOOKUP($F42,'התפלגות ייצור וסל דלקים'!$B$64:$BV$84,M$2-$E$2,FALSE))*$D$9*$D$8*(HLOOKUP(M$23,$G$18:$R$19,2,FALSE)*(1-$D$12)^($F42-'הנחות עבודה'!$C$5)/$D$11)/$D$11)</f>
        <v>7.3252718400000001</v>
      </c>
      <c r="N42" s="42">
        <f ca="1">IF(OR($F42&gt;$D$5,$F42&gt;MAX('הנחות עבודה'!$B$69:$B$89)),0,(VLOOKUP($F42,'התפלגות ייצור וסל דלקים'!$B$64:$BV$84,N$2-$E$2,FALSE))*$D$9*$D$8*(HLOOKUP(N$23,$G$18:$R$19,2,FALSE)*(1-$D$12)^($F42-'הנחות עבודה'!$C$5)/$D$11)/$D$11)</f>
        <v>33.756512474235862</v>
      </c>
      <c r="O42" s="42">
        <f ca="1">IF(OR($F42&gt;$D$5,$F42&gt;MAX('הנחות עבודה'!$B$69:$B$89)),0,(VLOOKUP($F42,'התפלגות ייצור וסל דלקים'!$B$64:$BV$84,O$2-$E$2,FALSE))*$D$9*$D$8*(HLOOKUP(O$23,$G$18:$R$19,2,FALSE)*(1-$D$12)^($F42-'הנחות עבודה'!$C$5)/$D$11)/$D$11)</f>
        <v>0</v>
      </c>
      <c r="P42" s="43">
        <f ca="1">IF(OR($F42&gt;$D$5,$F42&gt;MAX('הנחות עבודה'!$B$69:$B$89)),0,(VLOOKUP($F42,'התפלגות ייצור וסל דלקים'!$B$64:$BV$84,P$2-$E$2,FALSE))*$D$9*$D$8*(HLOOKUP(P$23,$G$18:$R$19,2,FALSE)*(1-$D$12)^($F42-'הנחות עבודה'!$C$5)/$D$11)/$D$11)</f>
        <v>0</v>
      </c>
      <c r="Q42" s="42">
        <f ca="1">IF(OR($F42&gt;$D$5,$F42&gt;MAX('הנחות עבודה'!$B$69:$B$89)),0,(VLOOKUP($F42,'התפלגות ייצור וסל דלקים'!$B$64:$BV$84,Q$2-$E$2,FALSE))*$D$9*$D$8*(HLOOKUP(Q$23,$G$18:$R$19,2,FALSE)*(1-$D$12)^($F42-'הנחות עבודה'!$C$5)/$D$11)/$D$11)</f>
        <v>0</v>
      </c>
      <c r="R42" s="43">
        <f ca="1">IF(OR($F42&gt;$D$5,$F42&gt;MAX('הנחות עבודה'!$B$69:$B$89)),0,(VLOOKUP($F42,'התפלגות ייצור וסל דלקים'!$B$64:$BV$84,R$2-$E$2,FALSE))*$D$9*$D$8*(HLOOKUP(R$23,$G$18:$R$19,2,FALSE)*(1-$D$12)^($F42-'הנחות עבודה'!$C$5)/$D$11)/$D$11)</f>
        <v>0</v>
      </c>
      <c r="S42" s="52">
        <f ca="1">IF(OR($F42&gt;$D$5,$F42&gt;MAX('הנחות עבודה'!$B$69:$B$89)),0,(VLOOKUP($F42,'התפלגות ייצור וסל דלקים'!$B$64:$BV$84,S$2-$E$2,FALSE))*$D$9*$D$8*(HLOOKUP(S$23,$G$18:$R$19,2,FALSE)*(1-$D$12)^($F42-'הנחות עבודה'!$C$5)/$D$11)/$D$11)</f>
        <v>0</v>
      </c>
      <c r="T42" s="127">
        <f ca="1">IF(OR($F42&gt;$D$5,$F42&gt;MAX('הנחות עבודה'!$B$69:$B$89)),0,(VLOOKUP($F42,'התפלגות ייצור וסל דלקים'!$B$64:$BV$84,T$2-$E$2,FALSE))*$D$9*$D$8*(HLOOKUP(T$23,$G$18:$R$19,2,FALSE)*(1-$D$12)^($F42-'הנחות עבודה'!$C$5)/$D$11)/$D$11)</f>
        <v>0</v>
      </c>
      <c r="U42" s="127">
        <f ca="1">IF(OR($F42&gt;$D$5,$F42&gt;MAX('הנחות עבודה'!$B$69:$B$89)),0,(VLOOKUP($F42,'התפלגות ייצור וסל דלקים'!$B$64:$BV$84,U$2-$E$2,FALSE))*$D$9*$D$8*(HLOOKUP(U$23,$G$18:$R$19,2,FALSE)*(1-$D$12)^($F42-'הנחות עבודה'!$C$5)/$D$11)/$D$11)</f>
        <v>0</v>
      </c>
      <c r="V42" s="127">
        <f ca="1">IF(OR($F42&gt;$D$5,$F42&gt;MAX('הנחות עבודה'!$B$69:$B$89)),0,(VLOOKUP($F42,'התפלגות ייצור וסל דלקים'!$B$64:$BV$84,V$2-$E$2,FALSE))*$D$9*$D$8*(HLOOKUP(V$23,$G$18:$R$19,2,FALSE)*(1-$D$12)^($F42-'הנחות עבודה'!$C$5)/$D$11)/$D$11)</f>
        <v>0</v>
      </c>
      <c r="W42" s="127">
        <f ca="1">IF(OR($F42&gt;$D$5,$F42&gt;MAX('הנחות עבודה'!$B$69:$B$89)),0,(VLOOKUP($F42,'התפלגות ייצור וסל דלקים'!$B$64:$BV$84,W$2-$E$2,FALSE))*$D$9*$D$8*(HLOOKUP(W$23,$G$18:$R$19,2,FALSE)*(1-$D$12)^($F42-'הנחות עבודה'!$C$5)/$D$11)/$D$11)</f>
        <v>0</v>
      </c>
      <c r="X42" s="127">
        <f ca="1">IF(OR($F42&gt;$D$5,$F42&gt;MAX('הנחות עבודה'!$B$69:$B$89)),0,(VLOOKUP($F42,'התפלגות ייצור וסל דלקים'!$B$64:$BV$84,X$2-$E$2,FALSE))*$D$9*$D$8*(HLOOKUP(X$23,$G$18:$R$19,2,FALSE)*(1-$D$12)^($F42-'הנחות עבודה'!$C$5)/$D$11)/$D$11)</f>
        <v>0</v>
      </c>
      <c r="Y42" s="52">
        <f ca="1">IF(OR($F42&gt;$D$5,$F42&gt;MAX('הנחות עבודה'!$B$69:$B$89)),0,(VLOOKUP($F42,'התפלגות ייצור וסל דלקים'!$B$64:$BV$84,Y$2-$E$2,FALSE))*$D$9*$D$8*(HLOOKUP(Y$23,$G$18:$R$19,2,FALSE)*(1-$D$12)^($F42-'הנחות עבודה'!$C$5)/$D$11)/$D$11)</f>
        <v>7.3252718400000001</v>
      </c>
      <c r="Z42" s="52">
        <f ca="1">IF(OR($F42&gt;$D$5,$F42&gt;MAX('הנחות עבודה'!$B$69:$B$89)),0,(VLOOKUP($F42,'התפלגות ייצור וסל דלקים'!$B$64:$BV$84,Z$2-$E$2,FALSE))*$D$9*$D$8*(HLOOKUP(Z$23,$G$18:$R$19,2,FALSE)*(1-$D$12)^($F42-'הנחות עבודה'!$C$5)/$D$11)/$D$11)</f>
        <v>33.756512474235862</v>
      </c>
      <c r="AA42" s="52">
        <f ca="1">IF(OR($F42&gt;$D$5,$F42&gt;MAX('הנחות עבודה'!$B$69:$B$89)),0,(VLOOKUP($F42,'התפלגות ייצור וסל דלקים'!$B$64:$BV$84,AA$2-$E$2,FALSE))*$D$9*$D$8*(HLOOKUP(AA$23,$G$18:$R$19,2,FALSE)*(1-$D$12)^($F42-'הנחות עבודה'!$C$5)/$D$11)/$D$11)</f>
        <v>0</v>
      </c>
      <c r="AB42" s="52">
        <f ca="1">IF(OR($F42&gt;$D$5,$F42&gt;MAX('הנחות עבודה'!$B$69:$B$89)),0,(VLOOKUP($F42,'התפלגות ייצור וסל דלקים'!$B$64:$BV$84,AB$2-$E$2,FALSE))*$D$9*$D$8*(HLOOKUP(AB$23,$G$18:$R$19,2,FALSE)*(1-$D$12)^($F42-'הנחות עבודה'!$C$5)/$D$11)/$D$11)</f>
        <v>0</v>
      </c>
      <c r="AC42" s="52">
        <f ca="1">IF(OR($F42&gt;$D$5,$F42&gt;MAX('הנחות עבודה'!$B$69:$B$89)),0,(VLOOKUP($F42,'התפלגות ייצור וסל דלקים'!$B$64:$BV$84,AC$2-$E$2,FALSE))*$D$9*$D$8*(HLOOKUP(AC$23,$G$18:$R$19,2,FALSE)*(1-$D$12)^($F42-'הנחות עבודה'!$C$5)/$D$11)/$D$11)</f>
        <v>0</v>
      </c>
      <c r="AD42" s="52">
        <f ca="1">IF(OR($F42&gt;$D$5,$F42&gt;MAX('הנחות עבודה'!$B$69:$B$89)),0,(VLOOKUP($F42,'התפלגות ייצור וסל דלקים'!$B$64:$BV$84,AD$2-$E$2,FALSE))*$D$9*$D$8*(HLOOKUP(AD$23,$G$18:$R$19,2,FALSE)*(1-$D$12)^($F42-'הנחות עבודה'!$C$5)/$D$11)/$D$11)</f>
        <v>0</v>
      </c>
      <c r="AE42" s="42">
        <f ca="1">IF(OR($F42&gt;$D$5,$F42&gt;MAX('הנחות עבודה'!$B$69:$B$89)),0,(VLOOKUP($F42,'התפלגות ייצור וסל דלקים'!$B$64:$BV$84,AE$2-$E$2,FALSE))*$D$9*$D$8*(HLOOKUP(AE$23,$G$18:$R$19,2,FALSE)*(1-$D$12)^($F42-'הנחות עבודה'!$C$5)/$D$11)/$D$11)</f>
        <v>0</v>
      </c>
      <c r="AF42" s="44">
        <f ca="1">IF(OR($F42&gt;$D$5,$F42&gt;MAX('הנחות עבודה'!$B$69:$B$89)),0,(VLOOKUP($F42,'התפלגות ייצור וסל דלקים'!$B$64:$BV$84,AF$2-$E$2,FALSE))*$D$9*$D$8*(HLOOKUP(AF$23,$G$18:$R$19,2,FALSE)*(1-$D$12)^($F42-'הנחות עבודה'!$C$5)/$D$11)/$D$11)</f>
        <v>0</v>
      </c>
      <c r="AG42" s="44">
        <f ca="1">IF(OR($F42&gt;$D$5,$F42&gt;MAX('הנחות עבודה'!$B$69:$B$89)),0,(VLOOKUP($F42,'התפלגות ייצור וסל דלקים'!$B$64:$BV$84,AG$2-$E$2,FALSE))*$D$9*$D$8*(HLOOKUP(AG$23,$G$18:$R$19,2,FALSE)*(1-$D$12)^($F42-'הנחות עבודה'!$C$5)/$D$11)/$D$11)</f>
        <v>0</v>
      </c>
      <c r="AH42" s="44">
        <f ca="1">IF(OR($F42&gt;$D$5,$F42&gt;MAX('הנחות עבודה'!$B$69:$B$89)),0,(VLOOKUP($F42,'התפלגות ייצור וסל דלקים'!$B$64:$BV$84,AH$2-$E$2,FALSE))*$D$9*$D$8*(HLOOKUP(AH$23,$G$18:$R$19,2,FALSE)*(1-$D$12)^($F42-'הנחות עבודה'!$C$5)/$D$11)/$D$11)</f>
        <v>0</v>
      </c>
      <c r="AI42" s="44">
        <f ca="1">IF(OR($F42&gt;$D$5,$F42&gt;MAX('הנחות עבודה'!$B$69:$B$89)),0,(VLOOKUP($F42,'התפלגות ייצור וסל דלקים'!$B$64:$BV$84,AI$2-$E$2,FALSE))*$D$9*$D$8*(HLOOKUP(AI$23,$G$18:$R$19,2,FALSE)*(1-$D$12)^($F42-'הנחות עבודה'!$C$5)/$D$11)/$D$11)</f>
        <v>0</v>
      </c>
      <c r="AJ42" s="44">
        <f ca="1">IF(OR($F42&gt;$D$5,$F42&gt;MAX('הנחות עבודה'!$B$69:$B$89)),0,(VLOOKUP($F42,'התפלגות ייצור וסל דלקים'!$B$64:$BV$84,AJ$2-$E$2,FALSE))*$D$9*$D$8*(HLOOKUP(AJ$23,$G$18:$R$19,2,FALSE)*(1-$D$12)^($F42-'הנחות עבודה'!$C$5)/$D$11)/$D$11)</f>
        <v>0</v>
      </c>
      <c r="AK42" s="42">
        <f ca="1">IF(OR($F42&gt;$D$5,$F42&gt;MAX('הנחות עבודה'!$B$69:$B$89)),0,(VLOOKUP($F42,'התפלגות ייצור וסל דלקים'!$B$64:$BV$84,AK$2-$E$2,FALSE))*$D$9*$D$8*(HLOOKUP(AK$23,$G$18:$R$19,2,FALSE)*(1-$D$12)^($F42-'הנחות עבודה'!$C$5)/$D$11)/$D$11)</f>
        <v>7.6588920000000007</v>
      </c>
      <c r="AL42" s="42">
        <f ca="1">IF(OR($F42&gt;$D$5,$F42&gt;MAX('הנחות עבודה'!$B$69:$B$89)),0,(VLOOKUP($F42,'התפלגות ייצור וסל דלקים'!$B$64:$BV$84,AL$2-$E$2,FALSE))*$D$9*$D$8*(HLOOKUP(AL$23,$G$18:$R$19,2,FALSE)*(1-$D$12)^($F42-'הנחות עבודה'!$C$5)/$D$11)/$D$11)</f>
        <v>30.759301160675619</v>
      </c>
      <c r="AM42" s="42">
        <f ca="1">IF(OR($F42&gt;$D$5,$F42&gt;MAX('הנחות עבודה'!$B$69:$B$89)),0,(VLOOKUP($F42,'התפלגות ייצור וסל דלקים'!$B$64:$BV$84,AM$2-$E$2,FALSE))*$D$9*$D$8*(HLOOKUP(AM$23,$G$18:$R$19,2,FALSE)*(1-$D$12)^($F42-'הנחות עבודה'!$C$5)/$D$11)/$D$11)</f>
        <v>0</v>
      </c>
      <c r="AN42" s="43">
        <f ca="1">IF(OR($F42&gt;$D$5,$F42&gt;MAX('הנחות עבודה'!$B$69:$B$89)),0,(VLOOKUP($F42,'התפלגות ייצור וסל דלקים'!$B$64:$BV$84,AN$2-$E$2,FALSE))*$D$9*$D$8*(HLOOKUP(AN$23,$G$18:$R$19,2,FALSE)*(1-$D$12)^($F42-'הנחות עבודה'!$C$5)/$D$11)/$D$11)</f>
        <v>0</v>
      </c>
      <c r="AO42" s="42">
        <f ca="1">IF(OR($F42&gt;$D$5,$F42&gt;MAX('הנחות עבודה'!$B$69:$B$89)),0,(VLOOKUP($F42,'התפלגות ייצור וסל דלקים'!$B$64:$BV$84,AO$2-$E$2,FALSE))*$D$9*$D$8*(HLOOKUP(AO$23,$G$18:$R$19,2,FALSE)*(1-$D$12)^($F42-'הנחות עבודה'!$C$5)/$D$11)/$D$11)</f>
        <v>0</v>
      </c>
      <c r="AP42" s="43">
        <f ca="1">IF(OR($F42&gt;$D$5,$F42&gt;MAX('הנחות עבודה'!$B$69:$B$89)),0,(VLOOKUP($F42,'התפלגות ייצור וסל דלקים'!$B$64:$BV$84,AP$2-$E$2,FALSE))*$D$9*$D$8*(HLOOKUP(AP$23,$G$18:$R$19,2,FALSE)*(1-$D$12)^($F42-'הנחות עבודה'!$C$5)/$D$11)/$D$11)</f>
        <v>0</v>
      </c>
      <c r="AQ42" s="52">
        <f ca="1">IF(OR($F42&gt;$D$5,$F42&gt;MAX('הנחות עבודה'!$B$69:$B$89)),0,(VLOOKUP($F42,'התפלגות ייצור וסל דלקים'!$B$64:$BV$84,AQ$2-$E$2,FALSE))*$D$9*$D$8*(HLOOKUP(AQ$23,$G$18:$R$19,2,FALSE)*(1-$D$12)^($F42-'הנחות עבודה'!$C$5)/$D$11)/$D$11)</f>
        <v>0</v>
      </c>
      <c r="AR42" s="127">
        <f ca="1">IF(OR($F42&gt;$D$5,$F42&gt;MAX('הנחות עבודה'!$B$69:$B$89)),0,(VLOOKUP($F42,'התפלגות ייצור וסל דלקים'!$B$64:$BV$84,AR$2-$E$2,FALSE))*$D$9*$D$8*(HLOOKUP(AR$23,$G$18:$R$19,2,FALSE)*(1-$D$12)^($F42-'הנחות עבודה'!$C$5)/$D$11)/$D$11)</f>
        <v>0</v>
      </c>
      <c r="AS42" s="127">
        <f ca="1">IF(OR($F42&gt;$D$5,$F42&gt;MAX('הנחות עבודה'!$B$69:$B$89)),0,(VLOOKUP($F42,'התפלגות ייצור וסל דלקים'!$B$64:$BV$84,AS$2-$E$2,FALSE))*$D$9*$D$8*(HLOOKUP(AS$23,$G$18:$R$19,2,FALSE)*(1-$D$12)^($F42-'הנחות עבודה'!$C$5)/$D$11)/$D$11)</f>
        <v>0</v>
      </c>
      <c r="AT42" s="127">
        <f ca="1">IF(OR($F42&gt;$D$5,$F42&gt;MAX('הנחות עבודה'!$B$69:$B$89)),0,(VLOOKUP($F42,'התפלגות ייצור וסל דלקים'!$B$64:$BV$84,AT$2-$E$2,FALSE))*$D$9*$D$8*(HLOOKUP(AT$23,$G$18:$R$19,2,FALSE)*(1-$D$12)^($F42-'הנחות עבודה'!$C$5)/$D$11)/$D$11)</f>
        <v>0</v>
      </c>
      <c r="AU42" s="127">
        <f ca="1">IF(OR($F42&gt;$D$5,$F42&gt;MAX('הנחות עבודה'!$B$69:$B$89)),0,(VLOOKUP($F42,'התפלגות ייצור וסל דלקים'!$B$64:$BV$84,AU$2-$E$2,FALSE))*$D$9*$D$8*(HLOOKUP(AU$23,$G$18:$R$19,2,FALSE)*(1-$D$12)^($F42-'הנחות עבודה'!$C$5)/$D$11)/$D$11)</f>
        <v>0</v>
      </c>
      <c r="AV42" s="127">
        <f ca="1">IF(OR($F42&gt;$D$5,$F42&gt;MAX('הנחות עבודה'!$B$69:$B$89)),0,(VLOOKUP($F42,'התפלגות ייצור וסל דלקים'!$B$64:$BV$84,AV$2-$E$2,FALSE))*$D$9*$D$8*(HLOOKUP(AV$23,$G$18:$R$19,2,FALSE)*(1-$D$12)^($F42-'הנחות עבודה'!$C$5)/$D$11)/$D$11)</f>
        <v>0</v>
      </c>
      <c r="AW42" s="52">
        <f ca="1">IF(OR($F42&gt;$D$5,$F42&gt;MAX('הנחות עבודה'!$B$69:$B$89)),0,(VLOOKUP($F42,'התפלגות ייצור וסל דלקים'!$B$64:$BV$84,AW$2-$E$2,FALSE))*$D$9*$D$8*(HLOOKUP(AW$23,$G$18:$R$19,2,FALSE)*(1-$D$12)^($F42-'הנחות עבודה'!$C$5)/$D$11)/$D$11)</f>
        <v>7.6588920000000007</v>
      </c>
      <c r="AX42" s="52">
        <f ca="1">IF(OR($F42&gt;$D$5,$F42&gt;MAX('הנחות עבודה'!$B$69:$B$89)),0,(VLOOKUP($F42,'התפלגות ייצור וסל דלקים'!$B$64:$BV$84,AX$2-$E$2,FALSE))*$D$9*$D$8*(HLOOKUP(AX$23,$G$18:$R$19,2,FALSE)*(1-$D$12)^($F42-'הנחות עבודה'!$C$5)/$D$11)/$D$11)</f>
        <v>30.759301160675619</v>
      </c>
      <c r="AY42" s="52">
        <f ca="1">IF(OR($F42&gt;$D$5,$F42&gt;MAX('הנחות עבודה'!$B$69:$B$89)),0,(VLOOKUP($F42,'התפלגות ייצור וסל דלקים'!$B$64:$BV$84,AY$2-$E$2,FALSE))*$D$9*$D$8*(HLOOKUP(AY$23,$G$18:$R$19,2,FALSE)*(1-$D$12)^($F42-'הנחות עבודה'!$C$5)/$D$11)/$D$11)</f>
        <v>0</v>
      </c>
      <c r="AZ42" s="52">
        <f ca="1">IF(OR($F42&gt;$D$5,$F42&gt;MAX('הנחות עבודה'!$B$69:$B$89)),0,(VLOOKUP($F42,'התפלגות ייצור וסל דלקים'!$B$64:$BV$84,AZ$2-$E$2,FALSE))*$D$9*$D$8*(HLOOKUP(AZ$23,$G$18:$R$19,2,FALSE)*(1-$D$12)^($F42-'הנחות עבודה'!$C$5)/$D$11)/$D$11)</f>
        <v>0</v>
      </c>
      <c r="BA42" s="52">
        <f ca="1">IF(OR($F42&gt;$D$5,$F42&gt;MAX('הנחות עבודה'!$B$69:$B$89)),0,(VLOOKUP($F42,'התפלגות ייצור וסל דלקים'!$B$64:$BV$84,BA$2-$E$2,FALSE))*$D$9*$D$8*(HLOOKUP(BA$23,$G$18:$R$19,2,FALSE)*(1-$D$12)^($F42-'הנחות עבודה'!$C$5)/$D$11)/$D$11)</f>
        <v>0</v>
      </c>
      <c r="BB42" s="52">
        <f ca="1">IF(OR($F42&gt;$D$5,$F42&gt;MAX('הנחות עבודה'!$B$69:$B$89)),0,(VLOOKUP($F42,'התפלגות ייצור וסל דלקים'!$B$64:$BV$84,BB$2-$E$2,FALSE))*$D$9*$D$8*(HLOOKUP(BB$23,$G$18:$R$19,2,FALSE)*(1-$D$12)^($F42-'הנחות עבודה'!$C$5)/$D$11)/$D$11)</f>
        <v>0</v>
      </c>
      <c r="BC42" s="42">
        <f ca="1">IF(OR($F42&gt;$D$5,$F42&gt;MAX('הנחות עבודה'!$B$69:$B$89)),0,(VLOOKUP($F42,'התפלגות ייצור וסל דלקים'!$B$64:$BV$84,BC$2-$E$2,FALSE))*$D$9*$D$8*(HLOOKUP(BC$23,$G$18:$R$19,2,FALSE)*(1-$D$12)^($F42-'הנחות עבודה'!$C$5)/$D$11)/$D$11)</f>
        <v>0</v>
      </c>
      <c r="BD42" s="44">
        <f ca="1">IF(OR($F42&gt;$D$5,$F42&gt;MAX('הנחות עבודה'!$B$69:$B$89)),0,(VLOOKUP($F42,'התפלגות ייצור וסל דלקים'!$B$64:$BV$84,BD$2-$E$2,FALSE))*$D$9*$D$8*(HLOOKUP(BD$23,$G$18:$R$19,2,FALSE)*(1-$D$12)^($F42-'הנחות עבודה'!$C$5)/$D$11)/$D$11)</f>
        <v>0</v>
      </c>
      <c r="BE42" s="44">
        <f ca="1">IF(OR($F42&gt;$D$5,$F42&gt;MAX('הנחות עבודה'!$B$69:$B$89)),0,(VLOOKUP($F42,'התפלגות ייצור וסל דלקים'!$B$64:$BV$84,BE$2-$E$2,FALSE))*$D$9*$D$8*(HLOOKUP(BE$23,$G$18:$R$19,2,FALSE)*(1-$D$12)^($F42-'הנחות עבודה'!$C$5)/$D$11)/$D$11)</f>
        <v>0</v>
      </c>
      <c r="BF42" s="44">
        <f ca="1">IF(OR($F42&gt;$D$5,$F42&gt;MAX('הנחות עבודה'!$B$69:$B$89)),0,(VLOOKUP($F42,'התפלגות ייצור וסל דלקים'!$B$64:$BV$84,BF$2-$E$2,FALSE))*$D$9*$D$8*(HLOOKUP(BF$23,$G$18:$R$19,2,FALSE)*(1-$D$12)^($F42-'הנחות עבודה'!$C$5)/$D$11)/$D$11)</f>
        <v>0</v>
      </c>
      <c r="BG42" s="44">
        <f ca="1">IF(OR($F42&gt;$D$5,$F42&gt;MAX('הנחות עבודה'!$B$69:$B$89)),0,(VLOOKUP($F42,'התפלגות ייצור וסל דלקים'!$B$64:$BV$84,BG$2-$E$2,FALSE))*$D$9*$D$8*(HLOOKUP(BG$23,$G$18:$R$19,2,FALSE)*(1-$D$12)^($F42-'הנחות עבודה'!$C$5)/$D$11)/$D$11)</f>
        <v>0</v>
      </c>
      <c r="BH42" s="44">
        <f ca="1">IF(OR($F42&gt;$D$5,$F42&gt;MAX('הנחות עבודה'!$B$69:$B$89)),0,(VLOOKUP($F42,'התפלגות ייצור וסל דלקים'!$B$64:$BV$84,BH$2-$E$2,FALSE))*$D$9*$D$8*(HLOOKUP(BH$23,$G$18:$R$19,2,FALSE)*(1-$D$12)^($F42-'הנחות עבודה'!$C$5)/$D$11)/$D$11)</f>
        <v>0</v>
      </c>
      <c r="BI42" s="42">
        <f ca="1">IF(OR($F42&gt;$D$5,$F42&gt;MAX('הנחות עבודה'!$B$69:$B$89)),0,(VLOOKUP($F42,'התפלגות ייצור וסל דלקים'!$B$64:$BV$84,BI$2-$E$2,FALSE))*$D$9*$D$8*(HLOOKUP(BI$23,$G$18:$R$19,2,FALSE)*(1-$D$12)^($F42-'הנחות עבודה'!$C$5)/$D$11)/$D$11)</f>
        <v>7.838064000000001</v>
      </c>
      <c r="BJ42" s="42">
        <f ca="1">IF(OR($F42&gt;$D$5,$F42&gt;MAX('הנחות עבודה'!$B$69:$B$89)),0,(VLOOKUP($F42,'התפלגות ייצור וסל דלקים'!$B$64:$BV$84,BJ$2-$E$2,FALSE))*$D$9*$D$8*(HLOOKUP(BJ$23,$G$18:$R$19,2,FALSE)*(1-$D$12)^($F42-'הנחות עבודה'!$C$5)/$D$11)/$D$11)</f>
        <v>28.911791987200449</v>
      </c>
      <c r="BK42" s="42">
        <f ca="1">IF(OR($F42&gt;$D$5,$F42&gt;MAX('הנחות עבודה'!$B$69:$B$89)),0,(VLOOKUP($F42,'התפלגות ייצור וסל דלקים'!$B$64:$BV$84,BK$2-$E$2,FALSE))*$D$9*$D$8*(HLOOKUP(BK$23,$G$18:$R$19,2,FALSE)*(1-$D$12)^($F42-'הנחות עבודה'!$C$5)/$D$11)/$D$11)</f>
        <v>0</v>
      </c>
      <c r="BL42" s="42">
        <f ca="1">IF(OR($F42&gt;$D$5,$F42&gt;MAX('הנחות עבודה'!$B$69:$B$89)),0,(VLOOKUP($F42,'התפלגות ייצור וסל דלקים'!$B$64:$BV$84,BL$2-$E$2,FALSE))*$D$9*$D$8*(HLOOKUP(BL$23,$G$18:$R$19,2,FALSE)*(1-$D$12)^($F42-'הנחות עבודה'!$C$5)/$D$11)/$D$11)</f>
        <v>0</v>
      </c>
      <c r="BM42" s="42">
        <f ca="1">IF(OR($F42&gt;$D$5,$F42&gt;MAX('הנחות עבודה'!$B$69:$B$89)),0,(VLOOKUP($F42,'התפלגות ייצור וסל דלקים'!$B$64:$BV$84,BM$2-$E$2,FALSE))*$D$9*$D$8*(HLOOKUP(BM$23,$G$18:$R$19,2,FALSE)*(1-$D$12)^($F42-'הנחות עבודה'!$C$5)/$D$11)/$D$11)</f>
        <v>0</v>
      </c>
      <c r="BN42" s="42">
        <f ca="1">IF(OR($F42&gt;$D$5,$F42&gt;MAX('הנחות עבודה'!$B$69:$B$89)),0,(VLOOKUP($F42,'התפלגות ייצור וסל דלקים'!$B$64:$BV$84,BN$2-$E$2,FALSE))*$D$9*$D$8*(HLOOKUP(BN$23,$G$18:$R$19,2,FALSE)*(1-$D$12)^($F42-'הנחות עבודה'!$C$5)/$D$11)/$D$11)</f>
        <v>0</v>
      </c>
      <c r="BO42" s="52">
        <f ca="1">IF(OR($F42&gt;$D$5,$F42&gt;MAX('הנחות עבודה'!$B$69:$B$89)),0,(VLOOKUP($F42,'התפלגות ייצור וסל דלקים'!$B$64:$BV$84,BO$2-$E$2,FALSE))*$D$9*$D$8*(HLOOKUP(BO$23,$G$18:$R$19,2,FALSE)*(1-$D$12)^($F42-'הנחות עבודה'!$C$5)/$D$11)/$D$11)</f>
        <v>0</v>
      </c>
      <c r="BP42" s="127">
        <f ca="1">IF(OR($F42&gt;$D$5,$F42&gt;MAX('הנחות עבודה'!$B$69:$B$89)),0,(VLOOKUP($F42,'התפלגות ייצור וסל דלקים'!$B$64:$BV$84,BP$2-$E$2,FALSE))*$D$9*$D$8*(HLOOKUP(BP$23,$G$18:$R$19,2,FALSE)*(1-$D$12)^($F42-'הנחות עבודה'!$C$5)/$D$11)/$D$11)</f>
        <v>0</v>
      </c>
      <c r="BQ42" s="127">
        <f ca="1">IF(OR($F42&gt;$D$5,$F42&gt;MAX('הנחות עבודה'!$B$69:$B$89)),0,(VLOOKUP($F42,'התפלגות ייצור וסל דלקים'!$B$64:$BV$84,BQ$2-$E$2,FALSE))*$D$9*$D$8*(HLOOKUP(BQ$23,$G$18:$R$19,2,FALSE)*(1-$D$12)^($F42-'הנחות עבודה'!$C$5)/$D$11)/$D$11)</f>
        <v>0</v>
      </c>
      <c r="BR42" s="127">
        <f ca="1">IF(OR($F42&gt;$D$5,$F42&gt;MAX('הנחות עבודה'!$B$69:$B$89)),0,(VLOOKUP($F42,'התפלגות ייצור וסל דלקים'!$B$64:$BV$84,BR$2-$E$2,FALSE))*$D$9*$D$8*(HLOOKUP(BR$23,$G$18:$R$19,2,FALSE)*(1-$D$12)^($F42-'הנחות עבודה'!$C$5)/$D$11)/$D$11)</f>
        <v>0</v>
      </c>
      <c r="BS42" s="127">
        <f ca="1">IF(OR($F42&gt;$D$5,$F42&gt;MAX('הנחות עבודה'!$B$69:$B$89)),0,(VLOOKUP($F42,'התפלגות ייצור וסל דלקים'!$B$64:$BV$84,BS$2-$E$2,FALSE))*$D$9*$D$8*(HLOOKUP(BS$23,$G$18:$R$19,2,FALSE)*(1-$D$12)^($F42-'הנחות עבודה'!$C$5)/$D$11)/$D$11)</f>
        <v>0</v>
      </c>
      <c r="BT42" s="127">
        <f ca="1">IF(OR($F42&gt;$D$5,$F42&gt;MAX('הנחות עבודה'!$B$69:$B$89)),0,(VLOOKUP($F42,'התפלגות ייצור וסל דלקים'!$B$64:$BV$84,BT$2-$E$2,FALSE))*$D$9*$D$8*(HLOOKUP(BT$23,$G$18:$R$19,2,FALSE)*(1-$D$12)^($F42-'הנחות עבודה'!$C$5)/$D$11)/$D$11)</f>
        <v>0</v>
      </c>
      <c r="BU42" s="52">
        <f ca="1">IF(OR($F42&gt;$D$5,$F42&gt;MAX('הנחות עבודה'!$B$69:$B$89)),0,(VLOOKUP($F42,'התפלגות ייצור וסל דלקים'!$B$64:$BV$84,BU$2-$E$2,FALSE))*$D$9*$D$8*(HLOOKUP(BU$23,$G$18:$R$19,2,FALSE)*(1-$D$12)^($F42-'הנחות עבודה'!$C$5)/$D$11)/$D$11)</f>
        <v>7.838064000000001</v>
      </c>
      <c r="BV42" s="52">
        <f ca="1">IF(OR($F42&gt;$D$5,$F42&gt;MAX('הנחות עבודה'!$B$69:$B$89)),0,(VLOOKUP($F42,'התפלגות ייצור וסל דלקים'!$B$64:$BV$84,BV$2-$E$2,FALSE))*$D$9*$D$8*(HLOOKUP(BV$23,$G$18:$R$19,2,FALSE)*(1-$D$12)^($F42-'הנחות עבודה'!$C$5)/$D$11)/$D$11)</f>
        <v>28.911791987200449</v>
      </c>
      <c r="BW42" s="52">
        <f ca="1">IF(OR($F42&gt;$D$5,$F42&gt;MAX('הנחות עבודה'!$B$69:$B$89)),0,(VLOOKUP($F42,'התפלגות ייצור וסל דלקים'!$B$64:$BV$84,BW$2-$E$2,FALSE))*$D$9*$D$8*(HLOOKUP(BW$23,$G$18:$R$19,2,FALSE)*(1-$D$12)^($F42-'הנחות עבודה'!$C$5)/$D$11)/$D$11)</f>
        <v>0</v>
      </c>
      <c r="BX42" s="52">
        <f ca="1">IF(OR($F42&gt;$D$5,$F42&gt;MAX('הנחות עבודה'!$B$69:$B$89)),0,(VLOOKUP($F42,'התפלגות ייצור וסל דלקים'!$B$64:$BV$84,BX$2-$E$2,FALSE))*$D$9*$D$8*(HLOOKUP(BX$23,$G$18:$R$19,2,FALSE)*(1-$D$12)^($F42-'הנחות עבודה'!$C$5)/$D$11)/$D$11)</f>
        <v>0</v>
      </c>
      <c r="BY42" s="52">
        <f ca="1">IF(OR($F42&gt;$D$5,$F42&gt;MAX('הנחות עבודה'!$B$69:$B$89)),0,(VLOOKUP($F42,'התפלגות ייצור וסל דלקים'!$B$64:$BV$84,BY$2-$E$2,FALSE))*$D$9*$D$8*(HLOOKUP(BY$23,$G$18:$R$19,2,FALSE)*(1-$D$12)^($F42-'הנחות עבודה'!$C$5)/$D$11)/$D$11)</f>
        <v>0</v>
      </c>
      <c r="BZ42" s="52">
        <f ca="1">IF(OR($F42&gt;$D$5,$F42&gt;MAX('הנחות עבודה'!$B$69:$B$89)),0,(VLOOKUP($F42,'התפלגות ייצור וסל דלקים'!$B$64:$BV$84,BZ$2-$E$2,FALSE))*$D$9*$D$8*(HLOOKUP(BZ$23,$G$18:$R$19,2,FALSE)*(1-$D$12)^($F42-'הנחות עבודה'!$C$5)/$D$11)/$D$11)</f>
        <v>0</v>
      </c>
    </row>
    <row r="43" spans="6:78" ht="15.75">
      <c r="F43" s="10">
        <f t="shared" si="115"/>
        <v>2039</v>
      </c>
      <c r="G43" s="42">
        <f ca="1">IF(OR($F43&gt;$D$5,$F43&gt;MAX('הנחות עבודה'!$B$69:$B$89)),0,(VLOOKUP($F43,'התפלגות ייצור וסל דלקים'!$B$64:$BV$84,G$2-$E$2,FALSE))*$D$9*$D$8*(HLOOKUP(G$23,$G$18:$R$19,2,FALSE)*(1-$D$12)^($F43-'הנחות עבודה'!$C$5)/$D$11)/$D$11)</f>
        <v>0</v>
      </c>
      <c r="H43" s="44">
        <f ca="1">IF(OR($F43&gt;$D$5,$F43&gt;MAX('הנחות עבודה'!$B$69:$B$89)),0,(VLOOKUP($F43,'התפלגות ייצור וסל דלקים'!$B$64:$BV$84,H$2-$E$2,FALSE))*$D$9*$D$8*(HLOOKUP(H$23,$G$18:$R$19,2,FALSE)*(1-$D$12)^($F43-'הנחות עבודה'!$C$5)/$D$11)/$D$11)</f>
        <v>0</v>
      </c>
      <c r="I43" s="44">
        <f ca="1">IF(OR($F43&gt;$D$5,$F43&gt;MAX('הנחות עבודה'!$B$69:$B$89)),0,(VLOOKUP($F43,'התפלגות ייצור וסל דלקים'!$B$64:$BV$84,I$2-$E$2,FALSE))*$D$9*$D$8*(HLOOKUP(I$23,$G$18:$R$19,2,FALSE)*(1-$D$12)^($F43-'הנחות עבודה'!$C$5)/$D$11)/$D$11)</f>
        <v>0</v>
      </c>
      <c r="J43" s="44">
        <f ca="1">IF(OR($F43&gt;$D$5,$F43&gt;MAX('הנחות עבודה'!$B$69:$B$89)),0,(VLOOKUP($F43,'התפלגות ייצור וסל דלקים'!$B$64:$BV$84,J$2-$E$2,FALSE))*$D$9*$D$8*(HLOOKUP(J$23,$G$18:$R$19,2,FALSE)*(1-$D$12)^($F43-'הנחות עבודה'!$C$5)/$D$11)/$D$11)</f>
        <v>0</v>
      </c>
      <c r="K43" s="44">
        <f ca="1">IF(OR($F43&gt;$D$5,$F43&gt;MAX('הנחות עבודה'!$B$69:$B$89)),0,(VLOOKUP($F43,'התפלגות ייצור וסל דלקים'!$B$64:$BV$84,K$2-$E$2,FALSE))*$D$9*$D$8*(HLOOKUP(K$23,$G$18:$R$19,2,FALSE)*(1-$D$12)^($F43-'הנחות עבודה'!$C$5)/$D$11)/$D$11)</f>
        <v>0</v>
      </c>
      <c r="L43" s="44">
        <f ca="1">IF(OR($F43&gt;$D$5,$F43&gt;MAX('הנחות עבודה'!$B$69:$B$89)),0,(VLOOKUP($F43,'התפלגות ייצור וסל דלקים'!$B$64:$BV$84,L$2-$E$2,FALSE))*$D$9*$D$8*(HLOOKUP(L$23,$G$18:$R$19,2,FALSE)*(1-$D$12)^($F43-'הנחות עבודה'!$C$5)/$D$11)/$D$11)</f>
        <v>0</v>
      </c>
      <c r="M43" s="42">
        <f ca="1">IF(OR($F43&gt;$D$5,$F43&gt;MAX('הנחות עבודה'!$B$69:$B$89)),0,(VLOOKUP($F43,'התפלגות ייצור וסל דלקים'!$B$64:$BV$84,M$2-$E$2,FALSE))*$D$9*$D$8*(HLOOKUP(M$23,$G$18:$R$19,2,FALSE)*(1-$D$12)^($F43-'הנחות עבודה'!$C$5)/$D$11)/$D$11)</f>
        <v>7.3938975599999983</v>
      </c>
      <c r="N43" s="42">
        <f ca="1">IF(OR($F43&gt;$D$5,$F43&gt;MAX('הנחות עבודה'!$B$69:$B$89)),0,(VLOOKUP($F43,'התפלגות ייצור וסל דלקים'!$B$64:$BV$84,N$2-$E$2,FALSE))*$D$9*$D$8*(HLOOKUP(N$23,$G$18:$R$19,2,FALSE)*(1-$D$12)^($F43-'הנחות עבודה'!$C$5)/$D$11)/$D$11)</f>
        <v>35.093212507640871</v>
      </c>
      <c r="O43" s="42">
        <f ca="1">IF(OR($F43&gt;$D$5,$F43&gt;MAX('הנחות עבודה'!$B$69:$B$89)),0,(VLOOKUP($F43,'התפלגות ייצור וסל דלקים'!$B$64:$BV$84,O$2-$E$2,FALSE))*$D$9*$D$8*(HLOOKUP(O$23,$G$18:$R$19,2,FALSE)*(1-$D$12)^($F43-'הנחות עבודה'!$C$5)/$D$11)/$D$11)</f>
        <v>0</v>
      </c>
      <c r="P43" s="43">
        <f ca="1">IF(OR($F43&gt;$D$5,$F43&gt;MAX('הנחות עבודה'!$B$69:$B$89)),0,(VLOOKUP($F43,'התפלגות ייצור וסל דלקים'!$B$64:$BV$84,P$2-$E$2,FALSE))*$D$9*$D$8*(HLOOKUP(P$23,$G$18:$R$19,2,FALSE)*(1-$D$12)^($F43-'הנחות עבודה'!$C$5)/$D$11)/$D$11)</f>
        <v>0</v>
      </c>
      <c r="Q43" s="42">
        <f ca="1">IF(OR($F43&gt;$D$5,$F43&gt;MAX('הנחות עבודה'!$B$69:$B$89)),0,(VLOOKUP($F43,'התפלגות ייצור וסל דלקים'!$B$64:$BV$84,Q$2-$E$2,FALSE))*$D$9*$D$8*(HLOOKUP(Q$23,$G$18:$R$19,2,FALSE)*(1-$D$12)^($F43-'הנחות עבודה'!$C$5)/$D$11)/$D$11)</f>
        <v>0</v>
      </c>
      <c r="R43" s="43">
        <f ca="1">IF(OR($F43&gt;$D$5,$F43&gt;MAX('הנחות עבודה'!$B$69:$B$89)),0,(VLOOKUP($F43,'התפלגות ייצור וסל דלקים'!$B$64:$BV$84,R$2-$E$2,FALSE))*$D$9*$D$8*(HLOOKUP(R$23,$G$18:$R$19,2,FALSE)*(1-$D$12)^($F43-'הנחות עבודה'!$C$5)/$D$11)/$D$11)</f>
        <v>0</v>
      </c>
      <c r="S43" s="52">
        <f ca="1">IF(OR($F43&gt;$D$5,$F43&gt;MAX('הנחות עבודה'!$B$69:$B$89)),0,(VLOOKUP($F43,'התפלגות ייצור וסל דלקים'!$B$64:$BV$84,S$2-$E$2,FALSE))*$D$9*$D$8*(HLOOKUP(S$23,$G$18:$R$19,2,FALSE)*(1-$D$12)^($F43-'הנחות עבודה'!$C$5)/$D$11)/$D$11)</f>
        <v>0</v>
      </c>
      <c r="T43" s="127">
        <f ca="1">IF(OR($F43&gt;$D$5,$F43&gt;MAX('הנחות עבודה'!$B$69:$B$89)),0,(VLOOKUP($F43,'התפלגות ייצור וסל דלקים'!$B$64:$BV$84,T$2-$E$2,FALSE))*$D$9*$D$8*(HLOOKUP(T$23,$G$18:$R$19,2,FALSE)*(1-$D$12)^($F43-'הנחות עבודה'!$C$5)/$D$11)/$D$11)</f>
        <v>0</v>
      </c>
      <c r="U43" s="127">
        <f ca="1">IF(OR($F43&gt;$D$5,$F43&gt;MAX('הנחות עבודה'!$B$69:$B$89)),0,(VLOOKUP($F43,'התפלגות ייצור וסל דלקים'!$B$64:$BV$84,U$2-$E$2,FALSE))*$D$9*$D$8*(HLOOKUP(U$23,$G$18:$R$19,2,FALSE)*(1-$D$12)^($F43-'הנחות עבודה'!$C$5)/$D$11)/$D$11)</f>
        <v>0</v>
      </c>
      <c r="V43" s="127">
        <f ca="1">IF(OR($F43&gt;$D$5,$F43&gt;MAX('הנחות עבודה'!$B$69:$B$89)),0,(VLOOKUP($F43,'התפלגות ייצור וסל דלקים'!$B$64:$BV$84,V$2-$E$2,FALSE))*$D$9*$D$8*(HLOOKUP(V$23,$G$18:$R$19,2,FALSE)*(1-$D$12)^($F43-'הנחות עבודה'!$C$5)/$D$11)/$D$11)</f>
        <v>0</v>
      </c>
      <c r="W43" s="127">
        <f ca="1">IF(OR($F43&gt;$D$5,$F43&gt;MAX('הנחות עבודה'!$B$69:$B$89)),0,(VLOOKUP($F43,'התפלגות ייצור וסל דלקים'!$B$64:$BV$84,W$2-$E$2,FALSE))*$D$9*$D$8*(HLOOKUP(W$23,$G$18:$R$19,2,FALSE)*(1-$D$12)^($F43-'הנחות עבודה'!$C$5)/$D$11)/$D$11)</f>
        <v>0</v>
      </c>
      <c r="X43" s="127">
        <f ca="1">IF(OR($F43&gt;$D$5,$F43&gt;MAX('הנחות עבודה'!$B$69:$B$89)),0,(VLOOKUP($F43,'התפלגות ייצור וסל דלקים'!$B$64:$BV$84,X$2-$E$2,FALSE))*$D$9*$D$8*(HLOOKUP(X$23,$G$18:$R$19,2,FALSE)*(1-$D$12)^($F43-'הנחות עבודה'!$C$5)/$D$11)/$D$11)</f>
        <v>0</v>
      </c>
      <c r="Y43" s="52">
        <f ca="1">IF(OR($F43&gt;$D$5,$F43&gt;MAX('הנחות עבודה'!$B$69:$B$89)),0,(VLOOKUP($F43,'התפלגות ייצור וסל דלקים'!$B$64:$BV$84,Y$2-$E$2,FALSE))*$D$9*$D$8*(HLOOKUP(Y$23,$G$18:$R$19,2,FALSE)*(1-$D$12)^($F43-'הנחות עבודה'!$C$5)/$D$11)/$D$11)</f>
        <v>7.3938975599999983</v>
      </c>
      <c r="Z43" s="52">
        <f ca="1">IF(OR($F43&gt;$D$5,$F43&gt;MAX('הנחות עבודה'!$B$69:$B$89)),0,(VLOOKUP($F43,'התפלגות ייצור וסל דלקים'!$B$64:$BV$84,Z$2-$E$2,FALSE))*$D$9*$D$8*(HLOOKUP(Z$23,$G$18:$R$19,2,FALSE)*(1-$D$12)^($F43-'הנחות עבודה'!$C$5)/$D$11)/$D$11)</f>
        <v>35.093212507640871</v>
      </c>
      <c r="AA43" s="52">
        <f ca="1">IF(OR($F43&gt;$D$5,$F43&gt;MAX('הנחות עבודה'!$B$69:$B$89)),0,(VLOOKUP($F43,'התפלגות ייצור וסל דלקים'!$B$64:$BV$84,AA$2-$E$2,FALSE))*$D$9*$D$8*(HLOOKUP(AA$23,$G$18:$R$19,2,FALSE)*(1-$D$12)^($F43-'הנחות עבודה'!$C$5)/$D$11)/$D$11)</f>
        <v>0</v>
      </c>
      <c r="AB43" s="52">
        <f ca="1">IF(OR($F43&gt;$D$5,$F43&gt;MAX('הנחות עבודה'!$B$69:$B$89)),0,(VLOOKUP($F43,'התפלגות ייצור וסל דלקים'!$B$64:$BV$84,AB$2-$E$2,FALSE))*$D$9*$D$8*(HLOOKUP(AB$23,$G$18:$R$19,2,FALSE)*(1-$D$12)^($F43-'הנחות עבודה'!$C$5)/$D$11)/$D$11)</f>
        <v>0</v>
      </c>
      <c r="AC43" s="52">
        <f ca="1">IF(OR($F43&gt;$D$5,$F43&gt;MAX('הנחות עבודה'!$B$69:$B$89)),0,(VLOOKUP($F43,'התפלגות ייצור וסל דלקים'!$B$64:$BV$84,AC$2-$E$2,FALSE))*$D$9*$D$8*(HLOOKUP(AC$23,$G$18:$R$19,2,FALSE)*(1-$D$12)^($F43-'הנחות עבודה'!$C$5)/$D$11)/$D$11)</f>
        <v>0</v>
      </c>
      <c r="AD43" s="52">
        <f ca="1">IF(OR($F43&gt;$D$5,$F43&gt;MAX('הנחות עבודה'!$B$69:$B$89)),0,(VLOOKUP($F43,'התפלגות ייצור וסל דלקים'!$B$64:$BV$84,AD$2-$E$2,FALSE))*$D$9*$D$8*(HLOOKUP(AD$23,$G$18:$R$19,2,FALSE)*(1-$D$12)^($F43-'הנחות עבודה'!$C$5)/$D$11)/$D$11)</f>
        <v>0</v>
      </c>
      <c r="AE43" s="42">
        <f ca="1">IF(OR($F43&gt;$D$5,$F43&gt;MAX('הנחות עבודה'!$B$69:$B$89)),0,(VLOOKUP($F43,'התפלגות ייצור וסל דלקים'!$B$64:$BV$84,AE$2-$E$2,FALSE))*$D$9*$D$8*(HLOOKUP(AE$23,$G$18:$R$19,2,FALSE)*(1-$D$12)^($F43-'הנחות עבודה'!$C$5)/$D$11)/$D$11)</f>
        <v>0</v>
      </c>
      <c r="AF43" s="44">
        <f ca="1">IF(OR($F43&gt;$D$5,$F43&gt;MAX('הנחות עבודה'!$B$69:$B$89)),0,(VLOOKUP($F43,'התפלגות ייצור וסל דלקים'!$B$64:$BV$84,AF$2-$E$2,FALSE))*$D$9*$D$8*(HLOOKUP(AF$23,$G$18:$R$19,2,FALSE)*(1-$D$12)^($F43-'הנחות עבודה'!$C$5)/$D$11)/$D$11)</f>
        <v>0</v>
      </c>
      <c r="AG43" s="44">
        <f ca="1">IF(OR($F43&gt;$D$5,$F43&gt;MAX('הנחות עבודה'!$B$69:$B$89)),0,(VLOOKUP($F43,'התפלגות ייצור וסל דלקים'!$B$64:$BV$84,AG$2-$E$2,FALSE))*$D$9*$D$8*(HLOOKUP(AG$23,$G$18:$R$19,2,FALSE)*(1-$D$12)^($F43-'הנחות עבודה'!$C$5)/$D$11)/$D$11)</f>
        <v>0</v>
      </c>
      <c r="AH43" s="44">
        <f ca="1">IF(OR($F43&gt;$D$5,$F43&gt;MAX('הנחות עבודה'!$B$69:$B$89)),0,(VLOOKUP($F43,'התפלגות ייצור וסל דלקים'!$B$64:$BV$84,AH$2-$E$2,FALSE))*$D$9*$D$8*(HLOOKUP(AH$23,$G$18:$R$19,2,FALSE)*(1-$D$12)^($F43-'הנחות עבודה'!$C$5)/$D$11)/$D$11)</f>
        <v>0</v>
      </c>
      <c r="AI43" s="44">
        <f ca="1">IF(OR($F43&gt;$D$5,$F43&gt;MAX('הנחות עבודה'!$B$69:$B$89)),0,(VLOOKUP($F43,'התפלגות ייצור וסל דלקים'!$B$64:$BV$84,AI$2-$E$2,FALSE))*$D$9*$D$8*(HLOOKUP(AI$23,$G$18:$R$19,2,FALSE)*(1-$D$12)^($F43-'הנחות עבודה'!$C$5)/$D$11)/$D$11)</f>
        <v>0</v>
      </c>
      <c r="AJ43" s="44">
        <f ca="1">IF(OR($F43&gt;$D$5,$F43&gt;MAX('הנחות עבודה'!$B$69:$B$89)),0,(VLOOKUP($F43,'התפלגות ייצור וסל דלקים'!$B$64:$BV$84,AJ$2-$E$2,FALSE))*$D$9*$D$8*(HLOOKUP(AJ$23,$G$18:$R$19,2,FALSE)*(1-$D$12)^($F43-'הנחות עבודה'!$C$5)/$D$11)/$D$11)</f>
        <v>0</v>
      </c>
      <c r="AK43" s="42">
        <f ca="1">IF(OR($F43&gt;$D$5,$F43&gt;MAX('הנחות עבודה'!$B$69:$B$89)),0,(VLOOKUP($F43,'התפלגות ייצור וסל דלקים'!$B$64:$BV$84,AK$2-$E$2,FALSE))*$D$9*$D$8*(HLOOKUP(AK$23,$G$18:$R$19,2,FALSE)*(1-$D$12)^($F43-'הנחות עבודה'!$C$5)/$D$11)/$D$11)</f>
        <v>7.6526825999999994</v>
      </c>
      <c r="AL43" s="42">
        <f ca="1">IF(OR($F43&gt;$D$5,$F43&gt;MAX('הנחות עבודה'!$B$69:$B$89)),0,(VLOOKUP($F43,'התפלגות ייצור וסל דלקים'!$B$64:$BV$84,AL$2-$E$2,FALSE))*$D$9*$D$8*(HLOOKUP(AL$23,$G$18:$R$19,2,FALSE)*(1-$D$12)^($F43-'הנחות עבודה'!$C$5)/$D$11)/$D$11)</f>
        <v>32.169664185601988</v>
      </c>
      <c r="AM43" s="42">
        <f ca="1">IF(OR($F43&gt;$D$5,$F43&gt;MAX('הנחות עבודה'!$B$69:$B$89)),0,(VLOOKUP($F43,'התפלגות ייצור וסל דלקים'!$B$64:$BV$84,AM$2-$E$2,FALSE))*$D$9*$D$8*(HLOOKUP(AM$23,$G$18:$R$19,2,FALSE)*(1-$D$12)^($F43-'הנחות עבודה'!$C$5)/$D$11)/$D$11)</f>
        <v>0</v>
      </c>
      <c r="AN43" s="43">
        <f ca="1">IF(OR($F43&gt;$D$5,$F43&gt;MAX('הנחות עבודה'!$B$69:$B$89)),0,(VLOOKUP($F43,'התפלגות ייצור וסל דלקים'!$B$64:$BV$84,AN$2-$E$2,FALSE))*$D$9*$D$8*(HLOOKUP(AN$23,$G$18:$R$19,2,FALSE)*(1-$D$12)^($F43-'הנחות עבודה'!$C$5)/$D$11)/$D$11)</f>
        <v>0</v>
      </c>
      <c r="AO43" s="42">
        <f ca="1">IF(OR($F43&gt;$D$5,$F43&gt;MAX('הנחות עבודה'!$B$69:$B$89)),0,(VLOOKUP($F43,'התפלגות ייצור וסל דלקים'!$B$64:$BV$84,AO$2-$E$2,FALSE))*$D$9*$D$8*(HLOOKUP(AO$23,$G$18:$R$19,2,FALSE)*(1-$D$12)^($F43-'הנחות עבודה'!$C$5)/$D$11)/$D$11)</f>
        <v>0</v>
      </c>
      <c r="AP43" s="43">
        <f ca="1">IF(OR($F43&gt;$D$5,$F43&gt;MAX('הנחות עבודה'!$B$69:$B$89)),0,(VLOOKUP($F43,'התפלגות ייצור וסל דלקים'!$B$64:$BV$84,AP$2-$E$2,FALSE))*$D$9*$D$8*(HLOOKUP(AP$23,$G$18:$R$19,2,FALSE)*(1-$D$12)^($F43-'הנחות עבודה'!$C$5)/$D$11)/$D$11)</f>
        <v>0</v>
      </c>
      <c r="AQ43" s="52">
        <f ca="1">IF(OR($F43&gt;$D$5,$F43&gt;MAX('הנחות עבודה'!$B$69:$B$89)),0,(VLOOKUP($F43,'התפלגות ייצור וסל דלקים'!$B$64:$BV$84,AQ$2-$E$2,FALSE))*$D$9*$D$8*(HLOOKUP(AQ$23,$G$18:$R$19,2,FALSE)*(1-$D$12)^($F43-'הנחות עבודה'!$C$5)/$D$11)/$D$11)</f>
        <v>0</v>
      </c>
      <c r="AR43" s="127">
        <f ca="1">IF(OR($F43&gt;$D$5,$F43&gt;MAX('הנחות עבודה'!$B$69:$B$89)),0,(VLOOKUP($F43,'התפלגות ייצור וסל דלקים'!$B$64:$BV$84,AR$2-$E$2,FALSE))*$D$9*$D$8*(HLOOKUP(AR$23,$G$18:$R$19,2,FALSE)*(1-$D$12)^($F43-'הנחות עבודה'!$C$5)/$D$11)/$D$11)</f>
        <v>0</v>
      </c>
      <c r="AS43" s="127">
        <f ca="1">IF(OR($F43&gt;$D$5,$F43&gt;MAX('הנחות עבודה'!$B$69:$B$89)),0,(VLOOKUP($F43,'התפלגות ייצור וסל דלקים'!$B$64:$BV$84,AS$2-$E$2,FALSE))*$D$9*$D$8*(HLOOKUP(AS$23,$G$18:$R$19,2,FALSE)*(1-$D$12)^($F43-'הנחות עבודה'!$C$5)/$D$11)/$D$11)</f>
        <v>0</v>
      </c>
      <c r="AT43" s="127">
        <f ca="1">IF(OR($F43&gt;$D$5,$F43&gt;MAX('הנחות עבודה'!$B$69:$B$89)),0,(VLOOKUP($F43,'התפלגות ייצור וסל דלקים'!$B$64:$BV$84,AT$2-$E$2,FALSE))*$D$9*$D$8*(HLOOKUP(AT$23,$G$18:$R$19,2,FALSE)*(1-$D$12)^($F43-'הנחות עבודה'!$C$5)/$D$11)/$D$11)</f>
        <v>0</v>
      </c>
      <c r="AU43" s="127">
        <f ca="1">IF(OR($F43&gt;$D$5,$F43&gt;MAX('הנחות עבודה'!$B$69:$B$89)),0,(VLOOKUP($F43,'התפלגות ייצור וסל דלקים'!$B$64:$BV$84,AU$2-$E$2,FALSE))*$D$9*$D$8*(HLOOKUP(AU$23,$G$18:$R$19,2,FALSE)*(1-$D$12)^($F43-'הנחות עבודה'!$C$5)/$D$11)/$D$11)</f>
        <v>0</v>
      </c>
      <c r="AV43" s="127">
        <f ca="1">IF(OR($F43&gt;$D$5,$F43&gt;MAX('הנחות עבודה'!$B$69:$B$89)),0,(VLOOKUP($F43,'התפלגות ייצור וסל דלקים'!$B$64:$BV$84,AV$2-$E$2,FALSE))*$D$9*$D$8*(HLOOKUP(AV$23,$G$18:$R$19,2,FALSE)*(1-$D$12)^($F43-'הנחות עבודה'!$C$5)/$D$11)/$D$11)</f>
        <v>0</v>
      </c>
      <c r="AW43" s="52">
        <f ca="1">IF(OR($F43&gt;$D$5,$F43&gt;MAX('הנחות עבודה'!$B$69:$B$89)),0,(VLOOKUP($F43,'התפלגות ייצור וסל דלקים'!$B$64:$BV$84,AW$2-$E$2,FALSE))*$D$9*$D$8*(HLOOKUP(AW$23,$G$18:$R$19,2,FALSE)*(1-$D$12)^($F43-'הנחות עבודה'!$C$5)/$D$11)/$D$11)</f>
        <v>7.6526825999999994</v>
      </c>
      <c r="AX43" s="52">
        <f ca="1">IF(OR($F43&gt;$D$5,$F43&gt;MAX('הנחות עבודה'!$B$69:$B$89)),0,(VLOOKUP($F43,'התפלגות ייצור וסל דלקים'!$B$64:$BV$84,AX$2-$E$2,FALSE))*$D$9*$D$8*(HLOOKUP(AX$23,$G$18:$R$19,2,FALSE)*(1-$D$12)^($F43-'הנחות עבודה'!$C$5)/$D$11)/$D$11)</f>
        <v>32.169664185601988</v>
      </c>
      <c r="AY43" s="52">
        <f ca="1">IF(OR($F43&gt;$D$5,$F43&gt;MAX('הנחות עבודה'!$B$69:$B$89)),0,(VLOOKUP($F43,'התפלגות ייצור וסל דלקים'!$B$64:$BV$84,AY$2-$E$2,FALSE))*$D$9*$D$8*(HLOOKUP(AY$23,$G$18:$R$19,2,FALSE)*(1-$D$12)^($F43-'הנחות עבודה'!$C$5)/$D$11)/$D$11)</f>
        <v>0</v>
      </c>
      <c r="AZ43" s="52">
        <f ca="1">IF(OR($F43&gt;$D$5,$F43&gt;MAX('הנחות עבודה'!$B$69:$B$89)),0,(VLOOKUP($F43,'התפלגות ייצור וסל דלקים'!$B$64:$BV$84,AZ$2-$E$2,FALSE))*$D$9*$D$8*(HLOOKUP(AZ$23,$G$18:$R$19,2,FALSE)*(1-$D$12)^($F43-'הנחות עבודה'!$C$5)/$D$11)/$D$11)</f>
        <v>0</v>
      </c>
      <c r="BA43" s="52">
        <f ca="1">IF(OR($F43&gt;$D$5,$F43&gt;MAX('הנחות עבודה'!$B$69:$B$89)),0,(VLOOKUP($F43,'התפלגות ייצור וסל דלקים'!$B$64:$BV$84,BA$2-$E$2,FALSE))*$D$9*$D$8*(HLOOKUP(BA$23,$G$18:$R$19,2,FALSE)*(1-$D$12)^($F43-'הנחות עבודה'!$C$5)/$D$11)/$D$11)</f>
        <v>0</v>
      </c>
      <c r="BB43" s="52">
        <f ca="1">IF(OR($F43&gt;$D$5,$F43&gt;MAX('הנחות עבודה'!$B$69:$B$89)),0,(VLOOKUP($F43,'התפלגות ייצור וסל דלקים'!$B$64:$BV$84,BB$2-$E$2,FALSE))*$D$9*$D$8*(HLOOKUP(BB$23,$G$18:$R$19,2,FALSE)*(1-$D$12)^($F43-'הנחות עבודה'!$C$5)/$D$11)/$D$11)</f>
        <v>0</v>
      </c>
      <c r="BC43" s="42">
        <f ca="1">IF(OR($F43&gt;$D$5,$F43&gt;MAX('הנחות עבודה'!$B$69:$B$89)),0,(VLOOKUP($F43,'התפלגות ייצור וסל דלקים'!$B$64:$BV$84,BC$2-$E$2,FALSE))*$D$9*$D$8*(HLOOKUP(BC$23,$G$18:$R$19,2,FALSE)*(1-$D$12)^($F43-'הנחות עבודה'!$C$5)/$D$11)/$D$11)</f>
        <v>0</v>
      </c>
      <c r="BD43" s="44">
        <f ca="1">IF(OR($F43&gt;$D$5,$F43&gt;MAX('הנחות עבודה'!$B$69:$B$89)),0,(VLOOKUP($F43,'התפלגות ייצור וסל דלקים'!$B$64:$BV$84,BD$2-$E$2,FALSE))*$D$9*$D$8*(HLOOKUP(BD$23,$G$18:$R$19,2,FALSE)*(1-$D$12)^($F43-'הנחות עבודה'!$C$5)/$D$11)/$D$11)</f>
        <v>0</v>
      </c>
      <c r="BE43" s="44">
        <f ca="1">IF(OR($F43&gt;$D$5,$F43&gt;MAX('הנחות עבודה'!$B$69:$B$89)),0,(VLOOKUP($F43,'התפלגות ייצור וסל דלקים'!$B$64:$BV$84,BE$2-$E$2,FALSE))*$D$9*$D$8*(HLOOKUP(BE$23,$G$18:$R$19,2,FALSE)*(1-$D$12)^($F43-'הנחות עבודה'!$C$5)/$D$11)/$D$11)</f>
        <v>0</v>
      </c>
      <c r="BF43" s="44">
        <f ca="1">IF(OR($F43&gt;$D$5,$F43&gt;MAX('הנחות עבודה'!$B$69:$B$89)),0,(VLOOKUP($F43,'התפלגות ייצור וסל דלקים'!$B$64:$BV$84,BF$2-$E$2,FALSE))*$D$9*$D$8*(HLOOKUP(BF$23,$G$18:$R$19,2,FALSE)*(1-$D$12)^($F43-'הנחות עבודה'!$C$5)/$D$11)/$D$11)</f>
        <v>0</v>
      </c>
      <c r="BG43" s="44">
        <f ca="1">IF(OR($F43&gt;$D$5,$F43&gt;MAX('הנחות עבודה'!$B$69:$B$89)),0,(VLOOKUP($F43,'התפלגות ייצור וסל דלקים'!$B$64:$BV$84,BG$2-$E$2,FALSE))*$D$9*$D$8*(HLOOKUP(BG$23,$G$18:$R$19,2,FALSE)*(1-$D$12)^($F43-'הנחות עבודה'!$C$5)/$D$11)/$D$11)</f>
        <v>0</v>
      </c>
      <c r="BH43" s="44">
        <f ca="1">IF(OR($F43&gt;$D$5,$F43&gt;MAX('הנחות עבודה'!$B$69:$B$89)),0,(VLOOKUP($F43,'התפלגות ייצור וסל דלקים'!$B$64:$BV$84,BH$2-$E$2,FALSE))*$D$9*$D$8*(HLOOKUP(BH$23,$G$18:$R$19,2,FALSE)*(1-$D$12)^($F43-'הנחות עבודה'!$C$5)/$D$11)/$D$11)</f>
        <v>0</v>
      </c>
      <c r="BI43" s="42">
        <f ca="1">IF(OR($F43&gt;$D$5,$F43&gt;MAX('הנחות עבודה'!$B$69:$B$89)),0,(VLOOKUP($F43,'התפלגות ייצור וסל דלקים'!$B$64:$BV$84,BI$2-$E$2,FALSE))*$D$9*$D$8*(HLOOKUP(BI$23,$G$18:$R$19,2,FALSE)*(1-$D$12)^($F43-'הנחות עבודה'!$C$5)/$D$11)/$D$11)</f>
        <v>7.8684000000000012</v>
      </c>
      <c r="BJ43" s="42">
        <f ca="1">IF(OR($F43&gt;$D$5,$F43&gt;MAX('הנחות עבודה'!$B$69:$B$89)),0,(VLOOKUP($F43,'התפלגות ייצור וסל דלקים'!$B$64:$BV$84,BJ$2-$E$2,FALSE))*$D$9*$D$8*(HLOOKUP(BJ$23,$G$18:$R$19,2,FALSE)*(1-$D$12)^($F43-'הנחות עבודה'!$C$5)/$D$11)/$D$11)</f>
        <v>30.305271579327673</v>
      </c>
      <c r="BK43" s="42">
        <f ca="1">IF(OR($F43&gt;$D$5,$F43&gt;MAX('הנחות עבודה'!$B$69:$B$89)),0,(VLOOKUP($F43,'התפלגות ייצור וסל דלקים'!$B$64:$BV$84,BK$2-$E$2,FALSE))*$D$9*$D$8*(HLOOKUP(BK$23,$G$18:$R$19,2,FALSE)*(1-$D$12)^($F43-'הנחות עבודה'!$C$5)/$D$11)/$D$11)</f>
        <v>0</v>
      </c>
      <c r="BL43" s="42">
        <f ca="1">IF(OR($F43&gt;$D$5,$F43&gt;MAX('הנחות עבודה'!$B$69:$B$89)),0,(VLOOKUP($F43,'התפלגות ייצור וסל דלקים'!$B$64:$BV$84,BL$2-$E$2,FALSE))*$D$9*$D$8*(HLOOKUP(BL$23,$G$18:$R$19,2,FALSE)*(1-$D$12)^($F43-'הנחות עבודה'!$C$5)/$D$11)/$D$11)</f>
        <v>0</v>
      </c>
      <c r="BM43" s="42">
        <f ca="1">IF(OR($F43&gt;$D$5,$F43&gt;MAX('הנחות עבודה'!$B$69:$B$89)),0,(VLOOKUP($F43,'התפלגות ייצור וסל דלקים'!$B$64:$BV$84,BM$2-$E$2,FALSE))*$D$9*$D$8*(HLOOKUP(BM$23,$G$18:$R$19,2,FALSE)*(1-$D$12)^($F43-'הנחות עבודה'!$C$5)/$D$11)/$D$11)</f>
        <v>0</v>
      </c>
      <c r="BN43" s="42">
        <f ca="1">IF(OR($F43&gt;$D$5,$F43&gt;MAX('הנחות עבודה'!$B$69:$B$89)),0,(VLOOKUP($F43,'התפלגות ייצור וסל דלקים'!$B$64:$BV$84,BN$2-$E$2,FALSE))*$D$9*$D$8*(HLOOKUP(BN$23,$G$18:$R$19,2,FALSE)*(1-$D$12)^($F43-'הנחות עבודה'!$C$5)/$D$11)/$D$11)</f>
        <v>0</v>
      </c>
      <c r="BO43" s="52">
        <f ca="1">IF(OR($F43&gt;$D$5,$F43&gt;MAX('הנחות עבודה'!$B$69:$B$89)),0,(VLOOKUP($F43,'התפלגות ייצור וסל דלקים'!$B$64:$BV$84,BO$2-$E$2,FALSE))*$D$9*$D$8*(HLOOKUP(BO$23,$G$18:$R$19,2,FALSE)*(1-$D$12)^($F43-'הנחות עבודה'!$C$5)/$D$11)/$D$11)</f>
        <v>0</v>
      </c>
      <c r="BP43" s="127">
        <f ca="1">IF(OR($F43&gt;$D$5,$F43&gt;MAX('הנחות עבודה'!$B$69:$B$89)),0,(VLOOKUP($F43,'התפלגות ייצור וסל דלקים'!$B$64:$BV$84,BP$2-$E$2,FALSE))*$D$9*$D$8*(HLOOKUP(BP$23,$G$18:$R$19,2,FALSE)*(1-$D$12)^($F43-'הנחות עבודה'!$C$5)/$D$11)/$D$11)</f>
        <v>0</v>
      </c>
      <c r="BQ43" s="127">
        <f ca="1">IF(OR($F43&gt;$D$5,$F43&gt;MAX('הנחות עבודה'!$B$69:$B$89)),0,(VLOOKUP($F43,'התפלגות ייצור וסל דלקים'!$B$64:$BV$84,BQ$2-$E$2,FALSE))*$D$9*$D$8*(HLOOKUP(BQ$23,$G$18:$R$19,2,FALSE)*(1-$D$12)^($F43-'הנחות עבודה'!$C$5)/$D$11)/$D$11)</f>
        <v>0</v>
      </c>
      <c r="BR43" s="127">
        <f ca="1">IF(OR($F43&gt;$D$5,$F43&gt;MAX('הנחות עבודה'!$B$69:$B$89)),0,(VLOOKUP($F43,'התפלגות ייצור וסל דלקים'!$B$64:$BV$84,BR$2-$E$2,FALSE))*$D$9*$D$8*(HLOOKUP(BR$23,$G$18:$R$19,2,FALSE)*(1-$D$12)^($F43-'הנחות עבודה'!$C$5)/$D$11)/$D$11)</f>
        <v>0</v>
      </c>
      <c r="BS43" s="127">
        <f ca="1">IF(OR($F43&gt;$D$5,$F43&gt;MAX('הנחות עבודה'!$B$69:$B$89)),0,(VLOOKUP($F43,'התפלגות ייצור וסל דלקים'!$B$64:$BV$84,BS$2-$E$2,FALSE))*$D$9*$D$8*(HLOOKUP(BS$23,$G$18:$R$19,2,FALSE)*(1-$D$12)^($F43-'הנחות עבודה'!$C$5)/$D$11)/$D$11)</f>
        <v>0</v>
      </c>
      <c r="BT43" s="127">
        <f ca="1">IF(OR($F43&gt;$D$5,$F43&gt;MAX('הנחות עבודה'!$B$69:$B$89)),0,(VLOOKUP($F43,'התפלגות ייצור וסל דלקים'!$B$64:$BV$84,BT$2-$E$2,FALSE))*$D$9*$D$8*(HLOOKUP(BT$23,$G$18:$R$19,2,FALSE)*(1-$D$12)^($F43-'הנחות עבודה'!$C$5)/$D$11)/$D$11)</f>
        <v>0</v>
      </c>
      <c r="BU43" s="52">
        <f ca="1">IF(OR($F43&gt;$D$5,$F43&gt;MAX('הנחות עבודה'!$B$69:$B$89)),0,(VLOOKUP($F43,'התפלגות ייצור וסל דלקים'!$B$64:$BV$84,BU$2-$E$2,FALSE))*$D$9*$D$8*(HLOOKUP(BU$23,$G$18:$R$19,2,FALSE)*(1-$D$12)^($F43-'הנחות עבודה'!$C$5)/$D$11)/$D$11)</f>
        <v>7.8684000000000012</v>
      </c>
      <c r="BV43" s="52">
        <f ca="1">IF(OR($F43&gt;$D$5,$F43&gt;MAX('הנחות עבודה'!$B$69:$B$89)),0,(VLOOKUP($F43,'התפלגות ייצור וסל דלקים'!$B$64:$BV$84,BV$2-$E$2,FALSE))*$D$9*$D$8*(HLOOKUP(BV$23,$G$18:$R$19,2,FALSE)*(1-$D$12)^($F43-'הנחות עבודה'!$C$5)/$D$11)/$D$11)</f>
        <v>30.305271579327673</v>
      </c>
      <c r="BW43" s="52">
        <f ca="1">IF(OR($F43&gt;$D$5,$F43&gt;MAX('הנחות עבודה'!$B$69:$B$89)),0,(VLOOKUP($F43,'התפלגות ייצור וסל דלקים'!$B$64:$BV$84,BW$2-$E$2,FALSE))*$D$9*$D$8*(HLOOKUP(BW$23,$G$18:$R$19,2,FALSE)*(1-$D$12)^($F43-'הנחות עבודה'!$C$5)/$D$11)/$D$11)</f>
        <v>0</v>
      </c>
      <c r="BX43" s="52">
        <f ca="1">IF(OR($F43&gt;$D$5,$F43&gt;MAX('הנחות עבודה'!$B$69:$B$89)),0,(VLOOKUP($F43,'התפלגות ייצור וסל דלקים'!$B$64:$BV$84,BX$2-$E$2,FALSE))*$D$9*$D$8*(HLOOKUP(BX$23,$G$18:$R$19,2,FALSE)*(1-$D$12)^($F43-'הנחות עבודה'!$C$5)/$D$11)/$D$11)</f>
        <v>0</v>
      </c>
      <c r="BY43" s="52">
        <f ca="1">IF(OR($F43&gt;$D$5,$F43&gt;MAX('הנחות עבודה'!$B$69:$B$89)),0,(VLOOKUP($F43,'התפלגות ייצור וסל דלקים'!$B$64:$BV$84,BY$2-$E$2,FALSE))*$D$9*$D$8*(HLOOKUP(BY$23,$G$18:$R$19,2,FALSE)*(1-$D$12)^($F43-'הנחות עבודה'!$C$5)/$D$11)/$D$11)</f>
        <v>0</v>
      </c>
      <c r="BZ43" s="52">
        <f ca="1">IF(OR($F43&gt;$D$5,$F43&gt;MAX('הנחות עבודה'!$B$69:$B$89)),0,(VLOOKUP($F43,'התפלגות ייצור וסל דלקים'!$B$64:$BV$84,BZ$2-$E$2,FALSE))*$D$9*$D$8*(HLOOKUP(BZ$23,$G$18:$R$19,2,FALSE)*(1-$D$12)^($F43-'הנחות עבודה'!$C$5)/$D$11)/$D$11)</f>
        <v>0</v>
      </c>
    </row>
    <row r="44" spans="6:78" ht="16.5" thickBot="1">
      <c r="F44" s="328">
        <f t="shared" si="115"/>
        <v>2040</v>
      </c>
      <c r="G44" s="45">
        <f ca="1">IF(OR($F44&gt;$D$5,$F44&gt;MAX('הנחות עבודה'!$B$69:$B$89)),0,(VLOOKUP($F44,'התפלגות ייצור וסל דלקים'!$B$64:$BV$84,G$2-$E$2,FALSE))*$D$9*$D$8*(HLOOKUP(G$23,$G$18:$R$19,2,FALSE)*(1-$D$12)^($F44-'הנחות עבודה'!$C$5)/$D$11)/$D$11)</f>
        <v>0</v>
      </c>
      <c r="H44" s="47">
        <f ca="1">IF(OR($F44&gt;$D$5,$F44&gt;MAX('הנחות עבודה'!$B$69:$B$89)),0,(VLOOKUP($F44,'התפלגות ייצור וסל דלקים'!$B$64:$BV$84,H$2-$E$2,FALSE))*$D$9*$D$8*(HLOOKUP(H$23,$G$18:$R$19,2,FALSE)*(1-$D$12)^($F44-'הנחות עבודה'!$C$5)/$D$11)/$D$11)</f>
        <v>0</v>
      </c>
      <c r="I44" s="47">
        <f ca="1">IF(OR($F44&gt;$D$5,$F44&gt;MAX('הנחות עבודה'!$B$69:$B$89)),0,(VLOOKUP($F44,'התפלגות ייצור וסל דלקים'!$B$64:$BV$84,I$2-$E$2,FALSE))*$D$9*$D$8*(HLOOKUP(I$23,$G$18:$R$19,2,FALSE)*(1-$D$12)^($F44-'הנחות עבודה'!$C$5)/$D$11)/$D$11)</f>
        <v>0</v>
      </c>
      <c r="J44" s="47">
        <f ca="1">IF(OR($F44&gt;$D$5,$F44&gt;MAX('הנחות עבודה'!$B$69:$B$89)),0,(VLOOKUP($F44,'התפלגות ייצור וסל דלקים'!$B$64:$BV$84,J$2-$E$2,FALSE))*$D$9*$D$8*(HLOOKUP(J$23,$G$18:$R$19,2,FALSE)*(1-$D$12)^($F44-'הנחות עבודה'!$C$5)/$D$11)/$D$11)</f>
        <v>0</v>
      </c>
      <c r="K44" s="47">
        <f ca="1">IF(OR($F44&gt;$D$5,$F44&gt;MAX('הנחות עבודה'!$B$69:$B$89)),0,(VLOOKUP($F44,'התפלגות ייצור וסל דלקים'!$B$64:$BV$84,K$2-$E$2,FALSE))*$D$9*$D$8*(HLOOKUP(K$23,$G$18:$R$19,2,FALSE)*(1-$D$12)^($F44-'הנחות עבודה'!$C$5)/$D$11)/$D$11)</f>
        <v>0</v>
      </c>
      <c r="L44" s="47">
        <f ca="1">IF(OR($F44&gt;$D$5,$F44&gt;MAX('הנחות עבודה'!$B$69:$B$89)),0,(VLOOKUP($F44,'התפלגות ייצור וסל דלקים'!$B$64:$BV$84,L$2-$E$2,FALSE))*$D$9*$D$8*(HLOOKUP(L$23,$G$18:$R$19,2,FALSE)*(1-$D$12)^($F44-'הנחות עבודה'!$C$5)/$D$11)/$D$11)</f>
        <v>0</v>
      </c>
      <c r="M44" s="45">
        <f ca="1">IF(OR($F44&gt;$D$5,$F44&gt;MAX('הנחות עבודה'!$B$69:$B$89)),0,(VLOOKUP($F44,'התפלגות ייצור וסל דלקים'!$B$64:$BV$84,M$2-$E$2,FALSE))*$D$9*$D$8*(HLOOKUP(M$23,$G$18:$R$19,2,FALSE)*(1-$D$12)^($F44-'הנחות עבודה'!$C$5)/$D$11)/$D$11)</f>
        <v>7.4467817400000005</v>
      </c>
      <c r="N44" s="45">
        <f ca="1">IF(OR($F44&gt;$D$5,$F44&gt;MAX('הנחות עבודה'!$B$69:$B$89)),0,(VLOOKUP($F44,'התפלגות ייצור וסל דלקים'!$B$64:$BV$84,N$2-$E$2,FALSE))*$D$9*$D$8*(HLOOKUP(N$23,$G$18:$R$19,2,FALSE)*(1-$D$12)^($F44-'הנחות עבודה'!$C$5)/$D$11)/$D$11)</f>
        <v>36.483279441489366</v>
      </c>
      <c r="O44" s="45">
        <f ca="1">IF(OR($F44&gt;$D$5,$F44&gt;MAX('הנחות עבודה'!$B$69:$B$89)),0,(VLOOKUP($F44,'התפלגות ייצור וסל דלקים'!$B$64:$BV$84,O$2-$E$2,FALSE))*$D$9*$D$8*(HLOOKUP(O$23,$G$18:$R$19,2,FALSE)*(1-$D$12)^($F44-'הנחות עבודה'!$C$5)/$D$11)/$D$11)</f>
        <v>0</v>
      </c>
      <c r="P44" s="46">
        <f ca="1">IF(OR($F44&gt;$D$5,$F44&gt;MAX('הנחות עבודה'!$B$69:$B$89)),0,(VLOOKUP($F44,'התפלגות ייצור וסל דלקים'!$B$64:$BV$84,P$2-$E$2,FALSE))*$D$9*$D$8*(HLOOKUP(P$23,$G$18:$R$19,2,FALSE)*(1-$D$12)^($F44-'הנחות עבודה'!$C$5)/$D$11)/$D$11)</f>
        <v>0</v>
      </c>
      <c r="Q44" s="45">
        <f ca="1">IF(OR($F44&gt;$D$5,$F44&gt;MAX('הנחות עבודה'!$B$69:$B$89)),0,(VLOOKUP($F44,'התפלגות ייצור וסל דלקים'!$B$64:$BV$84,Q$2-$E$2,FALSE))*$D$9*$D$8*(HLOOKUP(Q$23,$G$18:$R$19,2,FALSE)*(1-$D$12)^($F44-'הנחות עבודה'!$C$5)/$D$11)/$D$11)</f>
        <v>0</v>
      </c>
      <c r="R44" s="46">
        <f ca="1">IF(OR($F44&gt;$D$5,$F44&gt;MAX('הנחות עבודה'!$B$69:$B$89)),0,(VLOOKUP($F44,'התפלגות ייצור וסל דלקים'!$B$64:$BV$84,R$2-$E$2,FALSE))*$D$9*$D$8*(HLOOKUP(R$23,$G$18:$R$19,2,FALSE)*(1-$D$12)^($F44-'הנחות עבודה'!$C$5)/$D$11)/$D$11)</f>
        <v>0</v>
      </c>
      <c r="S44" s="55">
        <f ca="1">IF(OR($F44&gt;$D$5,$F44&gt;MAX('הנחות עבודה'!$B$69:$B$89)),0,(VLOOKUP($F44,'התפלגות ייצור וסל דלקים'!$B$64:$BV$84,S$2-$E$2,FALSE))*$D$9*$D$8*(HLOOKUP(S$23,$G$18:$R$19,2,FALSE)*(1-$D$12)^($F44-'הנחות עבודה'!$C$5)/$D$11)/$D$11)</f>
        <v>0</v>
      </c>
      <c r="T44" s="128">
        <f ca="1">IF(OR($F44&gt;$D$5,$F44&gt;MAX('הנחות עבודה'!$B$69:$B$89)),0,(VLOOKUP($F44,'התפלגות ייצור וסל דלקים'!$B$64:$BV$84,T$2-$E$2,FALSE))*$D$9*$D$8*(HLOOKUP(T$23,$G$18:$R$19,2,FALSE)*(1-$D$12)^($F44-'הנחות עבודה'!$C$5)/$D$11)/$D$11)</f>
        <v>0</v>
      </c>
      <c r="U44" s="128">
        <f ca="1">IF(OR($F44&gt;$D$5,$F44&gt;MAX('הנחות עבודה'!$B$69:$B$89)),0,(VLOOKUP($F44,'התפלגות ייצור וסל דלקים'!$B$64:$BV$84,U$2-$E$2,FALSE))*$D$9*$D$8*(HLOOKUP(U$23,$G$18:$R$19,2,FALSE)*(1-$D$12)^($F44-'הנחות עבודה'!$C$5)/$D$11)/$D$11)</f>
        <v>0</v>
      </c>
      <c r="V44" s="128">
        <f ca="1">IF(OR($F44&gt;$D$5,$F44&gt;MAX('הנחות עבודה'!$B$69:$B$89)),0,(VLOOKUP($F44,'התפלגות ייצור וסל דלקים'!$B$64:$BV$84,V$2-$E$2,FALSE))*$D$9*$D$8*(HLOOKUP(V$23,$G$18:$R$19,2,FALSE)*(1-$D$12)^($F44-'הנחות עבודה'!$C$5)/$D$11)/$D$11)</f>
        <v>0</v>
      </c>
      <c r="W44" s="128">
        <f ca="1">IF(OR($F44&gt;$D$5,$F44&gt;MAX('הנחות עבודה'!$B$69:$B$89)),0,(VLOOKUP($F44,'התפלגות ייצור וסל דלקים'!$B$64:$BV$84,W$2-$E$2,FALSE))*$D$9*$D$8*(HLOOKUP(W$23,$G$18:$R$19,2,FALSE)*(1-$D$12)^($F44-'הנחות עבודה'!$C$5)/$D$11)/$D$11)</f>
        <v>0</v>
      </c>
      <c r="X44" s="128">
        <f ca="1">IF(OR($F44&gt;$D$5,$F44&gt;MAX('הנחות עבודה'!$B$69:$B$89)),0,(VLOOKUP($F44,'התפלגות ייצור וסל דלקים'!$B$64:$BV$84,X$2-$E$2,FALSE))*$D$9*$D$8*(HLOOKUP(X$23,$G$18:$R$19,2,FALSE)*(1-$D$12)^($F44-'הנחות עבודה'!$C$5)/$D$11)/$D$11)</f>
        <v>0</v>
      </c>
      <c r="Y44" s="55">
        <f ca="1">IF(OR($F44&gt;$D$5,$F44&gt;MAX('הנחות עבודה'!$B$69:$B$89)),0,(VLOOKUP($F44,'התפלגות ייצור וסל דלקים'!$B$64:$BV$84,Y$2-$E$2,FALSE))*$D$9*$D$8*(HLOOKUP(Y$23,$G$18:$R$19,2,FALSE)*(1-$D$12)^($F44-'הנחות עבודה'!$C$5)/$D$11)/$D$11)</f>
        <v>7.4467817400000005</v>
      </c>
      <c r="Z44" s="55">
        <f ca="1">IF(OR($F44&gt;$D$5,$F44&gt;MAX('הנחות עבודה'!$B$69:$B$89)),0,(VLOOKUP($F44,'התפלגות ייצור וסל דלקים'!$B$64:$BV$84,Z$2-$E$2,FALSE))*$D$9*$D$8*(HLOOKUP(Z$23,$G$18:$R$19,2,FALSE)*(1-$D$12)^($F44-'הנחות עבודה'!$C$5)/$D$11)/$D$11)</f>
        <v>36.483279441489366</v>
      </c>
      <c r="AA44" s="55">
        <f ca="1">IF(OR($F44&gt;$D$5,$F44&gt;MAX('הנחות עבודה'!$B$69:$B$89)),0,(VLOOKUP($F44,'התפלגות ייצור וסל דלקים'!$B$64:$BV$84,AA$2-$E$2,FALSE))*$D$9*$D$8*(HLOOKUP(AA$23,$G$18:$R$19,2,FALSE)*(1-$D$12)^($F44-'הנחות עבודה'!$C$5)/$D$11)/$D$11)</f>
        <v>0</v>
      </c>
      <c r="AB44" s="55">
        <f ca="1">IF(OR($F44&gt;$D$5,$F44&gt;MAX('הנחות עבודה'!$B$69:$B$89)),0,(VLOOKUP($F44,'התפלגות ייצור וסל דלקים'!$B$64:$BV$84,AB$2-$E$2,FALSE))*$D$9*$D$8*(HLOOKUP(AB$23,$G$18:$R$19,2,FALSE)*(1-$D$12)^($F44-'הנחות עבודה'!$C$5)/$D$11)/$D$11)</f>
        <v>0</v>
      </c>
      <c r="AC44" s="55">
        <f ca="1">IF(OR($F44&gt;$D$5,$F44&gt;MAX('הנחות עבודה'!$B$69:$B$89)),0,(VLOOKUP($F44,'התפלגות ייצור וסל דלקים'!$B$64:$BV$84,AC$2-$E$2,FALSE))*$D$9*$D$8*(HLOOKUP(AC$23,$G$18:$R$19,2,FALSE)*(1-$D$12)^($F44-'הנחות עבודה'!$C$5)/$D$11)/$D$11)</f>
        <v>0</v>
      </c>
      <c r="AD44" s="55">
        <f ca="1">IF(OR($F44&gt;$D$5,$F44&gt;MAX('הנחות עבודה'!$B$69:$B$89)),0,(VLOOKUP($F44,'התפלגות ייצור וסל דלקים'!$B$64:$BV$84,AD$2-$E$2,FALSE))*$D$9*$D$8*(HLOOKUP(AD$23,$G$18:$R$19,2,FALSE)*(1-$D$12)^($F44-'הנחות עבודה'!$C$5)/$D$11)/$D$11)</f>
        <v>0</v>
      </c>
      <c r="AE44" s="45">
        <f ca="1">IF(OR($F44&gt;$D$5,$F44&gt;MAX('הנחות עבודה'!$B$69:$B$89)),0,(VLOOKUP($F44,'התפלגות ייצור וסל דלקים'!$B$64:$BV$84,AE$2-$E$2,FALSE))*$D$9*$D$8*(HLOOKUP(AE$23,$G$18:$R$19,2,FALSE)*(1-$D$12)^($F44-'הנחות עבודה'!$C$5)/$D$11)/$D$11)</f>
        <v>0</v>
      </c>
      <c r="AF44" s="47">
        <f ca="1">IF(OR($F44&gt;$D$5,$F44&gt;MAX('הנחות עבודה'!$B$69:$B$89)),0,(VLOOKUP($F44,'התפלגות ייצור וסל דלקים'!$B$64:$BV$84,AF$2-$E$2,FALSE))*$D$9*$D$8*(HLOOKUP(AF$23,$G$18:$R$19,2,FALSE)*(1-$D$12)^($F44-'הנחות עבודה'!$C$5)/$D$11)/$D$11)</f>
        <v>0</v>
      </c>
      <c r="AG44" s="47">
        <f ca="1">IF(OR($F44&gt;$D$5,$F44&gt;MAX('הנחות עבודה'!$B$69:$B$89)),0,(VLOOKUP($F44,'התפלגות ייצור וסל דלקים'!$B$64:$BV$84,AG$2-$E$2,FALSE))*$D$9*$D$8*(HLOOKUP(AG$23,$G$18:$R$19,2,FALSE)*(1-$D$12)^($F44-'הנחות עבודה'!$C$5)/$D$11)/$D$11)</f>
        <v>0</v>
      </c>
      <c r="AH44" s="47">
        <f ca="1">IF(OR($F44&gt;$D$5,$F44&gt;MAX('הנחות עבודה'!$B$69:$B$89)),0,(VLOOKUP($F44,'התפלגות ייצור וסל דלקים'!$B$64:$BV$84,AH$2-$E$2,FALSE))*$D$9*$D$8*(HLOOKUP(AH$23,$G$18:$R$19,2,FALSE)*(1-$D$12)^($F44-'הנחות עבודה'!$C$5)/$D$11)/$D$11)</f>
        <v>0</v>
      </c>
      <c r="AI44" s="47">
        <f ca="1">IF(OR($F44&gt;$D$5,$F44&gt;MAX('הנחות עבודה'!$B$69:$B$89)),0,(VLOOKUP($F44,'התפלגות ייצור וסל דלקים'!$B$64:$BV$84,AI$2-$E$2,FALSE))*$D$9*$D$8*(HLOOKUP(AI$23,$G$18:$R$19,2,FALSE)*(1-$D$12)^($F44-'הנחות עבודה'!$C$5)/$D$11)/$D$11)</f>
        <v>0</v>
      </c>
      <c r="AJ44" s="47">
        <f ca="1">IF(OR($F44&gt;$D$5,$F44&gt;MAX('הנחות עבודה'!$B$69:$B$89)),0,(VLOOKUP($F44,'התפלגות ייצור וסל דלקים'!$B$64:$BV$84,AJ$2-$E$2,FALSE))*$D$9*$D$8*(HLOOKUP(AJ$23,$G$18:$R$19,2,FALSE)*(1-$D$12)^($F44-'הנחות עבודה'!$C$5)/$D$11)/$D$11)</f>
        <v>0</v>
      </c>
      <c r="AK44" s="45">
        <f ca="1">IF(OR($F44&gt;$D$5,$F44&gt;MAX('הנחות עבודה'!$B$69:$B$89)),0,(VLOOKUP($F44,'התפלגות ייצור וסל דלקים'!$B$64:$BV$84,AK$2-$E$2,FALSE))*$D$9*$D$8*(HLOOKUP(AK$23,$G$18:$R$19,2,FALSE)*(1-$D$12)^($F44-'הנחות עבודה'!$C$5)/$D$11)/$D$11)</f>
        <v>7.7325326399999996</v>
      </c>
      <c r="AL44" s="45">
        <f ca="1">IF(OR($F44&gt;$D$5,$F44&gt;MAX('הנחות עבודה'!$B$69:$B$89)),0,(VLOOKUP($F44,'התפלגות ייצור וסל דלקים'!$B$64:$BV$84,AL$2-$E$2,FALSE))*$D$9*$D$8*(HLOOKUP(AL$23,$G$18:$R$19,2,FALSE)*(1-$D$12)^($F44-'הנחות עבודה'!$C$5)/$D$11)/$D$11)</f>
        <v>33.556289002982709</v>
      </c>
      <c r="AM44" s="45">
        <f ca="1">IF(OR($F44&gt;$D$5,$F44&gt;MAX('הנחות עבודה'!$B$69:$B$89)),0,(VLOOKUP($F44,'התפלגות ייצור וסל דלקים'!$B$64:$BV$84,AM$2-$E$2,FALSE))*$D$9*$D$8*(HLOOKUP(AM$23,$G$18:$R$19,2,FALSE)*(1-$D$12)^($F44-'הנחות עבודה'!$C$5)/$D$11)/$D$11)</f>
        <v>0</v>
      </c>
      <c r="AN44" s="46">
        <f ca="1">IF(OR($F44&gt;$D$5,$F44&gt;MAX('הנחות עבודה'!$B$69:$B$89)),0,(VLOOKUP($F44,'התפלגות ייצור וסל דלקים'!$B$64:$BV$84,AN$2-$E$2,FALSE))*$D$9*$D$8*(HLOOKUP(AN$23,$G$18:$R$19,2,FALSE)*(1-$D$12)^($F44-'הנחות עבודה'!$C$5)/$D$11)/$D$11)</f>
        <v>0</v>
      </c>
      <c r="AO44" s="45">
        <f ca="1">IF(OR($F44&gt;$D$5,$F44&gt;MAX('הנחות עבודה'!$B$69:$B$89)),0,(VLOOKUP($F44,'התפלגות ייצור וסל דלקים'!$B$64:$BV$84,AO$2-$E$2,FALSE))*$D$9*$D$8*(HLOOKUP(AO$23,$G$18:$R$19,2,FALSE)*(1-$D$12)^($F44-'הנחות עבודה'!$C$5)/$D$11)/$D$11)</f>
        <v>0</v>
      </c>
      <c r="AP44" s="46">
        <f ca="1">IF(OR($F44&gt;$D$5,$F44&gt;MAX('הנחות עבודה'!$B$69:$B$89)),0,(VLOOKUP($F44,'התפלגות ייצור וסל דלקים'!$B$64:$BV$84,AP$2-$E$2,FALSE))*$D$9*$D$8*(HLOOKUP(AP$23,$G$18:$R$19,2,FALSE)*(1-$D$12)^($F44-'הנחות עבודה'!$C$5)/$D$11)/$D$11)</f>
        <v>0</v>
      </c>
      <c r="AQ44" s="55">
        <f ca="1">IF(OR($F44&gt;$D$5,$F44&gt;MAX('הנחות עבודה'!$B$69:$B$89)),0,(VLOOKUP($F44,'התפלגות ייצור וסל דלקים'!$B$64:$BV$84,AQ$2-$E$2,FALSE))*$D$9*$D$8*(HLOOKUP(AQ$23,$G$18:$R$19,2,FALSE)*(1-$D$12)^($F44-'הנחות עבודה'!$C$5)/$D$11)/$D$11)</f>
        <v>0</v>
      </c>
      <c r="AR44" s="128">
        <f ca="1">IF(OR($F44&gt;$D$5,$F44&gt;MAX('הנחות עבודה'!$B$69:$B$89)),0,(VLOOKUP($F44,'התפלגות ייצור וסל דלקים'!$B$64:$BV$84,AR$2-$E$2,FALSE))*$D$9*$D$8*(HLOOKUP(AR$23,$G$18:$R$19,2,FALSE)*(1-$D$12)^($F44-'הנחות עבודה'!$C$5)/$D$11)/$D$11)</f>
        <v>0</v>
      </c>
      <c r="AS44" s="128">
        <f ca="1">IF(OR($F44&gt;$D$5,$F44&gt;MAX('הנחות עבודה'!$B$69:$B$89)),0,(VLOOKUP($F44,'התפלגות ייצור וסל דלקים'!$B$64:$BV$84,AS$2-$E$2,FALSE))*$D$9*$D$8*(HLOOKUP(AS$23,$G$18:$R$19,2,FALSE)*(1-$D$12)^($F44-'הנחות עבודה'!$C$5)/$D$11)/$D$11)</f>
        <v>0</v>
      </c>
      <c r="AT44" s="128">
        <f ca="1">IF(OR($F44&gt;$D$5,$F44&gt;MAX('הנחות עבודה'!$B$69:$B$89)),0,(VLOOKUP($F44,'התפלגות ייצור וסל דלקים'!$B$64:$BV$84,AT$2-$E$2,FALSE))*$D$9*$D$8*(HLOOKUP(AT$23,$G$18:$R$19,2,FALSE)*(1-$D$12)^($F44-'הנחות עבודה'!$C$5)/$D$11)/$D$11)</f>
        <v>0</v>
      </c>
      <c r="AU44" s="128">
        <f ca="1">IF(OR($F44&gt;$D$5,$F44&gt;MAX('הנחות עבודה'!$B$69:$B$89)),0,(VLOOKUP($F44,'התפלגות ייצור וסל דלקים'!$B$64:$BV$84,AU$2-$E$2,FALSE))*$D$9*$D$8*(HLOOKUP(AU$23,$G$18:$R$19,2,FALSE)*(1-$D$12)^($F44-'הנחות עבודה'!$C$5)/$D$11)/$D$11)</f>
        <v>0</v>
      </c>
      <c r="AV44" s="128">
        <f ca="1">IF(OR($F44&gt;$D$5,$F44&gt;MAX('הנחות עבודה'!$B$69:$B$89)),0,(VLOOKUP($F44,'התפלגות ייצור וסל דלקים'!$B$64:$BV$84,AV$2-$E$2,FALSE))*$D$9*$D$8*(HLOOKUP(AV$23,$G$18:$R$19,2,FALSE)*(1-$D$12)^($F44-'הנחות עבודה'!$C$5)/$D$11)/$D$11)</f>
        <v>0</v>
      </c>
      <c r="AW44" s="55">
        <f ca="1">IF(OR($F44&gt;$D$5,$F44&gt;MAX('הנחות עבודה'!$B$69:$B$89)),0,(VLOOKUP($F44,'התפלגות ייצור וסל דלקים'!$B$64:$BV$84,AW$2-$E$2,FALSE))*$D$9*$D$8*(HLOOKUP(AW$23,$G$18:$R$19,2,FALSE)*(1-$D$12)^($F44-'הנחות עבודה'!$C$5)/$D$11)/$D$11)</f>
        <v>7.7325326399999996</v>
      </c>
      <c r="AX44" s="55">
        <f ca="1">IF(OR($F44&gt;$D$5,$F44&gt;MAX('הנחות עבודה'!$B$69:$B$89)),0,(VLOOKUP($F44,'התפלגות ייצור וסל דלקים'!$B$64:$BV$84,AX$2-$E$2,FALSE))*$D$9*$D$8*(HLOOKUP(AX$23,$G$18:$R$19,2,FALSE)*(1-$D$12)^($F44-'הנחות עבודה'!$C$5)/$D$11)/$D$11)</f>
        <v>33.556289002982709</v>
      </c>
      <c r="AY44" s="55">
        <f ca="1">IF(OR($F44&gt;$D$5,$F44&gt;MAX('הנחות עבודה'!$B$69:$B$89)),0,(VLOOKUP($F44,'התפלגות ייצור וסל דלקים'!$B$64:$BV$84,AY$2-$E$2,FALSE))*$D$9*$D$8*(HLOOKUP(AY$23,$G$18:$R$19,2,FALSE)*(1-$D$12)^($F44-'הנחות עבודה'!$C$5)/$D$11)/$D$11)</f>
        <v>0</v>
      </c>
      <c r="AZ44" s="55">
        <f ca="1">IF(OR($F44&gt;$D$5,$F44&gt;MAX('הנחות עבודה'!$B$69:$B$89)),0,(VLOOKUP($F44,'התפלגות ייצור וסל דלקים'!$B$64:$BV$84,AZ$2-$E$2,FALSE))*$D$9*$D$8*(HLOOKUP(AZ$23,$G$18:$R$19,2,FALSE)*(1-$D$12)^($F44-'הנחות עבודה'!$C$5)/$D$11)/$D$11)</f>
        <v>0</v>
      </c>
      <c r="BA44" s="55">
        <f ca="1">IF(OR($F44&gt;$D$5,$F44&gt;MAX('הנחות עבודה'!$B$69:$B$89)),0,(VLOOKUP($F44,'התפלגות ייצור וסל דלקים'!$B$64:$BV$84,BA$2-$E$2,FALSE))*$D$9*$D$8*(HLOOKUP(BA$23,$G$18:$R$19,2,FALSE)*(1-$D$12)^($F44-'הנחות עבודה'!$C$5)/$D$11)/$D$11)</f>
        <v>0</v>
      </c>
      <c r="BB44" s="55">
        <f ca="1">IF(OR($F44&gt;$D$5,$F44&gt;MAX('הנחות עבודה'!$B$69:$B$89)),0,(VLOOKUP($F44,'התפלגות ייצור וסל דלקים'!$B$64:$BV$84,BB$2-$E$2,FALSE))*$D$9*$D$8*(HLOOKUP(BB$23,$G$18:$R$19,2,FALSE)*(1-$D$12)^($F44-'הנחות עבודה'!$C$5)/$D$11)/$D$11)</f>
        <v>0</v>
      </c>
      <c r="BC44" s="45">
        <f ca="1">IF(OR($F44&gt;$D$5,$F44&gt;MAX('הנחות עבודה'!$B$69:$B$89)),0,(VLOOKUP($F44,'התפלגות ייצור וסל דלקים'!$B$64:$BV$84,BC$2-$E$2,FALSE))*$D$9*$D$8*(HLOOKUP(BC$23,$G$18:$R$19,2,FALSE)*(1-$D$12)^($F44-'הנחות עבודה'!$C$5)/$D$11)/$D$11)</f>
        <v>0</v>
      </c>
      <c r="BD44" s="47">
        <f ca="1">IF(OR($F44&gt;$D$5,$F44&gt;MAX('הנחות עבודה'!$B$69:$B$89)),0,(VLOOKUP($F44,'התפלגות ייצור וסל דלקים'!$B$64:$BV$84,BD$2-$E$2,FALSE))*$D$9*$D$8*(HLOOKUP(BD$23,$G$18:$R$19,2,FALSE)*(1-$D$12)^($F44-'הנחות עבודה'!$C$5)/$D$11)/$D$11)</f>
        <v>0</v>
      </c>
      <c r="BE44" s="47">
        <f ca="1">IF(OR($F44&gt;$D$5,$F44&gt;MAX('הנחות עבודה'!$B$69:$B$89)),0,(VLOOKUP($F44,'התפלגות ייצור וסל דלקים'!$B$64:$BV$84,BE$2-$E$2,FALSE))*$D$9*$D$8*(HLOOKUP(BE$23,$G$18:$R$19,2,FALSE)*(1-$D$12)^($F44-'הנחות עבודה'!$C$5)/$D$11)/$D$11)</f>
        <v>0</v>
      </c>
      <c r="BF44" s="47">
        <f ca="1">IF(OR($F44&gt;$D$5,$F44&gt;MAX('הנחות עבודה'!$B$69:$B$89)),0,(VLOOKUP($F44,'התפלגות ייצור וסל דלקים'!$B$64:$BV$84,BF$2-$E$2,FALSE))*$D$9*$D$8*(HLOOKUP(BF$23,$G$18:$R$19,2,FALSE)*(1-$D$12)^($F44-'הנחות עבודה'!$C$5)/$D$11)/$D$11)</f>
        <v>0</v>
      </c>
      <c r="BG44" s="47">
        <f ca="1">IF(OR($F44&gt;$D$5,$F44&gt;MAX('הנחות עבודה'!$B$69:$B$89)),0,(VLOOKUP($F44,'התפלגות ייצור וסל דלקים'!$B$64:$BV$84,BG$2-$E$2,FALSE))*$D$9*$D$8*(HLOOKUP(BG$23,$G$18:$R$19,2,FALSE)*(1-$D$12)^($F44-'הנחות עבודה'!$C$5)/$D$11)/$D$11)</f>
        <v>0</v>
      </c>
      <c r="BH44" s="47">
        <f ca="1">IF(OR($F44&gt;$D$5,$F44&gt;MAX('הנחות עבודה'!$B$69:$B$89)),0,(VLOOKUP($F44,'התפלגות ייצור וסל דלקים'!$B$64:$BV$84,BH$2-$E$2,FALSE))*$D$9*$D$8*(HLOOKUP(BH$23,$G$18:$R$19,2,FALSE)*(1-$D$12)^($F44-'הנחות עבודה'!$C$5)/$D$11)/$D$11)</f>
        <v>0</v>
      </c>
      <c r="BI44" s="45">
        <f ca="1">IF(OR($F44&gt;$D$5,$F44&gt;MAX('הנחות עבודה'!$B$69:$B$89)),0,(VLOOKUP($F44,'התפלגות ייצור וסל דלקים'!$B$64:$BV$84,BI$2-$E$2,FALSE))*$D$9*$D$8*(HLOOKUP(BI$23,$G$18:$R$19,2,FALSE)*(1-$D$12)^($F44-'הנחות עבודה'!$C$5)/$D$11)/$D$11)</f>
        <v>7.9214880000000001</v>
      </c>
      <c r="BJ44" s="45">
        <f ca="1">IF(OR($F44&gt;$D$5,$F44&gt;MAX('הנחות עבודה'!$B$69:$B$89)),0,(VLOOKUP($F44,'התפלגות ייצור וסל דלקים'!$B$64:$BV$84,BJ$2-$E$2,FALSE))*$D$9*$D$8*(HLOOKUP(BJ$23,$G$18:$R$19,2,FALSE)*(1-$D$12)^($F44-'הנחות עבודה'!$C$5)/$D$11)/$D$11)</f>
        <v>31.721740602666049</v>
      </c>
      <c r="BK44" s="45">
        <f ca="1">IF(OR($F44&gt;$D$5,$F44&gt;MAX('הנחות עבודה'!$B$69:$B$89)),0,(VLOOKUP($F44,'התפלגות ייצור וסל דלקים'!$B$64:$BV$84,BK$2-$E$2,FALSE))*$D$9*$D$8*(HLOOKUP(BK$23,$G$18:$R$19,2,FALSE)*(1-$D$12)^($F44-'הנחות עבודה'!$C$5)/$D$11)/$D$11)</f>
        <v>0</v>
      </c>
      <c r="BL44" s="45">
        <f ca="1">IF(OR($F44&gt;$D$5,$F44&gt;MAX('הנחות עבודה'!$B$69:$B$89)),0,(VLOOKUP($F44,'התפלגות ייצור וסל דלקים'!$B$64:$BV$84,BL$2-$E$2,FALSE))*$D$9*$D$8*(HLOOKUP(BL$23,$G$18:$R$19,2,FALSE)*(1-$D$12)^($F44-'הנחות עבודה'!$C$5)/$D$11)/$D$11)</f>
        <v>0</v>
      </c>
      <c r="BM44" s="45">
        <f ca="1">IF(OR($F44&gt;$D$5,$F44&gt;MAX('הנחות עבודה'!$B$69:$B$89)),0,(VLOOKUP($F44,'התפלגות ייצור וסל דלקים'!$B$64:$BV$84,BM$2-$E$2,FALSE))*$D$9*$D$8*(HLOOKUP(BM$23,$G$18:$R$19,2,FALSE)*(1-$D$12)^($F44-'הנחות עבודה'!$C$5)/$D$11)/$D$11)</f>
        <v>0</v>
      </c>
      <c r="BN44" s="45">
        <f ca="1">IF(OR($F44&gt;$D$5,$F44&gt;MAX('הנחות עבודה'!$B$69:$B$89)),0,(VLOOKUP($F44,'התפלגות ייצור וסל דלקים'!$B$64:$BV$84,BN$2-$E$2,FALSE))*$D$9*$D$8*(HLOOKUP(BN$23,$G$18:$R$19,2,FALSE)*(1-$D$12)^($F44-'הנחות עבודה'!$C$5)/$D$11)/$D$11)</f>
        <v>0</v>
      </c>
      <c r="BO44" s="55">
        <f ca="1">IF(OR($F44&gt;$D$5,$F44&gt;MAX('הנחות עבודה'!$B$69:$B$89)),0,(VLOOKUP($F44,'התפלגות ייצור וסל דלקים'!$B$64:$BV$84,BO$2-$E$2,FALSE))*$D$9*$D$8*(HLOOKUP(BO$23,$G$18:$R$19,2,FALSE)*(1-$D$12)^($F44-'הנחות עבודה'!$C$5)/$D$11)/$D$11)</f>
        <v>0</v>
      </c>
      <c r="BP44" s="128">
        <f ca="1">IF(OR($F44&gt;$D$5,$F44&gt;MAX('הנחות עבודה'!$B$69:$B$89)),0,(VLOOKUP($F44,'התפלגות ייצור וסל דלקים'!$B$64:$BV$84,BP$2-$E$2,FALSE))*$D$9*$D$8*(HLOOKUP(BP$23,$G$18:$R$19,2,FALSE)*(1-$D$12)^($F44-'הנחות עבודה'!$C$5)/$D$11)/$D$11)</f>
        <v>0</v>
      </c>
      <c r="BQ44" s="128">
        <f ca="1">IF(OR($F44&gt;$D$5,$F44&gt;MAX('הנחות עבודה'!$B$69:$B$89)),0,(VLOOKUP($F44,'התפלגות ייצור וסל דלקים'!$B$64:$BV$84,BQ$2-$E$2,FALSE))*$D$9*$D$8*(HLOOKUP(BQ$23,$G$18:$R$19,2,FALSE)*(1-$D$12)^($F44-'הנחות עבודה'!$C$5)/$D$11)/$D$11)</f>
        <v>0</v>
      </c>
      <c r="BR44" s="128">
        <f ca="1">IF(OR($F44&gt;$D$5,$F44&gt;MAX('הנחות עבודה'!$B$69:$B$89)),0,(VLOOKUP($F44,'התפלגות ייצור וסל דלקים'!$B$64:$BV$84,BR$2-$E$2,FALSE))*$D$9*$D$8*(HLOOKUP(BR$23,$G$18:$R$19,2,FALSE)*(1-$D$12)^($F44-'הנחות עבודה'!$C$5)/$D$11)/$D$11)</f>
        <v>0</v>
      </c>
      <c r="BS44" s="128">
        <f ca="1">IF(OR($F44&gt;$D$5,$F44&gt;MAX('הנחות עבודה'!$B$69:$B$89)),0,(VLOOKUP($F44,'התפלגות ייצור וסל דלקים'!$B$64:$BV$84,BS$2-$E$2,FALSE))*$D$9*$D$8*(HLOOKUP(BS$23,$G$18:$R$19,2,FALSE)*(1-$D$12)^($F44-'הנחות עבודה'!$C$5)/$D$11)/$D$11)</f>
        <v>0</v>
      </c>
      <c r="BT44" s="128">
        <f ca="1">IF(OR($F44&gt;$D$5,$F44&gt;MAX('הנחות עבודה'!$B$69:$B$89)),0,(VLOOKUP($F44,'התפלגות ייצור וסל דלקים'!$B$64:$BV$84,BT$2-$E$2,FALSE))*$D$9*$D$8*(HLOOKUP(BT$23,$G$18:$R$19,2,FALSE)*(1-$D$12)^($F44-'הנחות עבודה'!$C$5)/$D$11)/$D$11)</f>
        <v>0</v>
      </c>
      <c r="BU44" s="55">
        <f ca="1">IF(OR($F44&gt;$D$5,$F44&gt;MAX('הנחות עבודה'!$B$69:$B$89)),0,(VLOOKUP($F44,'התפלגות ייצור וסל דלקים'!$B$64:$BV$84,BU$2-$E$2,FALSE))*$D$9*$D$8*(HLOOKUP(BU$23,$G$18:$R$19,2,FALSE)*(1-$D$12)^($F44-'הנחות עבודה'!$C$5)/$D$11)/$D$11)</f>
        <v>7.9214880000000001</v>
      </c>
      <c r="BV44" s="55">
        <f ca="1">IF(OR($F44&gt;$D$5,$F44&gt;MAX('הנחות עבודה'!$B$69:$B$89)),0,(VLOOKUP($F44,'התפלגות ייצור וסל דלקים'!$B$64:$BV$84,BV$2-$E$2,FALSE))*$D$9*$D$8*(HLOOKUP(BV$23,$G$18:$R$19,2,FALSE)*(1-$D$12)^($F44-'הנחות עבודה'!$C$5)/$D$11)/$D$11)</f>
        <v>31.721740602666049</v>
      </c>
      <c r="BW44" s="55">
        <f ca="1">IF(OR($F44&gt;$D$5,$F44&gt;MAX('הנחות עבודה'!$B$69:$B$89)),0,(VLOOKUP($F44,'התפלגות ייצור וסל דלקים'!$B$64:$BV$84,BW$2-$E$2,FALSE))*$D$9*$D$8*(HLOOKUP(BW$23,$G$18:$R$19,2,FALSE)*(1-$D$12)^($F44-'הנחות עבודה'!$C$5)/$D$11)/$D$11)</f>
        <v>0</v>
      </c>
      <c r="BX44" s="55">
        <f ca="1">IF(OR($F44&gt;$D$5,$F44&gt;MAX('הנחות עבודה'!$B$69:$B$89)),0,(VLOOKUP($F44,'התפלגות ייצור וסל דלקים'!$B$64:$BV$84,BX$2-$E$2,FALSE))*$D$9*$D$8*(HLOOKUP(BX$23,$G$18:$R$19,2,FALSE)*(1-$D$12)^($F44-'הנחות עבודה'!$C$5)/$D$11)/$D$11)</f>
        <v>0</v>
      </c>
      <c r="BY44" s="55">
        <f ca="1">IF(OR($F44&gt;$D$5,$F44&gt;MAX('הנחות עבודה'!$B$69:$B$89)),0,(VLOOKUP($F44,'התפלגות ייצור וסל דלקים'!$B$64:$BV$84,BY$2-$E$2,FALSE))*$D$9*$D$8*(HLOOKUP(BY$23,$G$18:$R$19,2,FALSE)*(1-$D$12)^($F44-'הנחות עבודה'!$C$5)/$D$11)/$D$11)</f>
        <v>0</v>
      </c>
      <c r="BZ44" s="55">
        <f ca="1">IF(OR($F44&gt;$D$5,$F44&gt;MAX('הנחות עבודה'!$B$69:$B$89)),0,(VLOOKUP($F44,'התפלגות ייצור וסל דלקים'!$B$64:$BV$84,BZ$2-$E$2,FALSE))*$D$9*$D$8*(HLOOKUP(BZ$23,$G$18:$R$19,2,FALSE)*(1-$D$12)^($F44-'הנחות עבודה'!$C$5)/$D$11)/$D$11)</f>
        <v>0</v>
      </c>
    </row>
    <row r="45" spans="6:78" ht="16.5" thickBot="1">
      <c r="F45" s="349" t="s">
        <v>27</v>
      </c>
      <c r="G45" s="65">
        <f t="shared" ref="G45:BU45" ca="1" si="116">SUM(G24:G44)</f>
        <v>0</v>
      </c>
      <c r="H45" s="65">
        <f t="shared" ca="1" si="116"/>
        <v>0</v>
      </c>
      <c r="I45" s="65">
        <f t="shared" ca="1" si="116"/>
        <v>0</v>
      </c>
      <c r="J45" s="65">
        <f t="shared" ca="1" si="116"/>
        <v>0</v>
      </c>
      <c r="K45" s="65">
        <f t="shared" ca="1" si="116"/>
        <v>0</v>
      </c>
      <c r="L45" s="65">
        <f t="shared" ca="1" si="116"/>
        <v>0</v>
      </c>
      <c r="M45" s="65">
        <f t="shared" ca="1" si="116"/>
        <v>113.66654141999999</v>
      </c>
      <c r="N45" s="65">
        <f t="shared" ref="N45:O45" ca="1" si="117">SUM(N24:N44)</f>
        <v>544.46661191767271</v>
      </c>
      <c r="O45" s="65">
        <f t="shared" ca="1" si="117"/>
        <v>0</v>
      </c>
      <c r="P45" s="65">
        <f t="shared" ca="1" si="116"/>
        <v>0</v>
      </c>
      <c r="Q45" s="65">
        <f t="shared" ca="1" si="116"/>
        <v>65.743286400000002</v>
      </c>
      <c r="R45" s="65">
        <f t="shared" ca="1" si="116"/>
        <v>0</v>
      </c>
      <c r="S45" s="76">
        <f t="shared" ca="1" si="116"/>
        <v>0</v>
      </c>
      <c r="T45" s="76">
        <f t="shared" ca="1" si="116"/>
        <v>0</v>
      </c>
      <c r="U45" s="76">
        <f t="shared" ca="1" si="116"/>
        <v>0</v>
      </c>
      <c r="V45" s="76">
        <f t="shared" ca="1" si="116"/>
        <v>0</v>
      </c>
      <c r="W45" s="76">
        <f t="shared" ca="1" si="116"/>
        <v>0</v>
      </c>
      <c r="X45" s="76">
        <f t="shared" ca="1" si="116"/>
        <v>0</v>
      </c>
      <c r="Y45" s="76">
        <f t="shared" ca="1" si="116"/>
        <v>113.66654141999999</v>
      </c>
      <c r="Z45" s="76">
        <f t="shared" ref="Z45:AD45" ca="1" si="118">SUM(Z24:Z44)</f>
        <v>544.46661191767271</v>
      </c>
      <c r="AA45" s="76">
        <f t="shared" ca="1" si="118"/>
        <v>0</v>
      </c>
      <c r="AB45" s="76">
        <f t="shared" ca="1" si="118"/>
        <v>0</v>
      </c>
      <c r="AC45" s="76">
        <f t="shared" ca="1" si="118"/>
        <v>65.743286400000002</v>
      </c>
      <c r="AD45" s="76">
        <f t="shared" ca="1" si="118"/>
        <v>0</v>
      </c>
      <c r="AE45" s="65">
        <f t="shared" ref="AE45:BB45" ca="1" si="119">SUM(AE24:AE44)</f>
        <v>0</v>
      </c>
      <c r="AF45" s="65">
        <f t="shared" ca="1" si="119"/>
        <v>0</v>
      </c>
      <c r="AG45" s="65">
        <f t="shared" ca="1" si="119"/>
        <v>0</v>
      </c>
      <c r="AH45" s="65">
        <f t="shared" ca="1" si="119"/>
        <v>0</v>
      </c>
      <c r="AI45" s="65">
        <f t="shared" ca="1" si="119"/>
        <v>0</v>
      </c>
      <c r="AJ45" s="65">
        <f t="shared" ca="1" si="119"/>
        <v>0</v>
      </c>
      <c r="AK45" s="65">
        <f t="shared" ca="1" si="119"/>
        <v>117.93366006000001</v>
      </c>
      <c r="AL45" s="65">
        <f t="shared" ca="1" si="119"/>
        <v>498.01231133491922</v>
      </c>
      <c r="AM45" s="65">
        <f t="shared" ca="1" si="119"/>
        <v>0</v>
      </c>
      <c r="AN45" s="65">
        <f t="shared" ca="1" si="119"/>
        <v>0</v>
      </c>
      <c r="AO45" s="65">
        <f t="shared" ca="1" si="119"/>
        <v>65.717106399999992</v>
      </c>
      <c r="AP45" s="65">
        <f t="shared" ca="1" si="119"/>
        <v>0</v>
      </c>
      <c r="AQ45" s="76">
        <f t="shared" ca="1" si="119"/>
        <v>0</v>
      </c>
      <c r="AR45" s="76">
        <f t="shared" ca="1" si="119"/>
        <v>0</v>
      </c>
      <c r="AS45" s="76">
        <f t="shared" ca="1" si="119"/>
        <v>0</v>
      </c>
      <c r="AT45" s="76">
        <f t="shared" ca="1" si="119"/>
        <v>0</v>
      </c>
      <c r="AU45" s="76">
        <f t="shared" ca="1" si="119"/>
        <v>0</v>
      </c>
      <c r="AV45" s="76">
        <f t="shared" ca="1" si="119"/>
        <v>0</v>
      </c>
      <c r="AW45" s="76">
        <f t="shared" ca="1" si="119"/>
        <v>117.93366006000001</v>
      </c>
      <c r="AX45" s="76">
        <f t="shared" ca="1" si="119"/>
        <v>498.01231133491922</v>
      </c>
      <c r="AY45" s="76">
        <f t="shared" ca="1" si="119"/>
        <v>0</v>
      </c>
      <c r="AZ45" s="76">
        <f t="shared" ca="1" si="119"/>
        <v>0</v>
      </c>
      <c r="BA45" s="76">
        <f t="shared" ca="1" si="119"/>
        <v>65.717106399999992</v>
      </c>
      <c r="BB45" s="76">
        <f t="shared" ca="1" si="119"/>
        <v>0</v>
      </c>
      <c r="BC45" s="65">
        <f t="shared" ca="1" si="116"/>
        <v>0</v>
      </c>
      <c r="BD45" s="65">
        <f t="shared" ca="1" si="116"/>
        <v>0</v>
      </c>
      <c r="BE45" s="65">
        <f t="shared" ca="1" si="116"/>
        <v>0</v>
      </c>
      <c r="BF45" s="65">
        <f t="shared" ca="1" si="116"/>
        <v>0</v>
      </c>
      <c r="BG45" s="65">
        <f t="shared" ca="1" si="116"/>
        <v>0</v>
      </c>
      <c r="BH45" s="65">
        <f t="shared" ca="1" si="116"/>
        <v>0</v>
      </c>
      <c r="BI45" s="65">
        <f t="shared" ca="1" si="116"/>
        <v>120.31243854</v>
      </c>
      <c r="BJ45" s="65">
        <f t="shared" ref="BJ45:BN45" ca="1" si="120">SUM(BJ24:BJ44)</f>
        <v>469.88503544365602</v>
      </c>
      <c r="BK45" s="65">
        <f t="shared" ca="1" si="120"/>
        <v>0</v>
      </c>
      <c r="BL45" s="65">
        <f t="shared" ca="1" si="120"/>
        <v>0</v>
      </c>
      <c r="BM45" s="65">
        <f t="shared" ca="1" si="120"/>
        <v>65.708130400000002</v>
      </c>
      <c r="BN45" s="65">
        <f t="shared" ca="1" si="120"/>
        <v>0</v>
      </c>
      <c r="BO45" s="76">
        <f t="shared" ca="1" si="116"/>
        <v>0</v>
      </c>
      <c r="BP45" s="76">
        <f t="shared" ca="1" si="116"/>
        <v>0</v>
      </c>
      <c r="BQ45" s="76">
        <f t="shared" ca="1" si="116"/>
        <v>0</v>
      </c>
      <c r="BR45" s="76">
        <f t="shared" ca="1" si="116"/>
        <v>0</v>
      </c>
      <c r="BS45" s="76">
        <f t="shared" ca="1" si="116"/>
        <v>0</v>
      </c>
      <c r="BT45" s="76">
        <f t="shared" ca="1" si="116"/>
        <v>0</v>
      </c>
      <c r="BU45" s="76">
        <f t="shared" ca="1" si="116"/>
        <v>120.31243854</v>
      </c>
      <c r="BV45" s="76">
        <f t="shared" ref="BV45:BX45" ca="1" si="121">SUM(BV24:BV44)</f>
        <v>469.88503544365602</v>
      </c>
      <c r="BW45" s="76">
        <f t="shared" ca="1" si="121"/>
        <v>0</v>
      </c>
      <c r="BX45" s="76">
        <f t="shared" ca="1" si="121"/>
        <v>0</v>
      </c>
      <c r="BY45" s="76">
        <f t="shared" ref="BY45:BZ45" ca="1" si="122">SUM(BY24:BY44)</f>
        <v>65.708130400000002</v>
      </c>
      <c r="BZ45" s="76">
        <f t="shared" ca="1" si="122"/>
        <v>0</v>
      </c>
    </row>
    <row r="46" spans="6:78" ht="16.5" thickBot="1">
      <c r="F46" s="349" t="s">
        <v>27</v>
      </c>
      <c r="G46" s="1309">
        <f ca="1">SUM(G45:R45)</f>
        <v>723.87643973767263</v>
      </c>
      <c r="H46" s="1310"/>
      <c r="I46" s="1310"/>
      <c r="J46" s="1310"/>
      <c r="K46" s="1310"/>
      <c r="L46" s="1310"/>
      <c r="M46" s="1310"/>
      <c r="N46" s="1310"/>
      <c r="O46" s="1310"/>
      <c r="P46" s="1310"/>
      <c r="Q46" s="1310"/>
      <c r="R46" s="1311"/>
      <c r="S46" s="1309">
        <f ca="1">SUM(S45:AD45)</f>
        <v>723.87643973767263</v>
      </c>
      <c r="T46" s="1310"/>
      <c r="U46" s="1310"/>
      <c r="V46" s="1310"/>
      <c r="W46" s="1310"/>
      <c r="X46" s="1310"/>
      <c r="Y46" s="1310"/>
      <c r="Z46" s="1310"/>
      <c r="AA46" s="1310"/>
      <c r="AB46" s="1310"/>
      <c r="AC46" s="1310"/>
      <c r="AD46" s="1311"/>
      <c r="AE46" s="1309">
        <f t="shared" ref="AE46" ca="1" si="123">SUM(AE45:AP45)</f>
        <v>681.66307779491922</v>
      </c>
      <c r="AF46" s="1310"/>
      <c r="AG46" s="1310"/>
      <c r="AH46" s="1310"/>
      <c r="AI46" s="1310"/>
      <c r="AJ46" s="1310"/>
      <c r="AK46" s="1310"/>
      <c r="AL46" s="1310"/>
      <c r="AM46" s="1310"/>
      <c r="AN46" s="1310"/>
      <c r="AO46" s="1310"/>
      <c r="AP46" s="1311"/>
      <c r="AQ46" s="1309">
        <f t="shared" ref="AQ46" ca="1" si="124">SUM(AQ45:BB45)</f>
        <v>681.66307779491922</v>
      </c>
      <c r="AR46" s="1310"/>
      <c r="AS46" s="1310"/>
      <c r="AT46" s="1310"/>
      <c r="AU46" s="1310"/>
      <c r="AV46" s="1310"/>
      <c r="AW46" s="1310"/>
      <c r="AX46" s="1310"/>
      <c r="AY46" s="1310"/>
      <c r="AZ46" s="1310"/>
      <c r="BA46" s="1310"/>
      <c r="BB46" s="1311"/>
      <c r="BC46" s="1309">
        <f ca="1">SUM(BC45:BN45)</f>
        <v>655.90560438365594</v>
      </c>
      <c r="BD46" s="1310"/>
      <c r="BE46" s="1310"/>
      <c r="BF46" s="1310"/>
      <c r="BG46" s="1310"/>
      <c r="BH46" s="1310"/>
      <c r="BI46" s="1310"/>
      <c r="BJ46" s="1310"/>
      <c r="BK46" s="1310"/>
      <c r="BL46" s="1310"/>
      <c r="BM46" s="1310"/>
      <c r="BN46" s="1311"/>
      <c r="BO46" s="1309">
        <f ca="1">SUM(BO45:BZ45)</f>
        <v>655.90560438365594</v>
      </c>
      <c r="BP46" s="1310"/>
      <c r="BQ46" s="1310"/>
      <c r="BR46" s="1310"/>
      <c r="BS46" s="1310"/>
      <c r="BT46" s="1310"/>
      <c r="BU46" s="1310"/>
      <c r="BV46" s="1310"/>
      <c r="BW46" s="1310"/>
      <c r="BX46" s="1310"/>
      <c r="BY46" s="1310"/>
      <c r="BZ46" s="1311"/>
    </row>
    <row r="47" spans="6:78" ht="15.75" thickBot="1"/>
    <row r="48" spans="6:78" ht="16.5" thickBot="1">
      <c r="G48" s="1243" t="s">
        <v>255</v>
      </c>
      <c r="H48" s="1244"/>
      <c r="I48" s="1244"/>
      <c r="J48" s="1244"/>
      <c r="K48" s="1244"/>
      <c r="L48" s="1244"/>
      <c r="M48" s="1244"/>
      <c r="N48" s="1244"/>
      <c r="O48" s="1244"/>
      <c r="P48" s="1244"/>
      <c r="Q48" s="1244"/>
      <c r="R48" s="1244"/>
      <c r="S48" s="1244"/>
      <c r="T48" s="1244"/>
      <c r="U48" s="1244"/>
      <c r="V48" s="1244"/>
      <c r="W48" s="1244"/>
      <c r="X48" s="1244"/>
      <c r="Y48" s="1244"/>
      <c r="Z48" s="1244"/>
      <c r="AA48" s="1244"/>
      <c r="AB48" s="1244"/>
      <c r="AC48" s="1244"/>
      <c r="AD48" s="1244"/>
      <c r="AE48" s="1244"/>
      <c r="AF48" s="1244"/>
      <c r="AG48" s="1244"/>
      <c r="AH48" s="1244"/>
      <c r="AI48" s="1244"/>
      <c r="AJ48" s="1244"/>
      <c r="AK48" s="1244"/>
      <c r="AL48" s="1244"/>
      <c r="AM48" s="1244"/>
      <c r="AN48" s="1244"/>
      <c r="AO48" s="1244"/>
      <c r="AP48" s="1244"/>
      <c r="AQ48" s="1244"/>
      <c r="AR48" s="1244"/>
      <c r="AS48" s="1244"/>
      <c r="AT48" s="1244"/>
      <c r="AU48" s="1244"/>
      <c r="AV48" s="1244"/>
      <c r="AW48" s="1244"/>
      <c r="AX48" s="1244"/>
      <c r="AY48" s="1244"/>
      <c r="AZ48" s="1244"/>
      <c r="BA48" s="1244"/>
      <c r="BB48" s="1244"/>
      <c r="BC48" s="1244"/>
      <c r="BD48" s="1244"/>
      <c r="BE48" s="1244"/>
      <c r="BF48" s="1244"/>
      <c r="BG48" s="1244"/>
      <c r="BH48" s="1244"/>
      <c r="BI48" s="1244"/>
      <c r="BJ48" s="1244"/>
      <c r="BK48" s="1244"/>
      <c r="BL48" s="1244"/>
      <c r="BM48" s="1244"/>
      <c r="BN48" s="1244"/>
      <c r="BO48" s="1244"/>
      <c r="BP48" s="1244"/>
      <c r="BQ48" s="1244"/>
      <c r="BR48" s="1244"/>
      <c r="BS48" s="1244"/>
      <c r="BT48" s="1244"/>
      <c r="BU48" s="1244"/>
      <c r="BV48" s="1244"/>
      <c r="BW48" s="1244"/>
      <c r="BX48" s="1244"/>
      <c r="BY48" s="1244"/>
      <c r="BZ48" s="1245"/>
    </row>
    <row r="49" spans="6:78" ht="16.5" thickBot="1">
      <c r="G49" s="1289" t="s">
        <v>46</v>
      </c>
      <c r="H49" s="1290"/>
      <c r="I49" s="1290"/>
      <c r="J49" s="1290"/>
      <c r="K49" s="1290"/>
      <c r="L49" s="1290"/>
      <c r="M49" s="1290"/>
      <c r="N49" s="1290"/>
      <c r="O49" s="1290"/>
      <c r="P49" s="1290"/>
      <c r="Q49" s="1290"/>
      <c r="R49" s="1296"/>
      <c r="S49" s="1291" t="s">
        <v>47</v>
      </c>
      <c r="T49" s="1292"/>
      <c r="U49" s="1292"/>
      <c r="V49" s="1292"/>
      <c r="W49" s="1292"/>
      <c r="X49" s="1292"/>
      <c r="Y49" s="1292"/>
      <c r="Z49" s="1292"/>
      <c r="AA49" s="1292"/>
      <c r="AB49" s="1292"/>
      <c r="AC49" s="1292"/>
      <c r="AD49" s="1293"/>
      <c r="AE49" s="1289" t="s">
        <v>342</v>
      </c>
      <c r="AF49" s="1290"/>
      <c r="AG49" s="1290"/>
      <c r="AH49" s="1290"/>
      <c r="AI49" s="1290"/>
      <c r="AJ49" s="1290"/>
      <c r="AK49" s="1290"/>
      <c r="AL49" s="1290"/>
      <c r="AM49" s="1290"/>
      <c r="AN49" s="1290"/>
      <c r="AO49" s="1290"/>
      <c r="AP49" s="1296"/>
      <c r="AQ49" s="1291" t="s">
        <v>343</v>
      </c>
      <c r="AR49" s="1292"/>
      <c r="AS49" s="1292"/>
      <c r="AT49" s="1292"/>
      <c r="AU49" s="1292"/>
      <c r="AV49" s="1292"/>
      <c r="AW49" s="1292"/>
      <c r="AX49" s="1292"/>
      <c r="AY49" s="1292"/>
      <c r="AZ49" s="1292"/>
      <c r="BA49" s="1292"/>
      <c r="BB49" s="1293"/>
      <c r="BC49" s="1289" t="s">
        <v>344</v>
      </c>
      <c r="BD49" s="1290"/>
      <c r="BE49" s="1290"/>
      <c r="BF49" s="1290"/>
      <c r="BG49" s="1290"/>
      <c r="BH49" s="1290"/>
      <c r="BI49" s="1290"/>
      <c r="BJ49" s="1290"/>
      <c r="BK49" s="1290"/>
      <c r="BL49" s="1290"/>
      <c r="BM49" s="1290"/>
      <c r="BN49" s="1296"/>
      <c r="BO49" s="1291" t="s">
        <v>345</v>
      </c>
      <c r="BP49" s="1292"/>
      <c r="BQ49" s="1292"/>
      <c r="BR49" s="1292"/>
      <c r="BS49" s="1292"/>
      <c r="BT49" s="1292"/>
      <c r="BU49" s="1292"/>
      <c r="BV49" s="1292"/>
      <c r="BW49" s="1292"/>
      <c r="BX49" s="1292"/>
      <c r="BY49" s="1292"/>
      <c r="BZ49" s="1293"/>
    </row>
    <row r="50" spans="6:78" ht="48" customHeight="1" thickBot="1">
      <c r="F50" s="7" t="s">
        <v>0</v>
      </c>
      <c r="G50" s="38" t="str">
        <f ca="1">G23</f>
        <v>מוטה קרקע PV</v>
      </c>
      <c r="H50" s="38" t="str">
        <f t="shared" ref="H50:BU50" ca="1" si="125">H23</f>
        <v>מוטה דואלי PV</v>
      </c>
      <c r="I50" s="38" t="str">
        <f t="shared" ca="1" si="125"/>
        <v>רוח</v>
      </c>
      <c r="J50" s="38" t="str">
        <f t="shared" ca="1" si="125"/>
        <v>ביומסה/ביוגז</v>
      </c>
      <c r="K50" s="38" t="str">
        <f t="shared" ca="1" si="125"/>
        <v>תרמו סולארי</v>
      </c>
      <c r="L50" s="38" t="str">
        <f t="shared" si="125"/>
        <v>אחר</v>
      </c>
      <c r="M50" s="38" t="str">
        <f t="shared" ca="1" si="125"/>
        <v>גז פחמיות מוסבות</v>
      </c>
      <c r="N50" s="38" t="str">
        <f t="shared" ca="1" si="125"/>
        <v>גז חח"י מחזמים ופקירים ויח"פים</v>
      </c>
      <c r="O50" s="38" t="str">
        <f t="shared" ca="1" si="125"/>
        <v>אחר 1</v>
      </c>
      <c r="P50" s="38" t="str">
        <f t="shared" ca="1" si="125"/>
        <v>אחר 2</v>
      </c>
      <c r="Q50" s="38" t="str">
        <f t="shared" si="125"/>
        <v>יחידה פחמית</v>
      </c>
      <c r="R50" s="38" t="str">
        <f t="shared" si="125"/>
        <v>סולר ופצלי שמן</v>
      </c>
      <c r="S50" s="48" t="str">
        <f t="shared" ca="1" si="125"/>
        <v>מוטה קרקע PV</v>
      </c>
      <c r="T50" s="48" t="str">
        <f t="shared" ca="1" si="125"/>
        <v>מוטה דואלי PV</v>
      </c>
      <c r="U50" s="48" t="str">
        <f t="shared" ca="1" si="125"/>
        <v>רוח</v>
      </c>
      <c r="V50" s="48" t="str">
        <f t="shared" ca="1" si="125"/>
        <v>ביומסה/ביוגז</v>
      </c>
      <c r="W50" s="48" t="str">
        <f t="shared" ca="1" si="125"/>
        <v>תרמו סולארי</v>
      </c>
      <c r="X50" s="48" t="str">
        <f t="shared" si="125"/>
        <v>אחר</v>
      </c>
      <c r="Y50" s="48" t="str">
        <f t="shared" ca="1" si="125"/>
        <v>גז פחמיות מוסבות</v>
      </c>
      <c r="Z50" s="48" t="str">
        <f t="shared" ref="Z50:AD50" ca="1" si="126">Z23</f>
        <v>גז חח"י מחזמים ופקירים ויח"פים</v>
      </c>
      <c r="AA50" s="48" t="str">
        <f t="shared" ca="1" si="126"/>
        <v>אחר 1</v>
      </c>
      <c r="AB50" s="48" t="str">
        <f t="shared" ca="1" si="126"/>
        <v>אחר 2</v>
      </c>
      <c r="AC50" s="48" t="str">
        <f t="shared" si="126"/>
        <v>יחידה פחמית</v>
      </c>
      <c r="AD50" s="48" t="str">
        <f t="shared" si="126"/>
        <v>סולר ופצלי שמן</v>
      </c>
      <c r="AE50" s="38" t="str">
        <f t="shared" ref="AE50:BB50" ca="1" si="127">AE23</f>
        <v>מוטה קרקע PV</v>
      </c>
      <c r="AF50" s="38" t="str">
        <f t="shared" ca="1" si="127"/>
        <v>מוטה דואלי PV</v>
      </c>
      <c r="AG50" s="38" t="str">
        <f t="shared" ca="1" si="127"/>
        <v>רוח</v>
      </c>
      <c r="AH50" s="38" t="str">
        <f t="shared" ca="1" si="127"/>
        <v>ביומסה/ביוגז</v>
      </c>
      <c r="AI50" s="38" t="str">
        <f t="shared" ca="1" si="127"/>
        <v>תרמו סולארי</v>
      </c>
      <c r="AJ50" s="38" t="str">
        <f t="shared" si="127"/>
        <v>אחר</v>
      </c>
      <c r="AK50" s="38" t="str">
        <f t="shared" ca="1" si="127"/>
        <v>גז פחמיות מוסבות</v>
      </c>
      <c r="AL50" s="38" t="str">
        <f t="shared" ca="1" si="127"/>
        <v>גז חח"י מחזמים ופקירים ויח"פים</v>
      </c>
      <c r="AM50" s="38" t="str">
        <f t="shared" ca="1" si="127"/>
        <v>אחר 1</v>
      </c>
      <c r="AN50" s="38" t="str">
        <f t="shared" ca="1" si="127"/>
        <v>אחר 2</v>
      </c>
      <c r="AO50" s="38" t="str">
        <f t="shared" si="127"/>
        <v>יחידה פחמית</v>
      </c>
      <c r="AP50" s="38" t="str">
        <f t="shared" si="127"/>
        <v>סולר ופצלי שמן</v>
      </c>
      <c r="AQ50" s="48" t="str">
        <f t="shared" ca="1" si="127"/>
        <v>מוטה קרקע PV</v>
      </c>
      <c r="AR50" s="48" t="str">
        <f t="shared" ca="1" si="127"/>
        <v>מוטה דואלי PV</v>
      </c>
      <c r="AS50" s="48" t="str">
        <f t="shared" ca="1" si="127"/>
        <v>רוח</v>
      </c>
      <c r="AT50" s="48" t="str">
        <f t="shared" ca="1" si="127"/>
        <v>ביומסה/ביוגז</v>
      </c>
      <c r="AU50" s="48" t="str">
        <f t="shared" ca="1" si="127"/>
        <v>תרמו סולארי</v>
      </c>
      <c r="AV50" s="48" t="str">
        <f t="shared" si="127"/>
        <v>אחר</v>
      </c>
      <c r="AW50" s="48" t="str">
        <f t="shared" ca="1" si="127"/>
        <v>גז פחמיות מוסבות</v>
      </c>
      <c r="AX50" s="48" t="str">
        <f t="shared" ca="1" si="127"/>
        <v>גז חח"י מחזמים ופקירים ויח"פים</v>
      </c>
      <c r="AY50" s="48" t="str">
        <f t="shared" ca="1" si="127"/>
        <v>אחר 1</v>
      </c>
      <c r="AZ50" s="48" t="str">
        <f t="shared" ca="1" si="127"/>
        <v>אחר 2</v>
      </c>
      <c r="BA50" s="48" t="str">
        <f t="shared" si="127"/>
        <v>יחידה פחמית</v>
      </c>
      <c r="BB50" s="48" t="str">
        <f t="shared" si="127"/>
        <v>סולר ופצלי שמן</v>
      </c>
      <c r="BC50" s="38" t="str">
        <f t="shared" ca="1" si="125"/>
        <v>מוטה קרקע PV</v>
      </c>
      <c r="BD50" s="38" t="str">
        <f t="shared" ca="1" si="125"/>
        <v>מוטה דואלי PV</v>
      </c>
      <c r="BE50" s="38" t="str">
        <f t="shared" ca="1" si="125"/>
        <v>רוח</v>
      </c>
      <c r="BF50" s="38" t="str">
        <f t="shared" ca="1" si="125"/>
        <v>ביומסה/ביוגז</v>
      </c>
      <c r="BG50" s="38" t="str">
        <f t="shared" ca="1" si="125"/>
        <v>תרמו סולארי</v>
      </c>
      <c r="BH50" s="38" t="str">
        <f t="shared" si="125"/>
        <v>אחר</v>
      </c>
      <c r="BI50" s="38" t="str">
        <f t="shared" ca="1" si="125"/>
        <v>גז פחמיות מוסבות</v>
      </c>
      <c r="BJ50" s="38" t="str">
        <f t="shared" ref="BJ50:BN50" ca="1" si="128">BJ23</f>
        <v>גז חח"י מחזמים ופקירים ויח"פים</v>
      </c>
      <c r="BK50" s="38" t="str">
        <f t="shared" ca="1" si="128"/>
        <v>אחר 1</v>
      </c>
      <c r="BL50" s="38" t="str">
        <f t="shared" ca="1" si="128"/>
        <v>אחר 2</v>
      </c>
      <c r="BM50" s="38" t="str">
        <f t="shared" si="128"/>
        <v>יחידה פחמית</v>
      </c>
      <c r="BN50" s="38" t="str">
        <f t="shared" si="128"/>
        <v>סולר ופצלי שמן</v>
      </c>
      <c r="BO50" s="48" t="str">
        <f t="shared" ca="1" si="125"/>
        <v>מוטה קרקע PV</v>
      </c>
      <c r="BP50" s="48" t="str">
        <f t="shared" ca="1" si="125"/>
        <v>מוטה דואלי PV</v>
      </c>
      <c r="BQ50" s="48" t="str">
        <f t="shared" ca="1" si="125"/>
        <v>רוח</v>
      </c>
      <c r="BR50" s="48" t="str">
        <f t="shared" ca="1" si="125"/>
        <v>ביומסה/ביוגז</v>
      </c>
      <c r="BS50" s="48" t="str">
        <f t="shared" ca="1" si="125"/>
        <v>תרמו סולארי</v>
      </c>
      <c r="BT50" s="48" t="str">
        <f t="shared" si="125"/>
        <v>אחר</v>
      </c>
      <c r="BU50" s="48" t="str">
        <f t="shared" ca="1" si="125"/>
        <v>גז פחמיות מוסבות</v>
      </c>
      <c r="BV50" s="48" t="str">
        <f t="shared" ref="BV50:BZ50" ca="1" si="129">BV23</f>
        <v>גז חח"י מחזמים ופקירים ויח"פים</v>
      </c>
      <c r="BW50" s="48" t="str">
        <f t="shared" ca="1" si="129"/>
        <v>אחר 1</v>
      </c>
      <c r="BX50" s="48" t="str">
        <f t="shared" ca="1" si="129"/>
        <v>אחר 2</v>
      </c>
      <c r="BY50" s="48" t="str">
        <f t="shared" si="129"/>
        <v>יחידה פחמית</v>
      </c>
      <c r="BZ50" s="48" t="str">
        <f t="shared" si="129"/>
        <v>סולר ופצלי שמן</v>
      </c>
    </row>
    <row r="51" spans="6:78" ht="15.75">
      <c r="F51" s="8">
        <f>D4</f>
        <v>2020</v>
      </c>
      <c r="G51" s="39">
        <f ca="1">IF($F51&gt;$D$5,0,VLOOKUP($F51,$F$24:$BZ$44,G$2-$E$2,FALSE)*$D$11*$D$14*(1+$D$13)^($F51-'הנחות עבודה'!$C$5)/$D$11)</f>
        <v>0</v>
      </c>
      <c r="H51" s="41">
        <f ca="1">IF($F51&gt;$D$5,0,VLOOKUP($F51,$F$24:$BZ$44,H$2-$E$2,FALSE)*$D$11*$D$14*(1+$D$13)^($F51-'הנחות עבודה'!$C$5)/$D$11)</f>
        <v>0</v>
      </c>
      <c r="I51" s="41">
        <f ca="1">IF($F51&gt;$D$5,0,VLOOKUP($F51,$F$24:$BZ$44,I$2-$E$2,FALSE)*$D$11*$D$14*(1+$D$13)^($F51-'הנחות עבודה'!$C$5)/$D$11)</f>
        <v>0</v>
      </c>
      <c r="J51" s="41">
        <f ca="1">IF($F51&gt;$D$5,0,VLOOKUP($F51,$F$24:$BZ$44,J$2-$E$2,FALSE)*$D$11*$D$14*(1+$D$13)^($F51-'הנחות עבודה'!$C$5)/$D$11)</f>
        <v>0</v>
      </c>
      <c r="K51" s="41">
        <f ca="1">IF($F51&gt;$D$5,0,VLOOKUP($F51,$F$24:$BZ$44,K$2-$E$2,FALSE)*$D$11*$D$14*(1+$D$13)^($F51-'הנחות עבודה'!$C$5)/$D$11)</f>
        <v>0</v>
      </c>
      <c r="L51" s="41">
        <f ca="1">IF($F51&gt;$D$5,0,VLOOKUP($F51,$F$24:$BZ$44,L$2-$E$2,FALSE)*$D$11*$D$14*(1+$D$13)^($F51-'הנחות עבודה'!$C$5)/$D$11)</f>
        <v>0</v>
      </c>
      <c r="M51" s="39">
        <f ca="1">IF($F51&gt;$D$5,0,VLOOKUP($F51,$F$24:$BZ$44,M$2-$E$2,FALSE)*$D$11*$D$14*(1+$D$13)^($F51-'הנחות עבודה'!$C$5)/$D$11)</f>
        <v>0</v>
      </c>
      <c r="N51" s="39">
        <f ca="1">IF($F51&gt;$D$5,0,VLOOKUP($F51,$F$24:$BZ$44,N$2-$E$2,FALSE)*$D$11*$D$14*(1+$D$13)^($F51-'הנחות עבודה'!$C$5)/$D$11)</f>
        <v>2516.3169052140001</v>
      </c>
      <c r="O51" s="39">
        <f ca="1">IF($F51&gt;$D$5,0,VLOOKUP($F51,$F$24:$BZ$44,O$2-$E$2,FALSE)*$D$11*$D$14*(1+$D$13)^($F51-'הנחות עבודה'!$C$5)/$D$11)</f>
        <v>0</v>
      </c>
      <c r="P51" s="40">
        <f ca="1">IF($F51&gt;$D$5,0,VLOOKUP($F51,$F$24:$BZ$44,P$2-$E$2,FALSE)*$D$11*$D$14*(1+$D$13)^($F51-'הנחות עבודה'!$C$5)/$D$11)</f>
        <v>0</v>
      </c>
      <c r="Q51" s="39">
        <f ca="1">IF($F51&gt;$D$5,0,VLOOKUP($F51,$F$24:$BZ$44,Q$2-$E$2,FALSE)*$D$11*$D$14*(1+$D$13)^($F51-'הנחות עבודה'!$C$5)/$D$11)</f>
        <v>2151.0325760000001</v>
      </c>
      <c r="R51" s="40">
        <f ca="1">IF($F51&gt;$D$5,0,VLOOKUP($F51,$F$24:$BZ$44,R$2-$E$2,FALSE)*$D$11*$D$14*(1+$D$13)^($F51-'הנחות עבודה'!$C$5)/$D$11)</f>
        <v>0</v>
      </c>
      <c r="S51" s="49">
        <f ca="1">IF($F51&gt;$D$5,0,VLOOKUP($F51,$F$24:$BZ$44,S$2-$E$2,FALSE)*$D$11*$D$14*(1+$D$13)^($F51-'הנחות עבודה'!$C$5)/$D$11)</f>
        <v>0</v>
      </c>
      <c r="T51" s="126">
        <f ca="1">IF($F51&gt;$D$5,0,VLOOKUP($F51,$F$24:$BZ$44,T$2-$E$2,FALSE)*$D$11*$D$14*(1+$D$13)^($F51-'הנחות עבודה'!$C$5)/$D$11)</f>
        <v>0</v>
      </c>
      <c r="U51" s="126">
        <f ca="1">IF($F51&gt;$D$5,0,VLOOKUP($F51,$F$24:$BZ$44,U$2-$E$2,FALSE)*$D$11*$D$14*(1+$D$13)^($F51-'הנחות עבודה'!$C$5)/$D$11)</f>
        <v>0</v>
      </c>
      <c r="V51" s="126">
        <f ca="1">IF($F51&gt;$D$5,0,VLOOKUP($F51,$F$24:$BZ$44,V$2-$E$2,FALSE)*$D$11*$D$14*(1+$D$13)^($F51-'הנחות עבודה'!$C$5)/$D$11)</f>
        <v>0</v>
      </c>
      <c r="W51" s="126">
        <f ca="1">IF($F51&gt;$D$5,0,VLOOKUP($F51,$F$24:$BZ$44,W$2-$E$2,FALSE)*$D$11*$D$14*(1+$D$13)^($F51-'הנחות עבודה'!$C$5)/$D$11)</f>
        <v>0</v>
      </c>
      <c r="X51" s="126">
        <f ca="1">IF($F51&gt;$D$5,0,VLOOKUP($F51,$F$24:$BZ$44,X$2-$E$2,FALSE)*$D$11*$D$14*(1+$D$13)^($F51-'הנחות עבודה'!$C$5)/$D$11)</f>
        <v>0</v>
      </c>
      <c r="Y51" s="49">
        <f ca="1">IF($F51&gt;$D$5,0,VLOOKUP($F51,$F$24:$BZ$44,Y$2-$E$2,FALSE)*$D$11*$D$14*(1+$D$13)^($F51-'הנחות עבודה'!$C$5)/$D$11)</f>
        <v>0</v>
      </c>
      <c r="Z51" s="49">
        <f ca="1">IF($F51&gt;$D$5,0,VLOOKUP($F51,$F$24:$BZ$44,Z$2-$E$2,FALSE)*$D$11*$D$14*(1+$D$13)^($F51-'הנחות עבודה'!$C$5)/$D$11)</f>
        <v>2516.3169052140001</v>
      </c>
      <c r="AA51" s="49">
        <f ca="1">IF($F51&gt;$D$5,0,VLOOKUP($F51,$F$24:$BZ$44,AA$2-$E$2,FALSE)*$D$11*$D$14*(1+$D$13)^($F51-'הנחות עבודה'!$C$5)/$D$11)</f>
        <v>0</v>
      </c>
      <c r="AB51" s="49">
        <f ca="1">IF($F51&gt;$D$5,0,VLOOKUP($F51,$F$24:$BZ$44,AB$2-$E$2,FALSE)*$D$11*$D$14*(1+$D$13)^($F51-'הנחות עבודה'!$C$5)/$D$11)</f>
        <v>0</v>
      </c>
      <c r="AC51" s="49">
        <f ca="1">IF($F51&gt;$D$5,0,VLOOKUP($F51,$F$24:$BZ$44,AC$2-$E$2,FALSE)*$D$11*$D$14*(1+$D$13)^($F51-'הנחות עבודה'!$C$5)/$D$11)</f>
        <v>2151.0325760000001</v>
      </c>
      <c r="AD51" s="49">
        <f ca="1">IF($F51&gt;$D$5,0,VLOOKUP($F51,$F$24:$BZ$44,AD$2-$E$2,FALSE)*$D$11*$D$14*(1+$D$13)^($F51-'הנחות עבודה'!$C$5)/$D$11)</f>
        <v>0</v>
      </c>
      <c r="AE51" s="39">
        <f ca="1">IF($F51&gt;$D$5,0,VLOOKUP($F51,$F$24:$BZ$44,AE$2-$E$2,FALSE)*$D$11*$D$14*(1+$D$13)^($F51-'הנחות עבודה'!$C$5)/$D$11)</f>
        <v>0</v>
      </c>
      <c r="AF51" s="41">
        <f ca="1">IF($F51&gt;$D$5,0,VLOOKUP($F51,$F$24:$BZ$44,AF$2-$E$2,FALSE)*$D$11*$D$14*(1+$D$13)^($F51-'הנחות עבודה'!$C$5)/$D$11)</f>
        <v>0</v>
      </c>
      <c r="AG51" s="41">
        <f ca="1">IF($F51&gt;$D$5,0,VLOOKUP($F51,$F$24:$BZ$44,AG$2-$E$2,FALSE)*$D$11*$D$14*(1+$D$13)^($F51-'הנחות עבודה'!$C$5)/$D$11)</f>
        <v>0</v>
      </c>
      <c r="AH51" s="41">
        <f ca="1">IF($F51&gt;$D$5,0,VLOOKUP($F51,$F$24:$BZ$44,AH$2-$E$2,FALSE)*$D$11*$D$14*(1+$D$13)^($F51-'הנחות עבודה'!$C$5)/$D$11)</f>
        <v>0</v>
      </c>
      <c r="AI51" s="41">
        <f ca="1">IF($F51&gt;$D$5,0,VLOOKUP($F51,$F$24:$BZ$44,AI$2-$E$2,FALSE)*$D$11*$D$14*(1+$D$13)^($F51-'הנחות עבודה'!$C$5)/$D$11)</f>
        <v>0</v>
      </c>
      <c r="AJ51" s="41">
        <f ca="1">IF($F51&gt;$D$5,0,VLOOKUP($F51,$F$24:$BZ$44,AJ$2-$E$2,FALSE)*$D$11*$D$14*(1+$D$13)^($F51-'הנחות עבודה'!$C$5)/$D$11)</f>
        <v>0</v>
      </c>
      <c r="AK51" s="39">
        <f ca="1">IF($F51&gt;$D$5,0,VLOOKUP($F51,$F$24:$BZ$44,AK$2-$E$2,FALSE)*$D$11*$D$14*(1+$D$13)^($F51-'הנחות עבודה'!$C$5)/$D$11)</f>
        <v>0</v>
      </c>
      <c r="AL51" s="39">
        <f ca="1">IF($F51&gt;$D$5,0,VLOOKUP($F51,$F$24:$BZ$44,AL$2-$E$2,FALSE)*$D$11*$D$14*(1+$D$13)^($F51-'הנחות עבודה'!$C$5)/$D$11)</f>
        <v>2516.3169052140001</v>
      </c>
      <c r="AM51" s="39">
        <f ca="1">IF($F51&gt;$D$5,0,VLOOKUP($F51,$F$24:$BZ$44,AM$2-$E$2,FALSE)*$D$11*$D$14*(1+$D$13)^($F51-'הנחות עבודה'!$C$5)/$D$11)</f>
        <v>0</v>
      </c>
      <c r="AN51" s="40">
        <f ca="1">IF($F51&gt;$D$5,0,VLOOKUP($F51,$F$24:$BZ$44,AN$2-$E$2,FALSE)*$D$11*$D$14*(1+$D$13)^($F51-'הנחות עבודה'!$C$5)/$D$11)</f>
        <v>0</v>
      </c>
      <c r="AO51" s="39">
        <f ca="1">IF($F51&gt;$D$5,0,VLOOKUP($F51,$F$24:$BZ$44,AO$2-$E$2,FALSE)*$D$11*$D$14*(1+$D$13)^($F51-'הנחות עבודה'!$C$5)/$D$11)</f>
        <v>2151.0325760000001</v>
      </c>
      <c r="AP51" s="40">
        <f ca="1">IF($F51&gt;$D$5,0,VLOOKUP($F51,$F$24:$BZ$44,AP$2-$E$2,FALSE)*$D$11*$D$14*(1+$D$13)^($F51-'הנחות עבודה'!$C$5)/$D$11)</f>
        <v>0</v>
      </c>
      <c r="AQ51" s="49">
        <f ca="1">IF($F51&gt;$D$5,0,VLOOKUP($F51,$F$24:$BZ$44,AQ$2-$E$2,FALSE)*$D$11*$D$14*(1+$D$13)^($F51-'הנחות עבודה'!$C$5)/$D$11)</f>
        <v>0</v>
      </c>
      <c r="AR51" s="126">
        <f ca="1">IF($F51&gt;$D$5,0,VLOOKUP($F51,$F$24:$BZ$44,AR$2-$E$2,FALSE)*$D$11*$D$14*(1+$D$13)^($F51-'הנחות עבודה'!$C$5)/$D$11)</f>
        <v>0</v>
      </c>
      <c r="AS51" s="126">
        <f ca="1">IF($F51&gt;$D$5,0,VLOOKUP($F51,$F$24:$BZ$44,AS$2-$E$2,FALSE)*$D$11*$D$14*(1+$D$13)^($F51-'הנחות עבודה'!$C$5)/$D$11)</f>
        <v>0</v>
      </c>
      <c r="AT51" s="126">
        <f ca="1">IF($F51&gt;$D$5,0,VLOOKUP($F51,$F$24:$BZ$44,AT$2-$E$2,FALSE)*$D$11*$D$14*(1+$D$13)^($F51-'הנחות עבודה'!$C$5)/$D$11)</f>
        <v>0</v>
      </c>
      <c r="AU51" s="126">
        <f ca="1">IF($F51&gt;$D$5,0,VLOOKUP($F51,$F$24:$BZ$44,AU$2-$E$2,FALSE)*$D$11*$D$14*(1+$D$13)^($F51-'הנחות עבודה'!$C$5)/$D$11)</f>
        <v>0</v>
      </c>
      <c r="AV51" s="126">
        <f ca="1">IF($F51&gt;$D$5,0,VLOOKUP($F51,$F$24:$BZ$44,AV$2-$E$2,FALSE)*$D$11*$D$14*(1+$D$13)^($F51-'הנחות עבודה'!$C$5)/$D$11)</f>
        <v>0</v>
      </c>
      <c r="AW51" s="49">
        <f ca="1">IF($F51&gt;$D$5,0,VLOOKUP($F51,$F$24:$BZ$44,AW$2-$E$2,FALSE)*$D$11*$D$14*(1+$D$13)^($F51-'הנחות עבודה'!$C$5)/$D$11)</f>
        <v>0</v>
      </c>
      <c r="AX51" s="49">
        <f ca="1">IF($F51&gt;$D$5,0,VLOOKUP($F51,$F$24:$BZ$44,AX$2-$E$2,FALSE)*$D$11*$D$14*(1+$D$13)^($F51-'הנחות עבודה'!$C$5)/$D$11)</f>
        <v>2516.3169052140001</v>
      </c>
      <c r="AY51" s="49">
        <f ca="1">IF($F51&gt;$D$5,0,VLOOKUP($F51,$F$24:$BZ$44,AY$2-$E$2,FALSE)*$D$11*$D$14*(1+$D$13)^($F51-'הנחות עבודה'!$C$5)/$D$11)</f>
        <v>0</v>
      </c>
      <c r="AZ51" s="49">
        <f ca="1">IF($F51&gt;$D$5,0,VLOOKUP($F51,$F$24:$BZ$44,AZ$2-$E$2,FALSE)*$D$11*$D$14*(1+$D$13)^($F51-'הנחות עבודה'!$C$5)/$D$11)</f>
        <v>0</v>
      </c>
      <c r="BA51" s="49">
        <f ca="1">IF($F51&gt;$D$5,0,VLOOKUP($F51,$F$24:$BZ$44,BA$2-$E$2,FALSE)*$D$11*$D$14*(1+$D$13)^($F51-'הנחות עבודה'!$C$5)/$D$11)</f>
        <v>2151.0325760000001</v>
      </c>
      <c r="BB51" s="49">
        <f ca="1">IF($F51&gt;$D$5,0,VLOOKUP($F51,$F$24:$BZ$44,BB$2-$E$2,FALSE)*$D$11*$D$14*(1+$D$13)^($F51-'הנחות עבודה'!$C$5)/$D$11)</f>
        <v>0</v>
      </c>
      <c r="BC51" s="39">
        <f ca="1">IF($F51&gt;$D$5,0,VLOOKUP($F51,$F$24:$BZ$44,BC$2-$E$2,FALSE)*$D$11*$D$14*(1+$D$13)^($F51-'הנחות עבודה'!$C$5)/$D$11)</f>
        <v>0</v>
      </c>
      <c r="BD51" s="41">
        <f ca="1">IF($F51&gt;$D$5,0,VLOOKUP($F51,$F$24:$BZ$44,BD$2-$E$2,FALSE)*$D$11*$D$14*(1+$D$13)^($F51-'הנחות עבודה'!$C$5)/$D$11)</f>
        <v>0</v>
      </c>
      <c r="BE51" s="41">
        <f ca="1">IF($F51&gt;$D$5,0,VLOOKUP($F51,$F$24:$BZ$44,BE$2-$E$2,FALSE)*$D$11*$D$14*(1+$D$13)^($F51-'הנחות עבודה'!$C$5)/$D$11)</f>
        <v>0</v>
      </c>
      <c r="BF51" s="41">
        <f ca="1">IF($F51&gt;$D$5,0,VLOOKUP($F51,$F$24:$BZ$44,BF$2-$E$2,FALSE)*$D$11*$D$14*(1+$D$13)^($F51-'הנחות עבודה'!$C$5)/$D$11)</f>
        <v>0</v>
      </c>
      <c r="BG51" s="41">
        <f ca="1">IF($F51&gt;$D$5,0,VLOOKUP($F51,$F$24:$BZ$44,BG$2-$E$2,FALSE)*$D$11*$D$14*(1+$D$13)^($F51-'הנחות עבודה'!$C$5)/$D$11)</f>
        <v>0</v>
      </c>
      <c r="BH51" s="41">
        <f ca="1">IF($F51&gt;$D$5,0,VLOOKUP($F51,$F$24:$BZ$44,BH$2-$E$2,FALSE)*$D$11*$D$14*(1+$D$13)^($F51-'הנחות עבודה'!$C$5)/$D$11)</f>
        <v>0</v>
      </c>
      <c r="BI51" s="39">
        <f ca="1">IF($F51&gt;$D$5,0,VLOOKUP($F51,$F$24:$BZ$44,BI$2-$E$2,FALSE)*$D$11*$D$14*(1+$D$13)^($F51-'הנחות עבודה'!$C$5)/$D$11)</f>
        <v>0</v>
      </c>
      <c r="BJ51" s="39">
        <f ca="1">IF($F51&gt;$D$5,0,VLOOKUP($F51,$F$24:$BZ$44,BJ$2-$E$2,FALSE)*$D$11*$D$14*(1+$D$13)^($F51-'הנחות עבודה'!$C$5)/$D$11)</f>
        <v>2516.3169052140001</v>
      </c>
      <c r="BK51" s="39">
        <f ca="1">IF($F51&gt;$D$5,0,VLOOKUP($F51,$F$24:$BZ$44,BK$2-$E$2,FALSE)*$D$11*$D$14*(1+$D$13)^($F51-'הנחות עבודה'!$C$5)/$D$11)</f>
        <v>0</v>
      </c>
      <c r="BL51" s="39">
        <f ca="1">IF($F51&gt;$D$5,0,VLOOKUP($F51,$F$24:$BZ$44,BL$2-$E$2,FALSE)*$D$11*$D$14*(1+$D$13)^($F51-'הנחות עבודה'!$C$5)/$D$11)</f>
        <v>0</v>
      </c>
      <c r="BM51" s="39">
        <f ca="1">IF($F51&gt;$D$5,0,VLOOKUP($F51,$F$24:$BZ$44,BM$2-$E$2,FALSE)*$D$11*$D$14*(1+$D$13)^($F51-'הנחות עבודה'!$C$5)/$D$11)</f>
        <v>2151.0325760000001</v>
      </c>
      <c r="BN51" s="39">
        <f ca="1">IF($F51&gt;$D$5,0,VLOOKUP($F51,$F$24:$BZ$44,BN$2-$E$2,FALSE)*$D$11*$D$14*(1+$D$13)^($F51-'הנחות עבודה'!$C$5)/$D$11)</f>
        <v>0</v>
      </c>
      <c r="BO51" s="49">
        <f ca="1">IF($F51&gt;$D$5,0,VLOOKUP($F51,$F$24:$BZ$44,BO$2-$E$2,FALSE)*$D$11*$D$14*(1+$D$13)^($F51-'הנחות עבודה'!$C$5)/$D$11)</f>
        <v>0</v>
      </c>
      <c r="BP51" s="126">
        <f ca="1">IF($F51&gt;$D$5,0,VLOOKUP($F51,$F$24:$BZ$44,BP$2-$E$2,FALSE)*$D$11*$D$14*(1+$D$13)^($F51-'הנחות עבודה'!$C$5)/$D$11)</f>
        <v>0</v>
      </c>
      <c r="BQ51" s="126">
        <f ca="1">IF($F51&gt;$D$5,0,VLOOKUP($F51,$F$24:$BZ$44,BQ$2-$E$2,FALSE)*$D$11*$D$14*(1+$D$13)^($F51-'הנחות עבודה'!$C$5)/$D$11)</f>
        <v>0</v>
      </c>
      <c r="BR51" s="126">
        <f ca="1">IF($F51&gt;$D$5,0,VLOOKUP($F51,$F$24:$BZ$44,BR$2-$E$2,FALSE)*$D$11*$D$14*(1+$D$13)^($F51-'הנחות עבודה'!$C$5)/$D$11)</f>
        <v>0</v>
      </c>
      <c r="BS51" s="126">
        <f ca="1">IF($F51&gt;$D$5,0,VLOOKUP($F51,$F$24:$BZ$44,BS$2-$E$2,FALSE)*$D$11*$D$14*(1+$D$13)^($F51-'הנחות עבודה'!$C$5)/$D$11)</f>
        <v>0</v>
      </c>
      <c r="BT51" s="126">
        <f ca="1">IF($F51&gt;$D$5,0,VLOOKUP($F51,$F$24:$BZ$44,BT$2-$E$2,FALSE)*$D$11*$D$14*(1+$D$13)^($F51-'הנחות עבודה'!$C$5)/$D$11)</f>
        <v>0</v>
      </c>
      <c r="BU51" s="49">
        <f ca="1">IF($F51&gt;$D$5,0,VLOOKUP($F51,$F$24:$BZ$44,BU$2-$E$2,FALSE)*$D$11*$D$14*(1+$D$13)^($F51-'הנחות עבודה'!$C$5)/$D$11)</f>
        <v>0</v>
      </c>
      <c r="BV51" s="49">
        <f ca="1">IF($F51&gt;$D$5,0,VLOOKUP($F51,$F$24:$BZ$44,BV$2-$E$2,FALSE)*$D$11*$D$14*(1+$D$13)^($F51-'הנחות עבודה'!$C$5)/$D$11)</f>
        <v>2516.3169052140001</v>
      </c>
      <c r="BW51" s="49">
        <f ca="1">IF($F51&gt;$D$5,0,VLOOKUP($F51,$F$24:$BZ$44,BW$2-$E$2,FALSE)*$D$11*$D$14*(1+$D$13)^($F51-'הנחות עבודה'!$C$5)/$D$11)</f>
        <v>0</v>
      </c>
      <c r="BX51" s="49">
        <f ca="1">IF($F51&gt;$D$5,0,VLOOKUP($F51,$F$24:$BZ$44,BX$2-$E$2,FALSE)*$D$11*$D$14*(1+$D$13)^($F51-'הנחות עבודה'!$C$5)/$D$11)</f>
        <v>0</v>
      </c>
      <c r="BY51" s="49">
        <f ca="1">IF($F51&gt;$D$5,0,VLOOKUP($F51,$F$24:$BZ$44,BY$2-$E$2,FALSE)*$D$11*$D$14*(1+$D$13)^($F51-'הנחות עבודה'!$C$5)/$D$11)</f>
        <v>2151.0325760000001</v>
      </c>
      <c r="BZ51" s="49">
        <f ca="1">IF($F51&gt;$D$5,0,VLOOKUP($F51,$F$24:$BZ$44,BZ$2-$E$2,FALSE)*$D$11*$D$14*(1+$D$13)^($F51-'הנחות עבודה'!$C$5)/$D$11)</f>
        <v>0</v>
      </c>
    </row>
    <row r="52" spans="6:78" ht="15.75">
      <c r="F52" s="10">
        <f>F51+1</f>
        <v>2021</v>
      </c>
      <c r="G52" s="42">
        <f ca="1">IF($F52&gt;$D$5,0,VLOOKUP($F52,$F$24:$BZ$44,G$2-$E$2,FALSE)*$D$11*$D$14*(1+$D$13)^($F52-'הנחות עבודה'!$C$5)/$D$11)</f>
        <v>0</v>
      </c>
      <c r="H52" s="44">
        <f ca="1">IF($F52&gt;$D$5,0,VLOOKUP($F52,$F$24:$BZ$44,H$2-$E$2,FALSE)*$D$11*$D$14*(1+$D$13)^($F52-'הנחות עבודה'!$C$5)/$D$11)</f>
        <v>0</v>
      </c>
      <c r="I52" s="44">
        <f ca="1">IF($F52&gt;$D$5,0,VLOOKUP($F52,$F$24:$BZ$44,I$2-$E$2,FALSE)*$D$11*$D$14*(1+$D$13)^($F52-'הנחות עבודה'!$C$5)/$D$11)</f>
        <v>0</v>
      </c>
      <c r="J52" s="44">
        <f ca="1">IF($F52&gt;$D$5,0,VLOOKUP($F52,$F$24:$BZ$44,J$2-$E$2,FALSE)*$D$11*$D$14*(1+$D$13)^($F52-'הנחות עבודה'!$C$5)/$D$11)</f>
        <v>0</v>
      </c>
      <c r="K52" s="44">
        <f ca="1">IF($F52&gt;$D$5,0,VLOOKUP($F52,$F$24:$BZ$44,K$2-$E$2,FALSE)*$D$11*$D$14*(1+$D$13)^($F52-'הנחות עבודה'!$C$5)/$D$11)</f>
        <v>0</v>
      </c>
      <c r="L52" s="44">
        <f ca="1">IF($F52&gt;$D$5,0,VLOOKUP($F52,$F$24:$BZ$44,L$2-$E$2,FALSE)*$D$11*$D$14*(1+$D$13)^($F52-'הנחות עבודה'!$C$5)/$D$11)</f>
        <v>0</v>
      </c>
      <c r="M52" s="42">
        <f ca="1">IF($F52&gt;$D$5,0,VLOOKUP($F52,$F$24:$BZ$44,M$2-$E$2,FALSE)*$D$11*$D$14*(1+$D$13)^($F52-'הנחות עבודה'!$C$5)/$D$11)</f>
        <v>0</v>
      </c>
      <c r="N52" s="42">
        <f ca="1">IF($F52&gt;$D$5,0,VLOOKUP($F52,$F$24:$BZ$44,N$2-$E$2,FALSE)*$D$11*$D$14*(1+$D$13)^($F52-'הנחות עבודה'!$C$5)/$D$11)</f>
        <v>2647.3596791858495</v>
      </c>
      <c r="O52" s="42">
        <f ca="1">IF($F52&gt;$D$5,0,VLOOKUP($F52,$F$24:$BZ$44,O$2-$E$2,FALSE)*$D$11*$D$14*(1+$D$13)^($F52-'הנחות עבודה'!$C$5)/$D$11)</f>
        <v>0</v>
      </c>
      <c r="P52" s="43">
        <f ca="1">IF($F52&gt;$D$5,0,VLOOKUP($F52,$F$24:$BZ$44,P$2-$E$2,FALSE)*$D$11*$D$14*(1+$D$13)^($F52-'הנחות עבודה'!$C$5)/$D$11)</f>
        <v>0</v>
      </c>
      <c r="Q52" s="42">
        <f ca="1">IF($F52&gt;$D$5,0,VLOOKUP($F52,$F$24:$BZ$44,Q$2-$E$2,FALSE)*$D$11*$D$14*(1+$D$13)^($F52-'הנחות עבודה'!$C$5)/$D$11)</f>
        <v>2194.0532275199998</v>
      </c>
      <c r="R52" s="43">
        <f ca="1">IF($F52&gt;$D$5,0,VLOOKUP($F52,$F$24:$BZ$44,R$2-$E$2,FALSE)*$D$11*$D$14*(1+$D$13)^($F52-'הנחות עבודה'!$C$5)/$D$11)</f>
        <v>0</v>
      </c>
      <c r="S52" s="52">
        <f ca="1">IF($F52&gt;$D$5,0,VLOOKUP($F52,$F$24:$BZ$44,S$2-$E$2,FALSE)*$D$11*$D$14*(1+$D$13)^($F52-'הנחות עבודה'!$C$5)/$D$11)</f>
        <v>0</v>
      </c>
      <c r="T52" s="127">
        <f ca="1">IF($F52&gt;$D$5,0,VLOOKUP($F52,$F$24:$BZ$44,T$2-$E$2,FALSE)*$D$11*$D$14*(1+$D$13)^($F52-'הנחות עבודה'!$C$5)/$D$11)</f>
        <v>0</v>
      </c>
      <c r="U52" s="127">
        <f ca="1">IF($F52&gt;$D$5,0,VLOOKUP($F52,$F$24:$BZ$44,U$2-$E$2,FALSE)*$D$11*$D$14*(1+$D$13)^($F52-'הנחות עבודה'!$C$5)/$D$11)</f>
        <v>0</v>
      </c>
      <c r="V52" s="127">
        <f ca="1">IF($F52&gt;$D$5,0,VLOOKUP($F52,$F$24:$BZ$44,V$2-$E$2,FALSE)*$D$11*$D$14*(1+$D$13)^($F52-'הנחות עבודה'!$C$5)/$D$11)</f>
        <v>0</v>
      </c>
      <c r="W52" s="127">
        <f ca="1">IF($F52&gt;$D$5,0,VLOOKUP($F52,$F$24:$BZ$44,W$2-$E$2,FALSE)*$D$11*$D$14*(1+$D$13)^($F52-'הנחות עבודה'!$C$5)/$D$11)</f>
        <v>0</v>
      </c>
      <c r="X52" s="127">
        <f ca="1">IF($F52&gt;$D$5,0,VLOOKUP($F52,$F$24:$BZ$44,X$2-$E$2,FALSE)*$D$11*$D$14*(1+$D$13)^($F52-'הנחות עבודה'!$C$5)/$D$11)</f>
        <v>0</v>
      </c>
      <c r="Y52" s="52">
        <f ca="1">IF($F52&gt;$D$5,0,VLOOKUP($F52,$F$24:$BZ$44,Y$2-$E$2,FALSE)*$D$11*$D$14*(1+$D$13)^($F52-'הנחות עבודה'!$C$5)/$D$11)</f>
        <v>0</v>
      </c>
      <c r="Z52" s="52">
        <f ca="1">IF($F52&gt;$D$5,0,VLOOKUP($F52,$F$24:$BZ$44,Z$2-$E$2,FALSE)*$D$11*$D$14*(1+$D$13)^($F52-'הנחות עבודה'!$C$5)/$D$11)</f>
        <v>2647.3596791858495</v>
      </c>
      <c r="AA52" s="52">
        <f ca="1">IF($F52&gt;$D$5,0,VLOOKUP($F52,$F$24:$BZ$44,AA$2-$E$2,FALSE)*$D$11*$D$14*(1+$D$13)^($F52-'הנחות עבודה'!$C$5)/$D$11)</f>
        <v>0</v>
      </c>
      <c r="AB52" s="52">
        <f ca="1">IF($F52&gt;$D$5,0,VLOOKUP($F52,$F$24:$BZ$44,AB$2-$E$2,FALSE)*$D$11*$D$14*(1+$D$13)^($F52-'הנחות עבודה'!$C$5)/$D$11)</f>
        <v>0</v>
      </c>
      <c r="AC52" s="52">
        <f ca="1">IF($F52&gt;$D$5,0,VLOOKUP($F52,$F$24:$BZ$44,AC$2-$E$2,FALSE)*$D$11*$D$14*(1+$D$13)^($F52-'הנחות עבודה'!$C$5)/$D$11)</f>
        <v>2194.0532275199998</v>
      </c>
      <c r="AD52" s="52">
        <f ca="1">IF($F52&gt;$D$5,0,VLOOKUP($F52,$F$24:$BZ$44,AD$2-$E$2,FALSE)*$D$11*$D$14*(1+$D$13)^($F52-'הנחות עבודה'!$C$5)/$D$11)</f>
        <v>0</v>
      </c>
      <c r="AE52" s="42">
        <f ca="1">IF($F52&gt;$D$5,0,VLOOKUP($F52,$F$24:$BZ$44,AE$2-$E$2,FALSE)*$D$11*$D$14*(1+$D$13)^($F52-'הנחות עבודה'!$C$5)/$D$11)</f>
        <v>0</v>
      </c>
      <c r="AF52" s="44">
        <f ca="1">IF($F52&gt;$D$5,0,VLOOKUP($F52,$F$24:$BZ$44,AF$2-$E$2,FALSE)*$D$11*$D$14*(1+$D$13)^($F52-'הנחות עבודה'!$C$5)/$D$11)</f>
        <v>0</v>
      </c>
      <c r="AG52" s="44">
        <f ca="1">IF($F52&gt;$D$5,0,VLOOKUP($F52,$F$24:$BZ$44,AG$2-$E$2,FALSE)*$D$11*$D$14*(1+$D$13)^($F52-'הנחות עבודה'!$C$5)/$D$11)</f>
        <v>0</v>
      </c>
      <c r="AH52" s="44">
        <f ca="1">IF($F52&gt;$D$5,0,VLOOKUP($F52,$F$24:$BZ$44,AH$2-$E$2,FALSE)*$D$11*$D$14*(1+$D$13)^($F52-'הנחות עבודה'!$C$5)/$D$11)</f>
        <v>0</v>
      </c>
      <c r="AI52" s="44">
        <f ca="1">IF($F52&gt;$D$5,0,VLOOKUP($F52,$F$24:$BZ$44,AI$2-$E$2,FALSE)*$D$11*$D$14*(1+$D$13)^($F52-'הנחות עבודה'!$C$5)/$D$11)</f>
        <v>0</v>
      </c>
      <c r="AJ52" s="44">
        <f ca="1">IF($F52&gt;$D$5,0,VLOOKUP($F52,$F$24:$BZ$44,AJ$2-$E$2,FALSE)*$D$11*$D$14*(1+$D$13)^($F52-'הנחות עבודה'!$C$5)/$D$11)</f>
        <v>0</v>
      </c>
      <c r="AK52" s="42">
        <f ca="1">IF($F52&gt;$D$5,0,VLOOKUP($F52,$F$24:$BZ$44,AK$2-$E$2,FALSE)*$D$11*$D$14*(1+$D$13)^($F52-'הנחות עבודה'!$C$5)/$D$11)</f>
        <v>0</v>
      </c>
      <c r="AL52" s="42">
        <f ca="1">IF($F52&gt;$D$5,0,VLOOKUP($F52,$F$24:$BZ$44,AL$2-$E$2,FALSE)*$D$11*$D$14*(1+$D$13)^($F52-'הנחות עבודה'!$C$5)/$D$11)</f>
        <v>2611.2646470687841</v>
      </c>
      <c r="AM52" s="42">
        <f ca="1">IF($F52&gt;$D$5,0,VLOOKUP($F52,$F$24:$BZ$44,AM$2-$E$2,FALSE)*$D$11*$D$14*(1+$D$13)^($F52-'הנחות עבודה'!$C$5)/$D$11)</f>
        <v>0</v>
      </c>
      <c r="AN52" s="43">
        <f ca="1">IF($F52&gt;$D$5,0,VLOOKUP($F52,$F$24:$BZ$44,AN$2-$E$2,FALSE)*$D$11*$D$14*(1+$D$13)^($F52-'הנחות עבודה'!$C$5)/$D$11)</f>
        <v>0</v>
      </c>
      <c r="AO52" s="42">
        <f ca="1">IF($F52&gt;$D$5,0,VLOOKUP($F52,$F$24:$BZ$44,AO$2-$E$2,FALSE)*$D$11*$D$14*(1+$D$13)^($F52-'הנחות עבודה'!$C$5)/$D$11)</f>
        <v>2194.0532275199998</v>
      </c>
      <c r="AP52" s="43">
        <f ca="1">IF($F52&gt;$D$5,0,VLOOKUP($F52,$F$24:$BZ$44,AP$2-$E$2,FALSE)*$D$11*$D$14*(1+$D$13)^($F52-'הנחות עבודה'!$C$5)/$D$11)</f>
        <v>0</v>
      </c>
      <c r="AQ52" s="52">
        <f ca="1">IF($F52&gt;$D$5,0,VLOOKUP($F52,$F$24:$BZ$44,AQ$2-$E$2,FALSE)*$D$11*$D$14*(1+$D$13)^($F52-'הנחות עבודה'!$C$5)/$D$11)</f>
        <v>0</v>
      </c>
      <c r="AR52" s="127">
        <f ca="1">IF($F52&gt;$D$5,0,VLOOKUP($F52,$F$24:$BZ$44,AR$2-$E$2,FALSE)*$D$11*$D$14*(1+$D$13)^($F52-'הנחות עבודה'!$C$5)/$D$11)</f>
        <v>0</v>
      </c>
      <c r="AS52" s="127">
        <f ca="1">IF($F52&gt;$D$5,0,VLOOKUP($F52,$F$24:$BZ$44,AS$2-$E$2,FALSE)*$D$11*$D$14*(1+$D$13)^($F52-'הנחות עבודה'!$C$5)/$D$11)</f>
        <v>0</v>
      </c>
      <c r="AT52" s="127">
        <f ca="1">IF($F52&gt;$D$5,0,VLOOKUP($F52,$F$24:$BZ$44,AT$2-$E$2,FALSE)*$D$11*$D$14*(1+$D$13)^($F52-'הנחות עבודה'!$C$5)/$D$11)</f>
        <v>0</v>
      </c>
      <c r="AU52" s="127">
        <f ca="1">IF($F52&gt;$D$5,0,VLOOKUP($F52,$F$24:$BZ$44,AU$2-$E$2,FALSE)*$D$11*$D$14*(1+$D$13)^($F52-'הנחות עבודה'!$C$5)/$D$11)</f>
        <v>0</v>
      </c>
      <c r="AV52" s="127">
        <f ca="1">IF($F52&gt;$D$5,0,VLOOKUP($F52,$F$24:$BZ$44,AV$2-$E$2,FALSE)*$D$11*$D$14*(1+$D$13)^($F52-'הנחות עבודה'!$C$5)/$D$11)</f>
        <v>0</v>
      </c>
      <c r="AW52" s="52">
        <f ca="1">IF($F52&gt;$D$5,0,VLOOKUP($F52,$F$24:$BZ$44,AW$2-$E$2,FALSE)*$D$11*$D$14*(1+$D$13)^($F52-'הנחות עבודה'!$C$5)/$D$11)</f>
        <v>0</v>
      </c>
      <c r="AX52" s="52">
        <f ca="1">IF($F52&gt;$D$5,0,VLOOKUP($F52,$F$24:$BZ$44,AX$2-$E$2,FALSE)*$D$11*$D$14*(1+$D$13)^($F52-'הנחות עבודה'!$C$5)/$D$11)</f>
        <v>2611.2646470687841</v>
      </c>
      <c r="AY52" s="52">
        <f ca="1">IF($F52&gt;$D$5,0,VLOOKUP($F52,$F$24:$BZ$44,AY$2-$E$2,FALSE)*$D$11*$D$14*(1+$D$13)^($F52-'הנחות עבודה'!$C$5)/$D$11)</f>
        <v>0</v>
      </c>
      <c r="AZ52" s="52">
        <f ca="1">IF($F52&gt;$D$5,0,VLOOKUP($F52,$F$24:$BZ$44,AZ$2-$E$2,FALSE)*$D$11*$D$14*(1+$D$13)^($F52-'הנחות עבודה'!$C$5)/$D$11)</f>
        <v>0</v>
      </c>
      <c r="BA52" s="52">
        <f ca="1">IF($F52&gt;$D$5,0,VLOOKUP($F52,$F$24:$BZ$44,BA$2-$E$2,FALSE)*$D$11*$D$14*(1+$D$13)^($F52-'הנחות עבודה'!$C$5)/$D$11)</f>
        <v>2194.0532275199998</v>
      </c>
      <c r="BB52" s="52">
        <f ca="1">IF($F52&gt;$D$5,0,VLOOKUP($F52,$F$24:$BZ$44,BB$2-$E$2,FALSE)*$D$11*$D$14*(1+$D$13)^($F52-'הנחות עבודה'!$C$5)/$D$11)</f>
        <v>0</v>
      </c>
      <c r="BC52" s="42">
        <f ca="1">IF($F52&gt;$D$5,0,VLOOKUP($F52,$F$24:$BZ$44,BC$2-$E$2,FALSE)*$D$11*$D$14*(1+$D$13)^($F52-'הנחות עבודה'!$C$5)/$D$11)</f>
        <v>0</v>
      </c>
      <c r="BD52" s="44">
        <f ca="1">IF($F52&gt;$D$5,0,VLOOKUP($F52,$F$24:$BZ$44,BD$2-$E$2,FALSE)*$D$11*$D$14*(1+$D$13)^($F52-'הנחות עבודה'!$C$5)/$D$11)</f>
        <v>0</v>
      </c>
      <c r="BE52" s="44">
        <f ca="1">IF($F52&gt;$D$5,0,VLOOKUP($F52,$F$24:$BZ$44,BE$2-$E$2,FALSE)*$D$11*$D$14*(1+$D$13)^($F52-'הנחות עבודה'!$C$5)/$D$11)</f>
        <v>0</v>
      </c>
      <c r="BF52" s="44">
        <f ca="1">IF($F52&gt;$D$5,0,VLOOKUP($F52,$F$24:$BZ$44,BF$2-$E$2,FALSE)*$D$11*$D$14*(1+$D$13)^($F52-'הנחות עבודה'!$C$5)/$D$11)</f>
        <v>0</v>
      </c>
      <c r="BG52" s="44">
        <f ca="1">IF($F52&gt;$D$5,0,VLOOKUP($F52,$F$24:$BZ$44,BG$2-$E$2,FALSE)*$D$11*$D$14*(1+$D$13)^($F52-'הנחות עבודה'!$C$5)/$D$11)</f>
        <v>0</v>
      </c>
      <c r="BH52" s="44">
        <f ca="1">IF($F52&gt;$D$5,0,VLOOKUP($F52,$F$24:$BZ$44,BH$2-$E$2,FALSE)*$D$11*$D$14*(1+$D$13)^($F52-'הנחות עבודה'!$C$5)/$D$11)</f>
        <v>0</v>
      </c>
      <c r="BI52" s="42">
        <f ca="1">IF($F52&gt;$D$5,0,VLOOKUP($F52,$F$24:$BZ$44,BI$2-$E$2,FALSE)*$D$11*$D$14*(1+$D$13)^($F52-'הנחות עבודה'!$C$5)/$D$11)</f>
        <v>0</v>
      </c>
      <c r="BJ52" s="42">
        <f ca="1">IF($F52&gt;$D$5,0,VLOOKUP($F52,$F$24:$BZ$44,BJ$2-$E$2,FALSE)*$D$11*$D$14*(1+$D$13)^($F52-'הנחות עבודה'!$C$5)/$D$11)</f>
        <v>2600.9052925201909</v>
      </c>
      <c r="BK52" s="42">
        <f ca="1">IF($F52&gt;$D$5,0,VLOOKUP($F52,$F$24:$BZ$44,BK$2-$E$2,FALSE)*$D$11*$D$14*(1+$D$13)^($F52-'הנחות עבודה'!$C$5)/$D$11)</f>
        <v>0</v>
      </c>
      <c r="BL52" s="42">
        <f ca="1">IF($F52&gt;$D$5,0,VLOOKUP($F52,$F$24:$BZ$44,BL$2-$E$2,FALSE)*$D$11*$D$14*(1+$D$13)^($F52-'הנחות עבודה'!$C$5)/$D$11)</f>
        <v>0</v>
      </c>
      <c r="BM52" s="42">
        <f ca="1">IF($F52&gt;$D$5,0,VLOOKUP($F52,$F$24:$BZ$44,BM$2-$E$2,FALSE)*$D$11*$D$14*(1+$D$13)^($F52-'הנחות עבודה'!$C$5)/$D$11)</f>
        <v>2194.0532275199998</v>
      </c>
      <c r="BN52" s="42">
        <f ca="1">IF($F52&gt;$D$5,0,VLOOKUP($F52,$F$24:$BZ$44,BN$2-$E$2,FALSE)*$D$11*$D$14*(1+$D$13)^($F52-'הנחות עבודה'!$C$5)/$D$11)</f>
        <v>0</v>
      </c>
      <c r="BO52" s="52">
        <f ca="1">IF($F52&gt;$D$5,0,VLOOKUP($F52,$F$24:$BZ$44,BO$2-$E$2,FALSE)*$D$11*$D$14*(1+$D$13)^($F52-'הנחות עבודה'!$C$5)/$D$11)</f>
        <v>0</v>
      </c>
      <c r="BP52" s="127">
        <f ca="1">IF($F52&gt;$D$5,0,VLOOKUP($F52,$F$24:$BZ$44,BP$2-$E$2,FALSE)*$D$11*$D$14*(1+$D$13)^($F52-'הנחות עבודה'!$C$5)/$D$11)</f>
        <v>0</v>
      </c>
      <c r="BQ52" s="127">
        <f ca="1">IF($F52&gt;$D$5,0,VLOOKUP($F52,$F$24:$BZ$44,BQ$2-$E$2,FALSE)*$D$11*$D$14*(1+$D$13)^($F52-'הנחות עבודה'!$C$5)/$D$11)</f>
        <v>0</v>
      </c>
      <c r="BR52" s="127">
        <f ca="1">IF($F52&gt;$D$5,0,VLOOKUP($F52,$F$24:$BZ$44,BR$2-$E$2,FALSE)*$D$11*$D$14*(1+$D$13)^($F52-'הנחות עבודה'!$C$5)/$D$11)</f>
        <v>0</v>
      </c>
      <c r="BS52" s="127">
        <f ca="1">IF($F52&gt;$D$5,0,VLOOKUP($F52,$F$24:$BZ$44,BS$2-$E$2,FALSE)*$D$11*$D$14*(1+$D$13)^($F52-'הנחות עבודה'!$C$5)/$D$11)</f>
        <v>0</v>
      </c>
      <c r="BT52" s="127">
        <f ca="1">IF($F52&gt;$D$5,0,VLOOKUP($F52,$F$24:$BZ$44,BT$2-$E$2,FALSE)*$D$11*$D$14*(1+$D$13)^($F52-'הנחות עבודה'!$C$5)/$D$11)</f>
        <v>0</v>
      </c>
      <c r="BU52" s="52">
        <f ca="1">IF($F52&gt;$D$5,0,VLOOKUP($F52,$F$24:$BZ$44,BU$2-$E$2,FALSE)*$D$11*$D$14*(1+$D$13)^($F52-'הנחות עבודה'!$C$5)/$D$11)</f>
        <v>0</v>
      </c>
      <c r="BV52" s="52">
        <f ca="1">IF($F52&gt;$D$5,0,VLOOKUP($F52,$F$24:$BZ$44,BV$2-$E$2,FALSE)*$D$11*$D$14*(1+$D$13)^($F52-'הנחות עבודה'!$C$5)/$D$11)</f>
        <v>2600.9052925201909</v>
      </c>
      <c r="BW52" s="52">
        <f ca="1">IF($F52&gt;$D$5,0,VLOOKUP($F52,$F$24:$BZ$44,BW$2-$E$2,FALSE)*$D$11*$D$14*(1+$D$13)^($F52-'הנחות עבודה'!$C$5)/$D$11)</f>
        <v>0</v>
      </c>
      <c r="BX52" s="52">
        <f ca="1">IF($F52&gt;$D$5,0,VLOOKUP($F52,$F$24:$BZ$44,BX$2-$E$2,FALSE)*$D$11*$D$14*(1+$D$13)^($F52-'הנחות עבודה'!$C$5)/$D$11)</f>
        <v>0</v>
      </c>
      <c r="BY52" s="52">
        <f ca="1">IF($F52&gt;$D$5,0,VLOOKUP($F52,$F$24:$BZ$44,BY$2-$E$2,FALSE)*$D$11*$D$14*(1+$D$13)^($F52-'הנחות עבודה'!$C$5)/$D$11)</f>
        <v>2194.0532275199998</v>
      </c>
      <c r="BZ52" s="52">
        <f ca="1">IF($F52&gt;$D$5,0,VLOOKUP($F52,$F$24:$BZ$44,BZ$2-$E$2,FALSE)*$D$11*$D$14*(1+$D$13)^($F52-'הנחות עבודה'!$C$5)/$D$11)</f>
        <v>0</v>
      </c>
    </row>
    <row r="53" spans="6:78" ht="15.75">
      <c r="F53" s="10">
        <f t="shared" ref="F53:F71" si="130">F52+1</f>
        <v>2022</v>
      </c>
      <c r="G53" s="42">
        <f ca="1">IF($F53&gt;$D$5,0,VLOOKUP($F53,$F$24:$BZ$44,G$2-$E$2,FALSE)*$D$11*$D$14*(1+$D$13)^($F53-'הנחות עבודה'!$C$5)/$D$11)</f>
        <v>0</v>
      </c>
      <c r="H53" s="44">
        <f ca="1">IF($F53&gt;$D$5,0,VLOOKUP($F53,$F$24:$BZ$44,H$2-$E$2,FALSE)*$D$11*$D$14*(1+$D$13)^($F53-'הנחות עבודה'!$C$5)/$D$11)</f>
        <v>0</v>
      </c>
      <c r="I53" s="44">
        <f ca="1">IF($F53&gt;$D$5,0,VLOOKUP($F53,$F$24:$BZ$44,I$2-$E$2,FALSE)*$D$11*$D$14*(1+$D$13)^($F53-'הנחות עבודה'!$C$5)/$D$11)</f>
        <v>0</v>
      </c>
      <c r="J53" s="44">
        <f ca="1">IF($F53&gt;$D$5,0,VLOOKUP($F53,$F$24:$BZ$44,J$2-$E$2,FALSE)*$D$11*$D$14*(1+$D$13)^($F53-'הנחות עבודה'!$C$5)/$D$11)</f>
        <v>0</v>
      </c>
      <c r="K53" s="44">
        <f ca="1">IF($F53&gt;$D$5,0,VLOOKUP($F53,$F$24:$BZ$44,K$2-$E$2,FALSE)*$D$11*$D$14*(1+$D$13)^($F53-'הנחות עבודה'!$C$5)/$D$11)</f>
        <v>0</v>
      </c>
      <c r="L53" s="44">
        <f ca="1">IF($F53&gt;$D$5,0,VLOOKUP($F53,$F$24:$BZ$44,L$2-$E$2,FALSE)*$D$11*$D$14*(1+$D$13)^($F53-'הנחות עבודה'!$C$5)/$D$11)</f>
        <v>0</v>
      </c>
      <c r="M53" s="42">
        <f ca="1">IF($F53&gt;$D$5,0,VLOOKUP($F53,$F$24:$BZ$44,M$2-$E$2,FALSE)*$D$11*$D$14*(1+$D$13)^($F53-'הנחות עבודה'!$C$5)/$D$11)</f>
        <v>90.150903037439988</v>
      </c>
      <c r="N53" s="42">
        <f ca="1">IF($F53&gt;$D$5,0,VLOOKUP($F53,$F$24:$BZ$44,N$2-$E$2,FALSE)*$D$11*$D$14*(1+$D$13)^($F53-'הנחות עבודה'!$C$5)/$D$11)</f>
        <v>2772.577708015599</v>
      </c>
      <c r="O53" s="42">
        <f ca="1">IF($F53&gt;$D$5,0,VLOOKUP($F53,$F$24:$BZ$44,O$2-$E$2,FALSE)*$D$11*$D$14*(1+$D$13)^($F53-'הנחות עבודה'!$C$5)/$D$11)</f>
        <v>0</v>
      </c>
      <c r="P53" s="43">
        <f ca="1">IF($F53&gt;$D$5,0,VLOOKUP($F53,$F$24:$BZ$44,P$2-$E$2,FALSE)*$D$11*$D$14*(1+$D$13)^($F53-'הנחות עבודה'!$C$5)/$D$11)</f>
        <v>0</v>
      </c>
      <c r="Q53" s="42">
        <f ca="1">IF($F53&gt;$D$5,0,VLOOKUP($F53,$F$24:$BZ$44,Q$2-$E$2,FALSE)*$D$11*$D$14*(1+$D$13)^($F53-'הנחות עבודה'!$C$5)/$D$11)</f>
        <v>2076.8449318847997</v>
      </c>
      <c r="R53" s="43">
        <f ca="1">IF($F53&gt;$D$5,0,VLOOKUP($F53,$F$24:$BZ$44,R$2-$E$2,FALSE)*$D$11*$D$14*(1+$D$13)^($F53-'הנחות עבודה'!$C$5)/$D$11)</f>
        <v>0</v>
      </c>
      <c r="S53" s="52">
        <f ca="1">IF($F53&gt;$D$5,0,VLOOKUP($F53,$F$24:$BZ$44,S$2-$E$2,FALSE)*$D$11*$D$14*(1+$D$13)^($F53-'הנחות עבודה'!$C$5)/$D$11)</f>
        <v>0</v>
      </c>
      <c r="T53" s="127">
        <f ca="1">IF($F53&gt;$D$5,0,VLOOKUP($F53,$F$24:$BZ$44,T$2-$E$2,FALSE)*$D$11*$D$14*(1+$D$13)^($F53-'הנחות עבודה'!$C$5)/$D$11)</f>
        <v>0</v>
      </c>
      <c r="U53" s="127">
        <f ca="1">IF($F53&gt;$D$5,0,VLOOKUP($F53,$F$24:$BZ$44,U$2-$E$2,FALSE)*$D$11*$D$14*(1+$D$13)^($F53-'הנחות עבודה'!$C$5)/$D$11)</f>
        <v>0</v>
      </c>
      <c r="V53" s="127">
        <f ca="1">IF($F53&gt;$D$5,0,VLOOKUP($F53,$F$24:$BZ$44,V$2-$E$2,FALSE)*$D$11*$D$14*(1+$D$13)^($F53-'הנחות עבודה'!$C$5)/$D$11)</f>
        <v>0</v>
      </c>
      <c r="W53" s="127">
        <f ca="1">IF($F53&gt;$D$5,0,VLOOKUP($F53,$F$24:$BZ$44,W$2-$E$2,FALSE)*$D$11*$D$14*(1+$D$13)^($F53-'הנחות עבודה'!$C$5)/$D$11)</f>
        <v>0</v>
      </c>
      <c r="X53" s="127">
        <f ca="1">IF($F53&gt;$D$5,0,VLOOKUP($F53,$F$24:$BZ$44,X$2-$E$2,FALSE)*$D$11*$D$14*(1+$D$13)^($F53-'הנחות עבודה'!$C$5)/$D$11)</f>
        <v>0</v>
      </c>
      <c r="Y53" s="52">
        <f ca="1">IF($F53&gt;$D$5,0,VLOOKUP($F53,$F$24:$BZ$44,Y$2-$E$2,FALSE)*$D$11*$D$14*(1+$D$13)^($F53-'הנחות עבודה'!$C$5)/$D$11)</f>
        <v>90.150903037439988</v>
      </c>
      <c r="Z53" s="52">
        <f ca="1">IF($F53&gt;$D$5,0,VLOOKUP($F53,$F$24:$BZ$44,Z$2-$E$2,FALSE)*$D$11*$D$14*(1+$D$13)^($F53-'הנחות עבודה'!$C$5)/$D$11)</f>
        <v>2772.577708015599</v>
      </c>
      <c r="AA53" s="52">
        <f ca="1">IF($F53&gt;$D$5,0,VLOOKUP($F53,$F$24:$BZ$44,AA$2-$E$2,FALSE)*$D$11*$D$14*(1+$D$13)^($F53-'הנחות עבודה'!$C$5)/$D$11)</f>
        <v>0</v>
      </c>
      <c r="AB53" s="52">
        <f ca="1">IF($F53&gt;$D$5,0,VLOOKUP($F53,$F$24:$BZ$44,AB$2-$E$2,FALSE)*$D$11*$D$14*(1+$D$13)^($F53-'הנחות עבודה'!$C$5)/$D$11)</f>
        <v>0</v>
      </c>
      <c r="AC53" s="52">
        <f ca="1">IF($F53&gt;$D$5,0,VLOOKUP($F53,$F$24:$BZ$44,AC$2-$E$2,FALSE)*$D$11*$D$14*(1+$D$13)^($F53-'הנחות עבודה'!$C$5)/$D$11)</f>
        <v>2076.8449318847997</v>
      </c>
      <c r="AD53" s="52">
        <f ca="1">IF($F53&gt;$D$5,0,VLOOKUP($F53,$F$24:$BZ$44,AD$2-$E$2,FALSE)*$D$11*$D$14*(1+$D$13)^($F53-'הנחות עבודה'!$C$5)/$D$11)</f>
        <v>0</v>
      </c>
      <c r="AE53" s="42">
        <f ca="1">IF($F53&gt;$D$5,0,VLOOKUP($F53,$F$24:$BZ$44,AE$2-$E$2,FALSE)*$D$11*$D$14*(1+$D$13)^($F53-'הנחות עבודה'!$C$5)/$D$11)</f>
        <v>0</v>
      </c>
      <c r="AF53" s="44">
        <f ca="1">IF($F53&gt;$D$5,0,VLOOKUP($F53,$F$24:$BZ$44,AF$2-$E$2,FALSE)*$D$11*$D$14*(1+$D$13)^($F53-'הנחות עבודה'!$C$5)/$D$11)</f>
        <v>0</v>
      </c>
      <c r="AG53" s="44">
        <f ca="1">IF($F53&gt;$D$5,0,VLOOKUP($F53,$F$24:$BZ$44,AG$2-$E$2,FALSE)*$D$11*$D$14*(1+$D$13)^($F53-'הנחות עבודה'!$C$5)/$D$11)</f>
        <v>0</v>
      </c>
      <c r="AH53" s="44">
        <f ca="1">IF($F53&gt;$D$5,0,VLOOKUP($F53,$F$24:$BZ$44,AH$2-$E$2,FALSE)*$D$11*$D$14*(1+$D$13)^($F53-'הנחות עבודה'!$C$5)/$D$11)</f>
        <v>0</v>
      </c>
      <c r="AI53" s="44">
        <f ca="1">IF($F53&gt;$D$5,0,VLOOKUP($F53,$F$24:$BZ$44,AI$2-$E$2,FALSE)*$D$11*$D$14*(1+$D$13)^($F53-'הנחות עבודה'!$C$5)/$D$11)</f>
        <v>0</v>
      </c>
      <c r="AJ53" s="44">
        <f ca="1">IF($F53&gt;$D$5,0,VLOOKUP($F53,$F$24:$BZ$44,AJ$2-$E$2,FALSE)*$D$11*$D$14*(1+$D$13)^($F53-'הנחות עבודה'!$C$5)/$D$11)</f>
        <v>0</v>
      </c>
      <c r="AK53" s="42">
        <f ca="1">IF($F53&gt;$D$5,0,VLOOKUP($F53,$F$24:$BZ$44,AK$2-$E$2,FALSE)*$D$11*$D$14*(1+$D$13)^($F53-'הנחות עבודה'!$C$5)/$D$11)</f>
        <v>87.653692092959986</v>
      </c>
      <c r="AL53" s="42">
        <f ca="1">IF($F53&gt;$D$5,0,VLOOKUP($F53,$F$24:$BZ$44,AL$2-$E$2,FALSE)*$D$11*$D$14*(1+$D$13)^($F53-'הנחות עבודה'!$C$5)/$D$11)</f>
        <v>2698.8698354770104</v>
      </c>
      <c r="AM53" s="42">
        <f ca="1">IF($F53&gt;$D$5,0,VLOOKUP($F53,$F$24:$BZ$44,AM$2-$E$2,FALSE)*$D$11*$D$14*(1+$D$13)^($F53-'הנחות עבודה'!$C$5)/$D$11)</f>
        <v>0</v>
      </c>
      <c r="AN53" s="43">
        <f ca="1">IF($F53&gt;$D$5,0,VLOOKUP($F53,$F$24:$BZ$44,AN$2-$E$2,FALSE)*$D$11*$D$14*(1+$D$13)^($F53-'הנחות עבודה'!$C$5)/$D$11)</f>
        <v>0</v>
      </c>
      <c r="AO53" s="42">
        <f ca="1">IF($F53&gt;$D$5,0,VLOOKUP($F53,$F$24:$BZ$44,AO$2-$E$2,FALSE)*$D$11*$D$14*(1+$D$13)^($F53-'הנחות עבודה'!$C$5)/$D$11)</f>
        <v>2076.9192747072002</v>
      </c>
      <c r="AP53" s="43">
        <f ca="1">IF($F53&gt;$D$5,0,VLOOKUP($F53,$F$24:$BZ$44,AP$2-$E$2,FALSE)*$D$11*$D$14*(1+$D$13)^($F53-'הנחות עבודה'!$C$5)/$D$11)</f>
        <v>0</v>
      </c>
      <c r="AQ53" s="52">
        <f ca="1">IF($F53&gt;$D$5,0,VLOOKUP($F53,$F$24:$BZ$44,AQ$2-$E$2,FALSE)*$D$11*$D$14*(1+$D$13)^($F53-'הנחות עבודה'!$C$5)/$D$11)</f>
        <v>0</v>
      </c>
      <c r="AR53" s="127">
        <f ca="1">IF($F53&gt;$D$5,0,VLOOKUP($F53,$F$24:$BZ$44,AR$2-$E$2,FALSE)*$D$11*$D$14*(1+$D$13)^($F53-'הנחות עבודה'!$C$5)/$D$11)</f>
        <v>0</v>
      </c>
      <c r="AS53" s="127">
        <f ca="1">IF($F53&gt;$D$5,0,VLOOKUP($F53,$F$24:$BZ$44,AS$2-$E$2,FALSE)*$D$11*$D$14*(1+$D$13)^($F53-'הנחות עבודה'!$C$5)/$D$11)</f>
        <v>0</v>
      </c>
      <c r="AT53" s="127">
        <f ca="1">IF($F53&gt;$D$5,0,VLOOKUP($F53,$F$24:$BZ$44,AT$2-$E$2,FALSE)*$D$11*$D$14*(1+$D$13)^($F53-'הנחות עבודה'!$C$5)/$D$11)</f>
        <v>0</v>
      </c>
      <c r="AU53" s="127">
        <f ca="1">IF($F53&gt;$D$5,0,VLOOKUP($F53,$F$24:$BZ$44,AU$2-$E$2,FALSE)*$D$11*$D$14*(1+$D$13)^($F53-'הנחות עבודה'!$C$5)/$D$11)</f>
        <v>0</v>
      </c>
      <c r="AV53" s="127">
        <f ca="1">IF($F53&gt;$D$5,0,VLOOKUP($F53,$F$24:$BZ$44,AV$2-$E$2,FALSE)*$D$11*$D$14*(1+$D$13)^($F53-'הנחות עבודה'!$C$5)/$D$11)</f>
        <v>0</v>
      </c>
      <c r="AW53" s="52">
        <f ca="1">IF($F53&gt;$D$5,0,VLOOKUP($F53,$F$24:$BZ$44,AW$2-$E$2,FALSE)*$D$11*$D$14*(1+$D$13)^($F53-'הנחות עבודה'!$C$5)/$D$11)</f>
        <v>87.653692092959986</v>
      </c>
      <c r="AX53" s="52">
        <f ca="1">IF($F53&gt;$D$5,0,VLOOKUP($F53,$F$24:$BZ$44,AX$2-$E$2,FALSE)*$D$11*$D$14*(1+$D$13)^($F53-'הנחות עבודה'!$C$5)/$D$11)</f>
        <v>2698.8698354770104</v>
      </c>
      <c r="AY53" s="52">
        <f ca="1">IF($F53&gt;$D$5,0,VLOOKUP($F53,$F$24:$BZ$44,AY$2-$E$2,FALSE)*$D$11*$D$14*(1+$D$13)^($F53-'הנחות עבודה'!$C$5)/$D$11)</f>
        <v>0</v>
      </c>
      <c r="AZ53" s="52">
        <f ca="1">IF($F53&gt;$D$5,0,VLOOKUP($F53,$F$24:$BZ$44,AZ$2-$E$2,FALSE)*$D$11*$D$14*(1+$D$13)^($F53-'הנחות עבודה'!$C$5)/$D$11)</f>
        <v>0</v>
      </c>
      <c r="BA53" s="52">
        <f ca="1">IF($F53&gt;$D$5,0,VLOOKUP($F53,$F$24:$BZ$44,BA$2-$E$2,FALSE)*$D$11*$D$14*(1+$D$13)^($F53-'הנחות עבודה'!$C$5)/$D$11)</f>
        <v>2076.9192747072002</v>
      </c>
      <c r="BB53" s="52">
        <f ca="1">IF($F53&gt;$D$5,0,VLOOKUP($F53,$F$24:$BZ$44,BB$2-$E$2,FALSE)*$D$11*$D$14*(1+$D$13)^($F53-'הנחות עבודה'!$C$5)/$D$11)</f>
        <v>0</v>
      </c>
      <c r="BC53" s="42">
        <f ca="1">IF($F53&gt;$D$5,0,VLOOKUP($F53,$F$24:$BZ$44,BC$2-$E$2,FALSE)*$D$11*$D$14*(1+$D$13)^($F53-'הנחות עבודה'!$C$5)/$D$11)</f>
        <v>0</v>
      </c>
      <c r="BD53" s="44">
        <f ca="1">IF($F53&gt;$D$5,0,VLOOKUP($F53,$F$24:$BZ$44,BD$2-$E$2,FALSE)*$D$11*$D$14*(1+$D$13)^($F53-'הנחות עבודה'!$C$5)/$D$11)</f>
        <v>0</v>
      </c>
      <c r="BE53" s="44">
        <f ca="1">IF($F53&gt;$D$5,0,VLOOKUP($F53,$F$24:$BZ$44,BE$2-$E$2,FALSE)*$D$11*$D$14*(1+$D$13)^($F53-'הנחות עבודה'!$C$5)/$D$11)</f>
        <v>0</v>
      </c>
      <c r="BF53" s="44">
        <f ca="1">IF($F53&gt;$D$5,0,VLOOKUP($F53,$F$24:$BZ$44,BF$2-$E$2,FALSE)*$D$11*$D$14*(1+$D$13)^($F53-'הנחות עבודה'!$C$5)/$D$11)</f>
        <v>0</v>
      </c>
      <c r="BG53" s="44">
        <f ca="1">IF($F53&gt;$D$5,0,VLOOKUP($F53,$F$24:$BZ$44,BG$2-$E$2,FALSE)*$D$11*$D$14*(1+$D$13)^($F53-'הנחות עבודה'!$C$5)/$D$11)</f>
        <v>0</v>
      </c>
      <c r="BH53" s="44">
        <f ca="1">IF($F53&gt;$D$5,0,VLOOKUP($F53,$F$24:$BZ$44,BH$2-$E$2,FALSE)*$D$11*$D$14*(1+$D$13)^($F53-'הנחות עבודה'!$C$5)/$D$11)</f>
        <v>0</v>
      </c>
      <c r="BI53" s="42">
        <f ca="1">IF($F53&gt;$D$5,0,VLOOKUP($F53,$F$24:$BZ$44,BI$2-$E$2,FALSE)*$D$11*$D$14*(1+$D$13)^($F53-'הנחות עבודה'!$C$5)/$D$11)</f>
        <v>86.769968009759992</v>
      </c>
      <c r="BJ53" s="42">
        <f ca="1">IF($F53&gt;$D$5,0,VLOOKUP($F53,$F$24:$BZ$44,BJ$2-$E$2,FALSE)*$D$11*$D$14*(1+$D$13)^($F53-'הנחות עבודה'!$C$5)/$D$11)</f>
        <v>2659.2089164913764</v>
      </c>
      <c r="BK53" s="42">
        <f ca="1">IF($F53&gt;$D$5,0,VLOOKUP($F53,$F$24:$BZ$44,BK$2-$E$2,FALSE)*$D$11*$D$14*(1+$D$13)^($F53-'הנחות עבודה'!$C$5)/$D$11)</f>
        <v>0</v>
      </c>
      <c r="BL53" s="42">
        <f ca="1">IF($F53&gt;$D$5,0,VLOOKUP($F53,$F$24:$BZ$44,BL$2-$E$2,FALSE)*$D$11*$D$14*(1+$D$13)^($F53-'הנחות עבודה'!$C$5)/$D$11)</f>
        <v>0</v>
      </c>
      <c r="BM53" s="42">
        <f ca="1">IF($F53&gt;$D$5,0,VLOOKUP($F53,$F$24:$BZ$44,BM$2-$E$2,FALSE)*$D$11*$D$14*(1+$D$13)^($F53-'הנחות עבודה'!$C$5)/$D$11)</f>
        <v>2076.8423683392002</v>
      </c>
      <c r="BN53" s="42">
        <f ca="1">IF($F53&gt;$D$5,0,VLOOKUP($F53,$F$24:$BZ$44,BN$2-$E$2,FALSE)*$D$11*$D$14*(1+$D$13)^($F53-'הנחות עבודה'!$C$5)/$D$11)</f>
        <v>0</v>
      </c>
      <c r="BO53" s="52">
        <f ca="1">IF($F53&gt;$D$5,0,VLOOKUP($F53,$F$24:$BZ$44,BO$2-$E$2,FALSE)*$D$11*$D$14*(1+$D$13)^($F53-'הנחות עבודה'!$C$5)/$D$11)</f>
        <v>0</v>
      </c>
      <c r="BP53" s="127">
        <f ca="1">IF($F53&gt;$D$5,0,VLOOKUP($F53,$F$24:$BZ$44,BP$2-$E$2,FALSE)*$D$11*$D$14*(1+$D$13)^($F53-'הנחות עבודה'!$C$5)/$D$11)</f>
        <v>0</v>
      </c>
      <c r="BQ53" s="127">
        <f ca="1">IF($F53&gt;$D$5,0,VLOOKUP($F53,$F$24:$BZ$44,BQ$2-$E$2,FALSE)*$D$11*$D$14*(1+$D$13)^($F53-'הנחות עבודה'!$C$5)/$D$11)</f>
        <v>0</v>
      </c>
      <c r="BR53" s="127">
        <f ca="1">IF($F53&gt;$D$5,0,VLOOKUP($F53,$F$24:$BZ$44,BR$2-$E$2,FALSE)*$D$11*$D$14*(1+$D$13)^($F53-'הנחות עבודה'!$C$5)/$D$11)</f>
        <v>0</v>
      </c>
      <c r="BS53" s="127">
        <f ca="1">IF($F53&gt;$D$5,0,VLOOKUP($F53,$F$24:$BZ$44,BS$2-$E$2,FALSE)*$D$11*$D$14*(1+$D$13)^($F53-'הנחות עבודה'!$C$5)/$D$11)</f>
        <v>0</v>
      </c>
      <c r="BT53" s="127">
        <f ca="1">IF($F53&gt;$D$5,0,VLOOKUP($F53,$F$24:$BZ$44,BT$2-$E$2,FALSE)*$D$11*$D$14*(1+$D$13)^($F53-'הנחות עבודה'!$C$5)/$D$11)</f>
        <v>0</v>
      </c>
      <c r="BU53" s="52">
        <f ca="1">IF($F53&gt;$D$5,0,VLOOKUP($F53,$F$24:$BZ$44,BU$2-$E$2,FALSE)*$D$11*$D$14*(1+$D$13)^($F53-'הנחות עבודה'!$C$5)/$D$11)</f>
        <v>86.769968009759992</v>
      </c>
      <c r="BV53" s="52">
        <f ca="1">IF($F53&gt;$D$5,0,VLOOKUP($F53,$F$24:$BZ$44,BV$2-$E$2,FALSE)*$D$11*$D$14*(1+$D$13)^($F53-'הנחות עבודה'!$C$5)/$D$11)</f>
        <v>2659.2089164913764</v>
      </c>
      <c r="BW53" s="52">
        <f ca="1">IF($F53&gt;$D$5,0,VLOOKUP($F53,$F$24:$BZ$44,BW$2-$E$2,FALSE)*$D$11*$D$14*(1+$D$13)^($F53-'הנחות עבודה'!$C$5)/$D$11)</f>
        <v>0</v>
      </c>
      <c r="BX53" s="52">
        <f ca="1">IF($F53&gt;$D$5,0,VLOOKUP($F53,$F$24:$BZ$44,BX$2-$E$2,FALSE)*$D$11*$D$14*(1+$D$13)^($F53-'הנחות עבודה'!$C$5)/$D$11)</f>
        <v>0</v>
      </c>
      <c r="BY53" s="52">
        <f ca="1">IF($F53&gt;$D$5,0,VLOOKUP($F53,$F$24:$BZ$44,BY$2-$E$2,FALSE)*$D$11*$D$14*(1+$D$13)^($F53-'הנחות עבודה'!$C$5)/$D$11)</f>
        <v>2076.8423683392002</v>
      </c>
      <c r="BZ53" s="52">
        <f ca="1">IF($F53&gt;$D$5,0,VLOOKUP($F53,$F$24:$BZ$44,BZ$2-$E$2,FALSE)*$D$11*$D$14*(1+$D$13)^($F53-'הנחות עבודה'!$C$5)/$D$11)</f>
        <v>0</v>
      </c>
    </row>
    <row r="54" spans="6:78" ht="15.75">
      <c r="F54" s="10">
        <f t="shared" si="130"/>
        <v>2023</v>
      </c>
      <c r="G54" s="42">
        <f ca="1">IF($F54&gt;$D$5,0,VLOOKUP($F54,$F$24:$BZ$44,G$2-$E$2,FALSE)*$D$11*$D$14*(1+$D$13)^($F54-'הנחות עבודה'!$C$5)/$D$11)</f>
        <v>0</v>
      </c>
      <c r="H54" s="44">
        <f ca="1">IF($F54&gt;$D$5,0,VLOOKUP($F54,$F$24:$BZ$44,H$2-$E$2,FALSE)*$D$11*$D$14*(1+$D$13)^($F54-'הנחות עבודה'!$C$5)/$D$11)</f>
        <v>0</v>
      </c>
      <c r="I54" s="44">
        <f ca="1">IF($F54&gt;$D$5,0,VLOOKUP($F54,$F$24:$BZ$44,I$2-$E$2,FALSE)*$D$11*$D$14*(1+$D$13)^($F54-'הנחות עבודה'!$C$5)/$D$11)</f>
        <v>0</v>
      </c>
      <c r="J54" s="44">
        <f ca="1">IF($F54&gt;$D$5,0,VLOOKUP($F54,$F$24:$BZ$44,J$2-$E$2,FALSE)*$D$11*$D$14*(1+$D$13)^($F54-'הנחות עבודה'!$C$5)/$D$11)</f>
        <v>0</v>
      </c>
      <c r="K54" s="44">
        <f ca="1">IF($F54&gt;$D$5,0,VLOOKUP($F54,$F$24:$BZ$44,K$2-$E$2,FALSE)*$D$11*$D$14*(1+$D$13)^($F54-'הנחות עבודה'!$C$5)/$D$11)</f>
        <v>0</v>
      </c>
      <c r="L54" s="44">
        <f ca="1">IF($F54&gt;$D$5,0,VLOOKUP($F54,$F$24:$BZ$44,L$2-$E$2,FALSE)*$D$11*$D$14*(1+$D$13)^($F54-'הנחות עבודה'!$C$5)/$D$11)</f>
        <v>0</v>
      </c>
      <c r="M54" s="42">
        <f ca="1">IF($F54&gt;$D$5,0,VLOOKUP($F54,$F$24:$BZ$44,M$2-$E$2,FALSE)*$D$11*$D$14*(1+$D$13)^($F54-'הנחות עבודה'!$C$5)/$D$11)</f>
        <v>141.18507130996795</v>
      </c>
      <c r="N54" s="42">
        <f ca="1">IF($F54&gt;$D$5,0,VLOOKUP($F54,$F$24:$BZ$44,N$2-$E$2,FALSE)*$D$11*$D$14*(1+$D$13)^($F54-'הנחות עבודה'!$C$5)/$D$11)</f>
        <v>3138.8383102373068</v>
      </c>
      <c r="O54" s="42">
        <f ca="1">IF($F54&gt;$D$5,0,VLOOKUP($F54,$F$24:$BZ$44,O$2-$E$2,FALSE)*$D$11*$D$14*(1+$D$13)^($F54-'הנחות עבודה'!$C$5)/$D$11)</f>
        <v>0</v>
      </c>
      <c r="P54" s="43">
        <f ca="1">IF($F54&gt;$D$5,0,VLOOKUP($F54,$F$24:$BZ$44,P$2-$E$2,FALSE)*$D$11*$D$14*(1+$D$13)^($F54-'הנחות עבודה'!$C$5)/$D$11)</f>
        <v>0</v>
      </c>
      <c r="Q54" s="42">
        <f ca="1">IF($F54&gt;$D$5,0,VLOOKUP($F54,$F$24:$BZ$44,Q$2-$E$2,FALSE)*$D$11*$D$14*(1+$D$13)^($F54-'הנחות עבודה'!$C$5)/$D$11)</f>
        <v>1472.2384444669442</v>
      </c>
      <c r="R54" s="43">
        <f ca="1">IF($F54&gt;$D$5,0,VLOOKUP($F54,$F$24:$BZ$44,R$2-$E$2,FALSE)*$D$11*$D$14*(1+$D$13)^($F54-'הנחות עבודה'!$C$5)/$D$11)</f>
        <v>0</v>
      </c>
      <c r="S54" s="52">
        <f ca="1">IF($F54&gt;$D$5,0,VLOOKUP($F54,$F$24:$BZ$44,S$2-$E$2,FALSE)*$D$11*$D$14*(1+$D$13)^($F54-'הנחות עבודה'!$C$5)/$D$11)</f>
        <v>0</v>
      </c>
      <c r="T54" s="127">
        <f ca="1">IF($F54&gt;$D$5,0,VLOOKUP($F54,$F$24:$BZ$44,T$2-$E$2,FALSE)*$D$11*$D$14*(1+$D$13)^($F54-'הנחות עבודה'!$C$5)/$D$11)</f>
        <v>0</v>
      </c>
      <c r="U54" s="127">
        <f ca="1">IF($F54&gt;$D$5,0,VLOOKUP($F54,$F$24:$BZ$44,U$2-$E$2,FALSE)*$D$11*$D$14*(1+$D$13)^($F54-'הנחות עבודה'!$C$5)/$D$11)</f>
        <v>0</v>
      </c>
      <c r="V54" s="127">
        <f ca="1">IF($F54&gt;$D$5,0,VLOOKUP($F54,$F$24:$BZ$44,V$2-$E$2,FALSE)*$D$11*$D$14*(1+$D$13)^($F54-'הנחות עבודה'!$C$5)/$D$11)</f>
        <v>0</v>
      </c>
      <c r="W54" s="127">
        <f ca="1">IF($F54&gt;$D$5,0,VLOOKUP($F54,$F$24:$BZ$44,W$2-$E$2,FALSE)*$D$11*$D$14*(1+$D$13)^($F54-'הנחות עבודה'!$C$5)/$D$11)</f>
        <v>0</v>
      </c>
      <c r="X54" s="127">
        <f ca="1">IF($F54&gt;$D$5,0,VLOOKUP($F54,$F$24:$BZ$44,X$2-$E$2,FALSE)*$D$11*$D$14*(1+$D$13)^($F54-'הנחות עבודה'!$C$5)/$D$11)</f>
        <v>0</v>
      </c>
      <c r="Y54" s="52">
        <f ca="1">IF($F54&gt;$D$5,0,VLOOKUP($F54,$F$24:$BZ$44,Y$2-$E$2,FALSE)*$D$11*$D$14*(1+$D$13)^($F54-'הנחות עבודה'!$C$5)/$D$11)</f>
        <v>141.18507130996795</v>
      </c>
      <c r="Z54" s="52">
        <f ca="1">IF($F54&gt;$D$5,0,VLOOKUP($F54,$F$24:$BZ$44,Z$2-$E$2,FALSE)*$D$11*$D$14*(1+$D$13)^($F54-'הנחות עבודה'!$C$5)/$D$11)</f>
        <v>3138.8383102373068</v>
      </c>
      <c r="AA54" s="52">
        <f ca="1">IF($F54&gt;$D$5,0,VLOOKUP($F54,$F$24:$BZ$44,AA$2-$E$2,FALSE)*$D$11*$D$14*(1+$D$13)^($F54-'הנחות עבודה'!$C$5)/$D$11)</f>
        <v>0</v>
      </c>
      <c r="AB54" s="52">
        <f ca="1">IF($F54&gt;$D$5,0,VLOOKUP($F54,$F$24:$BZ$44,AB$2-$E$2,FALSE)*$D$11*$D$14*(1+$D$13)^($F54-'הנחות עבודה'!$C$5)/$D$11)</f>
        <v>0</v>
      </c>
      <c r="AC54" s="52">
        <f ca="1">IF($F54&gt;$D$5,0,VLOOKUP($F54,$F$24:$BZ$44,AC$2-$E$2,FALSE)*$D$11*$D$14*(1+$D$13)^($F54-'הנחות עבודה'!$C$5)/$D$11)</f>
        <v>1472.2384444669442</v>
      </c>
      <c r="AD54" s="52">
        <f ca="1">IF($F54&gt;$D$5,0,VLOOKUP($F54,$F$24:$BZ$44,AD$2-$E$2,FALSE)*$D$11*$D$14*(1+$D$13)^($F54-'הנחות עבודה'!$C$5)/$D$11)</f>
        <v>0</v>
      </c>
      <c r="AE54" s="42">
        <f ca="1">IF($F54&gt;$D$5,0,VLOOKUP($F54,$F$24:$BZ$44,AE$2-$E$2,FALSE)*$D$11*$D$14*(1+$D$13)^($F54-'הנחות עבודה'!$C$5)/$D$11)</f>
        <v>0</v>
      </c>
      <c r="AF54" s="44">
        <f ca="1">IF($F54&gt;$D$5,0,VLOOKUP($F54,$F$24:$BZ$44,AF$2-$E$2,FALSE)*$D$11*$D$14*(1+$D$13)^($F54-'הנחות עבודה'!$C$5)/$D$11)</f>
        <v>0</v>
      </c>
      <c r="AG54" s="44">
        <f ca="1">IF($F54&gt;$D$5,0,VLOOKUP($F54,$F$24:$BZ$44,AG$2-$E$2,FALSE)*$D$11*$D$14*(1+$D$13)^($F54-'הנחות עבודה'!$C$5)/$D$11)</f>
        <v>0</v>
      </c>
      <c r="AH54" s="44">
        <f ca="1">IF($F54&gt;$D$5,0,VLOOKUP($F54,$F$24:$BZ$44,AH$2-$E$2,FALSE)*$D$11*$D$14*(1+$D$13)^($F54-'הנחות עבודה'!$C$5)/$D$11)</f>
        <v>0</v>
      </c>
      <c r="AI54" s="44">
        <f ca="1">IF($F54&gt;$D$5,0,VLOOKUP($F54,$F$24:$BZ$44,AI$2-$E$2,FALSE)*$D$11*$D$14*(1+$D$13)^($F54-'הנחות עבודה'!$C$5)/$D$11)</f>
        <v>0</v>
      </c>
      <c r="AJ54" s="44">
        <f ca="1">IF($F54&gt;$D$5,0,VLOOKUP($F54,$F$24:$BZ$44,AJ$2-$E$2,FALSE)*$D$11*$D$14*(1+$D$13)^($F54-'הנחות עבודה'!$C$5)/$D$11)</f>
        <v>0</v>
      </c>
      <c r="AK54" s="42">
        <f ca="1">IF($F54&gt;$D$5,0,VLOOKUP($F54,$F$24:$BZ$44,AK$2-$E$2,FALSE)*$D$11*$D$14*(1+$D$13)^($F54-'הנחות עבודה'!$C$5)/$D$11)</f>
        <v>137.83088274399358</v>
      </c>
      <c r="AL54" s="42">
        <f ca="1">IF($F54&gt;$D$5,0,VLOOKUP($F54,$F$24:$BZ$44,AL$2-$E$2,FALSE)*$D$11*$D$14*(1+$D$13)^($F54-'הנחות עבודה'!$C$5)/$D$11)</f>
        <v>3022.7208889508684</v>
      </c>
      <c r="AM54" s="42">
        <f ca="1">IF($F54&gt;$D$5,0,VLOOKUP($F54,$F$24:$BZ$44,AM$2-$E$2,FALSE)*$D$11*$D$14*(1+$D$13)^($F54-'הנחות עבודה'!$C$5)/$D$11)</f>
        <v>0</v>
      </c>
      <c r="AN54" s="43">
        <f ca="1">IF($F54&gt;$D$5,0,VLOOKUP($F54,$F$24:$BZ$44,AN$2-$E$2,FALSE)*$D$11*$D$14*(1+$D$13)^($F54-'הנחות עבודה'!$C$5)/$D$11)</f>
        <v>0</v>
      </c>
      <c r="AO54" s="42">
        <f ca="1">IF($F54&gt;$D$5,0,VLOOKUP($F54,$F$24:$BZ$44,AO$2-$E$2,FALSE)*$D$11*$D$14*(1+$D$13)^($F54-'הנחות עבודה'!$C$5)/$D$11)</f>
        <v>1471.7442441461758</v>
      </c>
      <c r="AP54" s="43">
        <f ca="1">IF($F54&gt;$D$5,0,VLOOKUP($F54,$F$24:$BZ$44,AP$2-$E$2,FALSE)*$D$11*$D$14*(1+$D$13)^($F54-'הנחות עבודה'!$C$5)/$D$11)</f>
        <v>0</v>
      </c>
      <c r="AQ54" s="52">
        <f ca="1">IF($F54&gt;$D$5,0,VLOOKUP($F54,$F$24:$BZ$44,AQ$2-$E$2,FALSE)*$D$11*$D$14*(1+$D$13)^($F54-'הנחות עבודה'!$C$5)/$D$11)</f>
        <v>0</v>
      </c>
      <c r="AR54" s="127">
        <f ca="1">IF($F54&gt;$D$5,0,VLOOKUP($F54,$F$24:$BZ$44,AR$2-$E$2,FALSE)*$D$11*$D$14*(1+$D$13)^($F54-'הנחות עבודה'!$C$5)/$D$11)</f>
        <v>0</v>
      </c>
      <c r="AS54" s="127">
        <f ca="1">IF($F54&gt;$D$5,0,VLOOKUP($F54,$F$24:$BZ$44,AS$2-$E$2,FALSE)*$D$11*$D$14*(1+$D$13)^($F54-'הנחות עבודה'!$C$5)/$D$11)</f>
        <v>0</v>
      </c>
      <c r="AT54" s="127">
        <f ca="1">IF($F54&gt;$D$5,0,VLOOKUP($F54,$F$24:$BZ$44,AT$2-$E$2,FALSE)*$D$11*$D$14*(1+$D$13)^($F54-'הנחות עבודה'!$C$5)/$D$11)</f>
        <v>0</v>
      </c>
      <c r="AU54" s="127">
        <f ca="1">IF($F54&gt;$D$5,0,VLOOKUP($F54,$F$24:$BZ$44,AU$2-$E$2,FALSE)*$D$11*$D$14*(1+$D$13)^($F54-'הנחות עבודה'!$C$5)/$D$11)</f>
        <v>0</v>
      </c>
      <c r="AV54" s="127">
        <f ca="1">IF($F54&gt;$D$5,0,VLOOKUP($F54,$F$24:$BZ$44,AV$2-$E$2,FALSE)*$D$11*$D$14*(1+$D$13)^($F54-'הנחות עבודה'!$C$5)/$D$11)</f>
        <v>0</v>
      </c>
      <c r="AW54" s="52">
        <f ca="1">IF($F54&gt;$D$5,0,VLOOKUP($F54,$F$24:$BZ$44,AW$2-$E$2,FALSE)*$D$11*$D$14*(1+$D$13)^($F54-'הנחות עבודה'!$C$5)/$D$11)</f>
        <v>137.83088274399358</v>
      </c>
      <c r="AX54" s="52">
        <f ca="1">IF($F54&gt;$D$5,0,VLOOKUP($F54,$F$24:$BZ$44,AX$2-$E$2,FALSE)*$D$11*$D$14*(1+$D$13)^($F54-'הנחות עבודה'!$C$5)/$D$11)</f>
        <v>3022.7208889508684</v>
      </c>
      <c r="AY54" s="52">
        <f ca="1">IF($F54&gt;$D$5,0,VLOOKUP($F54,$F$24:$BZ$44,AY$2-$E$2,FALSE)*$D$11*$D$14*(1+$D$13)^($F54-'הנחות עבודה'!$C$5)/$D$11)</f>
        <v>0</v>
      </c>
      <c r="AZ54" s="52">
        <f ca="1">IF($F54&gt;$D$5,0,VLOOKUP($F54,$F$24:$BZ$44,AZ$2-$E$2,FALSE)*$D$11*$D$14*(1+$D$13)^($F54-'הנחות עבודה'!$C$5)/$D$11)</f>
        <v>0</v>
      </c>
      <c r="BA54" s="52">
        <f ca="1">IF($F54&gt;$D$5,0,VLOOKUP($F54,$F$24:$BZ$44,BA$2-$E$2,FALSE)*$D$11*$D$14*(1+$D$13)^($F54-'הנחות עבודה'!$C$5)/$D$11)</f>
        <v>1471.7442441461758</v>
      </c>
      <c r="BB54" s="52">
        <f ca="1">IF($F54&gt;$D$5,0,VLOOKUP($F54,$F$24:$BZ$44,BB$2-$E$2,FALSE)*$D$11*$D$14*(1+$D$13)^($F54-'הנחות עבודה'!$C$5)/$D$11)</f>
        <v>0</v>
      </c>
      <c r="BC54" s="42">
        <f ca="1">IF($F54&gt;$D$5,0,VLOOKUP($F54,$F$24:$BZ$44,BC$2-$E$2,FALSE)*$D$11*$D$14*(1+$D$13)^($F54-'הנחות עבודה'!$C$5)/$D$11)</f>
        <v>0</v>
      </c>
      <c r="BD54" s="44">
        <f ca="1">IF($F54&gt;$D$5,0,VLOOKUP($F54,$F$24:$BZ$44,BD$2-$E$2,FALSE)*$D$11*$D$14*(1+$D$13)^($F54-'הנחות עבודה'!$C$5)/$D$11)</f>
        <v>0</v>
      </c>
      <c r="BE54" s="44">
        <f ca="1">IF($F54&gt;$D$5,0,VLOOKUP($F54,$F$24:$BZ$44,BE$2-$E$2,FALSE)*$D$11*$D$14*(1+$D$13)^($F54-'הנחות עבודה'!$C$5)/$D$11)</f>
        <v>0</v>
      </c>
      <c r="BF54" s="44">
        <f ca="1">IF($F54&gt;$D$5,0,VLOOKUP($F54,$F$24:$BZ$44,BF$2-$E$2,FALSE)*$D$11*$D$14*(1+$D$13)^($F54-'הנחות עבודה'!$C$5)/$D$11)</f>
        <v>0</v>
      </c>
      <c r="BG54" s="44">
        <f ca="1">IF($F54&gt;$D$5,0,VLOOKUP($F54,$F$24:$BZ$44,BG$2-$E$2,FALSE)*$D$11*$D$14*(1+$D$13)^($F54-'הנחות עבודה'!$C$5)/$D$11)</f>
        <v>0</v>
      </c>
      <c r="BH54" s="44">
        <f ca="1">IF($F54&gt;$D$5,0,VLOOKUP($F54,$F$24:$BZ$44,BH$2-$E$2,FALSE)*$D$11*$D$14*(1+$D$13)^($F54-'הנחות עבודה'!$C$5)/$D$11)</f>
        <v>0</v>
      </c>
      <c r="BI54" s="42">
        <f ca="1">IF($F54&gt;$D$5,0,VLOOKUP($F54,$F$24:$BZ$44,BI$2-$E$2,FALSE)*$D$11*$D$14*(1+$D$13)^($F54-'הנחות עבודה'!$C$5)/$D$11)</f>
        <v>136.91610404418239</v>
      </c>
      <c r="BJ54" s="42">
        <f ca="1">IF($F54&gt;$D$5,0,VLOOKUP($F54,$F$24:$BZ$44,BJ$2-$E$2,FALSE)*$D$11*$D$14*(1+$D$13)^($F54-'הנחות עבודה'!$C$5)/$D$11)</f>
        <v>2959.0507180992563</v>
      </c>
      <c r="BK54" s="42">
        <f ca="1">IF($F54&gt;$D$5,0,VLOOKUP($F54,$F$24:$BZ$44,BK$2-$E$2,FALSE)*$D$11*$D$14*(1+$D$13)^($F54-'הנחות עבודה'!$C$5)/$D$11)</f>
        <v>0</v>
      </c>
      <c r="BL54" s="42">
        <f ca="1">IF($F54&gt;$D$5,0,VLOOKUP($F54,$F$24:$BZ$44,BL$2-$E$2,FALSE)*$D$11*$D$14*(1+$D$13)^($F54-'הנחות עבודה'!$C$5)/$D$11)</f>
        <v>0</v>
      </c>
      <c r="BM54" s="42">
        <f ca="1">IF($F54&gt;$D$5,0,VLOOKUP($F54,$F$24:$BZ$44,BM$2-$E$2,FALSE)*$D$11*$D$14*(1+$D$13)^($F54-'הנחות עבודה'!$C$5)/$D$11)</f>
        <v>1471.7756219443202</v>
      </c>
      <c r="BN54" s="42">
        <f ca="1">IF($F54&gt;$D$5,0,VLOOKUP($F54,$F$24:$BZ$44,BN$2-$E$2,FALSE)*$D$11*$D$14*(1+$D$13)^($F54-'הנחות עבודה'!$C$5)/$D$11)</f>
        <v>0</v>
      </c>
      <c r="BO54" s="52">
        <f ca="1">IF($F54&gt;$D$5,0,VLOOKUP($F54,$F$24:$BZ$44,BO$2-$E$2,FALSE)*$D$11*$D$14*(1+$D$13)^($F54-'הנחות עבודה'!$C$5)/$D$11)</f>
        <v>0</v>
      </c>
      <c r="BP54" s="127">
        <f ca="1">IF($F54&gt;$D$5,0,VLOOKUP($F54,$F$24:$BZ$44,BP$2-$E$2,FALSE)*$D$11*$D$14*(1+$D$13)^($F54-'הנחות עבודה'!$C$5)/$D$11)</f>
        <v>0</v>
      </c>
      <c r="BQ54" s="127">
        <f ca="1">IF($F54&gt;$D$5,0,VLOOKUP($F54,$F$24:$BZ$44,BQ$2-$E$2,FALSE)*$D$11*$D$14*(1+$D$13)^($F54-'הנחות עבודה'!$C$5)/$D$11)</f>
        <v>0</v>
      </c>
      <c r="BR54" s="127">
        <f ca="1">IF($F54&gt;$D$5,0,VLOOKUP($F54,$F$24:$BZ$44,BR$2-$E$2,FALSE)*$D$11*$D$14*(1+$D$13)^($F54-'הנחות עבודה'!$C$5)/$D$11)</f>
        <v>0</v>
      </c>
      <c r="BS54" s="127">
        <f ca="1">IF($F54&gt;$D$5,0,VLOOKUP($F54,$F$24:$BZ$44,BS$2-$E$2,FALSE)*$D$11*$D$14*(1+$D$13)^($F54-'הנחות עבודה'!$C$5)/$D$11)</f>
        <v>0</v>
      </c>
      <c r="BT54" s="127">
        <f ca="1">IF($F54&gt;$D$5,0,VLOOKUP($F54,$F$24:$BZ$44,BT$2-$E$2,FALSE)*$D$11*$D$14*(1+$D$13)^($F54-'הנחות עבודה'!$C$5)/$D$11)</f>
        <v>0</v>
      </c>
      <c r="BU54" s="52">
        <f ca="1">IF($F54&gt;$D$5,0,VLOOKUP($F54,$F$24:$BZ$44,BU$2-$E$2,FALSE)*$D$11*$D$14*(1+$D$13)^($F54-'הנחות עבודה'!$C$5)/$D$11)</f>
        <v>136.91610404418239</v>
      </c>
      <c r="BV54" s="52">
        <f ca="1">IF($F54&gt;$D$5,0,VLOOKUP($F54,$F$24:$BZ$44,BV$2-$E$2,FALSE)*$D$11*$D$14*(1+$D$13)^($F54-'הנחות עבודה'!$C$5)/$D$11)</f>
        <v>2959.0507180992563</v>
      </c>
      <c r="BW54" s="52">
        <f ca="1">IF($F54&gt;$D$5,0,VLOOKUP($F54,$F$24:$BZ$44,BW$2-$E$2,FALSE)*$D$11*$D$14*(1+$D$13)^($F54-'הנחות עבודה'!$C$5)/$D$11)</f>
        <v>0</v>
      </c>
      <c r="BX54" s="52">
        <f ca="1">IF($F54&gt;$D$5,0,VLOOKUP($F54,$F$24:$BZ$44,BX$2-$E$2,FALSE)*$D$11*$D$14*(1+$D$13)^($F54-'הנחות עבודה'!$C$5)/$D$11)</f>
        <v>0</v>
      </c>
      <c r="BY54" s="52">
        <f ca="1">IF($F54&gt;$D$5,0,VLOOKUP($F54,$F$24:$BZ$44,BY$2-$E$2,FALSE)*$D$11*$D$14*(1+$D$13)^($F54-'הנחות עבודה'!$C$5)/$D$11)</f>
        <v>1471.7756219443202</v>
      </c>
      <c r="BZ54" s="52">
        <f ca="1">IF($F54&gt;$D$5,0,VLOOKUP($F54,$F$24:$BZ$44,BZ$2-$E$2,FALSE)*$D$11*$D$14*(1+$D$13)^($F54-'הנחות עבודה'!$C$5)/$D$11)</f>
        <v>0</v>
      </c>
    </row>
    <row r="55" spans="6:78" ht="15.75">
      <c r="F55" s="10">
        <f t="shared" si="130"/>
        <v>2024</v>
      </c>
      <c r="G55" s="42">
        <f ca="1">IF($F55&gt;$D$5,0,VLOOKUP($F55,$F$24:$BZ$44,G$2-$E$2,FALSE)*$D$11*$D$14*(1+$D$13)^($F55-'הנחות עבודה'!$C$5)/$D$11)</f>
        <v>0</v>
      </c>
      <c r="H55" s="44">
        <f ca="1">IF($F55&gt;$D$5,0,VLOOKUP($F55,$F$24:$BZ$44,H$2-$E$2,FALSE)*$D$11*$D$14*(1+$D$13)^($F55-'הנחות עבודה'!$C$5)/$D$11)</f>
        <v>0</v>
      </c>
      <c r="I55" s="44">
        <f ca="1">IF($F55&gt;$D$5,0,VLOOKUP($F55,$F$24:$BZ$44,I$2-$E$2,FALSE)*$D$11*$D$14*(1+$D$13)^($F55-'הנחות עבודה'!$C$5)/$D$11)</f>
        <v>0</v>
      </c>
      <c r="J55" s="44">
        <f ca="1">IF($F55&gt;$D$5,0,VLOOKUP($F55,$F$24:$BZ$44,J$2-$E$2,FALSE)*$D$11*$D$14*(1+$D$13)^($F55-'הנחות עבודה'!$C$5)/$D$11)</f>
        <v>0</v>
      </c>
      <c r="K55" s="44">
        <f ca="1">IF($F55&gt;$D$5,0,VLOOKUP($F55,$F$24:$BZ$44,K$2-$E$2,FALSE)*$D$11*$D$14*(1+$D$13)^($F55-'הנחות עבודה'!$C$5)/$D$11)</f>
        <v>0</v>
      </c>
      <c r="L55" s="44">
        <f ca="1">IF($F55&gt;$D$5,0,VLOOKUP($F55,$F$24:$BZ$44,L$2-$E$2,FALSE)*$D$11*$D$14*(1+$D$13)^($F55-'הנחות עבודה'!$C$5)/$D$11)</f>
        <v>0</v>
      </c>
      <c r="M55" s="42">
        <f ca="1">IF($F55&gt;$D$5,0,VLOOKUP($F55,$F$24:$BZ$44,M$2-$E$2,FALSE)*$D$11*$D$14*(1+$D$13)^($F55-'הנחות עבודה'!$C$5)/$D$11)</f>
        <v>189.67410290016514</v>
      </c>
      <c r="N55" s="42">
        <f ca="1">IF($F55&gt;$D$5,0,VLOOKUP($F55,$F$24:$BZ$44,N$2-$E$2,FALSE)*$D$11*$D$14*(1+$D$13)^($F55-'הנחות עבודה'!$C$5)/$D$11)</f>
        <v>3331.560668254373</v>
      </c>
      <c r="O55" s="42">
        <f ca="1">IF($F55&gt;$D$5,0,VLOOKUP($F55,$F$24:$BZ$44,O$2-$E$2,FALSE)*$D$11*$D$14*(1+$D$13)^($F55-'הנחות עבודה'!$C$5)/$D$11)</f>
        <v>0</v>
      </c>
      <c r="P55" s="43">
        <f ca="1">IF($F55&gt;$D$5,0,VLOOKUP($F55,$F$24:$BZ$44,P$2-$E$2,FALSE)*$D$11*$D$14*(1+$D$13)^($F55-'הנחות עבודה'!$C$5)/$D$11)</f>
        <v>0</v>
      </c>
      <c r="Q55" s="42">
        <f ca="1">IF($F55&gt;$D$5,0,VLOOKUP($F55,$F$24:$BZ$44,Q$2-$E$2,FALSE)*$D$11*$D$14*(1+$D$13)^($F55-'הנחות עבודה'!$C$5)/$D$11)</f>
        <v>1274.246499290688</v>
      </c>
      <c r="R55" s="43">
        <f ca="1">IF($F55&gt;$D$5,0,VLOOKUP($F55,$F$24:$BZ$44,R$2-$E$2,FALSE)*$D$11*$D$14*(1+$D$13)^($F55-'הנחות עבודה'!$C$5)/$D$11)</f>
        <v>0</v>
      </c>
      <c r="S55" s="52">
        <f ca="1">IF($F55&gt;$D$5,0,VLOOKUP($F55,$F$24:$BZ$44,S$2-$E$2,FALSE)*$D$11*$D$14*(1+$D$13)^($F55-'הנחות עבודה'!$C$5)/$D$11)</f>
        <v>0</v>
      </c>
      <c r="T55" s="127">
        <f ca="1">IF($F55&gt;$D$5,0,VLOOKUP($F55,$F$24:$BZ$44,T$2-$E$2,FALSE)*$D$11*$D$14*(1+$D$13)^($F55-'הנחות עבודה'!$C$5)/$D$11)</f>
        <v>0</v>
      </c>
      <c r="U55" s="127">
        <f ca="1">IF($F55&gt;$D$5,0,VLOOKUP($F55,$F$24:$BZ$44,U$2-$E$2,FALSE)*$D$11*$D$14*(1+$D$13)^($F55-'הנחות עבודה'!$C$5)/$D$11)</f>
        <v>0</v>
      </c>
      <c r="V55" s="127">
        <f ca="1">IF($F55&gt;$D$5,0,VLOOKUP($F55,$F$24:$BZ$44,V$2-$E$2,FALSE)*$D$11*$D$14*(1+$D$13)^($F55-'הנחות עבודה'!$C$5)/$D$11)</f>
        <v>0</v>
      </c>
      <c r="W55" s="127">
        <f ca="1">IF($F55&gt;$D$5,0,VLOOKUP($F55,$F$24:$BZ$44,W$2-$E$2,FALSE)*$D$11*$D$14*(1+$D$13)^($F55-'הנחות עבודה'!$C$5)/$D$11)</f>
        <v>0</v>
      </c>
      <c r="X55" s="127">
        <f ca="1">IF($F55&gt;$D$5,0,VLOOKUP($F55,$F$24:$BZ$44,X$2-$E$2,FALSE)*$D$11*$D$14*(1+$D$13)^($F55-'הנחות עבודה'!$C$5)/$D$11)</f>
        <v>0</v>
      </c>
      <c r="Y55" s="52">
        <f ca="1">IF($F55&gt;$D$5,0,VLOOKUP($F55,$F$24:$BZ$44,Y$2-$E$2,FALSE)*$D$11*$D$14*(1+$D$13)^($F55-'הנחות עבודה'!$C$5)/$D$11)</f>
        <v>189.67410290016514</v>
      </c>
      <c r="Z55" s="52">
        <f ca="1">IF($F55&gt;$D$5,0,VLOOKUP($F55,$F$24:$BZ$44,Z$2-$E$2,FALSE)*$D$11*$D$14*(1+$D$13)^($F55-'הנחות עבודה'!$C$5)/$D$11)</f>
        <v>3331.560668254373</v>
      </c>
      <c r="AA55" s="52">
        <f ca="1">IF($F55&gt;$D$5,0,VLOOKUP($F55,$F$24:$BZ$44,AA$2-$E$2,FALSE)*$D$11*$D$14*(1+$D$13)^($F55-'הנחות עבודה'!$C$5)/$D$11)</f>
        <v>0</v>
      </c>
      <c r="AB55" s="52">
        <f ca="1">IF($F55&gt;$D$5,0,VLOOKUP($F55,$F$24:$BZ$44,AB$2-$E$2,FALSE)*$D$11*$D$14*(1+$D$13)^($F55-'הנחות עבודה'!$C$5)/$D$11)</f>
        <v>0</v>
      </c>
      <c r="AC55" s="52">
        <f ca="1">IF($F55&gt;$D$5,0,VLOOKUP($F55,$F$24:$BZ$44,AC$2-$E$2,FALSE)*$D$11*$D$14*(1+$D$13)^($F55-'הנחות עבודה'!$C$5)/$D$11)</f>
        <v>1274.246499290688</v>
      </c>
      <c r="AD55" s="52">
        <f ca="1">IF($F55&gt;$D$5,0,VLOOKUP($F55,$F$24:$BZ$44,AD$2-$E$2,FALSE)*$D$11*$D$14*(1+$D$13)^($F55-'הנחות עבודה'!$C$5)/$D$11)</f>
        <v>0</v>
      </c>
      <c r="AE55" s="42">
        <f ca="1">IF($F55&gt;$D$5,0,VLOOKUP($F55,$F$24:$BZ$44,AE$2-$E$2,FALSE)*$D$11*$D$14*(1+$D$13)^($F55-'הנחות עבודה'!$C$5)/$D$11)</f>
        <v>0</v>
      </c>
      <c r="AF55" s="44">
        <f ca="1">IF($F55&gt;$D$5,0,VLOOKUP($F55,$F$24:$BZ$44,AF$2-$E$2,FALSE)*$D$11*$D$14*(1+$D$13)^($F55-'הנחות עבודה'!$C$5)/$D$11)</f>
        <v>0</v>
      </c>
      <c r="AG55" s="44">
        <f ca="1">IF($F55&gt;$D$5,0,VLOOKUP($F55,$F$24:$BZ$44,AG$2-$E$2,FALSE)*$D$11*$D$14*(1+$D$13)^($F55-'הנחות עבודה'!$C$5)/$D$11)</f>
        <v>0</v>
      </c>
      <c r="AH55" s="44">
        <f ca="1">IF($F55&gt;$D$5,0,VLOOKUP($F55,$F$24:$BZ$44,AH$2-$E$2,FALSE)*$D$11*$D$14*(1+$D$13)^($F55-'הנחות עבודה'!$C$5)/$D$11)</f>
        <v>0</v>
      </c>
      <c r="AI55" s="44">
        <f ca="1">IF($F55&gt;$D$5,0,VLOOKUP($F55,$F$24:$BZ$44,AI$2-$E$2,FALSE)*$D$11*$D$14*(1+$D$13)^($F55-'הנחות עבודה'!$C$5)/$D$11)</f>
        <v>0</v>
      </c>
      <c r="AJ55" s="44">
        <f ca="1">IF($F55&gt;$D$5,0,VLOOKUP($F55,$F$24:$BZ$44,AJ$2-$E$2,FALSE)*$D$11*$D$14*(1+$D$13)^($F55-'הנחות עבודה'!$C$5)/$D$11)</f>
        <v>0</v>
      </c>
      <c r="AK55" s="42">
        <f ca="1">IF($F55&gt;$D$5,0,VLOOKUP($F55,$F$24:$BZ$44,AK$2-$E$2,FALSE)*$D$11*$D$14*(1+$D$13)^($F55-'הנחות עבודה'!$C$5)/$D$11)</f>
        <v>185.15095532344048</v>
      </c>
      <c r="AL55" s="42">
        <f ca="1">IF($F55&gt;$D$5,0,VLOOKUP($F55,$F$24:$BZ$44,AL$2-$E$2,FALSE)*$D$11*$D$14*(1+$D$13)^($F55-'הנחות עבודה'!$C$5)/$D$11)</f>
        <v>3170.6274862192522</v>
      </c>
      <c r="AM55" s="42">
        <f ca="1">IF($F55&gt;$D$5,0,VLOOKUP($F55,$F$24:$BZ$44,AM$2-$E$2,FALSE)*$D$11*$D$14*(1+$D$13)^($F55-'הנחות עבודה'!$C$5)/$D$11)</f>
        <v>0</v>
      </c>
      <c r="AN55" s="43">
        <f ca="1">IF($F55&gt;$D$5,0,VLOOKUP($F55,$F$24:$BZ$44,AN$2-$E$2,FALSE)*$D$11*$D$14*(1+$D$13)^($F55-'הנחות עבודה'!$C$5)/$D$11)</f>
        <v>0</v>
      </c>
      <c r="AO55" s="42">
        <f ca="1">IF($F55&gt;$D$5,0,VLOOKUP($F55,$F$24:$BZ$44,AO$2-$E$2,FALSE)*$D$11*$D$14*(1+$D$13)^($F55-'הנחות עבודה'!$C$5)/$D$11)</f>
        <v>1271.2646671330638</v>
      </c>
      <c r="AP55" s="43">
        <f ca="1">IF($F55&gt;$D$5,0,VLOOKUP($F55,$F$24:$BZ$44,AP$2-$E$2,FALSE)*$D$11*$D$14*(1+$D$13)^($F55-'הנחות עבודה'!$C$5)/$D$11)</f>
        <v>0</v>
      </c>
      <c r="AQ55" s="52">
        <f ca="1">IF($F55&gt;$D$5,0,VLOOKUP($F55,$F$24:$BZ$44,AQ$2-$E$2,FALSE)*$D$11*$D$14*(1+$D$13)^($F55-'הנחות עבודה'!$C$5)/$D$11)</f>
        <v>0</v>
      </c>
      <c r="AR55" s="127">
        <f ca="1">IF($F55&gt;$D$5,0,VLOOKUP($F55,$F$24:$BZ$44,AR$2-$E$2,FALSE)*$D$11*$D$14*(1+$D$13)^($F55-'הנחות עבודה'!$C$5)/$D$11)</f>
        <v>0</v>
      </c>
      <c r="AS55" s="127">
        <f ca="1">IF($F55&gt;$D$5,0,VLOOKUP($F55,$F$24:$BZ$44,AS$2-$E$2,FALSE)*$D$11*$D$14*(1+$D$13)^($F55-'הנחות עבודה'!$C$5)/$D$11)</f>
        <v>0</v>
      </c>
      <c r="AT55" s="127">
        <f ca="1">IF($F55&gt;$D$5,0,VLOOKUP($F55,$F$24:$BZ$44,AT$2-$E$2,FALSE)*$D$11*$D$14*(1+$D$13)^($F55-'הנחות עבודה'!$C$5)/$D$11)</f>
        <v>0</v>
      </c>
      <c r="AU55" s="127">
        <f ca="1">IF($F55&gt;$D$5,0,VLOOKUP($F55,$F$24:$BZ$44,AU$2-$E$2,FALSE)*$D$11*$D$14*(1+$D$13)^($F55-'הנחות עבודה'!$C$5)/$D$11)</f>
        <v>0</v>
      </c>
      <c r="AV55" s="127">
        <f ca="1">IF($F55&gt;$D$5,0,VLOOKUP($F55,$F$24:$BZ$44,AV$2-$E$2,FALSE)*$D$11*$D$14*(1+$D$13)^($F55-'הנחות עבודה'!$C$5)/$D$11)</f>
        <v>0</v>
      </c>
      <c r="AW55" s="52">
        <f ca="1">IF($F55&gt;$D$5,0,VLOOKUP($F55,$F$24:$BZ$44,AW$2-$E$2,FALSE)*$D$11*$D$14*(1+$D$13)^($F55-'הנחות עבודה'!$C$5)/$D$11)</f>
        <v>185.15095532344048</v>
      </c>
      <c r="AX55" s="52">
        <f ca="1">IF($F55&gt;$D$5,0,VLOOKUP($F55,$F$24:$BZ$44,AX$2-$E$2,FALSE)*$D$11*$D$14*(1+$D$13)^($F55-'הנחות עבודה'!$C$5)/$D$11)</f>
        <v>3170.6274862192522</v>
      </c>
      <c r="AY55" s="52">
        <f ca="1">IF($F55&gt;$D$5,0,VLOOKUP($F55,$F$24:$BZ$44,AY$2-$E$2,FALSE)*$D$11*$D$14*(1+$D$13)^($F55-'הנחות עבודה'!$C$5)/$D$11)</f>
        <v>0</v>
      </c>
      <c r="AZ55" s="52">
        <f ca="1">IF($F55&gt;$D$5,0,VLOOKUP($F55,$F$24:$BZ$44,AZ$2-$E$2,FALSE)*$D$11*$D$14*(1+$D$13)^($F55-'הנחות עבודה'!$C$5)/$D$11)</f>
        <v>0</v>
      </c>
      <c r="BA55" s="52">
        <f ca="1">IF($F55&gt;$D$5,0,VLOOKUP($F55,$F$24:$BZ$44,BA$2-$E$2,FALSE)*$D$11*$D$14*(1+$D$13)^($F55-'הנחות עבודה'!$C$5)/$D$11)</f>
        <v>1271.2646671330638</v>
      </c>
      <c r="BB55" s="52">
        <f ca="1">IF($F55&gt;$D$5,0,VLOOKUP($F55,$F$24:$BZ$44,BB$2-$E$2,FALSE)*$D$11*$D$14*(1+$D$13)^($F55-'הנחות עבודה'!$C$5)/$D$11)</f>
        <v>0</v>
      </c>
      <c r="BC55" s="42">
        <f ca="1">IF($F55&gt;$D$5,0,VLOOKUP($F55,$F$24:$BZ$44,BC$2-$E$2,FALSE)*$D$11*$D$14*(1+$D$13)^($F55-'הנחות עבודה'!$C$5)/$D$11)</f>
        <v>0</v>
      </c>
      <c r="BD55" s="44">
        <f ca="1">IF($F55&gt;$D$5,0,VLOOKUP($F55,$F$24:$BZ$44,BD$2-$E$2,FALSE)*$D$11*$D$14*(1+$D$13)^($F55-'הנחות עבודה'!$C$5)/$D$11)</f>
        <v>0</v>
      </c>
      <c r="BE55" s="44">
        <f ca="1">IF($F55&gt;$D$5,0,VLOOKUP($F55,$F$24:$BZ$44,BE$2-$E$2,FALSE)*$D$11*$D$14*(1+$D$13)^($F55-'הנחות עבודה'!$C$5)/$D$11)</f>
        <v>0</v>
      </c>
      <c r="BF55" s="44">
        <f ca="1">IF($F55&gt;$D$5,0,VLOOKUP($F55,$F$24:$BZ$44,BF$2-$E$2,FALSE)*$D$11*$D$14*(1+$D$13)^($F55-'הנחות עבודה'!$C$5)/$D$11)</f>
        <v>0</v>
      </c>
      <c r="BG55" s="44">
        <f ca="1">IF($F55&gt;$D$5,0,VLOOKUP($F55,$F$24:$BZ$44,BG$2-$E$2,FALSE)*$D$11*$D$14*(1+$D$13)^($F55-'הנחות עבודה'!$C$5)/$D$11)</f>
        <v>0</v>
      </c>
      <c r="BH55" s="44">
        <f ca="1">IF($F55&gt;$D$5,0,VLOOKUP($F55,$F$24:$BZ$44,BH$2-$E$2,FALSE)*$D$11*$D$14*(1+$D$13)^($F55-'הנחות עבודה'!$C$5)/$D$11)</f>
        <v>0</v>
      </c>
      <c r="BI55" s="42">
        <f ca="1">IF($F55&gt;$D$5,0,VLOOKUP($F55,$F$24:$BZ$44,BI$2-$E$2,FALSE)*$D$11*$D$14*(1+$D$13)^($F55-'הנחות עבודה'!$C$5)/$D$11)</f>
        <v>184.16903651489949</v>
      </c>
      <c r="BJ55" s="42">
        <f ca="1">IF($F55&gt;$D$5,0,VLOOKUP($F55,$F$24:$BZ$44,BJ$2-$E$2,FALSE)*$D$11*$D$14*(1+$D$13)^($F55-'הנחות עבודה'!$C$5)/$D$11)</f>
        <v>3081.3218101737957</v>
      </c>
      <c r="BK55" s="42">
        <f ca="1">IF($F55&gt;$D$5,0,VLOOKUP($F55,$F$24:$BZ$44,BK$2-$E$2,FALSE)*$D$11*$D$14*(1+$D$13)^($F55-'הנחות עבודה'!$C$5)/$D$11)</f>
        <v>0</v>
      </c>
      <c r="BL55" s="42">
        <f ca="1">IF($F55&gt;$D$5,0,VLOOKUP($F55,$F$24:$BZ$44,BL$2-$E$2,FALSE)*$D$11*$D$14*(1+$D$13)^($F55-'הנחות עבודה'!$C$5)/$D$11)</f>
        <v>0</v>
      </c>
      <c r="BM55" s="42">
        <f ca="1">IF($F55&gt;$D$5,0,VLOOKUP($F55,$F$24:$BZ$44,BM$2-$E$2,FALSE)*$D$11*$D$14*(1+$D$13)^($F55-'הנחות עבודה'!$C$5)/$D$11)</f>
        <v>1270.6098909302939</v>
      </c>
      <c r="BN55" s="42">
        <f ca="1">IF($F55&gt;$D$5,0,VLOOKUP($F55,$F$24:$BZ$44,BN$2-$E$2,FALSE)*$D$11*$D$14*(1+$D$13)^($F55-'הנחות עבודה'!$C$5)/$D$11)</f>
        <v>0</v>
      </c>
      <c r="BO55" s="52">
        <f ca="1">IF($F55&gt;$D$5,0,VLOOKUP($F55,$F$24:$BZ$44,BO$2-$E$2,FALSE)*$D$11*$D$14*(1+$D$13)^($F55-'הנחות עבודה'!$C$5)/$D$11)</f>
        <v>0</v>
      </c>
      <c r="BP55" s="127">
        <f ca="1">IF($F55&gt;$D$5,0,VLOOKUP($F55,$F$24:$BZ$44,BP$2-$E$2,FALSE)*$D$11*$D$14*(1+$D$13)^($F55-'הנחות עבודה'!$C$5)/$D$11)</f>
        <v>0</v>
      </c>
      <c r="BQ55" s="127">
        <f ca="1">IF($F55&gt;$D$5,0,VLOOKUP($F55,$F$24:$BZ$44,BQ$2-$E$2,FALSE)*$D$11*$D$14*(1+$D$13)^($F55-'הנחות עבודה'!$C$5)/$D$11)</f>
        <v>0</v>
      </c>
      <c r="BR55" s="127">
        <f ca="1">IF($F55&gt;$D$5,0,VLOOKUP($F55,$F$24:$BZ$44,BR$2-$E$2,FALSE)*$D$11*$D$14*(1+$D$13)^($F55-'הנחות עבודה'!$C$5)/$D$11)</f>
        <v>0</v>
      </c>
      <c r="BS55" s="127">
        <f ca="1">IF($F55&gt;$D$5,0,VLOOKUP($F55,$F$24:$BZ$44,BS$2-$E$2,FALSE)*$D$11*$D$14*(1+$D$13)^($F55-'הנחות עבודה'!$C$5)/$D$11)</f>
        <v>0</v>
      </c>
      <c r="BT55" s="127">
        <f ca="1">IF($F55&gt;$D$5,0,VLOOKUP($F55,$F$24:$BZ$44,BT$2-$E$2,FALSE)*$D$11*$D$14*(1+$D$13)^($F55-'הנחות עבודה'!$C$5)/$D$11)</f>
        <v>0</v>
      </c>
      <c r="BU55" s="52">
        <f ca="1">IF($F55&gt;$D$5,0,VLOOKUP($F55,$F$24:$BZ$44,BU$2-$E$2,FALSE)*$D$11*$D$14*(1+$D$13)^($F55-'הנחות עבודה'!$C$5)/$D$11)</f>
        <v>184.16903651489949</v>
      </c>
      <c r="BV55" s="52">
        <f ca="1">IF($F55&gt;$D$5,0,VLOOKUP($F55,$F$24:$BZ$44,BV$2-$E$2,FALSE)*$D$11*$D$14*(1+$D$13)^($F55-'הנחות עבודה'!$C$5)/$D$11)</f>
        <v>3081.3218101737957</v>
      </c>
      <c r="BW55" s="52">
        <f ca="1">IF($F55&gt;$D$5,0,VLOOKUP($F55,$F$24:$BZ$44,BW$2-$E$2,FALSE)*$D$11*$D$14*(1+$D$13)^($F55-'הנחות עבודה'!$C$5)/$D$11)</f>
        <v>0</v>
      </c>
      <c r="BX55" s="52">
        <f ca="1">IF($F55&gt;$D$5,0,VLOOKUP($F55,$F$24:$BZ$44,BX$2-$E$2,FALSE)*$D$11*$D$14*(1+$D$13)^($F55-'הנחות עבודה'!$C$5)/$D$11)</f>
        <v>0</v>
      </c>
      <c r="BY55" s="52">
        <f ca="1">IF($F55&gt;$D$5,0,VLOOKUP($F55,$F$24:$BZ$44,BY$2-$E$2,FALSE)*$D$11*$D$14*(1+$D$13)^($F55-'הנחות עבודה'!$C$5)/$D$11)</f>
        <v>1270.6098909302939</v>
      </c>
      <c r="BZ55" s="52">
        <f ca="1">IF($F55&gt;$D$5,0,VLOOKUP($F55,$F$24:$BZ$44,BZ$2-$E$2,FALSE)*$D$11*$D$14*(1+$D$13)^($F55-'הנחות עבודה'!$C$5)/$D$11)</f>
        <v>0</v>
      </c>
    </row>
    <row r="56" spans="6:78" ht="15.75">
      <c r="F56" s="10">
        <f t="shared" si="130"/>
        <v>2025</v>
      </c>
      <c r="G56" s="42">
        <f ca="1">IF($F56&gt;$D$5,0,VLOOKUP($F56,$F$24:$BZ$44,G$2-$E$2,FALSE)*$D$11*$D$14*(1+$D$13)^($F56-'הנחות עבודה'!$C$5)/$D$11)</f>
        <v>0</v>
      </c>
      <c r="H56" s="44">
        <f ca="1">IF($F56&gt;$D$5,0,VLOOKUP($F56,$F$24:$BZ$44,H$2-$E$2,FALSE)*$D$11*$D$14*(1+$D$13)^($F56-'הנחות עבודה'!$C$5)/$D$11)</f>
        <v>0</v>
      </c>
      <c r="I56" s="44">
        <f ca="1">IF($F56&gt;$D$5,0,VLOOKUP($F56,$F$24:$BZ$44,I$2-$E$2,FALSE)*$D$11*$D$14*(1+$D$13)^($F56-'הנחות עבודה'!$C$5)/$D$11)</f>
        <v>0</v>
      </c>
      <c r="J56" s="44">
        <f ca="1">IF($F56&gt;$D$5,0,VLOOKUP($F56,$F$24:$BZ$44,J$2-$E$2,FALSE)*$D$11*$D$14*(1+$D$13)^($F56-'הנחות עבודה'!$C$5)/$D$11)</f>
        <v>0</v>
      </c>
      <c r="K56" s="44">
        <f ca="1">IF($F56&gt;$D$5,0,VLOOKUP($F56,$F$24:$BZ$44,K$2-$E$2,FALSE)*$D$11*$D$14*(1+$D$13)^($F56-'הנחות עבודה'!$C$5)/$D$11)</f>
        <v>0</v>
      </c>
      <c r="L56" s="44">
        <f ca="1">IF($F56&gt;$D$5,0,VLOOKUP($F56,$F$24:$BZ$44,L$2-$E$2,FALSE)*$D$11*$D$14*(1+$D$13)^($F56-'הנחות עבודה'!$C$5)/$D$11)</f>
        <v>0</v>
      </c>
      <c r="M56" s="42">
        <f ca="1">IF($F56&gt;$D$5,0,VLOOKUP($F56,$F$24:$BZ$44,M$2-$E$2,FALSE)*$D$11*$D$14*(1+$D$13)^($F56-'הנחות עבודה'!$C$5)/$D$11)</f>
        <v>677.64391995813469</v>
      </c>
      <c r="N56" s="42">
        <f ca="1">IF($F56&gt;$D$5,0,VLOOKUP($F56,$F$24:$BZ$44,N$2-$E$2,FALSE)*$D$11*$D$14*(1+$D$13)^($F56-'הנחות עבודה'!$C$5)/$D$11)</f>
        <v>3503.1722367636303</v>
      </c>
      <c r="O56" s="42">
        <f ca="1">IF($F56&gt;$D$5,0,VLOOKUP($F56,$F$24:$BZ$44,O$2-$E$2,FALSE)*$D$11*$D$14*(1+$D$13)^($F56-'הנחות עבודה'!$C$5)/$D$11)</f>
        <v>0</v>
      </c>
      <c r="P56" s="43">
        <f ca="1">IF($F56&gt;$D$5,0,VLOOKUP($F56,$F$24:$BZ$44,P$2-$E$2,FALSE)*$D$11*$D$14*(1+$D$13)^($F56-'הנחות עבודה'!$C$5)/$D$11)</f>
        <v>0</v>
      </c>
      <c r="Q56" s="42">
        <f ca="1">IF($F56&gt;$D$5,0,VLOOKUP($F56,$F$24:$BZ$44,Q$2-$E$2,FALSE)*$D$11*$D$14*(1+$D$13)^($F56-'הנחות עבודה'!$C$5)/$D$11)</f>
        <v>376.7857516783439</v>
      </c>
      <c r="R56" s="43">
        <f ca="1">IF($F56&gt;$D$5,0,VLOOKUP($F56,$F$24:$BZ$44,R$2-$E$2,FALSE)*$D$11*$D$14*(1+$D$13)^($F56-'הנחות עבודה'!$C$5)/$D$11)</f>
        <v>0</v>
      </c>
      <c r="S56" s="52">
        <f ca="1">IF($F56&gt;$D$5,0,VLOOKUP($F56,$F$24:$BZ$44,S$2-$E$2,FALSE)*$D$11*$D$14*(1+$D$13)^($F56-'הנחות עבודה'!$C$5)/$D$11)</f>
        <v>0</v>
      </c>
      <c r="T56" s="127">
        <f ca="1">IF($F56&gt;$D$5,0,VLOOKUP($F56,$F$24:$BZ$44,T$2-$E$2,FALSE)*$D$11*$D$14*(1+$D$13)^($F56-'הנחות עבודה'!$C$5)/$D$11)</f>
        <v>0</v>
      </c>
      <c r="U56" s="127">
        <f ca="1">IF($F56&gt;$D$5,0,VLOOKUP($F56,$F$24:$BZ$44,U$2-$E$2,FALSE)*$D$11*$D$14*(1+$D$13)^($F56-'הנחות עבודה'!$C$5)/$D$11)</f>
        <v>0</v>
      </c>
      <c r="V56" s="127">
        <f ca="1">IF($F56&gt;$D$5,0,VLOOKUP($F56,$F$24:$BZ$44,V$2-$E$2,FALSE)*$D$11*$D$14*(1+$D$13)^($F56-'הנחות עבודה'!$C$5)/$D$11)</f>
        <v>0</v>
      </c>
      <c r="W56" s="127">
        <f ca="1">IF($F56&gt;$D$5,0,VLOOKUP($F56,$F$24:$BZ$44,W$2-$E$2,FALSE)*$D$11*$D$14*(1+$D$13)^($F56-'הנחות עבודה'!$C$5)/$D$11)</f>
        <v>0</v>
      </c>
      <c r="X56" s="127">
        <f ca="1">IF($F56&gt;$D$5,0,VLOOKUP($F56,$F$24:$BZ$44,X$2-$E$2,FALSE)*$D$11*$D$14*(1+$D$13)^($F56-'הנחות עבודה'!$C$5)/$D$11)</f>
        <v>0</v>
      </c>
      <c r="Y56" s="52">
        <f ca="1">IF($F56&gt;$D$5,0,VLOOKUP($F56,$F$24:$BZ$44,Y$2-$E$2,FALSE)*$D$11*$D$14*(1+$D$13)^($F56-'הנחות עבודה'!$C$5)/$D$11)</f>
        <v>677.64391995813469</v>
      </c>
      <c r="Z56" s="52">
        <f ca="1">IF($F56&gt;$D$5,0,VLOOKUP($F56,$F$24:$BZ$44,Z$2-$E$2,FALSE)*$D$11*$D$14*(1+$D$13)^($F56-'הנחות עבודה'!$C$5)/$D$11)</f>
        <v>3503.1722367636303</v>
      </c>
      <c r="AA56" s="52">
        <f ca="1">IF($F56&gt;$D$5,0,VLOOKUP($F56,$F$24:$BZ$44,AA$2-$E$2,FALSE)*$D$11*$D$14*(1+$D$13)^($F56-'הנחות עבודה'!$C$5)/$D$11)</f>
        <v>0</v>
      </c>
      <c r="AB56" s="52">
        <f ca="1">IF($F56&gt;$D$5,0,VLOOKUP($F56,$F$24:$BZ$44,AB$2-$E$2,FALSE)*$D$11*$D$14*(1+$D$13)^($F56-'הנחות עבודה'!$C$5)/$D$11)</f>
        <v>0</v>
      </c>
      <c r="AC56" s="52">
        <f ca="1">IF($F56&gt;$D$5,0,VLOOKUP($F56,$F$24:$BZ$44,AC$2-$E$2,FALSE)*$D$11*$D$14*(1+$D$13)^($F56-'הנחות עבודה'!$C$5)/$D$11)</f>
        <v>376.7857516783439</v>
      </c>
      <c r="AD56" s="52">
        <f ca="1">IF($F56&gt;$D$5,0,VLOOKUP($F56,$F$24:$BZ$44,AD$2-$E$2,FALSE)*$D$11*$D$14*(1+$D$13)^($F56-'הנחות עבודה'!$C$5)/$D$11)</f>
        <v>0</v>
      </c>
      <c r="AE56" s="42">
        <f ca="1">IF($F56&gt;$D$5,0,VLOOKUP($F56,$F$24:$BZ$44,AE$2-$E$2,FALSE)*$D$11*$D$14*(1+$D$13)^($F56-'הנחות עבודה'!$C$5)/$D$11)</f>
        <v>0</v>
      </c>
      <c r="AF56" s="44">
        <f ca="1">IF($F56&gt;$D$5,0,VLOOKUP($F56,$F$24:$BZ$44,AF$2-$E$2,FALSE)*$D$11*$D$14*(1+$D$13)^($F56-'הנחות עבודה'!$C$5)/$D$11)</f>
        <v>0</v>
      </c>
      <c r="AG56" s="44">
        <f ca="1">IF($F56&gt;$D$5,0,VLOOKUP($F56,$F$24:$BZ$44,AG$2-$E$2,FALSE)*$D$11*$D$14*(1+$D$13)^($F56-'הנחות עבודה'!$C$5)/$D$11)</f>
        <v>0</v>
      </c>
      <c r="AH56" s="44">
        <f ca="1">IF($F56&gt;$D$5,0,VLOOKUP($F56,$F$24:$BZ$44,AH$2-$E$2,FALSE)*$D$11*$D$14*(1+$D$13)^($F56-'הנחות עבודה'!$C$5)/$D$11)</f>
        <v>0</v>
      </c>
      <c r="AI56" s="44">
        <f ca="1">IF($F56&gt;$D$5,0,VLOOKUP($F56,$F$24:$BZ$44,AI$2-$E$2,FALSE)*$D$11*$D$14*(1+$D$13)^($F56-'הנחות עבודה'!$C$5)/$D$11)</f>
        <v>0</v>
      </c>
      <c r="AJ56" s="44">
        <f ca="1">IF($F56&gt;$D$5,0,VLOOKUP($F56,$F$24:$BZ$44,AJ$2-$E$2,FALSE)*$D$11*$D$14*(1+$D$13)^($F56-'הנחות עבודה'!$C$5)/$D$11)</f>
        <v>0</v>
      </c>
      <c r="AK56" s="42">
        <f ca="1">IF($F56&gt;$D$5,0,VLOOKUP($F56,$F$24:$BZ$44,AK$2-$E$2,FALSE)*$D$11*$D$14*(1+$D$13)^($F56-'הנחות עבודה'!$C$5)/$D$11)</f>
        <v>653.05411583721434</v>
      </c>
      <c r="AL56" s="42">
        <f ca="1">IF($F56&gt;$D$5,0,VLOOKUP($F56,$F$24:$BZ$44,AL$2-$E$2,FALSE)*$D$11*$D$14*(1+$D$13)^($F56-'הנחות עבודה'!$C$5)/$D$11)</f>
        <v>3305.0236198304142</v>
      </c>
      <c r="AM56" s="42">
        <f ca="1">IF($F56&gt;$D$5,0,VLOOKUP($F56,$F$24:$BZ$44,AM$2-$E$2,FALSE)*$D$11*$D$14*(1+$D$13)^($F56-'הנחות עבודה'!$C$5)/$D$11)</f>
        <v>0</v>
      </c>
      <c r="AN56" s="43">
        <f ca="1">IF($F56&gt;$D$5,0,VLOOKUP($F56,$F$24:$BZ$44,AN$2-$E$2,FALSE)*$D$11*$D$14*(1+$D$13)^($F56-'הנחות עבודה'!$C$5)/$D$11)</f>
        <v>0</v>
      </c>
      <c r="AO56" s="42">
        <f ca="1">IF($F56&gt;$D$5,0,VLOOKUP($F56,$F$24:$BZ$44,AO$2-$E$2,FALSE)*$D$11*$D$14*(1+$D$13)^($F56-'הנחות עבודה'!$C$5)/$D$11)</f>
        <v>376.21581633508561</v>
      </c>
      <c r="AP56" s="43">
        <f ca="1">IF($F56&gt;$D$5,0,VLOOKUP($F56,$F$24:$BZ$44,AP$2-$E$2,FALSE)*$D$11*$D$14*(1+$D$13)^($F56-'הנחות עבודה'!$C$5)/$D$11)</f>
        <v>0</v>
      </c>
      <c r="AQ56" s="52">
        <f ca="1">IF($F56&gt;$D$5,0,VLOOKUP($F56,$F$24:$BZ$44,AQ$2-$E$2,FALSE)*$D$11*$D$14*(1+$D$13)^($F56-'הנחות עבודה'!$C$5)/$D$11)</f>
        <v>0</v>
      </c>
      <c r="AR56" s="127">
        <f ca="1">IF($F56&gt;$D$5,0,VLOOKUP($F56,$F$24:$BZ$44,AR$2-$E$2,FALSE)*$D$11*$D$14*(1+$D$13)^($F56-'הנחות עבודה'!$C$5)/$D$11)</f>
        <v>0</v>
      </c>
      <c r="AS56" s="127">
        <f ca="1">IF($F56&gt;$D$5,0,VLOOKUP($F56,$F$24:$BZ$44,AS$2-$E$2,FALSE)*$D$11*$D$14*(1+$D$13)^($F56-'הנחות עבודה'!$C$5)/$D$11)</f>
        <v>0</v>
      </c>
      <c r="AT56" s="127">
        <f ca="1">IF($F56&gt;$D$5,0,VLOOKUP($F56,$F$24:$BZ$44,AT$2-$E$2,FALSE)*$D$11*$D$14*(1+$D$13)^($F56-'הנחות עבודה'!$C$5)/$D$11)</f>
        <v>0</v>
      </c>
      <c r="AU56" s="127">
        <f ca="1">IF($F56&gt;$D$5,0,VLOOKUP($F56,$F$24:$BZ$44,AU$2-$E$2,FALSE)*$D$11*$D$14*(1+$D$13)^($F56-'הנחות עבודה'!$C$5)/$D$11)</f>
        <v>0</v>
      </c>
      <c r="AV56" s="127">
        <f ca="1">IF($F56&gt;$D$5,0,VLOOKUP($F56,$F$24:$BZ$44,AV$2-$E$2,FALSE)*$D$11*$D$14*(1+$D$13)^($F56-'הנחות עבודה'!$C$5)/$D$11)</f>
        <v>0</v>
      </c>
      <c r="AW56" s="52">
        <f ca="1">IF($F56&gt;$D$5,0,VLOOKUP($F56,$F$24:$BZ$44,AW$2-$E$2,FALSE)*$D$11*$D$14*(1+$D$13)^($F56-'הנחות עבודה'!$C$5)/$D$11)</f>
        <v>653.05411583721434</v>
      </c>
      <c r="AX56" s="52">
        <f ca="1">IF($F56&gt;$D$5,0,VLOOKUP($F56,$F$24:$BZ$44,AX$2-$E$2,FALSE)*$D$11*$D$14*(1+$D$13)^($F56-'הנחות עבודה'!$C$5)/$D$11)</f>
        <v>3305.0236198304142</v>
      </c>
      <c r="AY56" s="52">
        <f ca="1">IF($F56&gt;$D$5,0,VLOOKUP($F56,$F$24:$BZ$44,AY$2-$E$2,FALSE)*$D$11*$D$14*(1+$D$13)^($F56-'הנחות עבודה'!$C$5)/$D$11)</f>
        <v>0</v>
      </c>
      <c r="AZ56" s="52">
        <f ca="1">IF($F56&gt;$D$5,0,VLOOKUP($F56,$F$24:$BZ$44,AZ$2-$E$2,FALSE)*$D$11*$D$14*(1+$D$13)^($F56-'הנחות עבודה'!$C$5)/$D$11)</f>
        <v>0</v>
      </c>
      <c r="BA56" s="52">
        <f ca="1">IF($F56&gt;$D$5,0,VLOOKUP($F56,$F$24:$BZ$44,BA$2-$E$2,FALSE)*$D$11*$D$14*(1+$D$13)^($F56-'הנחות עבודה'!$C$5)/$D$11)</f>
        <v>376.21581633508561</v>
      </c>
      <c r="BB56" s="52">
        <f ca="1">IF($F56&gt;$D$5,0,VLOOKUP($F56,$F$24:$BZ$44,BB$2-$E$2,FALSE)*$D$11*$D$14*(1+$D$13)^($F56-'הנחות עבודה'!$C$5)/$D$11)</f>
        <v>0</v>
      </c>
      <c r="BC56" s="42">
        <f ca="1">IF($F56&gt;$D$5,0,VLOOKUP($F56,$F$24:$BZ$44,BC$2-$E$2,FALSE)*$D$11*$D$14*(1+$D$13)^($F56-'הנחות עבודה'!$C$5)/$D$11)</f>
        <v>0</v>
      </c>
      <c r="BD56" s="44">
        <f ca="1">IF($F56&gt;$D$5,0,VLOOKUP($F56,$F$24:$BZ$44,BD$2-$E$2,FALSE)*$D$11*$D$14*(1+$D$13)^($F56-'הנחות עבודה'!$C$5)/$D$11)</f>
        <v>0</v>
      </c>
      <c r="BE56" s="44">
        <f ca="1">IF($F56&gt;$D$5,0,VLOOKUP($F56,$F$24:$BZ$44,BE$2-$E$2,FALSE)*$D$11*$D$14*(1+$D$13)^($F56-'הנחות עבודה'!$C$5)/$D$11)</f>
        <v>0</v>
      </c>
      <c r="BF56" s="44">
        <f ca="1">IF($F56&gt;$D$5,0,VLOOKUP($F56,$F$24:$BZ$44,BF$2-$E$2,FALSE)*$D$11*$D$14*(1+$D$13)^($F56-'הנחות עבודה'!$C$5)/$D$11)</f>
        <v>0</v>
      </c>
      <c r="BG56" s="44">
        <f ca="1">IF($F56&gt;$D$5,0,VLOOKUP($F56,$F$24:$BZ$44,BG$2-$E$2,FALSE)*$D$11*$D$14*(1+$D$13)^($F56-'הנחות עבודה'!$C$5)/$D$11)</f>
        <v>0</v>
      </c>
      <c r="BH56" s="44">
        <f ca="1">IF($F56&gt;$D$5,0,VLOOKUP($F56,$F$24:$BZ$44,BH$2-$E$2,FALSE)*$D$11*$D$14*(1+$D$13)^($F56-'הנחות עבודה'!$C$5)/$D$11)</f>
        <v>0</v>
      </c>
      <c r="BI56" s="42">
        <f ca="1">IF($F56&gt;$D$5,0,VLOOKUP($F56,$F$24:$BZ$44,BI$2-$E$2,FALSE)*$D$11*$D$14*(1+$D$13)^($F56-'הנחות עבודה'!$C$5)/$D$11)</f>
        <v>655.2792286170021</v>
      </c>
      <c r="BJ56" s="42">
        <f ca="1">IF($F56&gt;$D$5,0,VLOOKUP($F56,$F$24:$BZ$44,BJ$2-$E$2,FALSE)*$D$11*$D$14*(1+$D$13)^($F56-'הנחות עבודה'!$C$5)/$D$11)</f>
        <v>3184.4196638575422</v>
      </c>
      <c r="BK56" s="42">
        <f ca="1">IF($F56&gt;$D$5,0,VLOOKUP($F56,$F$24:$BZ$44,BK$2-$E$2,FALSE)*$D$11*$D$14*(1+$D$13)^($F56-'הנחות עבודה'!$C$5)/$D$11)</f>
        <v>0</v>
      </c>
      <c r="BL56" s="42">
        <f ca="1">IF($F56&gt;$D$5,0,VLOOKUP($F56,$F$24:$BZ$44,BL$2-$E$2,FALSE)*$D$11*$D$14*(1+$D$13)^($F56-'הנחות עבודה'!$C$5)/$D$11)</f>
        <v>0</v>
      </c>
      <c r="BM56" s="42">
        <f ca="1">IF($F56&gt;$D$5,0,VLOOKUP($F56,$F$24:$BZ$44,BM$2-$E$2,FALSE)*$D$11*$D$14*(1+$D$13)^($F56-'הנחות עבודה'!$C$5)/$D$11)</f>
        <v>375.5452241531612</v>
      </c>
      <c r="BN56" s="42">
        <f ca="1">IF($F56&gt;$D$5,0,VLOOKUP($F56,$F$24:$BZ$44,BN$2-$E$2,FALSE)*$D$11*$D$14*(1+$D$13)^($F56-'הנחות עבודה'!$C$5)/$D$11)</f>
        <v>0</v>
      </c>
      <c r="BO56" s="52">
        <f ca="1">IF($F56&gt;$D$5,0,VLOOKUP($F56,$F$24:$BZ$44,BO$2-$E$2,FALSE)*$D$11*$D$14*(1+$D$13)^($F56-'הנחות עבודה'!$C$5)/$D$11)</f>
        <v>0</v>
      </c>
      <c r="BP56" s="127">
        <f ca="1">IF($F56&gt;$D$5,0,VLOOKUP($F56,$F$24:$BZ$44,BP$2-$E$2,FALSE)*$D$11*$D$14*(1+$D$13)^($F56-'הנחות עבודה'!$C$5)/$D$11)</f>
        <v>0</v>
      </c>
      <c r="BQ56" s="127">
        <f ca="1">IF($F56&gt;$D$5,0,VLOOKUP($F56,$F$24:$BZ$44,BQ$2-$E$2,FALSE)*$D$11*$D$14*(1+$D$13)^($F56-'הנחות עבודה'!$C$5)/$D$11)</f>
        <v>0</v>
      </c>
      <c r="BR56" s="127">
        <f ca="1">IF($F56&gt;$D$5,0,VLOOKUP($F56,$F$24:$BZ$44,BR$2-$E$2,FALSE)*$D$11*$D$14*(1+$D$13)^($F56-'הנחות עבודה'!$C$5)/$D$11)</f>
        <v>0</v>
      </c>
      <c r="BS56" s="127">
        <f ca="1">IF($F56&gt;$D$5,0,VLOOKUP($F56,$F$24:$BZ$44,BS$2-$E$2,FALSE)*$D$11*$D$14*(1+$D$13)^($F56-'הנחות עבודה'!$C$5)/$D$11)</f>
        <v>0</v>
      </c>
      <c r="BT56" s="127">
        <f ca="1">IF($F56&gt;$D$5,0,VLOOKUP($F56,$F$24:$BZ$44,BT$2-$E$2,FALSE)*$D$11*$D$14*(1+$D$13)^($F56-'הנחות עבודה'!$C$5)/$D$11)</f>
        <v>0</v>
      </c>
      <c r="BU56" s="52">
        <f ca="1">IF($F56&gt;$D$5,0,VLOOKUP($F56,$F$24:$BZ$44,BU$2-$E$2,FALSE)*$D$11*$D$14*(1+$D$13)^($F56-'הנחות עבודה'!$C$5)/$D$11)</f>
        <v>655.2792286170021</v>
      </c>
      <c r="BV56" s="52">
        <f ca="1">IF($F56&gt;$D$5,0,VLOOKUP($F56,$F$24:$BZ$44,BV$2-$E$2,FALSE)*$D$11*$D$14*(1+$D$13)^($F56-'הנחות עבודה'!$C$5)/$D$11)</f>
        <v>3184.4196638575422</v>
      </c>
      <c r="BW56" s="52">
        <f ca="1">IF($F56&gt;$D$5,0,VLOOKUP($F56,$F$24:$BZ$44,BW$2-$E$2,FALSE)*$D$11*$D$14*(1+$D$13)^($F56-'הנחות עבודה'!$C$5)/$D$11)</f>
        <v>0</v>
      </c>
      <c r="BX56" s="52">
        <f ca="1">IF($F56&gt;$D$5,0,VLOOKUP($F56,$F$24:$BZ$44,BX$2-$E$2,FALSE)*$D$11*$D$14*(1+$D$13)^($F56-'הנחות עבודה'!$C$5)/$D$11)</f>
        <v>0</v>
      </c>
      <c r="BY56" s="52">
        <f ca="1">IF($F56&gt;$D$5,0,VLOOKUP($F56,$F$24:$BZ$44,BY$2-$E$2,FALSE)*$D$11*$D$14*(1+$D$13)^($F56-'הנחות עבודה'!$C$5)/$D$11)</f>
        <v>375.5452241531612</v>
      </c>
      <c r="BZ56" s="52">
        <f ca="1">IF($F56&gt;$D$5,0,VLOOKUP($F56,$F$24:$BZ$44,BZ$2-$E$2,FALSE)*$D$11*$D$14*(1+$D$13)^($F56-'הנחות עבודה'!$C$5)/$D$11)</f>
        <v>0</v>
      </c>
    </row>
    <row r="57" spans="6:78" ht="15.75">
      <c r="F57" s="10">
        <f t="shared" si="130"/>
        <v>2026</v>
      </c>
      <c r="G57" s="42">
        <f ca="1">IF($F57&gt;$D$5,0,VLOOKUP($F57,$F$24:$BZ$44,G$2-$E$2,FALSE)*$D$11*$D$14*(1+$D$13)^($F57-'הנחות עבודה'!$C$5)/$D$11)</f>
        <v>0</v>
      </c>
      <c r="H57" s="44">
        <f ca="1">IF($F57&gt;$D$5,0,VLOOKUP($F57,$F$24:$BZ$44,H$2-$E$2,FALSE)*$D$11*$D$14*(1+$D$13)^($F57-'הנחות עבודה'!$C$5)/$D$11)</f>
        <v>0</v>
      </c>
      <c r="I57" s="44">
        <f ca="1">IF($F57&gt;$D$5,0,VLOOKUP($F57,$F$24:$BZ$44,I$2-$E$2,FALSE)*$D$11*$D$14*(1+$D$13)^($F57-'הנחות עבודה'!$C$5)/$D$11)</f>
        <v>0</v>
      </c>
      <c r="J57" s="44">
        <f ca="1">IF($F57&gt;$D$5,0,VLOOKUP($F57,$F$24:$BZ$44,J$2-$E$2,FALSE)*$D$11*$D$14*(1+$D$13)^($F57-'הנחות עבודה'!$C$5)/$D$11)</f>
        <v>0</v>
      </c>
      <c r="K57" s="44">
        <f ca="1">IF($F57&gt;$D$5,0,VLOOKUP($F57,$F$24:$BZ$44,K$2-$E$2,FALSE)*$D$11*$D$14*(1+$D$13)^($F57-'הנחות עבודה'!$C$5)/$D$11)</f>
        <v>0</v>
      </c>
      <c r="L57" s="44">
        <f ca="1">IF($F57&gt;$D$5,0,VLOOKUP($F57,$F$24:$BZ$44,L$2-$E$2,FALSE)*$D$11*$D$14*(1+$D$13)^($F57-'הנחות עבודה'!$C$5)/$D$11)</f>
        <v>0</v>
      </c>
      <c r="M57" s="42">
        <f ca="1">IF($F57&gt;$D$5,0,VLOOKUP($F57,$F$24:$BZ$44,M$2-$E$2,FALSE)*$D$11*$D$14*(1+$D$13)^($F57-'הנחות עבודה'!$C$5)/$D$11)</f>
        <v>1143.50484392873</v>
      </c>
      <c r="N57" s="42">
        <f ca="1">IF($F57&gt;$D$5,0,VLOOKUP($F57,$F$24:$BZ$44,N$2-$E$2,FALSE)*$D$11*$D$14*(1+$D$13)^($F57-'הנחות עבודה'!$C$5)/$D$11)</f>
        <v>3460.2168022308351</v>
      </c>
      <c r="O57" s="42">
        <f ca="1">IF($F57&gt;$D$5,0,VLOOKUP($F57,$F$24:$BZ$44,O$2-$E$2,FALSE)*$D$11*$D$14*(1+$D$13)^($F57-'הנחות עבודה'!$C$5)/$D$11)</f>
        <v>0</v>
      </c>
      <c r="P57" s="43">
        <f ca="1">IF($F57&gt;$D$5,0,VLOOKUP($F57,$F$24:$BZ$44,P$2-$E$2,FALSE)*$D$11*$D$14*(1+$D$13)^($F57-'הנחות עבודה'!$C$5)/$D$11)</f>
        <v>0</v>
      </c>
      <c r="Q57" s="42">
        <f ca="1">IF($F57&gt;$D$5,0,VLOOKUP($F57,$F$24:$BZ$44,Q$2-$E$2,FALSE)*$D$11*$D$14*(1+$D$13)^($F57-'הנחות עבודה'!$C$5)/$D$11)</f>
        <v>0</v>
      </c>
      <c r="R57" s="43">
        <f ca="1">IF($F57&gt;$D$5,0,VLOOKUP($F57,$F$24:$BZ$44,R$2-$E$2,FALSE)*$D$11*$D$14*(1+$D$13)^($F57-'הנחות עבודה'!$C$5)/$D$11)</f>
        <v>0</v>
      </c>
      <c r="S57" s="52">
        <f ca="1">IF($F57&gt;$D$5,0,VLOOKUP($F57,$F$24:$BZ$44,S$2-$E$2,FALSE)*$D$11*$D$14*(1+$D$13)^($F57-'הנחות עבודה'!$C$5)/$D$11)</f>
        <v>0</v>
      </c>
      <c r="T57" s="127">
        <f ca="1">IF($F57&gt;$D$5,0,VLOOKUP($F57,$F$24:$BZ$44,T$2-$E$2,FALSE)*$D$11*$D$14*(1+$D$13)^($F57-'הנחות עבודה'!$C$5)/$D$11)</f>
        <v>0</v>
      </c>
      <c r="U57" s="127">
        <f ca="1">IF($F57&gt;$D$5,0,VLOOKUP($F57,$F$24:$BZ$44,U$2-$E$2,FALSE)*$D$11*$D$14*(1+$D$13)^($F57-'הנחות עבודה'!$C$5)/$D$11)</f>
        <v>0</v>
      </c>
      <c r="V57" s="127">
        <f ca="1">IF($F57&gt;$D$5,0,VLOOKUP($F57,$F$24:$BZ$44,V$2-$E$2,FALSE)*$D$11*$D$14*(1+$D$13)^($F57-'הנחות עבודה'!$C$5)/$D$11)</f>
        <v>0</v>
      </c>
      <c r="W57" s="127">
        <f ca="1">IF($F57&gt;$D$5,0,VLOOKUP($F57,$F$24:$BZ$44,W$2-$E$2,FALSE)*$D$11*$D$14*(1+$D$13)^($F57-'הנחות עבודה'!$C$5)/$D$11)</f>
        <v>0</v>
      </c>
      <c r="X57" s="127">
        <f ca="1">IF($F57&gt;$D$5,0,VLOOKUP($F57,$F$24:$BZ$44,X$2-$E$2,FALSE)*$D$11*$D$14*(1+$D$13)^($F57-'הנחות עבודה'!$C$5)/$D$11)</f>
        <v>0</v>
      </c>
      <c r="Y57" s="52">
        <f ca="1">IF($F57&gt;$D$5,0,VLOOKUP($F57,$F$24:$BZ$44,Y$2-$E$2,FALSE)*$D$11*$D$14*(1+$D$13)^($F57-'הנחות עבודה'!$C$5)/$D$11)</f>
        <v>1143.50484392873</v>
      </c>
      <c r="Z57" s="52">
        <f ca="1">IF($F57&gt;$D$5,0,VLOOKUP($F57,$F$24:$BZ$44,Z$2-$E$2,FALSE)*$D$11*$D$14*(1+$D$13)^($F57-'הנחות עבודה'!$C$5)/$D$11)</f>
        <v>3460.2168022308351</v>
      </c>
      <c r="AA57" s="52">
        <f ca="1">IF($F57&gt;$D$5,0,VLOOKUP($F57,$F$24:$BZ$44,AA$2-$E$2,FALSE)*$D$11*$D$14*(1+$D$13)^($F57-'הנחות עבודה'!$C$5)/$D$11)</f>
        <v>0</v>
      </c>
      <c r="AB57" s="52">
        <f ca="1">IF($F57&gt;$D$5,0,VLOOKUP($F57,$F$24:$BZ$44,AB$2-$E$2,FALSE)*$D$11*$D$14*(1+$D$13)^($F57-'הנחות עבודה'!$C$5)/$D$11)</f>
        <v>0</v>
      </c>
      <c r="AC57" s="52">
        <f ca="1">IF($F57&gt;$D$5,0,VLOOKUP($F57,$F$24:$BZ$44,AC$2-$E$2,FALSE)*$D$11*$D$14*(1+$D$13)^($F57-'הנחות עבודה'!$C$5)/$D$11)</f>
        <v>0</v>
      </c>
      <c r="AD57" s="52">
        <f ca="1">IF($F57&gt;$D$5,0,VLOOKUP($F57,$F$24:$BZ$44,AD$2-$E$2,FALSE)*$D$11*$D$14*(1+$D$13)^($F57-'הנחות עבודה'!$C$5)/$D$11)</f>
        <v>0</v>
      </c>
      <c r="AE57" s="42">
        <f ca="1">IF($F57&gt;$D$5,0,VLOOKUP($F57,$F$24:$BZ$44,AE$2-$E$2,FALSE)*$D$11*$D$14*(1+$D$13)^($F57-'הנחות עבודה'!$C$5)/$D$11)</f>
        <v>0</v>
      </c>
      <c r="AF57" s="44">
        <f ca="1">IF($F57&gt;$D$5,0,VLOOKUP($F57,$F$24:$BZ$44,AF$2-$E$2,FALSE)*$D$11*$D$14*(1+$D$13)^($F57-'הנחות עבודה'!$C$5)/$D$11)</f>
        <v>0</v>
      </c>
      <c r="AG57" s="44">
        <f ca="1">IF($F57&gt;$D$5,0,VLOOKUP($F57,$F$24:$BZ$44,AG$2-$E$2,FALSE)*$D$11*$D$14*(1+$D$13)^($F57-'הנחות עבודה'!$C$5)/$D$11)</f>
        <v>0</v>
      </c>
      <c r="AH57" s="44">
        <f ca="1">IF($F57&gt;$D$5,0,VLOOKUP($F57,$F$24:$BZ$44,AH$2-$E$2,FALSE)*$D$11*$D$14*(1+$D$13)^($F57-'הנחות עבודה'!$C$5)/$D$11)</f>
        <v>0</v>
      </c>
      <c r="AI57" s="44">
        <f ca="1">IF($F57&gt;$D$5,0,VLOOKUP($F57,$F$24:$BZ$44,AI$2-$E$2,FALSE)*$D$11*$D$14*(1+$D$13)^($F57-'הנחות עבודה'!$C$5)/$D$11)</f>
        <v>0</v>
      </c>
      <c r="AJ57" s="44">
        <f ca="1">IF($F57&gt;$D$5,0,VLOOKUP($F57,$F$24:$BZ$44,AJ$2-$E$2,FALSE)*$D$11*$D$14*(1+$D$13)^($F57-'הנחות עבודה'!$C$5)/$D$11)</f>
        <v>0</v>
      </c>
      <c r="AK57" s="42">
        <f ca="1">IF($F57&gt;$D$5,0,VLOOKUP($F57,$F$24:$BZ$44,AK$2-$E$2,FALSE)*$D$11*$D$14*(1+$D$13)^($F57-'הנחות עבודה'!$C$5)/$D$11)</f>
        <v>1118.1669124915632</v>
      </c>
      <c r="AL57" s="42">
        <f ca="1">IF($F57&gt;$D$5,0,VLOOKUP($F57,$F$24:$BZ$44,AL$2-$E$2,FALSE)*$D$11*$D$14*(1+$D$13)^($F57-'הנחות עבודה'!$C$5)/$D$11)</f>
        <v>3216.4229341178566</v>
      </c>
      <c r="AM57" s="42">
        <f ca="1">IF($F57&gt;$D$5,0,VLOOKUP($F57,$F$24:$BZ$44,AM$2-$E$2,FALSE)*$D$11*$D$14*(1+$D$13)^($F57-'הנחות עבודה'!$C$5)/$D$11)</f>
        <v>0</v>
      </c>
      <c r="AN57" s="43">
        <f ca="1">IF($F57&gt;$D$5,0,VLOOKUP($F57,$F$24:$BZ$44,AN$2-$E$2,FALSE)*$D$11*$D$14*(1+$D$13)^($F57-'הנחות עבודה'!$C$5)/$D$11)</f>
        <v>0</v>
      </c>
      <c r="AO57" s="42">
        <f ca="1">IF($F57&gt;$D$5,0,VLOOKUP($F57,$F$24:$BZ$44,AO$2-$E$2,FALSE)*$D$11*$D$14*(1+$D$13)^($F57-'הנחות עבודה'!$C$5)/$D$11)</f>
        <v>0</v>
      </c>
      <c r="AP57" s="43">
        <f ca="1">IF($F57&gt;$D$5,0,VLOOKUP($F57,$F$24:$BZ$44,AP$2-$E$2,FALSE)*$D$11*$D$14*(1+$D$13)^($F57-'הנחות עבודה'!$C$5)/$D$11)</f>
        <v>0</v>
      </c>
      <c r="AQ57" s="52">
        <f ca="1">IF($F57&gt;$D$5,0,VLOOKUP($F57,$F$24:$BZ$44,AQ$2-$E$2,FALSE)*$D$11*$D$14*(1+$D$13)^($F57-'הנחות עבודה'!$C$5)/$D$11)</f>
        <v>0</v>
      </c>
      <c r="AR57" s="127">
        <f ca="1">IF($F57&gt;$D$5,0,VLOOKUP($F57,$F$24:$BZ$44,AR$2-$E$2,FALSE)*$D$11*$D$14*(1+$D$13)^($F57-'הנחות עבודה'!$C$5)/$D$11)</f>
        <v>0</v>
      </c>
      <c r="AS57" s="127">
        <f ca="1">IF($F57&gt;$D$5,0,VLOOKUP($F57,$F$24:$BZ$44,AS$2-$E$2,FALSE)*$D$11*$D$14*(1+$D$13)^($F57-'הנחות עבודה'!$C$5)/$D$11)</f>
        <v>0</v>
      </c>
      <c r="AT57" s="127">
        <f ca="1">IF($F57&gt;$D$5,0,VLOOKUP($F57,$F$24:$BZ$44,AT$2-$E$2,FALSE)*$D$11*$D$14*(1+$D$13)^($F57-'הנחות עבודה'!$C$5)/$D$11)</f>
        <v>0</v>
      </c>
      <c r="AU57" s="127">
        <f ca="1">IF($F57&gt;$D$5,0,VLOOKUP($F57,$F$24:$BZ$44,AU$2-$E$2,FALSE)*$D$11*$D$14*(1+$D$13)^($F57-'הנחות עבודה'!$C$5)/$D$11)</f>
        <v>0</v>
      </c>
      <c r="AV57" s="127">
        <f ca="1">IF($F57&gt;$D$5,0,VLOOKUP($F57,$F$24:$BZ$44,AV$2-$E$2,FALSE)*$D$11*$D$14*(1+$D$13)^($F57-'הנחות עבודה'!$C$5)/$D$11)</f>
        <v>0</v>
      </c>
      <c r="AW57" s="52">
        <f ca="1">IF($F57&gt;$D$5,0,VLOOKUP($F57,$F$24:$BZ$44,AW$2-$E$2,FALSE)*$D$11*$D$14*(1+$D$13)^($F57-'הנחות עבודה'!$C$5)/$D$11)</f>
        <v>1118.1669124915632</v>
      </c>
      <c r="AX57" s="52">
        <f ca="1">IF($F57&gt;$D$5,0,VLOOKUP($F57,$F$24:$BZ$44,AX$2-$E$2,FALSE)*$D$11*$D$14*(1+$D$13)^($F57-'הנחות עבודה'!$C$5)/$D$11)</f>
        <v>3216.4229341178566</v>
      </c>
      <c r="AY57" s="52">
        <f ca="1">IF($F57&gt;$D$5,0,VLOOKUP($F57,$F$24:$BZ$44,AY$2-$E$2,FALSE)*$D$11*$D$14*(1+$D$13)^($F57-'הנחות עבודה'!$C$5)/$D$11)</f>
        <v>0</v>
      </c>
      <c r="AZ57" s="52">
        <f ca="1">IF($F57&gt;$D$5,0,VLOOKUP($F57,$F$24:$BZ$44,AZ$2-$E$2,FALSE)*$D$11*$D$14*(1+$D$13)^($F57-'הנחות עבודה'!$C$5)/$D$11)</f>
        <v>0</v>
      </c>
      <c r="BA57" s="52">
        <f ca="1">IF($F57&gt;$D$5,0,VLOOKUP($F57,$F$24:$BZ$44,BA$2-$E$2,FALSE)*$D$11*$D$14*(1+$D$13)^($F57-'הנחות עבודה'!$C$5)/$D$11)</f>
        <v>0</v>
      </c>
      <c r="BB57" s="52">
        <f ca="1">IF($F57&gt;$D$5,0,VLOOKUP($F57,$F$24:$BZ$44,BB$2-$E$2,FALSE)*$D$11*$D$14*(1+$D$13)^($F57-'הנחות עבודה'!$C$5)/$D$11)</f>
        <v>0</v>
      </c>
      <c r="BC57" s="42">
        <f ca="1">IF($F57&gt;$D$5,0,VLOOKUP($F57,$F$24:$BZ$44,BC$2-$E$2,FALSE)*$D$11*$D$14*(1+$D$13)^($F57-'הנחות עבודה'!$C$5)/$D$11)</f>
        <v>0</v>
      </c>
      <c r="BD57" s="44">
        <f ca="1">IF($F57&gt;$D$5,0,VLOOKUP($F57,$F$24:$BZ$44,BD$2-$E$2,FALSE)*$D$11*$D$14*(1+$D$13)^($F57-'הנחות עבודה'!$C$5)/$D$11)</f>
        <v>0</v>
      </c>
      <c r="BE57" s="44">
        <f ca="1">IF($F57&gt;$D$5,0,VLOOKUP($F57,$F$24:$BZ$44,BE$2-$E$2,FALSE)*$D$11*$D$14*(1+$D$13)^($F57-'הנחות עבודה'!$C$5)/$D$11)</f>
        <v>0</v>
      </c>
      <c r="BF57" s="44">
        <f ca="1">IF($F57&gt;$D$5,0,VLOOKUP($F57,$F$24:$BZ$44,BF$2-$E$2,FALSE)*$D$11*$D$14*(1+$D$13)^($F57-'הנחות עבודה'!$C$5)/$D$11)</f>
        <v>0</v>
      </c>
      <c r="BG57" s="44">
        <f ca="1">IF($F57&gt;$D$5,0,VLOOKUP($F57,$F$24:$BZ$44,BG$2-$E$2,FALSE)*$D$11*$D$14*(1+$D$13)^($F57-'הנחות עבודה'!$C$5)/$D$11)</f>
        <v>0</v>
      </c>
      <c r="BH57" s="44">
        <f ca="1">IF($F57&gt;$D$5,0,VLOOKUP($F57,$F$24:$BZ$44,BH$2-$E$2,FALSE)*$D$11*$D$14*(1+$D$13)^($F57-'הנחות עבודה'!$C$5)/$D$11)</f>
        <v>0</v>
      </c>
      <c r="BI57" s="42">
        <f ca="1">IF($F57&gt;$D$5,0,VLOOKUP($F57,$F$24:$BZ$44,BI$2-$E$2,FALSE)*$D$11*$D$14*(1+$D$13)^($F57-'הנחות עבודה'!$C$5)/$D$11)</f>
        <v>1127.1101074630592</v>
      </c>
      <c r="BJ57" s="42">
        <f ca="1">IF($F57&gt;$D$5,0,VLOOKUP($F57,$F$24:$BZ$44,BJ$2-$E$2,FALSE)*$D$11*$D$14*(1+$D$13)^($F57-'הנחות עבודה'!$C$5)/$D$11)</f>
        <v>3059.1517245343052</v>
      </c>
      <c r="BK57" s="42">
        <f ca="1">IF($F57&gt;$D$5,0,VLOOKUP($F57,$F$24:$BZ$44,BK$2-$E$2,FALSE)*$D$11*$D$14*(1+$D$13)^($F57-'הנחות עבודה'!$C$5)/$D$11)</f>
        <v>0</v>
      </c>
      <c r="BL57" s="42">
        <f ca="1">IF($F57&gt;$D$5,0,VLOOKUP($F57,$F$24:$BZ$44,BL$2-$E$2,FALSE)*$D$11*$D$14*(1+$D$13)^($F57-'הנחות עבודה'!$C$5)/$D$11)</f>
        <v>0</v>
      </c>
      <c r="BM57" s="42">
        <f ca="1">IF($F57&gt;$D$5,0,VLOOKUP($F57,$F$24:$BZ$44,BM$2-$E$2,FALSE)*$D$11*$D$14*(1+$D$13)^($F57-'הנחות עבודה'!$C$5)/$D$11)</f>
        <v>0</v>
      </c>
      <c r="BN57" s="42">
        <f ca="1">IF($F57&gt;$D$5,0,VLOOKUP($F57,$F$24:$BZ$44,BN$2-$E$2,FALSE)*$D$11*$D$14*(1+$D$13)^($F57-'הנחות עבודה'!$C$5)/$D$11)</f>
        <v>0</v>
      </c>
      <c r="BO57" s="52">
        <f ca="1">IF($F57&gt;$D$5,0,VLOOKUP($F57,$F$24:$BZ$44,BO$2-$E$2,FALSE)*$D$11*$D$14*(1+$D$13)^($F57-'הנחות עבודה'!$C$5)/$D$11)</f>
        <v>0</v>
      </c>
      <c r="BP57" s="127">
        <f ca="1">IF($F57&gt;$D$5,0,VLOOKUP($F57,$F$24:$BZ$44,BP$2-$E$2,FALSE)*$D$11*$D$14*(1+$D$13)^($F57-'הנחות עבודה'!$C$5)/$D$11)</f>
        <v>0</v>
      </c>
      <c r="BQ57" s="127">
        <f ca="1">IF($F57&gt;$D$5,0,VLOOKUP($F57,$F$24:$BZ$44,BQ$2-$E$2,FALSE)*$D$11*$D$14*(1+$D$13)^($F57-'הנחות עבודה'!$C$5)/$D$11)</f>
        <v>0</v>
      </c>
      <c r="BR57" s="127">
        <f ca="1">IF($F57&gt;$D$5,0,VLOOKUP($F57,$F$24:$BZ$44,BR$2-$E$2,FALSE)*$D$11*$D$14*(1+$D$13)^($F57-'הנחות עבודה'!$C$5)/$D$11)</f>
        <v>0</v>
      </c>
      <c r="BS57" s="127">
        <f ca="1">IF($F57&gt;$D$5,0,VLOOKUP($F57,$F$24:$BZ$44,BS$2-$E$2,FALSE)*$D$11*$D$14*(1+$D$13)^($F57-'הנחות עבודה'!$C$5)/$D$11)</f>
        <v>0</v>
      </c>
      <c r="BT57" s="127">
        <f ca="1">IF($F57&gt;$D$5,0,VLOOKUP($F57,$F$24:$BZ$44,BT$2-$E$2,FALSE)*$D$11*$D$14*(1+$D$13)^($F57-'הנחות עבודה'!$C$5)/$D$11)</f>
        <v>0</v>
      </c>
      <c r="BU57" s="52">
        <f ca="1">IF($F57&gt;$D$5,0,VLOOKUP($F57,$F$24:$BZ$44,BU$2-$E$2,FALSE)*$D$11*$D$14*(1+$D$13)^($F57-'הנחות עבודה'!$C$5)/$D$11)</f>
        <v>1127.1101074630592</v>
      </c>
      <c r="BV57" s="52">
        <f ca="1">IF($F57&gt;$D$5,0,VLOOKUP($F57,$F$24:$BZ$44,BV$2-$E$2,FALSE)*$D$11*$D$14*(1+$D$13)^($F57-'הנחות עבודה'!$C$5)/$D$11)</f>
        <v>3059.1517245343052</v>
      </c>
      <c r="BW57" s="52">
        <f ca="1">IF($F57&gt;$D$5,0,VLOOKUP($F57,$F$24:$BZ$44,BW$2-$E$2,FALSE)*$D$11*$D$14*(1+$D$13)^($F57-'הנחות עבודה'!$C$5)/$D$11)</f>
        <v>0</v>
      </c>
      <c r="BX57" s="52">
        <f ca="1">IF($F57&gt;$D$5,0,VLOOKUP($F57,$F$24:$BZ$44,BX$2-$E$2,FALSE)*$D$11*$D$14*(1+$D$13)^($F57-'הנחות עבודה'!$C$5)/$D$11)</f>
        <v>0</v>
      </c>
      <c r="BY57" s="52">
        <f ca="1">IF($F57&gt;$D$5,0,VLOOKUP($F57,$F$24:$BZ$44,BY$2-$E$2,FALSE)*$D$11*$D$14*(1+$D$13)^($F57-'הנחות עבודה'!$C$5)/$D$11)</f>
        <v>0</v>
      </c>
      <c r="BZ57" s="52">
        <f ca="1">IF($F57&gt;$D$5,0,VLOOKUP($F57,$F$24:$BZ$44,BZ$2-$E$2,FALSE)*$D$11*$D$14*(1+$D$13)^($F57-'הנחות עבודה'!$C$5)/$D$11)</f>
        <v>0</v>
      </c>
    </row>
    <row r="58" spans="6:78" ht="15.75">
      <c r="F58" s="10">
        <f t="shared" si="130"/>
        <v>2027</v>
      </c>
      <c r="G58" s="42">
        <f ca="1">IF($F58&gt;$D$5,0,VLOOKUP($F58,$F$24:$BZ$44,G$2-$E$2,FALSE)*$D$11*$D$14*(1+$D$13)^($F58-'הנחות עבודה'!$C$5)/$D$11)</f>
        <v>0</v>
      </c>
      <c r="H58" s="44">
        <f ca="1">IF($F58&gt;$D$5,0,VLOOKUP($F58,$F$24:$BZ$44,H$2-$E$2,FALSE)*$D$11*$D$14*(1+$D$13)^($F58-'הנחות עבודה'!$C$5)/$D$11)</f>
        <v>0</v>
      </c>
      <c r="I58" s="44">
        <f ca="1">IF($F58&gt;$D$5,0,VLOOKUP($F58,$F$24:$BZ$44,I$2-$E$2,FALSE)*$D$11*$D$14*(1+$D$13)^($F58-'הנחות עבודה'!$C$5)/$D$11)</f>
        <v>0</v>
      </c>
      <c r="J58" s="44">
        <f ca="1">IF($F58&gt;$D$5,0,VLOOKUP($F58,$F$24:$BZ$44,J$2-$E$2,FALSE)*$D$11*$D$14*(1+$D$13)^($F58-'הנחות עבודה'!$C$5)/$D$11)</f>
        <v>0</v>
      </c>
      <c r="K58" s="44">
        <f ca="1">IF($F58&gt;$D$5,0,VLOOKUP($F58,$F$24:$BZ$44,K$2-$E$2,FALSE)*$D$11*$D$14*(1+$D$13)^($F58-'הנחות עבודה'!$C$5)/$D$11)</f>
        <v>0</v>
      </c>
      <c r="L58" s="44">
        <f ca="1">IF($F58&gt;$D$5,0,VLOOKUP($F58,$F$24:$BZ$44,L$2-$E$2,FALSE)*$D$11*$D$14*(1+$D$13)^($F58-'הנחות עבודה'!$C$5)/$D$11)</f>
        <v>0</v>
      </c>
      <c r="M58" s="42">
        <f ca="1">IF($F58&gt;$D$5,0,VLOOKUP($F58,$F$24:$BZ$44,M$2-$E$2,FALSE)*$D$11*$D$14*(1+$D$13)^($F58-'הנחות עבודה'!$C$5)/$D$11)</f>
        <v>1139.2587880358949</v>
      </c>
      <c r="N58" s="42">
        <f ca="1">IF($F58&gt;$D$5,0,VLOOKUP($F58,$F$24:$BZ$44,N$2-$E$2,FALSE)*$D$11*$D$14*(1+$D$13)^($F58-'הנחות עבודה'!$C$5)/$D$11)</f>
        <v>3631.7956470550507</v>
      </c>
      <c r="O58" s="42">
        <f ca="1">IF($F58&gt;$D$5,0,VLOOKUP($F58,$F$24:$BZ$44,O$2-$E$2,FALSE)*$D$11*$D$14*(1+$D$13)^($F58-'הנחות עבודה'!$C$5)/$D$11)</f>
        <v>0</v>
      </c>
      <c r="P58" s="43">
        <f ca="1">IF($F58&gt;$D$5,0,VLOOKUP($F58,$F$24:$BZ$44,P$2-$E$2,FALSE)*$D$11*$D$14*(1+$D$13)^($F58-'הנחות עבודה'!$C$5)/$D$11)</f>
        <v>0</v>
      </c>
      <c r="Q58" s="42">
        <f ca="1">IF($F58&gt;$D$5,0,VLOOKUP($F58,$F$24:$BZ$44,Q$2-$E$2,FALSE)*$D$11*$D$14*(1+$D$13)^($F58-'הנחות עבודה'!$C$5)/$D$11)</f>
        <v>0</v>
      </c>
      <c r="R58" s="43">
        <f ca="1">IF($F58&gt;$D$5,0,VLOOKUP($F58,$F$24:$BZ$44,R$2-$E$2,FALSE)*$D$11*$D$14*(1+$D$13)^($F58-'הנחות עבודה'!$C$5)/$D$11)</f>
        <v>0</v>
      </c>
      <c r="S58" s="52">
        <f ca="1">IF($F58&gt;$D$5,0,VLOOKUP($F58,$F$24:$BZ$44,S$2-$E$2,FALSE)*$D$11*$D$14*(1+$D$13)^($F58-'הנחות עבודה'!$C$5)/$D$11)</f>
        <v>0</v>
      </c>
      <c r="T58" s="127">
        <f ca="1">IF($F58&gt;$D$5,0,VLOOKUP($F58,$F$24:$BZ$44,T$2-$E$2,FALSE)*$D$11*$D$14*(1+$D$13)^($F58-'הנחות עבודה'!$C$5)/$D$11)</f>
        <v>0</v>
      </c>
      <c r="U58" s="127">
        <f ca="1">IF($F58&gt;$D$5,0,VLOOKUP($F58,$F$24:$BZ$44,U$2-$E$2,FALSE)*$D$11*$D$14*(1+$D$13)^($F58-'הנחות עבודה'!$C$5)/$D$11)</f>
        <v>0</v>
      </c>
      <c r="V58" s="127">
        <f ca="1">IF($F58&gt;$D$5,0,VLOOKUP($F58,$F$24:$BZ$44,V$2-$E$2,FALSE)*$D$11*$D$14*(1+$D$13)^($F58-'הנחות עבודה'!$C$5)/$D$11)</f>
        <v>0</v>
      </c>
      <c r="W58" s="127">
        <f ca="1">IF($F58&gt;$D$5,0,VLOOKUP($F58,$F$24:$BZ$44,W$2-$E$2,FALSE)*$D$11*$D$14*(1+$D$13)^($F58-'הנחות עבודה'!$C$5)/$D$11)</f>
        <v>0</v>
      </c>
      <c r="X58" s="127">
        <f ca="1">IF($F58&gt;$D$5,0,VLOOKUP($F58,$F$24:$BZ$44,X$2-$E$2,FALSE)*$D$11*$D$14*(1+$D$13)^($F58-'הנחות עבודה'!$C$5)/$D$11)</f>
        <v>0</v>
      </c>
      <c r="Y58" s="52">
        <f ca="1">IF($F58&gt;$D$5,0,VLOOKUP($F58,$F$24:$BZ$44,Y$2-$E$2,FALSE)*$D$11*$D$14*(1+$D$13)^($F58-'הנחות עבודה'!$C$5)/$D$11)</f>
        <v>1139.2587880358949</v>
      </c>
      <c r="Z58" s="52">
        <f ca="1">IF($F58&gt;$D$5,0,VLOOKUP($F58,$F$24:$BZ$44,Z$2-$E$2,FALSE)*$D$11*$D$14*(1+$D$13)^($F58-'הנחות עבודה'!$C$5)/$D$11)</f>
        <v>3631.7956470550507</v>
      </c>
      <c r="AA58" s="52">
        <f ca="1">IF($F58&gt;$D$5,0,VLOOKUP($F58,$F$24:$BZ$44,AA$2-$E$2,FALSE)*$D$11*$D$14*(1+$D$13)^($F58-'הנחות עבודה'!$C$5)/$D$11)</f>
        <v>0</v>
      </c>
      <c r="AB58" s="52">
        <f ca="1">IF($F58&gt;$D$5,0,VLOOKUP($F58,$F$24:$BZ$44,AB$2-$E$2,FALSE)*$D$11*$D$14*(1+$D$13)^($F58-'הנחות עבודה'!$C$5)/$D$11)</f>
        <v>0</v>
      </c>
      <c r="AC58" s="52">
        <f ca="1">IF($F58&gt;$D$5,0,VLOOKUP($F58,$F$24:$BZ$44,AC$2-$E$2,FALSE)*$D$11*$D$14*(1+$D$13)^($F58-'הנחות עבודה'!$C$5)/$D$11)</f>
        <v>0</v>
      </c>
      <c r="AD58" s="52">
        <f ca="1">IF($F58&gt;$D$5,0,VLOOKUP($F58,$F$24:$BZ$44,AD$2-$E$2,FALSE)*$D$11*$D$14*(1+$D$13)^($F58-'הנחות עבודה'!$C$5)/$D$11)</f>
        <v>0</v>
      </c>
      <c r="AE58" s="42">
        <f ca="1">IF($F58&gt;$D$5,0,VLOOKUP($F58,$F$24:$BZ$44,AE$2-$E$2,FALSE)*$D$11*$D$14*(1+$D$13)^($F58-'הנחות עבודה'!$C$5)/$D$11)</f>
        <v>0</v>
      </c>
      <c r="AF58" s="44">
        <f ca="1">IF($F58&gt;$D$5,0,VLOOKUP($F58,$F$24:$BZ$44,AF$2-$E$2,FALSE)*$D$11*$D$14*(1+$D$13)^($F58-'הנחות עבודה'!$C$5)/$D$11)</f>
        <v>0</v>
      </c>
      <c r="AG58" s="44">
        <f ca="1">IF($F58&gt;$D$5,0,VLOOKUP($F58,$F$24:$BZ$44,AG$2-$E$2,FALSE)*$D$11*$D$14*(1+$D$13)^($F58-'הנחות עבודה'!$C$5)/$D$11)</f>
        <v>0</v>
      </c>
      <c r="AH58" s="44">
        <f ca="1">IF($F58&gt;$D$5,0,VLOOKUP($F58,$F$24:$BZ$44,AH$2-$E$2,FALSE)*$D$11*$D$14*(1+$D$13)^($F58-'הנחות עבודה'!$C$5)/$D$11)</f>
        <v>0</v>
      </c>
      <c r="AI58" s="44">
        <f ca="1">IF($F58&gt;$D$5,0,VLOOKUP($F58,$F$24:$BZ$44,AI$2-$E$2,FALSE)*$D$11*$D$14*(1+$D$13)^($F58-'הנחות עבודה'!$C$5)/$D$11)</f>
        <v>0</v>
      </c>
      <c r="AJ58" s="44">
        <f ca="1">IF($F58&gt;$D$5,0,VLOOKUP($F58,$F$24:$BZ$44,AJ$2-$E$2,FALSE)*$D$11*$D$14*(1+$D$13)^($F58-'הנחות עבודה'!$C$5)/$D$11)</f>
        <v>0</v>
      </c>
      <c r="AK58" s="42">
        <f ca="1">IF($F58&gt;$D$5,0,VLOOKUP($F58,$F$24:$BZ$44,AK$2-$E$2,FALSE)*$D$11*$D$14*(1+$D$13)^($F58-'הנחות עבודה'!$C$5)/$D$11)</f>
        <v>1130.3585490974033</v>
      </c>
      <c r="AL58" s="42">
        <f ca="1">IF($F58&gt;$D$5,0,VLOOKUP($F58,$F$24:$BZ$44,AL$2-$E$2,FALSE)*$D$11*$D$14*(1+$D$13)^($F58-'הנחות עבודה'!$C$5)/$D$11)</f>
        <v>3325.186034297933</v>
      </c>
      <c r="AM58" s="42">
        <f ca="1">IF($F58&gt;$D$5,0,VLOOKUP($F58,$F$24:$BZ$44,AM$2-$E$2,FALSE)*$D$11*$D$14*(1+$D$13)^($F58-'הנחות עבודה'!$C$5)/$D$11)</f>
        <v>0</v>
      </c>
      <c r="AN58" s="43">
        <f ca="1">IF($F58&gt;$D$5,0,VLOOKUP($F58,$F$24:$BZ$44,AN$2-$E$2,FALSE)*$D$11*$D$14*(1+$D$13)^($F58-'הנחות עבודה'!$C$5)/$D$11)</f>
        <v>0</v>
      </c>
      <c r="AO58" s="42">
        <f ca="1">IF($F58&gt;$D$5,0,VLOOKUP($F58,$F$24:$BZ$44,AO$2-$E$2,FALSE)*$D$11*$D$14*(1+$D$13)^($F58-'הנחות עבודה'!$C$5)/$D$11)</f>
        <v>0</v>
      </c>
      <c r="AP58" s="43">
        <f ca="1">IF($F58&gt;$D$5,0,VLOOKUP($F58,$F$24:$BZ$44,AP$2-$E$2,FALSE)*$D$11*$D$14*(1+$D$13)^($F58-'הנחות עבודה'!$C$5)/$D$11)</f>
        <v>0</v>
      </c>
      <c r="AQ58" s="52">
        <f ca="1">IF($F58&gt;$D$5,0,VLOOKUP($F58,$F$24:$BZ$44,AQ$2-$E$2,FALSE)*$D$11*$D$14*(1+$D$13)^($F58-'הנחות עבודה'!$C$5)/$D$11)</f>
        <v>0</v>
      </c>
      <c r="AR58" s="127">
        <f ca="1">IF($F58&gt;$D$5,0,VLOOKUP($F58,$F$24:$BZ$44,AR$2-$E$2,FALSE)*$D$11*$D$14*(1+$D$13)^($F58-'הנחות עבודה'!$C$5)/$D$11)</f>
        <v>0</v>
      </c>
      <c r="AS58" s="127">
        <f ca="1">IF($F58&gt;$D$5,0,VLOOKUP($F58,$F$24:$BZ$44,AS$2-$E$2,FALSE)*$D$11*$D$14*(1+$D$13)^($F58-'הנחות עבודה'!$C$5)/$D$11)</f>
        <v>0</v>
      </c>
      <c r="AT58" s="127">
        <f ca="1">IF($F58&gt;$D$5,0,VLOOKUP($F58,$F$24:$BZ$44,AT$2-$E$2,FALSE)*$D$11*$D$14*(1+$D$13)^($F58-'הנחות עבודה'!$C$5)/$D$11)</f>
        <v>0</v>
      </c>
      <c r="AU58" s="127">
        <f ca="1">IF($F58&gt;$D$5,0,VLOOKUP($F58,$F$24:$BZ$44,AU$2-$E$2,FALSE)*$D$11*$D$14*(1+$D$13)^($F58-'הנחות עבודה'!$C$5)/$D$11)</f>
        <v>0</v>
      </c>
      <c r="AV58" s="127">
        <f ca="1">IF($F58&gt;$D$5,0,VLOOKUP($F58,$F$24:$BZ$44,AV$2-$E$2,FALSE)*$D$11*$D$14*(1+$D$13)^($F58-'הנחות עבודה'!$C$5)/$D$11)</f>
        <v>0</v>
      </c>
      <c r="AW58" s="52">
        <f ca="1">IF($F58&gt;$D$5,0,VLOOKUP($F58,$F$24:$BZ$44,AW$2-$E$2,FALSE)*$D$11*$D$14*(1+$D$13)^($F58-'הנחות עבודה'!$C$5)/$D$11)</f>
        <v>1130.3585490974033</v>
      </c>
      <c r="AX58" s="52">
        <f ca="1">IF($F58&gt;$D$5,0,VLOOKUP($F58,$F$24:$BZ$44,AX$2-$E$2,FALSE)*$D$11*$D$14*(1+$D$13)^($F58-'הנחות עבודה'!$C$5)/$D$11)</f>
        <v>3325.186034297933</v>
      </c>
      <c r="AY58" s="52">
        <f ca="1">IF($F58&gt;$D$5,0,VLOOKUP($F58,$F$24:$BZ$44,AY$2-$E$2,FALSE)*$D$11*$D$14*(1+$D$13)^($F58-'הנחות עבודה'!$C$5)/$D$11)</f>
        <v>0</v>
      </c>
      <c r="AZ58" s="52">
        <f ca="1">IF($F58&gt;$D$5,0,VLOOKUP($F58,$F$24:$BZ$44,AZ$2-$E$2,FALSE)*$D$11*$D$14*(1+$D$13)^($F58-'הנחות עבודה'!$C$5)/$D$11)</f>
        <v>0</v>
      </c>
      <c r="BA58" s="52">
        <f ca="1">IF($F58&gt;$D$5,0,VLOOKUP($F58,$F$24:$BZ$44,BA$2-$E$2,FALSE)*$D$11*$D$14*(1+$D$13)^($F58-'הנחות עבודה'!$C$5)/$D$11)</f>
        <v>0</v>
      </c>
      <c r="BB58" s="52">
        <f ca="1">IF($F58&gt;$D$5,0,VLOOKUP($F58,$F$24:$BZ$44,BB$2-$E$2,FALSE)*$D$11*$D$14*(1+$D$13)^($F58-'הנחות עבודה'!$C$5)/$D$11)</f>
        <v>0</v>
      </c>
      <c r="BC58" s="42">
        <f ca="1">IF($F58&gt;$D$5,0,VLOOKUP($F58,$F$24:$BZ$44,BC$2-$E$2,FALSE)*$D$11*$D$14*(1+$D$13)^($F58-'הנחות עבודה'!$C$5)/$D$11)</f>
        <v>0</v>
      </c>
      <c r="BD58" s="44">
        <f ca="1">IF($F58&gt;$D$5,0,VLOOKUP($F58,$F$24:$BZ$44,BD$2-$E$2,FALSE)*$D$11*$D$14*(1+$D$13)^($F58-'הנחות עבודה'!$C$5)/$D$11)</f>
        <v>0</v>
      </c>
      <c r="BE58" s="44">
        <f ca="1">IF($F58&gt;$D$5,0,VLOOKUP($F58,$F$24:$BZ$44,BE$2-$E$2,FALSE)*$D$11*$D$14*(1+$D$13)^($F58-'הנחות עבודה'!$C$5)/$D$11)</f>
        <v>0</v>
      </c>
      <c r="BF58" s="44">
        <f ca="1">IF($F58&gt;$D$5,0,VLOOKUP($F58,$F$24:$BZ$44,BF$2-$E$2,FALSE)*$D$11*$D$14*(1+$D$13)^($F58-'הנחות עבודה'!$C$5)/$D$11)</f>
        <v>0</v>
      </c>
      <c r="BG58" s="44">
        <f ca="1">IF($F58&gt;$D$5,0,VLOOKUP($F58,$F$24:$BZ$44,BG$2-$E$2,FALSE)*$D$11*$D$14*(1+$D$13)^($F58-'הנחות עבודה'!$C$5)/$D$11)</f>
        <v>0</v>
      </c>
      <c r="BH58" s="44">
        <f ca="1">IF($F58&gt;$D$5,0,VLOOKUP($F58,$F$24:$BZ$44,BH$2-$E$2,FALSE)*$D$11*$D$14*(1+$D$13)^($F58-'הנחות עבודה'!$C$5)/$D$11)</f>
        <v>0</v>
      </c>
      <c r="BI58" s="42">
        <f ca="1">IF($F58&gt;$D$5,0,VLOOKUP($F58,$F$24:$BZ$44,BI$2-$E$2,FALSE)*$D$11*$D$14*(1+$D$13)^($F58-'הנחות עבודה'!$C$5)/$D$11)</f>
        <v>1146.3745580333962</v>
      </c>
      <c r="BJ58" s="42">
        <f ca="1">IF($F58&gt;$D$5,0,VLOOKUP($F58,$F$24:$BZ$44,BJ$2-$E$2,FALSE)*$D$11*$D$14*(1+$D$13)^($F58-'הנחות עבודה'!$C$5)/$D$11)</f>
        <v>3128.5316711908595</v>
      </c>
      <c r="BK58" s="42">
        <f ca="1">IF($F58&gt;$D$5,0,VLOOKUP($F58,$F$24:$BZ$44,BK$2-$E$2,FALSE)*$D$11*$D$14*(1+$D$13)^($F58-'הנחות עבודה'!$C$5)/$D$11)</f>
        <v>0</v>
      </c>
      <c r="BL58" s="42">
        <f ca="1">IF($F58&gt;$D$5,0,VLOOKUP($F58,$F$24:$BZ$44,BL$2-$E$2,FALSE)*$D$11*$D$14*(1+$D$13)^($F58-'הנחות עבודה'!$C$5)/$D$11)</f>
        <v>0</v>
      </c>
      <c r="BM58" s="42">
        <f ca="1">IF($F58&gt;$D$5,0,VLOOKUP($F58,$F$24:$BZ$44,BM$2-$E$2,FALSE)*$D$11*$D$14*(1+$D$13)^($F58-'הנחות עבודה'!$C$5)/$D$11)</f>
        <v>0</v>
      </c>
      <c r="BN58" s="42">
        <f ca="1">IF($F58&gt;$D$5,0,VLOOKUP($F58,$F$24:$BZ$44,BN$2-$E$2,FALSE)*$D$11*$D$14*(1+$D$13)^($F58-'הנחות עבודה'!$C$5)/$D$11)</f>
        <v>0</v>
      </c>
      <c r="BO58" s="52">
        <f ca="1">IF($F58&gt;$D$5,0,VLOOKUP($F58,$F$24:$BZ$44,BO$2-$E$2,FALSE)*$D$11*$D$14*(1+$D$13)^($F58-'הנחות עבודה'!$C$5)/$D$11)</f>
        <v>0</v>
      </c>
      <c r="BP58" s="127">
        <f ca="1">IF($F58&gt;$D$5,0,VLOOKUP($F58,$F$24:$BZ$44,BP$2-$E$2,FALSE)*$D$11*$D$14*(1+$D$13)^($F58-'הנחות עבודה'!$C$5)/$D$11)</f>
        <v>0</v>
      </c>
      <c r="BQ58" s="127">
        <f ca="1">IF($F58&gt;$D$5,0,VLOOKUP($F58,$F$24:$BZ$44,BQ$2-$E$2,FALSE)*$D$11*$D$14*(1+$D$13)^($F58-'הנחות עבודה'!$C$5)/$D$11)</f>
        <v>0</v>
      </c>
      <c r="BR58" s="127">
        <f ca="1">IF($F58&gt;$D$5,0,VLOOKUP($F58,$F$24:$BZ$44,BR$2-$E$2,FALSE)*$D$11*$D$14*(1+$D$13)^($F58-'הנחות עבודה'!$C$5)/$D$11)</f>
        <v>0</v>
      </c>
      <c r="BS58" s="127">
        <f ca="1">IF($F58&gt;$D$5,0,VLOOKUP($F58,$F$24:$BZ$44,BS$2-$E$2,FALSE)*$D$11*$D$14*(1+$D$13)^($F58-'הנחות עבודה'!$C$5)/$D$11)</f>
        <v>0</v>
      </c>
      <c r="BT58" s="127">
        <f ca="1">IF($F58&gt;$D$5,0,VLOOKUP($F58,$F$24:$BZ$44,BT$2-$E$2,FALSE)*$D$11*$D$14*(1+$D$13)^($F58-'הנחות עבודה'!$C$5)/$D$11)</f>
        <v>0</v>
      </c>
      <c r="BU58" s="52">
        <f ca="1">IF($F58&gt;$D$5,0,VLOOKUP($F58,$F$24:$BZ$44,BU$2-$E$2,FALSE)*$D$11*$D$14*(1+$D$13)^($F58-'הנחות עבודה'!$C$5)/$D$11)</f>
        <v>1146.3745580333962</v>
      </c>
      <c r="BV58" s="52">
        <f ca="1">IF($F58&gt;$D$5,0,VLOOKUP($F58,$F$24:$BZ$44,BV$2-$E$2,FALSE)*$D$11*$D$14*(1+$D$13)^($F58-'הנחות עבודה'!$C$5)/$D$11)</f>
        <v>3128.5316711908595</v>
      </c>
      <c r="BW58" s="52">
        <f ca="1">IF($F58&gt;$D$5,0,VLOOKUP($F58,$F$24:$BZ$44,BW$2-$E$2,FALSE)*$D$11*$D$14*(1+$D$13)^($F58-'הנחות עבודה'!$C$5)/$D$11)</f>
        <v>0</v>
      </c>
      <c r="BX58" s="52">
        <f ca="1">IF($F58&gt;$D$5,0,VLOOKUP($F58,$F$24:$BZ$44,BX$2-$E$2,FALSE)*$D$11*$D$14*(1+$D$13)^($F58-'הנחות עבודה'!$C$5)/$D$11)</f>
        <v>0</v>
      </c>
      <c r="BY58" s="52">
        <f ca="1">IF($F58&gt;$D$5,0,VLOOKUP($F58,$F$24:$BZ$44,BY$2-$E$2,FALSE)*$D$11*$D$14*(1+$D$13)^($F58-'הנחות עבודה'!$C$5)/$D$11)</f>
        <v>0</v>
      </c>
      <c r="BZ58" s="52">
        <f ca="1">IF($F58&gt;$D$5,0,VLOOKUP($F58,$F$24:$BZ$44,BZ$2-$E$2,FALSE)*$D$11*$D$14*(1+$D$13)^($F58-'הנחות עבודה'!$C$5)/$D$11)</f>
        <v>0</v>
      </c>
    </row>
    <row r="59" spans="6:78" ht="15.75">
      <c r="F59" s="10">
        <f t="shared" si="130"/>
        <v>2028</v>
      </c>
      <c r="G59" s="42">
        <f ca="1">IF($F59&gt;$D$5,0,VLOOKUP($F59,$F$24:$BZ$44,G$2-$E$2,FALSE)*$D$11*$D$14*(1+$D$13)^($F59-'הנחות עבודה'!$C$5)/$D$11)</f>
        <v>0</v>
      </c>
      <c r="H59" s="44">
        <f ca="1">IF($F59&gt;$D$5,0,VLOOKUP($F59,$F$24:$BZ$44,H$2-$E$2,FALSE)*$D$11*$D$14*(1+$D$13)^($F59-'הנחות עבודה'!$C$5)/$D$11)</f>
        <v>0</v>
      </c>
      <c r="I59" s="44">
        <f ca="1">IF($F59&gt;$D$5,0,VLOOKUP($F59,$F$24:$BZ$44,I$2-$E$2,FALSE)*$D$11*$D$14*(1+$D$13)^($F59-'הנחות עבודה'!$C$5)/$D$11)</f>
        <v>0</v>
      </c>
      <c r="J59" s="44">
        <f ca="1">IF($F59&gt;$D$5,0,VLOOKUP($F59,$F$24:$BZ$44,J$2-$E$2,FALSE)*$D$11*$D$14*(1+$D$13)^($F59-'הנחות עבודה'!$C$5)/$D$11)</f>
        <v>0</v>
      </c>
      <c r="K59" s="44">
        <f ca="1">IF($F59&gt;$D$5,0,VLOOKUP($F59,$F$24:$BZ$44,K$2-$E$2,FALSE)*$D$11*$D$14*(1+$D$13)^($F59-'הנחות עבודה'!$C$5)/$D$11)</f>
        <v>0</v>
      </c>
      <c r="L59" s="44">
        <f ca="1">IF($F59&gt;$D$5,0,VLOOKUP($F59,$F$24:$BZ$44,L$2-$E$2,FALSE)*$D$11*$D$14*(1+$D$13)^($F59-'הנחות עבודה'!$C$5)/$D$11)</f>
        <v>0</v>
      </c>
      <c r="M59" s="42">
        <f ca="1">IF($F59&gt;$D$5,0,VLOOKUP($F59,$F$24:$BZ$44,M$2-$E$2,FALSE)*$D$11*$D$14*(1+$D$13)^($F59-'הנחות עבודה'!$C$5)/$D$11)</f>
        <v>1138.0429098990326</v>
      </c>
      <c r="N59" s="42">
        <f ca="1">IF($F59&gt;$D$5,0,VLOOKUP($F59,$F$24:$BZ$44,N$2-$E$2,FALSE)*$D$11*$D$14*(1+$D$13)^($F59-'הנחות עבודה'!$C$5)/$D$11)</f>
        <v>3794.1197385959185</v>
      </c>
      <c r="O59" s="42">
        <f ca="1">IF($F59&gt;$D$5,0,VLOOKUP($F59,$F$24:$BZ$44,O$2-$E$2,FALSE)*$D$11*$D$14*(1+$D$13)^($F59-'הנחות עבודה'!$C$5)/$D$11)</f>
        <v>0</v>
      </c>
      <c r="P59" s="43">
        <f ca="1">IF($F59&gt;$D$5,0,VLOOKUP($F59,$F$24:$BZ$44,P$2-$E$2,FALSE)*$D$11*$D$14*(1+$D$13)^($F59-'הנחות עבודה'!$C$5)/$D$11)</f>
        <v>0</v>
      </c>
      <c r="Q59" s="42">
        <f ca="1">IF($F59&gt;$D$5,0,VLOOKUP($F59,$F$24:$BZ$44,Q$2-$E$2,FALSE)*$D$11*$D$14*(1+$D$13)^($F59-'הנחות עבודה'!$C$5)/$D$11)</f>
        <v>0</v>
      </c>
      <c r="R59" s="43">
        <f ca="1">IF($F59&gt;$D$5,0,VLOOKUP($F59,$F$24:$BZ$44,R$2-$E$2,FALSE)*$D$11*$D$14*(1+$D$13)^($F59-'הנחות עבודה'!$C$5)/$D$11)</f>
        <v>0</v>
      </c>
      <c r="S59" s="52">
        <f ca="1">IF($F59&gt;$D$5,0,VLOOKUP($F59,$F$24:$BZ$44,S$2-$E$2,FALSE)*$D$11*$D$14*(1+$D$13)^($F59-'הנחות עבודה'!$C$5)/$D$11)</f>
        <v>0</v>
      </c>
      <c r="T59" s="127">
        <f ca="1">IF($F59&gt;$D$5,0,VLOOKUP($F59,$F$24:$BZ$44,T$2-$E$2,FALSE)*$D$11*$D$14*(1+$D$13)^($F59-'הנחות עבודה'!$C$5)/$D$11)</f>
        <v>0</v>
      </c>
      <c r="U59" s="127">
        <f ca="1">IF($F59&gt;$D$5,0,VLOOKUP($F59,$F$24:$BZ$44,U$2-$E$2,FALSE)*$D$11*$D$14*(1+$D$13)^($F59-'הנחות עבודה'!$C$5)/$D$11)</f>
        <v>0</v>
      </c>
      <c r="V59" s="127">
        <f ca="1">IF($F59&gt;$D$5,0,VLOOKUP($F59,$F$24:$BZ$44,V$2-$E$2,FALSE)*$D$11*$D$14*(1+$D$13)^($F59-'הנחות עבודה'!$C$5)/$D$11)</f>
        <v>0</v>
      </c>
      <c r="W59" s="127">
        <f ca="1">IF($F59&gt;$D$5,0,VLOOKUP($F59,$F$24:$BZ$44,W$2-$E$2,FALSE)*$D$11*$D$14*(1+$D$13)^($F59-'הנחות עבודה'!$C$5)/$D$11)</f>
        <v>0</v>
      </c>
      <c r="X59" s="127">
        <f ca="1">IF($F59&gt;$D$5,0,VLOOKUP($F59,$F$24:$BZ$44,X$2-$E$2,FALSE)*$D$11*$D$14*(1+$D$13)^($F59-'הנחות עבודה'!$C$5)/$D$11)</f>
        <v>0</v>
      </c>
      <c r="Y59" s="52">
        <f ca="1">IF($F59&gt;$D$5,0,VLOOKUP($F59,$F$24:$BZ$44,Y$2-$E$2,FALSE)*$D$11*$D$14*(1+$D$13)^($F59-'הנחות עבודה'!$C$5)/$D$11)</f>
        <v>1138.0429098990326</v>
      </c>
      <c r="Z59" s="52">
        <f ca="1">IF($F59&gt;$D$5,0,VLOOKUP($F59,$F$24:$BZ$44,Z$2-$E$2,FALSE)*$D$11*$D$14*(1+$D$13)^($F59-'הנחות עבודה'!$C$5)/$D$11)</f>
        <v>3794.1197385959185</v>
      </c>
      <c r="AA59" s="52">
        <f ca="1">IF($F59&gt;$D$5,0,VLOOKUP($F59,$F$24:$BZ$44,AA$2-$E$2,FALSE)*$D$11*$D$14*(1+$D$13)^($F59-'הנחות עבודה'!$C$5)/$D$11)</f>
        <v>0</v>
      </c>
      <c r="AB59" s="52">
        <f ca="1">IF($F59&gt;$D$5,0,VLOOKUP($F59,$F$24:$BZ$44,AB$2-$E$2,FALSE)*$D$11*$D$14*(1+$D$13)^($F59-'הנחות עבודה'!$C$5)/$D$11)</f>
        <v>0</v>
      </c>
      <c r="AC59" s="52">
        <f ca="1">IF($F59&gt;$D$5,0,VLOOKUP($F59,$F$24:$BZ$44,AC$2-$E$2,FALSE)*$D$11*$D$14*(1+$D$13)^($F59-'הנחות עבודה'!$C$5)/$D$11)</f>
        <v>0</v>
      </c>
      <c r="AD59" s="52">
        <f ca="1">IF($F59&gt;$D$5,0,VLOOKUP($F59,$F$24:$BZ$44,AD$2-$E$2,FALSE)*$D$11*$D$14*(1+$D$13)^($F59-'הנחות עבודה'!$C$5)/$D$11)</f>
        <v>0</v>
      </c>
      <c r="AE59" s="42">
        <f ca="1">IF($F59&gt;$D$5,0,VLOOKUP($F59,$F$24:$BZ$44,AE$2-$E$2,FALSE)*$D$11*$D$14*(1+$D$13)^($F59-'הנחות עבודה'!$C$5)/$D$11)</f>
        <v>0</v>
      </c>
      <c r="AF59" s="44">
        <f ca="1">IF($F59&gt;$D$5,0,VLOOKUP($F59,$F$24:$BZ$44,AF$2-$E$2,FALSE)*$D$11*$D$14*(1+$D$13)^($F59-'הנחות עבודה'!$C$5)/$D$11)</f>
        <v>0</v>
      </c>
      <c r="AG59" s="44">
        <f ca="1">IF($F59&gt;$D$5,0,VLOOKUP($F59,$F$24:$BZ$44,AG$2-$E$2,FALSE)*$D$11*$D$14*(1+$D$13)^($F59-'הנחות עבודה'!$C$5)/$D$11)</f>
        <v>0</v>
      </c>
      <c r="AH59" s="44">
        <f ca="1">IF($F59&gt;$D$5,0,VLOOKUP($F59,$F$24:$BZ$44,AH$2-$E$2,FALSE)*$D$11*$D$14*(1+$D$13)^($F59-'הנחות עבודה'!$C$5)/$D$11)</f>
        <v>0</v>
      </c>
      <c r="AI59" s="44">
        <f ca="1">IF($F59&gt;$D$5,0,VLOOKUP($F59,$F$24:$BZ$44,AI$2-$E$2,FALSE)*$D$11*$D$14*(1+$D$13)^($F59-'הנחות עבודה'!$C$5)/$D$11)</f>
        <v>0</v>
      </c>
      <c r="AJ59" s="44">
        <f ca="1">IF($F59&gt;$D$5,0,VLOOKUP($F59,$F$24:$BZ$44,AJ$2-$E$2,FALSE)*$D$11*$D$14*(1+$D$13)^($F59-'הנחות עבודה'!$C$5)/$D$11)</f>
        <v>0</v>
      </c>
      <c r="AK59" s="42">
        <f ca="1">IF($F59&gt;$D$5,0,VLOOKUP($F59,$F$24:$BZ$44,AK$2-$E$2,FALSE)*$D$11*$D$14*(1+$D$13)^($F59-'הנחות עבודה'!$C$5)/$D$11)</f>
        <v>1162.5096941825877</v>
      </c>
      <c r="AL59" s="42">
        <f ca="1">IF($F59&gt;$D$5,0,VLOOKUP($F59,$F$24:$BZ$44,AL$2-$E$2,FALSE)*$D$11*$D$14*(1+$D$13)^($F59-'הנחות עבודה'!$C$5)/$D$11)</f>
        <v>3408.1834183632113</v>
      </c>
      <c r="AM59" s="42">
        <f ca="1">IF($F59&gt;$D$5,0,VLOOKUP($F59,$F$24:$BZ$44,AM$2-$E$2,FALSE)*$D$11*$D$14*(1+$D$13)^($F59-'הנחות עבודה'!$C$5)/$D$11)</f>
        <v>0</v>
      </c>
      <c r="AN59" s="43">
        <f ca="1">IF($F59&gt;$D$5,0,VLOOKUP($F59,$F$24:$BZ$44,AN$2-$E$2,FALSE)*$D$11*$D$14*(1+$D$13)^($F59-'הנחות עבודה'!$C$5)/$D$11)</f>
        <v>0</v>
      </c>
      <c r="AO59" s="42">
        <f ca="1">IF($F59&gt;$D$5,0,VLOOKUP($F59,$F$24:$BZ$44,AO$2-$E$2,FALSE)*$D$11*$D$14*(1+$D$13)^($F59-'הנחות עבודה'!$C$5)/$D$11)</f>
        <v>0</v>
      </c>
      <c r="AP59" s="43">
        <f ca="1">IF($F59&gt;$D$5,0,VLOOKUP($F59,$F$24:$BZ$44,AP$2-$E$2,FALSE)*$D$11*$D$14*(1+$D$13)^($F59-'הנחות עבודה'!$C$5)/$D$11)</f>
        <v>0</v>
      </c>
      <c r="AQ59" s="52">
        <f ca="1">IF($F59&gt;$D$5,0,VLOOKUP($F59,$F$24:$BZ$44,AQ$2-$E$2,FALSE)*$D$11*$D$14*(1+$D$13)^($F59-'הנחות עבודה'!$C$5)/$D$11)</f>
        <v>0</v>
      </c>
      <c r="AR59" s="127">
        <f ca="1">IF($F59&gt;$D$5,0,VLOOKUP($F59,$F$24:$BZ$44,AR$2-$E$2,FALSE)*$D$11*$D$14*(1+$D$13)^($F59-'הנחות עבודה'!$C$5)/$D$11)</f>
        <v>0</v>
      </c>
      <c r="AS59" s="127">
        <f ca="1">IF($F59&gt;$D$5,0,VLOOKUP($F59,$F$24:$BZ$44,AS$2-$E$2,FALSE)*$D$11*$D$14*(1+$D$13)^($F59-'הנחות עבודה'!$C$5)/$D$11)</f>
        <v>0</v>
      </c>
      <c r="AT59" s="127">
        <f ca="1">IF($F59&gt;$D$5,0,VLOOKUP($F59,$F$24:$BZ$44,AT$2-$E$2,FALSE)*$D$11*$D$14*(1+$D$13)^($F59-'הנחות עבודה'!$C$5)/$D$11)</f>
        <v>0</v>
      </c>
      <c r="AU59" s="127">
        <f ca="1">IF($F59&gt;$D$5,0,VLOOKUP($F59,$F$24:$BZ$44,AU$2-$E$2,FALSE)*$D$11*$D$14*(1+$D$13)^($F59-'הנחות עבודה'!$C$5)/$D$11)</f>
        <v>0</v>
      </c>
      <c r="AV59" s="127">
        <f ca="1">IF($F59&gt;$D$5,0,VLOOKUP($F59,$F$24:$BZ$44,AV$2-$E$2,FALSE)*$D$11*$D$14*(1+$D$13)^($F59-'הנחות עבודה'!$C$5)/$D$11)</f>
        <v>0</v>
      </c>
      <c r="AW59" s="52">
        <f ca="1">IF($F59&gt;$D$5,0,VLOOKUP($F59,$F$24:$BZ$44,AW$2-$E$2,FALSE)*$D$11*$D$14*(1+$D$13)^($F59-'הנחות עבודה'!$C$5)/$D$11)</f>
        <v>1162.5096941825877</v>
      </c>
      <c r="AX59" s="52">
        <f ca="1">IF($F59&gt;$D$5,0,VLOOKUP($F59,$F$24:$BZ$44,AX$2-$E$2,FALSE)*$D$11*$D$14*(1+$D$13)^($F59-'הנחות עבודה'!$C$5)/$D$11)</f>
        <v>3408.1834183632113</v>
      </c>
      <c r="AY59" s="52">
        <f ca="1">IF($F59&gt;$D$5,0,VLOOKUP($F59,$F$24:$BZ$44,AY$2-$E$2,FALSE)*$D$11*$D$14*(1+$D$13)^($F59-'הנחות עבודה'!$C$5)/$D$11)</f>
        <v>0</v>
      </c>
      <c r="AZ59" s="52">
        <f ca="1">IF($F59&gt;$D$5,0,VLOOKUP($F59,$F$24:$BZ$44,AZ$2-$E$2,FALSE)*$D$11*$D$14*(1+$D$13)^($F59-'הנחות עבודה'!$C$5)/$D$11)</f>
        <v>0</v>
      </c>
      <c r="BA59" s="52">
        <f ca="1">IF($F59&gt;$D$5,0,VLOOKUP($F59,$F$24:$BZ$44,BA$2-$E$2,FALSE)*$D$11*$D$14*(1+$D$13)^($F59-'הנחות עבודה'!$C$5)/$D$11)</f>
        <v>0</v>
      </c>
      <c r="BB59" s="52">
        <f ca="1">IF($F59&gt;$D$5,0,VLOOKUP($F59,$F$24:$BZ$44,BB$2-$E$2,FALSE)*$D$11*$D$14*(1+$D$13)^($F59-'הנחות עבודה'!$C$5)/$D$11)</f>
        <v>0</v>
      </c>
      <c r="BC59" s="42">
        <f ca="1">IF($F59&gt;$D$5,0,VLOOKUP($F59,$F$24:$BZ$44,BC$2-$E$2,FALSE)*$D$11*$D$14*(1+$D$13)^($F59-'הנחות עבודה'!$C$5)/$D$11)</f>
        <v>0</v>
      </c>
      <c r="BD59" s="44">
        <f ca="1">IF($F59&gt;$D$5,0,VLOOKUP($F59,$F$24:$BZ$44,BD$2-$E$2,FALSE)*$D$11*$D$14*(1+$D$13)^($F59-'הנחות עבודה'!$C$5)/$D$11)</f>
        <v>0</v>
      </c>
      <c r="BE59" s="44">
        <f ca="1">IF($F59&gt;$D$5,0,VLOOKUP($F59,$F$24:$BZ$44,BE$2-$E$2,FALSE)*$D$11*$D$14*(1+$D$13)^($F59-'הנחות עבודה'!$C$5)/$D$11)</f>
        <v>0</v>
      </c>
      <c r="BF59" s="44">
        <f ca="1">IF($F59&gt;$D$5,0,VLOOKUP($F59,$F$24:$BZ$44,BF$2-$E$2,FALSE)*$D$11*$D$14*(1+$D$13)^($F59-'הנחות עבודה'!$C$5)/$D$11)</f>
        <v>0</v>
      </c>
      <c r="BG59" s="44">
        <f ca="1">IF($F59&gt;$D$5,0,VLOOKUP($F59,$F$24:$BZ$44,BG$2-$E$2,FALSE)*$D$11*$D$14*(1+$D$13)^($F59-'הנחות עבודה'!$C$5)/$D$11)</f>
        <v>0</v>
      </c>
      <c r="BH59" s="44">
        <f ca="1">IF($F59&gt;$D$5,0,VLOOKUP($F59,$F$24:$BZ$44,BH$2-$E$2,FALSE)*$D$11*$D$14*(1+$D$13)^($F59-'הנחות עבודה'!$C$5)/$D$11)</f>
        <v>0</v>
      </c>
      <c r="BI59" s="42">
        <f ca="1">IF($F59&gt;$D$5,0,VLOOKUP($F59,$F$24:$BZ$44,BI$2-$E$2,FALSE)*$D$11*$D$14*(1+$D$13)^($F59-'הנחות עבודה'!$C$5)/$D$11)</f>
        <v>1188.6621270083685</v>
      </c>
      <c r="BJ59" s="42">
        <f ca="1">IF($F59&gt;$D$5,0,VLOOKUP($F59,$F$24:$BZ$44,BJ$2-$E$2,FALSE)*$D$11*$D$14*(1+$D$13)^($F59-'הנחות עבודה'!$C$5)/$D$11)</f>
        <v>3167.345567921177</v>
      </c>
      <c r="BK59" s="42">
        <f ca="1">IF($F59&gt;$D$5,0,VLOOKUP($F59,$F$24:$BZ$44,BK$2-$E$2,FALSE)*$D$11*$D$14*(1+$D$13)^($F59-'הנחות עבודה'!$C$5)/$D$11)</f>
        <v>0</v>
      </c>
      <c r="BL59" s="42">
        <f ca="1">IF($F59&gt;$D$5,0,VLOOKUP($F59,$F$24:$BZ$44,BL$2-$E$2,FALSE)*$D$11*$D$14*(1+$D$13)^($F59-'הנחות עבודה'!$C$5)/$D$11)</f>
        <v>0</v>
      </c>
      <c r="BM59" s="42">
        <f ca="1">IF($F59&gt;$D$5,0,VLOOKUP($F59,$F$24:$BZ$44,BM$2-$E$2,FALSE)*$D$11*$D$14*(1+$D$13)^($F59-'הנחות עבודה'!$C$5)/$D$11)</f>
        <v>0</v>
      </c>
      <c r="BN59" s="42">
        <f ca="1">IF($F59&gt;$D$5,0,VLOOKUP($F59,$F$24:$BZ$44,BN$2-$E$2,FALSE)*$D$11*$D$14*(1+$D$13)^($F59-'הנחות עבודה'!$C$5)/$D$11)</f>
        <v>0</v>
      </c>
      <c r="BO59" s="52">
        <f ca="1">IF($F59&gt;$D$5,0,VLOOKUP($F59,$F$24:$BZ$44,BO$2-$E$2,FALSE)*$D$11*$D$14*(1+$D$13)^($F59-'הנחות עבודה'!$C$5)/$D$11)</f>
        <v>0</v>
      </c>
      <c r="BP59" s="127">
        <f ca="1">IF($F59&gt;$D$5,0,VLOOKUP($F59,$F$24:$BZ$44,BP$2-$E$2,FALSE)*$D$11*$D$14*(1+$D$13)^($F59-'הנחות עבודה'!$C$5)/$D$11)</f>
        <v>0</v>
      </c>
      <c r="BQ59" s="127">
        <f ca="1">IF($F59&gt;$D$5,0,VLOOKUP($F59,$F$24:$BZ$44,BQ$2-$E$2,FALSE)*$D$11*$D$14*(1+$D$13)^($F59-'הנחות עבודה'!$C$5)/$D$11)</f>
        <v>0</v>
      </c>
      <c r="BR59" s="127">
        <f ca="1">IF($F59&gt;$D$5,0,VLOOKUP($F59,$F$24:$BZ$44,BR$2-$E$2,FALSE)*$D$11*$D$14*(1+$D$13)^($F59-'הנחות עבודה'!$C$5)/$D$11)</f>
        <v>0</v>
      </c>
      <c r="BS59" s="127">
        <f ca="1">IF($F59&gt;$D$5,0,VLOOKUP($F59,$F$24:$BZ$44,BS$2-$E$2,FALSE)*$D$11*$D$14*(1+$D$13)^($F59-'הנחות עבודה'!$C$5)/$D$11)</f>
        <v>0</v>
      </c>
      <c r="BT59" s="127">
        <f ca="1">IF($F59&gt;$D$5,0,VLOOKUP($F59,$F$24:$BZ$44,BT$2-$E$2,FALSE)*$D$11*$D$14*(1+$D$13)^($F59-'הנחות עבודה'!$C$5)/$D$11)</f>
        <v>0</v>
      </c>
      <c r="BU59" s="52">
        <f ca="1">IF($F59&gt;$D$5,0,VLOOKUP($F59,$F$24:$BZ$44,BU$2-$E$2,FALSE)*$D$11*$D$14*(1+$D$13)^($F59-'הנחות עבודה'!$C$5)/$D$11)</f>
        <v>1188.6621270083685</v>
      </c>
      <c r="BV59" s="52">
        <f ca="1">IF($F59&gt;$D$5,0,VLOOKUP($F59,$F$24:$BZ$44,BV$2-$E$2,FALSE)*$D$11*$D$14*(1+$D$13)^($F59-'הנחות עבודה'!$C$5)/$D$11)</f>
        <v>3167.345567921177</v>
      </c>
      <c r="BW59" s="52">
        <f ca="1">IF($F59&gt;$D$5,0,VLOOKUP($F59,$F$24:$BZ$44,BW$2-$E$2,FALSE)*$D$11*$D$14*(1+$D$13)^($F59-'הנחות עבודה'!$C$5)/$D$11)</f>
        <v>0</v>
      </c>
      <c r="BX59" s="52">
        <f ca="1">IF($F59&gt;$D$5,0,VLOOKUP($F59,$F$24:$BZ$44,BX$2-$E$2,FALSE)*$D$11*$D$14*(1+$D$13)^($F59-'הנחות עבודה'!$C$5)/$D$11)</f>
        <v>0</v>
      </c>
      <c r="BY59" s="52">
        <f ca="1">IF($F59&gt;$D$5,0,VLOOKUP($F59,$F$24:$BZ$44,BY$2-$E$2,FALSE)*$D$11*$D$14*(1+$D$13)^($F59-'הנחות עבודה'!$C$5)/$D$11)</f>
        <v>0</v>
      </c>
      <c r="BZ59" s="52">
        <f ca="1">IF($F59&gt;$D$5,0,VLOOKUP($F59,$F$24:$BZ$44,BZ$2-$E$2,FALSE)*$D$11*$D$14*(1+$D$13)^($F59-'הנחות עבודה'!$C$5)/$D$11)</f>
        <v>0</v>
      </c>
    </row>
    <row r="60" spans="6:78" ht="15.75">
      <c r="F60" s="10">
        <f t="shared" si="130"/>
        <v>2029</v>
      </c>
      <c r="G60" s="42">
        <f ca="1">IF($F60&gt;$D$5,0,VLOOKUP($F60,$F$24:$BZ$44,G$2-$E$2,FALSE)*$D$11*$D$14*(1+$D$13)^($F60-'הנחות עבודה'!$C$5)/$D$11)</f>
        <v>0</v>
      </c>
      <c r="H60" s="44">
        <f ca="1">IF($F60&gt;$D$5,0,VLOOKUP($F60,$F$24:$BZ$44,H$2-$E$2,FALSE)*$D$11*$D$14*(1+$D$13)^($F60-'הנחות עבודה'!$C$5)/$D$11)</f>
        <v>0</v>
      </c>
      <c r="I60" s="44">
        <f ca="1">IF($F60&gt;$D$5,0,VLOOKUP($F60,$F$24:$BZ$44,I$2-$E$2,FALSE)*$D$11*$D$14*(1+$D$13)^($F60-'הנחות עבודה'!$C$5)/$D$11)</f>
        <v>0</v>
      </c>
      <c r="J60" s="44">
        <f ca="1">IF($F60&gt;$D$5,0,VLOOKUP($F60,$F$24:$BZ$44,J$2-$E$2,FALSE)*$D$11*$D$14*(1+$D$13)^($F60-'הנחות עבודה'!$C$5)/$D$11)</f>
        <v>0</v>
      </c>
      <c r="K60" s="44">
        <f ca="1">IF($F60&gt;$D$5,0,VLOOKUP($F60,$F$24:$BZ$44,K$2-$E$2,FALSE)*$D$11*$D$14*(1+$D$13)^($F60-'הנחות עבודה'!$C$5)/$D$11)</f>
        <v>0</v>
      </c>
      <c r="L60" s="44">
        <f ca="1">IF($F60&gt;$D$5,0,VLOOKUP($F60,$F$24:$BZ$44,L$2-$E$2,FALSE)*$D$11*$D$14*(1+$D$13)^($F60-'הנחות עבודה'!$C$5)/$D$11)</f>
        <v>0</v>
      </c>
      <c r="M60" s="42">
        <f ca="1">IF($F60&gt;$D$5,0,VLOOKUP($F60,$F$24:$BZ$44,M$2-$E$2,FALSE)*$D$11*$D$14*(1+$D$13)^($F60-'הנחות עבודה'!$C$5)/$D$11)</f>
        <v>1165.4931521499568</v>
      </c>
      <c r="N60" s="42">
        <f ca="1">IF($F60&gt;$D$5,0,VLOOKUP($F60,$F$24:$BZ$44,N$2-$E$2,FALSE)*$D$11*$D$14*(1+$D$13)^($F60-'הנחות עבודה'!$C$5)/$D$11)</f>
        <v>3965.8979958360055</v>
      </c>
      <c r="O60" s="42">
        <f ca="1">IF($F60&gt;$D$5,0,VLOOKUP($F60,$F$24:$BZ$44,O$2-$E$2,FALSE)*$D$11*$D$14*(1+$D$13)^($F60-'הנחות עבודה'!$C$5)/$D$11)</f>
        <v>0</v>
      </c>
      <c r="P60" s="43">
        <f ca="1">IF($F60&gt;$D$5,0,VLOOKUP($F60,$F$24:$BZ$44,P$2-$E$2,FALSE)*$D$11*$D$14*(1+$D$13)^($F60-'הנחות עבודה'!$C$5)/$D$11)</f>
        <v>0</v>
      </c>
      <c r="Q60" s="42">
        <f ca="1">IF($F60&gt;$D$5,0,VLOOKUP($F60,$F$24:$BZ$44,Q$2-$E$2,FALSE)*$D$11*$D$14*(1+$D$13)^($F60-'הנחות עבודה'!$C$5)/$D$11)</f>
        <v>0</v>
      </c>
      <c r="R60" s="43">
        <f ca="1">IF($F60&gt;$D$5,0,VLOOKUP($F60,$F$24:$BZ$44,R$2-$E$2,FALSE)*$D$11*$D$14*(1+$D$13)^($F60-'הנחות עבודה'!$C$5)/$D$11)</f>
        <v>0</v>
      </c>
      <c r="S60" s="52">
        <f ca="1">IF($F60&gt;$D$5,0,VLOOKUP($F60,$F$24:$BZ$44,S$2-$E$2,FALSE)*$D$11*$D$14*(1+$D$13)^($F60-'הנחות עבודה'!$C$5)/$D$11)</f>
        <v>0</v>
      </c>
      <c r="T60" s="127">
        <f ca="1">IF($F60&gt;$D$5,0,VLOOKUP($F60,$F$24:$BZ$44,T$2-$E$2,FALSE)*$D$11*$D$14*(1+$D$13)^($F60-'הנחות עבודה'!$C$5)/$D$11)</f>
        <v>0</v>
      </c>
      <c r="U60" s="127">
        <f ca="1">IF($F60&gt;$D$5,0,VLOOKUP($F60,$F$24:$BZ$44,U$2-$E$2,FALSE)*$D$11*$D$14*(1+$D$13)^($F60-'הנחות עבודה'!$C$5)/$D$11)</f>
        <v>0</v>
      </c>
      <c r="V60" s="127">
        <f ca="1">IF($F60&gt;$D$5,0,VLOOKUP($F60,$F$24:$BZ$44,V$2-$E$2,FALSE)*$D$11*$D$14*(1+$D$13)^($F60-'הנחות עבודה'!$C$5)/$D$11)</f>
        <v>0</v>
      </c>
      <c r="W60" s="127">
        <f ca="1">IF($F60&gt;$D$5,0,VLOOKUP($F60,$F$24:$BZ$44,W$2-$E$2,FALSE)*$D$11*$D$14*(1+$D$13)^($F60-'הנחות עבודה'!$C$5)/$D$11)</f>
        <v>0</v>
      </c>
      <c r="X60" s="127">
        <f ca="1">IF($F60&gt;$D$5,0,VLOOKUP($F60,$F$24:$BZ$44,X$2-$E$2,FALSE)*$D$11*$D$14*(1+$D$13)^($F60-'הנחות עבודה'!$C$5)/$D$11)</f>
        <v>0</v>
      </c>
      <c r="Y60" s="52">
        <f ca="1">IF($F60&gt;$D$5,0,VLOOKUP($F60,$F$24:$BZ$44,Y$2-$E$2,FALSE)*$D$11*$D$14*(1+$D$13)^($F60-'הנחות עבודה'!$C$5)/$D$11)</f>
        <v>1165.4931521499568</v>
      </c>
      <c r="Z60" s="52">
        <f ca="1">IF($F60&gt;$D$5,0,VLOOKUP($F60,$F$24:$BZ$44,Z$2-$E$2,FALSE)*$D$11*$D$14*(1+$D$13)^($F60-'הנחות עבודה'!$C$5)/$D$11)</f>
        <v>3965.8979958360055</v>
      </c>
      <c r="AA60" s="52">
        <f ca="1">IF($F60&gt;$D$5,0,VLOOKUP($F60,$F$24:$BZ$44,AA$2-$E$2,FALSE)*$D$11*$D$14*(1+$D$13)^($F60-'הנחות עבודה'!$C$5)/$D$11)</f>
        <v>0</v>
      </c>
      <c r="AB60" s="52">
        <f ca="1">IF($F60&gt;$D$5,0,VLOOKUP($F60,$F$24:$BZ$44,AB$2-$E$2,FALSE)*$D$11*$D$14*(1+$D$13)^($F60-'הנחות עבודה'!$C$5)/$D$11)</f>
        <v>0</v>
      </c>
      <c r="AC60" s="52">
        <f ca="1">IF($F60&gt;$D$5,0,VLOOKUP($F60,$F$24:$BZ$44,AC$2-$E$2,FALSE)*$D$11*$D$14*(1+$D$13)^($F60-'הנחות עבודה'!$C$5)/$D$11)</f>
        <v>0</v>
      </c>
      <c r="AD60" s="52">
        <f ca="1">IF($F60&gt;$D$5,0,VLOOKUP($F60,$F$24:$BZ$44,AD$2-$E$2,FALSE)*$D$11*$D$14*(1+$D$13)^($F60-'הנחות עבודה'!$C$5)/$D$11)</f>
        <v>0</v>
      </c>
      <c r="AE60" s="42">
        <f ca="1">IF($F60&gt;$D$5,0,VLOOKUP($F60,$F$24:$BZ$44,AE$2-$E$2,FALSE)*$D$11*$D$14*(1+$D$13)^($F60-'הנחות עבודה'!$C$5)/$D$11)</f>
        <v>0</v>
      </c>
      <c r="AF60" s="44">
        <f ca="1">IF($F60&gt;$D$5,0,VLOOKUP($F60,$F$24:$BZ$44,AF$2-$E$2,FALSE)*$D$11*$D$14*(1+$D$13)^($F60-'הנחות עבודה'!$C$5)/$D$11)</f>
        <v>0</v>
      </c>
      <c r="AG60" s="44">
        <f ca="1">IF($F60&gt;$D$5,0,VLOOKUP($F60,$F$24:$BZ$44,AG$2-$E$2,FALSE)*$D$11*$D$14*(1+$D$13)^($F60-'הנחות עבודה'!$C$5)/$D$11)</f>
        <v>0</v>
      </c>
      <c r="AH60" s="44">
        <f ca="1">IF($F60&gt;$D$5,0,VLOOKUP($F60,$F$24:$BZ$44,AH$2-$E$2,FALSE)*$D$11*$D$14*(1+$D$13)^($F60-'הנחות עבודה'!$C$5)/$D$11)</f>
        <v>0</v>
      </c>
      <c r="AI60" s="44">
        <f ca="1">IF($F60&gt;$D$5,0,VLOOKUP($F60,$F$24:$BZ$44,AI$2-$E$2,FALSE)*$D$11*$D$14*(1+$D$13)^($F60-'הנחות עבודה'!$C$5)/$D$11)</f>
        <v>0</v>
      </c>
      <c r="AJ60" s="44">
        <f ca="1">IF($F60&gt;$D$5,0,VLOOKUP($F60,$F$24:$BZ$44,AJ$2-$E$2,FALSE)*$D$11*$D$14*(1+$D$13)^($F60-'הנחות עבודה'!$C$5)/$D$11)</f>
        <v>0</v>
      </c>
      <c r="AK60" s="42">
        <f ca="1">IF($F60&gt;$D$5,0,VLOOKUP($F60,$F$24:$BZ$44,AK$2-$E$2,FALSE)*$D$11*$D$14*(1+$D$13)^($F60-'הנחות עבודה'!$C$5)/$D$11)</f>
        <v>1206.6547302179245</v>
      </c>
      <c r="AL60" s="42">
        <f ca="1">IF($F60&gt;$D$5,0,VLOOKUP($F60,$F$24:$BZ$44,AL$2-$E$2,FALSE)*$D$11*$D$14*(1+$D$13)^($F60-'הנחות עבודה'!$C$5)/$D$11)</f>
        <v>3507.341053094287</v>
      </c>
      <c r="AM60" s="42">
        <f ca="1">IF($F60&gt;$D$5,0,VLOOKUP($F60,$F$24:$BZ$44,AM$2-$E$2,FALSE)*$D$11*$D$14*(1+$D$13)^($F60-'הנחות עבודה'!$C$5)/$D$11)</f>
        <v>0</v>
      </c>
      <c r="AN60" s="43">
        <f ca="1">IF($F60&gt;$D$5,0,VLOOKUP($F60,$F$24:$BZ$44,AN$2-$E$2,FALSE)*$D$11*$D$14*(1+$D$13)^($F60-'הנחות עבודה'!$C$5)/$D$11)</f>
        <v>0</v>
      </c>
      <c r="AO60" s="42">
        <f ca="1">IF($F60&gt;$D$5,0,VLOOKUP($F60,$F$24:$BZ$44,AO$2-$E$2,FALSE)*$D$11*$D$14*(1+$D$13)^($F60-'הנחות עבודה'!$C$5)/$D$11)</f>
        <v>0</v>
      </c>
      <c r="AP60" s="43">
        <f ca="1">IF($F60&gt;$D$5,0,VLOOKUP($F60,$F$24:$BZ$44,AP$2-$E$2,FALSE)*$D$11*$D$14*(1+$D$13)^($F60-'הנחות עבודה'!$C$5)/$D$11)</f>
        <v>0</v>
      </c>
      <c r="AQ60" s="52">
        <f ca="1">IF($F60&gt;$D$5,0,VLOOKUP($F60,$F$24:$BZ$44,AQ$2-$E$2,FALSE)*$D$11*$D$14*(1+$D$13)^($F60-'הנחות עבודה'!$C$5)/$D$11)</f>
        <v>0</v>
      </c>
      <c r="AR60" s="127">
        <f ca="1">IF($F60&gt;$D$5,0,VLOOKUP($F60,$F$24:$BZ$44,AR$2-$E$2,FALSE)*$D$11*$D$14*(1+$D$13)^($F60-'הנחות עבודה'!$C$5)/$D$11)</f>
        <v>0</v>
      </c>
      <c r="AS60" s="127">
        <f ca="1">IF($F60&gt;$D$5,0,VLOOKUP($F60,$F$24:$BZ$44,AS$2-$E$2,FALSE)*$D$11*$D$14*(1+$D$13)^($F60-'הנחות עבודה'!$C$5)/$D$11)</f>
        <v>0</v>
      </c>
      <c r="AT60" s="127">
        <f ca="1">IF($F60&gt;$D$5,0,VLOOKUP($F60,$F$24:$BZ$44,AT$2-$E$2,FALSE)*$D$11*$D$14*(1+$D$13)^($F60-'הנחות עבודה'!$C$5)/$D$11)</f>
        <v>0</v>
      </c>
      <c r="AU60" s="127">
        <f ca="1">IF($F60&gt;$D$5,0,VLOOKUP($F60,$F$24:$BZ$44,AU$2-$E$2,FALSE)*$D$11*$D$14*(1+$D$13)^($F60-'הנחות עבודה'!$C$5)/$D$11)</f>
        <v>0</v>
      </c>
      <c r="AV60" s="127">
        <f ca="1">IF($F60&gt;$D$5,0,VLOOKUP($F60,$F$24:$BZ$44,AV$2-$E$2,FALSE)*$D$11*$D$14*(1+$D$13)^($F60-'הנחות עבודה'!$C$5)/$D$11)</f>
        <v>0</v>
      </c>
      <c r="AW60" s="52">
        <f ca="1">IF($F60&gt;$D$5,0,VLOOKUP($F60,$F$24:$BZ$44,AW$2-$E$2,FALSE)*$D$11*$D$14*(1+$D$13)^($F60-'הנחות עבודה'!$C$5)/$D$11)</f>
        <v>1206.6547302179245</v>
      </c>
      <c r="AX60" s="52">
        <f ca="1">IF($F60&gt;$D$5,0,VLOOKUP($F60,$F$24:$BZ$44,AX$2-$E$2,FALSE)*$D$11*$D$14*(1+$D$13)^($F60-'הנחות עבודה'!$C$5)/$D$11)</f>
        <v>3507.341053094287</v>
      </c>
      <c r="AY60" s="52">
        <f ca="1">IF($F60&gt;$D$5,0,VLOOKUP($F60,$F$24:$BZ$44,AY$2-$E$2,FALSE)*$D$11*$D$14*(1+$D$13)^($F60-'הנחות עבודה'!$C$5)/$D$11)</f>
        <v>0</v>
      </c>
      <c r="AZ60" s="52">
        <f ca="1">IF($F60&gt;$D$5,0,VLOOKUP($F60,$F$24:$BZ$44,AZ$2-$E$2,FALSE)*$D$11*$D$14*(1+$D$13)^($F60-'הנחות עבודה'!$C$5)/$D$11)</f>
        <v>0</v>
      </c>
      <c r="BA60" s="52">
        <f ca="1">IF($F60&gt;$D$5,0,VLOOKUP($F60,$F$24:$BZ$44,BA$2-$E$2,FALSE)*$D$11*$D$14*(1+$D$13)^($F60-'הנחות עבודה'!$C$5)/$D$11)</f>
        <v>0</v>
      </c>
      <c r="BB60" s="52">
        <f ca="1">IF($F60&gt;$D$5,0,VLOOKUP($F60,$F$24:$BZ$44,BB$2-$E$2,FALSE)*$D$11*$D$14*(1+$D$13)^($F60-'הנחות עבודה'!$C$5)/$D$11)</f>
        <v>0</v>
      </c>
      <c r="BC60" s="42">
        <f ca="1">IF($F60&gt;$D$5,0,VLOOKUP($F60,$F$24:$BZ$44,BC$2-$E$2,FALSE)*$D$11*$D$14*(1+$D$13)^($F60-'הנחות עבודה'!$C$5)/$D$11)</f>
        <v>0</v>
      </c>
      <c r="BD60" s="44">
        <f ca="1">IF($F60&gt;$D$5,0,VLOOKUP($F60,$F$24:$BZ$44,BD$2-$E$2,FALSE)*$D$11*$D$14*(1+$D$13)^($F60-'הנחות עבודה'!$C$5)/$D$11)</f>
        <v>0</v>
      </c>
      <c r="BE60" s="44">
        <f ca="1">IF($F60&gt;$D$5,0,VLOOKUP($F60,$F$24:$BZ$44,BE$2-$E$2,FALSE)*$D$11*$D$14*(1+$D$13)^($F60-'הנחות עבודה'!$C$5)/$D$11)</f>
        <v>0</v>
      </c>
      <c r="BF60" s="44">
        <f ca="1">IF($F60&gt;$D$5,0,VLOOKUP($F60,$F$24:$BZ$44,BF$2-$E$2,FALSE)*$D$11*$D$14*(1+$D$13)^($F60-'הנחות עבודה'!$C$5)/$D$11)</f>
        <v>0</v>
      </c>
      <c r="BG60" s="44">
        <f ca="1">IF($F60&gt;$D$5,0,VLOOKUP($F60,$F$24:$BZ$44,BG$2-$E$2,FALSE)*$D$11*$D$14*(1+$D$13)^($F60-'הנחות עבודה'!$C$5)/$D$11)</f>
        <v>0</v>
      </c>
      <c r="BH60" s="44">
        <f ca="1">IF($F60&gt;$D$5,0,VLOOKUP($F60,$F$24:$BZ$44,BH$2-$E$2,FALSE)*$D$11*$D$14*(1+$D$13)^($F60-'הנחות עבודה'!$C$5)/$D$11)</f>
        <v>0</v>
      </c>
      <c r="BI60" s="42">
        <f ca="1">IF($F60&gt;$D$5,0,VLOOKUP($F60,$F$24:$BZ$44,BI$2-$E$2,FALSE)*$D$11*$D$14*(1+$D$13)^($F60-'הנחות עבודה'!$C$5)/$D$11)</f>
        <v>1237.5754802331828</v>
      </c>
      <c r="BJ60" s="42">
        <f ca="1">IF($F60&gt;$D$5,0,VLOOKUP($F60,$F$24:$BZ$44,BJ$2-$E$2,FALSE)*$D$11*$D$14*(1+$D$13)^($F60-'הנחות עבודה'!$C$5)/$D$11)</f>
        <v>3221.986072848083</v>
      </c>
      <c r="BK60" s="42">
        <f ca="1">IF($F60&gt;$D$5,0,VLOOKUP($F60,$F$24:$BZ$44,BK$2-$E$2,FALSE)*$D$11*$D$14*(1+$D$13)^($F60-'הנחות עבודה'!$C$5)/$D$11)</f>
        <v>0</v>
      </c>
      <c r="BL60" s="42">
        <f ca="1">IF($F60&gt;$D$5,0,VLOOKUP($F60,$F$24:$BZ$44,BL$2-$E$2,FALSE)*$D$11*$D$14*(1+$D$13)^($F60-'הנחות עבודה'!$C$5)/$D$11)</f>
        <v>0</v>
      </c>
      <c r="BM60" s="42">
        <f ca="1">IF($F60&gt;$D$5,0,VLOOKUP($F60,$F$24:$BZ$44,BM$2-$E$2,FALSE)*$D$11*$D$14*(1+$D$13)^($F60-'הנחות עבודה'!$C$5)/$D$11)</f>
        <v>0</v>
      </c>
      <c r="BN60" s="42">
        <f ca="1">IF($F60&gt;$D$5,0,VLOOKUP($F60,$F$24:$BZ$44,BN$2-$E$2,FALSE)*$D$11*$D$14*(1+$D$13)^($F60-'הנחות עבודה'!$C$5)/$D$11)</f>
        <v>0</v>
      </c>
      <c r="BO60" s="52">
        <f ca="1">IF($F60&gt;$D$5,0,VLOOKUP($F60,$F$24:$BZ$44,BO$2-$E$2,FALSE)*$D$11*$D$14*(1+$D$13)^($F60-'הנחות עבודה'!$C$5)/$D$11)</f>
        <v>0</v>
      </c>
      <c r="BP60" s="127">
        <f ca="1">IF($F60&gt;$D$5,0,VLOOKUP($F60,$F$24:$BZ$44,BP$2-$E$2,FALSE)*$D$11*$D$14*(1+$D$13)^($F60-'הנחות עבודה'!$C$5)/$D$11)</f>
        <v>0</v>
      </c>
      <c r="BQ60" s="127">
        <f ca="1">IF($F60&gt;$D$5,0,VLOOKUP($F60,$F$24:$BZ$44,BQ$2-$E$2,FALSE)*$D$11*$D$14*(1+$D$13)^($F60-'הנחות עבודה'!$C$5)/$D$11)</f>
        <v>0</v>
      </c>
      <c r="BR60" s="127">
        <f ca="1">IF($F60&gt;$D$5,0,VLOOKUP($F60,$F$24:$BZ$44,BR$2-$E$2,FALSE)*$D$11*$D$14*(1+$D$13)^($F60-'הנחות עבודה'!$C$5)/$D$11)</f>
        <v>0</v>
      </c>
      <c r="BS60" s="127">
        <f ca="1">IF($F60&gt;$D$5,0,VLOOKUP($F60,$F$24:$BZ$44,BS$2-$E$2,FALSE)*$D$11*$D$14*(1+$D$13)^($F60-'הנחות עבודה'!$C$5)/$D$11)</f>
        <v>0</v>
      </c>
      <c r="BT60" s="127">
        <f ca="1">IF($F60&gt;$D$5,0,VLOOKUP($F60,$F$24:$BZ$44,BT$2-$E$2,FALSE)*$D$11*$D$14*(1+$D$13)^($F60-'הנחות עבודה'!$C$5)/$D$11)</f>
        <v>0</v>
      </c>
      <c r="BU60" s="52">
        <f ca="1">IF($F60&gt;$D$5,0,VLOOKUP($F60,$F$24:$BZ$44,BU$2-$E$2,FALSE)*$D$11*$D$14*(1+$D$13)^($F60-'הנחות עבודה'!$C$5)/$D$11)</f>
        <v>1237.5754802331828</v>
      </c>
      <c r="BV60" s="52">
        <f ca="1">IF($F60&gt;$D$5,0,VLOOKUP($F60,$F$24:$BZ$44,BV$2-$E$2,FALSE)*$D$11*$D$14*(1+$D$13)^($F60-'הנחות עבודה'!$C$5)/$D$11)</f>
        <v>3221.986072848083</v>
      </c>
      <c r="BW60" s="52">
        <f ca="1">IF($F60&gt;$D$5,0,VLOOKUP($F60,$F$24:$BZ$44,BW$2-$E$2,FALSE)*$D$11*$D$14*(1+$D$13)^($F60-'הנחות עבודה'!$C$5)/$D$11)</f>
        <v>0</v>
      </c>
      <c r="BX60" s="52">
        <f ca="1">IF($F60&gt;$D$5,0,VLOOKUP($F60,$F$24:$BZ$44,BX$2-$E$2,FALSE)*$D$11*$D$14*(1+$D$13)^($F60-'הנחות עבודה'!$C$5)/$D$11)</f>
        <v>0</v>
      </c>
      <c r="BY60" s="52">
        <f ca="1">IF($F60&gt;$D$5,0,VLOOKUP($F60,$F$24:$BZ$44,BY$2-$E$2,FALSE)*$D$11*$D$14*(1+$D$13)^($F60-'הנחות עבודה'!$C$5)/$D$11)</f>
        <v>0</v>
      </c>
      <c r="BZ60" s="52">
        <f ca="1">IF($F60&gt;$D$5,0,VLOOKUP($F60,$F$24:$BZ$44,BZ$2-$E$2,FALSE)*$D$11*$D$14*(1+$D$13)^($F60-'הנחות עבודה'!$C$5)/$D$11)</f>
        <v>0</v>
      </c>
    </row>
    <row r="61" spans="6:78" ht="15.75">
      <c r="F61" s="10">
        <f t="shared" si="130"/>
        <v>2030</v>
      </c>
      <c r="G61" s="42">
        <f ca="1">IF($F61&gt;$D$5,0,VLOOKUP($F61,$F$24:$BZ$44,G$2-$E$2,FALSE)*$D$11*$D$14*(1+$D$13)^($F61-'הנחות עבודה'!$C$5)/$D$11)</f>
        <v>0</v>
      </c>
      <c r="H61" s="44">
        <f ca="1">IF($F61&gt;$D$5,0,VLOOKUP($F61,$F$24:$BZ$44,H$2-$E$2,FALSE)*$D$11*$D$14*(1+$D$13)^($F61-'הנחות עבודה'!$C$5)/$D$11)</f>
        <v>0</v>
      </c>
      <c r="I61" s="44">
        <f ca="1">IF($F61&gt;$D$5,0,VLOOKUP($F61,$F$24:$BZ$44,I$2-$E$2,FALSE)*$D$11*$D$14*(1+$D$13)^($F61-'הנחות עבודה'!$C$5)/$D$11)</f>
        <v>0</v>
      </c>
      <c r="J61" s="44">
        <f ca="1">IF($F61&gt;$D$5,0,VLOOKUP($F61,$F$24:$BZ$44,J$2-$E$2,FALSE)*$D$11*$D$14*(1+$D$13)^($F61-'הנחות עבודה'!$C$5)/$D$11)</f>
        <v>0</v>
      </c>
      <c r="K61" s="44">
        <f ca="1">IF($F61&gt;$D$5,0,VLOOKUP($F61,$F$24:$BZ$44,K$2-$E$2,FALSE)*$D$11*$D$14*(1+$D$13)^($F61-'הנחות עבודה'!$C$5)/$D$11)</f>
        <v>0</v>
      </c>
      <c r="L61" s="44">
        <f ca="1">IF($F61&gt;$D$5,0,VLOOKUP($F61,$F$24:$BZ$44,L$2-$E$2,FALSE)*$D$11*$D$14*(1+$D$13)^($F61-'הנחות עבודה'!$C$5)/$D$11)</f>
        <v>0</v>
      </c>
      <c r="M61" s="42">
        <f ca="1">IF($F61&gt;$D$5,0,VLOOKUP($F61,$F$24:$BZ$44,M$2-$E$2,FALSE)*$D$11*$D$14*(1+$D$13)^($F61-'הנחות עבודה'!$C$5)/$D$11)</f>
        <v>1177.0428679463923</v>
      </c>
      <c r="N61" s="42">
        <f ca="1">IF($F61&gt;$D$5,0,VLOOKUP($F61,$F$24:$BZ$44,N$2-$E$2,FALSE)*$D$11*$D$14*(1+$D$13)^($F61-'הנחות עבודה'!$C$5)/$D$11)</f>
        <v>4144.7861864152756</v>
      </c>
      <c r="O61" s="42">
        <f ca="1">IF($F61&gt;$D$5,0,VLOOKUP($F61,$F$24:$BZ$44,O$2-$E$2,FALSE)*$D$11*$D$14*(1+$D$13)^($F61-'הנחות עבודה'!$C$5)/$D$11)</f>
        <v>0</v>
      </c>
      <c r="P61" s="43">
        <f ca="1">IF($F61&gt;$D$5,0,VLOOKUP($F61,$F$24:$BZ$44,P$2-$E$2,FALSE)*$D$11*$D$14*(1+$D$13)^($F61-'הנחות עבודה'!$C$5)/$D$11)</f>
        <v>0</v>
      </c>
      <c r="Q61" s="42">
        <f ca="1">IF($F61&gt;$D$5,0,VLOOKUP($F61,$F$24:$BZ$44,Q$2-$E$2,FALSE)*$D$11*$D$14*(1+$D$13)^($F61-'הנחות עבודה'!$C$5)/$D$11)</f>
        <v>0</v>
      </c>
      <c r="R61" s="43">
        <f ca="1">IF($F61&gt;$D$5,0,VLOOKUP($F61,$F$24:$BZ$44,R$2-$E$2,FALSE)*$D$11*$D$14*(1+$D$13)^($F61-'הנחות עבודה'!$C$5)/$D$11)</f>
        <v>0</v>
      </c>
      <c r="S61" s="52">
        <f ca="1">IF($F61&gt;$D$5,0,VLOOKUP($F61,$F$24:$BZ$44,S$2-$E$2,FALSE)*$D$11*$D$14*(1+$D$13)^($F61-'הנחות עבודה'!$C$5)/$D$11)</f>
        <v>0</v>
      </c>
      <c r="T61" s="127">
        <f ca="1">IF($F61&gt;$D$5,0,VLOOKUP($F61,$F$24:$BZ$44,T$2-$E$2,FALSE)*$D$11*$D$14*(1+$D$13)^($F61-'הנחות עבודה'!$C$5)/$D$11)</f>
        <v>0</v>
      </c>
      <c r="U61" s="127">
        <f ca="1">IF($F61&gt;$D$5,0,VLOOKUP($F61,$F$24:$BZ$44,U$2-$E$2,FALSE)*$D$11*$D$14*(1+$D$13)^($F61-'הנחות עבודה'!$C$5)/$D$11)</f>
        <v>0</v>
      </c>
      <c r="V61" s="127">
        <f ca="1">IF($F61&gt;$D$5,0,VLOOKUP($F61,$F$24:$BZ$44,V$2-$E$2,FALSE)*$D$11*$D$14*(1+$D$13)^($F61-'הנחות עבודה'!$C$5)/$D$11)</f>
        <v>0</v>
      </c>
      <c r="W61" s="127">
        <f ca="1">IF($F61&gt;$D$5,0,VLOOKUP($F61,$F$24:$BZ$44,W$2-$E$2,FALSE)*$D$11*$D$14*(1+$D$13)^($F61-'הנחות עבודה'!$C$5)/$D$11)</f>
        <v>0</v>
      </c>
      <c r="X61" s="127">
        <f ca="1">IF($F61&gt;$D$5,0,VLOOKUP($F61,$F$24:$BZ$44,X$2-$E$2,FALSE)*$D$11*$D$14*(1+$D$13)^($F61-'הנחות עבודה'!$C$5)/$D$11)</f>
        <v>0</v>
      </c>
      <c r="Y61" s="52">
        <f ca="1">IF($F61&gt;$D$5,0,VLOOKUP($F61,$F$24:$BZ$44,Y$2-$E$2,FALSE)*$D$11*$D$14*(1+$D$13)^($F61-'הנחות עבודה'!$C$5)/$D$11)</f>
        <v>1177.0428679463923</v>
      </c>
      <c r="Z61" s="52">
        <f ca="1">IF($F61&gt;$D$5,0,VLOOKUP($F61,$F$24:$BZ$44,Z$2-$E$2,FALSE)*$D$11*$D$14*(1+$D$13)^($F61-'הנחות עבודה'!$C$5)/$D$11)</f>
        <v>4144.7861864152756</v>
      </c>
      <c r="AA61" s="52">
        <f ca="1">IF($F61&gt;$D$5,0,VLOOKUP($F61,$F$24:$BZ$44,AA$2-$E$2,FALSE)*$D$11*$D$14*(1+$D$13)^($F61-'הנחות עבודה'!$C$5)/$D$11)</f>
        <v>0</v>
      </c>
      <c r="AB61" s="52">
        <f ca="1">IF($F61&gt;$D$5,0,VLOOKUP($F61,$F$24:$BZ$44,AB$2-$E$2,FALSE)*$D$11*$D$14*(1+$D$13)^($F61-'הנחות עבודה'!$C$5)/$D$11)</f>
        <v>0</v>
      </c>
      <c r="AC61" s="52">
        <f ca="1">IF($F61&gt;$D$5,0,VLOOKUP($F61,$F$24:$BZ$44,AC$2-$E$2,FALSE)*$D$11*$D$14*(1+$D$13)^($F61-'הנחות עבודה'!$C$5)/$D$11)</f>
        <v>0</v>
      </c>
      <c r="AD61" s="52">
        <f ca="1">IF($F61&gt;$D$5,0,VLOOKUP($F61,$F$24:$BZ$44,AD$2-$E$2,FALSE)*$D$11*$D$14*(1+$D$13)^($F61-'הנחות עבודה'!$C$5)/$D$11)</f>
        <v>0</v>
      </c>
      <c r="AE61" s="42">
        <f ca="1">IF($F61&gt;$D$5,0,VLOOKUP($F61,$F$24:$BZ$44,AE$2-$E$2,FALSE)*$D$11*$D$14*(1+$D$13)^($F61-'הנחות עבודה'!$C$5)/$D$11)</f>
        <v>0</v>
      </c>
      <c r="AF61" s="44">
        <f ca="1">IF($F61&gt;$D$5,0,VLOOKUP($F61,$F$24:$BZ$44,AF$2-$E$2,FALSE)*$D$11*$D$14*(1+$D$13)^($F61-'הנחות עבודה'!$C$5)/$D$11)</f>
        <v>0</v>
      </c>
      <c r="AG61" s="44">
        <f ca="1">IF($F61&gt;$D$5,0,VLOOKUP($F61,$F$24:$BZ$44,AG$2-$E$2,FALSE)*$D$11*$D$14*(1+$D$13)^($F61-'הנחות עבודה'!$C$5)/$D$11)</f>
        <v>0</v>
      </c>
      <c r="AH61" s="44">
        <f ca="1">IF($F61&gt;$D$5,0,VLOOKUP($F61,$F$24:$BZ$44,AH$2-$E$2,FALSE)*$D$11*$D$14*(1+$D$13)^($F61-'הנחות עבודה'!$C$5)/$D$11)</f>
        <v>0</v>
      </c>
      <c r="AI61" s="44">
        <f ca="1">IF($F61&gt;$D$5,0,VLOOKUP($F61,$F$24:$BZ$44,AI$2-$E$2,FALSE)*$D$11*$D$14*(1+$D$13)^($F61-'הנחות עבודה'!$C$5)/$D$11)</f>
        <v>0</v>
      </c>
      <c r="AJ61" s="44">
        <f ca="1">IF($F61&gt;$D$5,0,VLOOKUP($F61,$F$24:$BZ$44,AJ$2-$E$2,FALSE)*$D$11*$D$14*(1+$D$13)^($F61-'הנחות עבודה'!$C$5)/$D$11)</f>
        <v>0</v>
      </c>
      <c r="AK61" s="42">
        <f ca="1">IF($F61&gt;$D$5,0,VLOOKUP($F61,$F$24:$BZ$44,AK$2-$E$2,FALSE)*$D$11*$D$14*(1+$D$13)^($F61-'הנחות עבודה'!$C$5)/$D$11)</f>
        <v>1246.9177832826263</v>
      </c>
      <c r="AL61" s="42">
        <f ca="1">IF($F61&gt;$D$5,0,VLOOKUP($F61,$F$24:$BZ$44,AL$2-$E$2,FALSE)*$D$11*$D$14*(1+$D$13)^($F61-'הנחות עבודה'!$C$5)/$D$11)</f>
        <v>3600.170301010513</v>
      </c>
      <c r="AM61" s="42">
        <f ca="1">IF($F61&gt;$D$5,0,VLOOKUP($F61,$F$24:$BZ$44,AM$2-$E$2,FALSE)*$D$11*$D$14*(1+$D$13)^($F61-'הנחות עבודה'!$C$5)/$D$11)</f>
        <v>0</v>
      </c>
      <c r="AN61" s="43">
        <f ca="1">IF($F61&gt;$D$5,0,VLOOKUP($F61,$F$24:$BZ$44,AN$2-$E$2,FALSE)*$D$11*$D$14*(1+$D$13)^($F61-'הנחות עבודה'!$C$5)/$D$11)</f>
        <v>0</v>
      </c>
      <c r="AO61" s="42">
        <f ca="1">IF($F61&gt;$D$5,0,VLOOKUP($F61,$F$24:$BZ$44,AO$2-$E$2,FALSE)*$D$11*$D$14*(1+$D$13)^($F61-'הנחות עבודה'!$C$5)/$D$11)</f>
        <v>0</v>
      </c>
      <c r="AP61" s="43">
        <f ca="1">IF($F61&gt;$D$5,0,VLOOKUP($F61,$F$24:$BZ$44,AP$2-$E$2,FALSE)*$D$11*$D$14*(1+$D$13)^($F61-'הנחות עבודה'!$C$5)/$D$11)</f>
        <v>0</v>
      </c>
      <c r="AQ61" s="52">
        <f ca="1">IF($F61&gt;$D$5,0,VLOOKUP($F61,$F$24:$BZ$44,AQ$2-$E$2,FALSE)*$D$11*$D$14*(1+$D$13)^($F61-'הנחות עבודה'!$C$5)/$D$11)</f>
        <v>0</v>
      </c>
      <c r="AR61" s="127">
        <f ca="1">IF($F61&gt;$D$5,0,VLOOKUP($F61,$F$24:$BZ$44,AR$2-$E$2,FALSE)*$D$11*$D$14*(1+$D$13)^($F61-'הנחות עבודה'!$C$5)/$D$11)</f>
        <v>0</v>
      </c>
      <c r="AS61" s="127">
        <f ca="1">IF($F61&gt;$D$5,0,VLOOKUP($F61,$F$24:$BZ$44,AS$2-$E$2,FALSE)*$D$11*$D$14*(1+$D$13)^($F61-'הנחות עבודה'!$C$5)/$D$11)</f>
        <v>0</v>
      </c>
      <c r="AT61" s="127">
        <f ca="1">IF($F61&gt;$D$5,0,VLOOKUP($F61,$F$24:$BZ$44,AT$2-$E$2,FALSE)*$D$11*$D$14*(1+$D$13)^($F61-'הנחות עבודה'!$C$5)/$D$11)</f>
        <v>0</v>
      </c>
      <c r="AU61" s="127">
        <f ca="1">IF($F61&gt;$D$5,0,VLOOKUP($F61,$F$24:$BZ$44,AU$2-$E$2,FALSE)*$D$11*$D$14*(1+$D$13)^($F61-'הנחות עבודה'!$C$5)/$D$11)</f>
        <v>0</v>
      </c>
      <c r="AV61" s="127">
        <f ca="1">IF($F61&gt;$D$5,0,VLOOKUP($F61,$F$24:$BZ$44,AV$2-$E$2,FALSE)*$D$11*$D$14*(1+$D$13)^($F61-'הנחות עבודה'!$C$5)/$D$11)</f>
        <v>0</v>
      </c>
      <c r="AW61" s="52">
        <f ca="1">IF($F61&gt;$D$5,0,VLOOKUP($F61,$F$24:$BZ$44,AW$2-$E$2,FALSE)*$D$11*$D$14*(1+$D$13)^($F61-'הנחות עבודה'!$C$5)/$D$11)</f>
        <v>1246.9177832826263</v>
      </c>
      <c r="AX61" s="52">
        <f ca="1">IF($F61&gt;$D$5,0,VLOOKUP($F61,$F$24:$BZ$44,AX$2-$E$2,FALSE)*$D$11*$D$14*(1+$D$13)^($F61-'הנחות עבודה'!$C$5)/$D$11)</f>
        <v>3600.170301010513</v>
      </c>
      <c r="AY61" s="52">
        <f ca="1">IF($F61&gt;$D$5,0,VLOOKUP($F61,$F$24:$BZ$44,AY$2-$E$2,FALSE)*$D$11*$D$14*(1+$D$13)^($F61-'הנחות עבודה'!$C$5)/$D$11)</f>
        <v>0</v>
      </c>
      <c r="AZ61" s="52">
        <f ca="1">IF($F61&gt;$D$5,0,VLOOKUP($F61,$F$24:$BZ$44,AZ$2-$E$2,FALSE)*$D$11*$D$14*(1+$D$13)^($F61-'הנחות עבודה'!$C$5)/$D$11)</f>
        <v>0</v>
      </c>
      <c r="BA61" s="52">
        <f ca="1">IF($F61&gt;$D$5,0,VLOOKUP($F61,$F$24:$BZ$44,BA$2-$E$2,FALSE)*$D$11*$D$14*(1+$D$13)^($F61-'הנחות עבודה'!$C$5)/$D$11)</f>
        <v>0</v>
      </c>
      <c r="BB61" s="52">
        <f ca="1">IF($F61&gt;$D$5,0,VLOOKUP($F61,$F$24:$BZ$44,BB$2-$E$2,FALSE)*$D$11*$D$14*(1+$D$13)^($F61-'הנחות עבודה'!$C$5)/$D$11)</f>
        <v>0</v>
      </c>
      <c r="BC61" s="42">
        <f ca="1">IF($F61&gt;$D$5,0,VLOOKUP($F61,$F$24:$BZ$44,BC$2-$E$2,FALSE)*$D$11*$D$14*(1+$D$13)^($F61-'הנחות עבודה'!$C$5)/$D$11)</f>
        <v>0</v>
      </c>
      <c r="BD61" s="44">
        <f ca="1">IF($F61&gt;$D$5,0,VLOOKUP($F61,$F$24:$BZ$44,BD$2-$E$2,FALSE)*$D$11*$D$14*(1+$D$13)^($F61-'הנחות עבודה'!$C$5)/$D$11)</f>
        <v>0</v>
      </c>
      <c r="BE61" s="44">
        <f ca="1">IF($F61&gt;$D$5,0,VLOOKUP($F61,$F$24:$BZ$44,BE$2-$E$2,FALSE)*$D$11*$D$14*(1+$D$13)^($F61-'הנחות עבודה'!$C$5)/$D$11)</f>
        <v>0</v>
      </c>
      <c r="BF61" s="44">
        <f ca="1">IF($F61&gt;$D$5,0,VLOOKUP($F61,$F$24:$BZ$44,BF$2-$E$2,FALSE)*$D$11*$D$14*(1+$D$13)^($F61-'הנחות עבודה'!$C$5)/$D$11)</f>
        <v>0</v>
      </c>
      <c r="BG61" s="44">
        <f ca="1">IF($F61&gt;$D$5,0,VLOOKUP($F61,$F$24:$BZ$44,BG$2-$E$2,FALSE)*$D$11*$D$14*(1+$D$13)^($F61-'הנחות עבודה'!$C$5)/$D$11)</f>
        <v>0</v>
      </c>
      <c r="BH61" s="44">
        <f ca="1">IF($F61&gt;$D$5,0,VLOOKUP($F61,$F$24:$BZ$44,BH$2-$E$2,FALSE)*$D$11*$D$14*(1+$D$13)^($F61-'הנחות עבודה'!$C$5)/$D$11)</f>
        <v>0</v>
      </c>
      <c r="BI61" s="42">
        <f ca="1">IF($F61&gt;$D$5,0,VLOOKUP($F61,$F$24:$BZ$44,BI$2-$E$2,FALSE)*$D$11*$D$14*(1+$D$13)^($F61-'הנחות עבודה'!$C$5)/$D$11)</f>
        <v>1270.1735593997994</v>
      </c>
      <c r="BJ61" s="42">
        <f ca="1">IF($F61&gt;$D$5,0,VLOOKUP($F61,$F$24:$BZ$44,BJ$2-$E$2,FALSE)*$D$11*$D$14*(1+$D$13)^($F61-'הנחות עבודה'!$C$5)/$D$11)</f>
        <v>3277.8346873288087</v>
      </c>
      <c r="BK61" s="42">
        <f ca="1">IF($F61&gt;$D$5,0,VLOOKUP($F61,$F$24:$BZ$44,BK$2-$E$2,FALSE)*$D$11*$D$14*(1+$D$13)^($F61-'הנחות עבודה'!$C$5)/$D$11)</f>
        <v>0</v>
      </c>
      <c r="BL61" s="42">
        <f ca="1">IF($F61&gt;$D$5,0,VLOOKUP($F61,$F$24:$BZ$44,BL$2-$E$2,FALSE)*$D$11*$D$14*(1+$D$13)^($F61-'הנחות עבודה'!$C$5)/$D$11)</f>
        <v>0</v>
      </c>
      <c r="BM61" s="42">
        <f ca="1">IF($F61&gt;$D$5,0,VLOOKUP($F61,$F$24:$BZ$44,BM$2-$E$2,FALSE)*$D$11*$D$14*(1+$D$13)^($F61-'הנחות עבודה'!$C$5)/$D$11)</f>
        <v>0</v>
      </c>
      <c r="BN61" s="42">
        <f ca="1">IF($F61&gt;$D$5,0,VLOOKUP($F61,$F$24:$BZ$44,BN$2-$E$2,FALSE)*$D$11*$D$14*(1+$D$13)^($F61-'הנחות עבודה'!$C$5)/$D$11)</f>
        <v>0</v>
      </c>
      <c r="BO61" s="52">
        <f ca="1">IF($F61&gt;$D$5,0,VLOOKUP($F61,$F$24:$BZ$44,BO$2-$E$2,FALSE)*$D$11*$D$14*(1+$D$13)^($F61-'הנחות עבודה'!$C$5)/$D$11)</f>
        <v>0</v>
      </c>
      <c r="BP61" s="127">
        <f ca="1">IF($F61&gt;$D$5,0,VLOOKUP($F61,$F$24:$BZ$44,BP$2-$E$2,FALSE)*$D$11*$D$14*(1+$D$13)^($F61-'הנחות עבודה'!$C$5)/$D$11)</f>
        <v>0</v>
      </c>
      <c r="BQ61" s="127">
        <f ca="1">IF($F61&gt;$D$5,0,VLOOKUP($F61,$F$24:$BZ$44,BQ$2-$E$2,FALSE)*$D$11*$D$14*(1+$D$13)^($F61-'הנחות עבודה'!$C$5)/$D$11)</f>
        <v>0</v>
      </c>
      <c r="BR61" s="127">
        <f ca="1">IF($F61&gt;$D$5,0,VLOOKUP($F61,$F$24:$BZ$44,BR$2-$E$2,FALSE)*$D$11*$D$14*(1+$D$13)^($F61-'הנחות עבודה'!$C$5)/$D$11)</f>
        <v>0</v>
      </c>
      <c r="BS61" s="127">
        <f ca="1">IF($F61&gt;$D$5,0,VLOOKUP($F61,$F$24:$BZ$44,BS$2-$E$2,FALSE)*$D$11*$D$14*(1+$D$13)^($F61-'הנחות עבודה'!$C$5)/$D$11)</f>
        <v>0</v>
      </c>
      <c r="BT61" s="127">
        <f ca="1">IF($F61&gt;$D$5,0,VLOOKUP($F61,$F$24:$BZ$44,BT$2-$E$2,FALSE)*$D$11*$D$14*(1+$D$13)^($F61-'הנחות עבודה'!$C$5)/$D$11)</f>
        <v>0</v>
      </c>
      <c r="BU61" s="52">
        <f ca="1">IF($F61&gt;$D$5,0,VLOOKUP($F61,$F$24:$BZ$44,BU$2-$E$2,FALSE)*$D$11*$D$14*(1+$D$13)^($F61-'הנחות עבודה'!$C$5)/$D$11)</f>
        <v>1270.1735593997994</v>
      </c>
      <c r="BV61" s="52">
        <f ca="1">IF($F61&gt;$D$5,0,VLOOKUP($F61,$F$24:$BZ$44,BV$2-$E$2,FALSE)*$D$11*$D$14*(1+$D$13)^($F61-'הנחות עבודה'!$C$5)/$D$11)</f>
        <v>3277.8346873288087</v>
      </c>
      <c r="BW61" s="52">
        <f ca="1">IF($F61&gt;$D$5,0,VLOOKUP($F61,$F$24:$BZ$44,BW$2-$E$2,FALSE)*$D$11*$D$14*(1+$D$13)^($F61-'הנחות עבודה'!$C$5)/$D$11)</f>
        <v>0</v>
      </c>
      <c r="BX61" s="52">
        <f ca="1">IF($F61&gt;$D$5,0,VLOOKUP($F61,$F$24:$BZ$44,BX$2-$E$2,FALSE)*$D$11*$D$14*(1+$D$13)^($F61-'הנחות עבודה'!$C$5)/$D$11)</f>
        <v>0</v>
      </c>
      <c r="BY61" s="52">
        <f ca="1">IF($F61&gt;$D$5,0,VLOOKUP($F61,$F$24:$BZ$44,BY$2-$E$2,FALSE)*$D$11*$D$14*(1+$D$13)^($F61-'הנחות עבודה'!$C$5)/$D$11)</f>
        <v>0</v>
      </c>
      <c r="BZ61" s="52">
        <f ca="1">IF($F61&gt;$D$5,0,VLOOKUP($F61,$F$24:$BZ$44,BZ$2-$E$2,FALSE)*$D$11*$D$14*(1+$D$13)^($F61-'הנחות עבודה'!$C$5)/$D$11)</f>
        <v>0</v>
      </c>
    </row>
    <row r="62" spans="6:78" ht="15.75">
      <c r="F62" s="10">
        <f t="shared" si="130"/>
        <v>2031</v>
      </c>
      <c r="G62" s="42">
        <f ca="1">IF($F62&gt;$D$5,0,VLOOKUP($F62,$F$24:$BZ$44,G$2-$E$2,FALSE)*$D$11*$D$14*(1+$D$13)^($F62-'הנחות עבודה'!$C$5)/$D$11)</f>
        <v>0</v>
      </c>
      <c r="H62" s="44">
        <f ca="1">IF($F62&gt;$D$5,0,VLOOKUP($F62,$F$24:$BZ$44,H$2-$E$2,FALSE)*$D$11*$D$14*(1+$D$13)^($F62-'הנחות עבודה'!$C$5)/$D$11)</f>
        <v>0</v>
      </c>
      <c r="I62" s="44">
        <f ca="1">IF($F62&gt;$D$5,0,VLOOKUP($F62,$F$24:$BZ$44,I$2-$E$2,FALSE)*$D$11*$D$14*(1+$D$13)^($F62-'הנחות עבודה'!$C$5)/$D$11)</f>
        <v>0</v>
      </c>
      <c r="J62" s="44">
        <f ca="1">IF($F62&gt;$D$5,0,VLOOKUP($F62,$F$24:$BZ$44,J$2-$E$2,FALSE)*$D$11*$D$14*(1+$D$13)^($F62-'הנחות עבודה'!$C$5)/$D$11)</f>
        <v>0</v>
      </c>
      <c r="K62" s="44">
        <f ca="1">IF($F62&gt;$D$5,0,VLOOKUP($F62,$F$24:$BZ$44,K$2-$E$2,FALSE)*$D$11*$D$14*(1+$D$13)^($F62-'הנחות עבודה'!$C$5)/$D$11)</f>
        <v>0</v>
      </c>
      <c r="L62" s="44">
        <f ca="1">IF($F62&gt;$D$5,0,VLOOKUP($F62,$F$24:$BZ$44,L$2-$E$2,FALSE)*$D$11*$D$14*(1+$D$13)^($F62-'הנחות עבודה'!$C$5)/$D$11)</f>
        <v>0</v>
      </c>
      <c r="M62" s="42">
        <f ca="1">IF($F62&gt;$D$5,0,VLOOKUP($F62,$F$24:$BZ$44,M$2-$E$2,FALSE)*$D$11*$D$14*(1+$D$13)^($F62-'הנחות עבודה'!$C$5)/$D$11)</f>
        <v>1196.1463203438493</v>
      </c>
      <c r="N62" s="42">
        <f ca="1">IF($F62&gt;$D$5,0,VLOOKUP($F62,$F$24:$BZ$44,N$2-$E$2,FALSE)*$D$11*$D$14*(1+$D$13)^($F62-'הנחות עבודה'!$C$5)/$D$11)</f>
        <v>4423.8430499042588</v>
      </c>
      <c r="O62" s="42">
        <f ca="1">IF($F62&gt;$D$5,0,VLOOKUP($F62,$F$24:$BZ$44,O$2-$E$2,FALSE)*$D$11*$D$14*(1+$D$13)^($F62-'הנחות עבודה'!$C$5)/$D$11)</f>
        <v>0</v>
      </c>
      <c r="P62" s="43">
        <f ca="1">IF($F62&gt;$D$5,0,VLOOKUP($F62,$F$24:$BZ$44,P$2-$E$2,FALSE)*$D$11*$D$14*(1+$D$13)^($F62-'הנחות עבודה'!$C$5)/$D$11)</f>
        <v>0</v>
      </c>
      <c r="Q62" s="42">
        <f ca="1">IF($F62&gt;$D$5,0,VLOOKUP($F62,$F$24:$BZ$44,Q$2-$E$2,FALSE)*$D$11*$D$14*(1+$D$13)^($F62-'הנחות עבודה'!$C$5)/$D$11)</f>
        <v>0</v>
      </c>
      <c r="R62" s="43">
        <f ca="1">IF($F62&gt;$D$5,0,VLOOKUP($F62,$F$24:$BZ$44,R$2-$E$2,FALSE)*$D$11*$D$14*(1+$D$13)^($F62-'הנחות עבודה'!$C$5)/$D$11)</f>
        <v>0</v>
      </c>
      <c r="S62" s="52">
        <f ca="1">IF($F62&gt;$D$5,0,VLOOKUP($F62,$F$24:$BZ$44,S$2-$E$2,FALSE)*$D$11*$D$14*(1+$D$13)^($F62-'הנחות עבודה'!$C$5)/$D$11)</f>
        <v>0</v>
      </c>
      <c r="T62" s="127">
        <f ca="1">IF($F62&gt;$D$5,0,VLOOKUP($F62,$F$24:$BZ$44,T$2-$E$2,FALSE)*$D$11*$D$14*(1+$D$13)^($F62-'הנחות עבודה'!$C$5)/$D$11)</f>
        <v>0</v>
      </c>
      <c r="U62" s="127">
        <f ca="1">IF($F62&gt;$D$5,0,VLOOKUP($F62,$F$24:$BZ$44,U$2-$E$2,FALSE)*$D$11*$D$14*(1+$D$13)^($F62-'הנחות עבודה'!$C$5)/$D$11)</f>
        <v>0</v>
      </c>
      <c r="V62" s="127">
        <f ca="1">IF($F62&gt;$D$5,0,VLOOKUP($F62,$F$24:$BZ$44,V$2-$E$2,FALSE)*$D$11*$D$14*(1+$D$13)^($F62-'הנחות עבודה'!$C$5)/$D$11)</f>
        <v>0</v>
      </c>
      <c r="W62" s="127">
        <f ca="1">IF($F62&gt;$D$5,0,VLOOKUP($F62,$F$24:$BZ$44,W$2-$E$2,FALSE)*$D$11*$D$14*(1+$D$13)^($F62-'הנחות עבודה'!$C$5)/$D$11)</f>
        <v>0</v>
      </c>
      <c r="X62" s="127">
        <f ca="1">IF($F62&gt;$D$5,0,VLOOKUP($F62,$F$24:$BZ$44,X$2-$E$2,FALSE)*$D$11*$D$14*(1+$D$13)^($F62-'הנחות עבודה'!$C$5)/$D$11)</f>
        <v>0</v>
      </c>
      <c r="Y62" s="52">
        <f ca="1">IF($F62&gt;$D$5,0,VLOOKUP($F62,$F$24:$BZ$44,Y$2-$E$2,FALSE)*$D$11*$D$14*(1+$D$13)^($F62-'הנחות עבודה'!$C$5)/$D$11)</f>
        <v>1196.1463203438493</v>
      </c>
      <c r="Z62" s="52">
        <f ca="1">IF($F62&gt;$D$5,0,VLOOKUP($F62,$F$24:$BZ$44,Z$2-$E$2,FALSE)*$D$11*$D$14*(1+$D$13)^($F62-'הנחות עבודה'!$C$5)/$D$11)</f>
        <v>4423.8430499042588</v>
      </c>
      <c r="AA62" s="52">
        <f ca="1">IF($F62&gt;$D$5,0,VLOOKUP($F62,$F$24:$BZ$44,AA$2-$E$2,FALSE)*$D$11*$D$14*(1+$D$13)^($F62-'הנחות עבודה'!$C$5)/$D$11)</f>
        <v>0</v>
      </c>
      <c r="AB62" s="52">
        <f ca="1">IF($F62&gt;$D$5,0,VLOOKUP($F62,$F$24:$BZ$44,AB$2-$E$2,FALSE)*$D$11*$D$14*(1+$D$13)^($F62-'הנחות עבודה'!$C$5)/$D$11)</f>
        <v>0</v>
      </c>
      <c r="AC62" s="52">
        <f ca="1">IF($F62&gt;$D$5,0,VLOOKUP($F62,$F$24:$BZ$44,AC$2-$E$2,FALSE)*$D$11*$D$14*(1+$D$13)^($F62-'הנחות עבודה'!$C$5)/$D$11)</f>
        <v>0</v>
      </c>
      <c r="AD62" s="52">
        <f ca="1">IF($F62&gt;$D$5,0,VLOOKUP($F62,$F$24:$BZ$44,AD$2-$E$2,FALSE)*$D$11*$D$14*(1+$D$13)^($F62-'הנחות עבודה'!$C$5)/$D$11)</f>
        <v>0</v>
      </c>
      <c r="AE62" s="42">
        <f ca="1">IF($F62&gt;$D$5,0,VLOOKUP($F62,$F$24:$BZ$44,AE$2-$E$2,FALSE)*$D$11*$D$14*(1+$D$13)^($F62-'הנחות עבודה'!$C$5)/$D$11)</f>
        <v>0</v>
      </c>
      <c r="AF62" s="44">
        <f ca="1">IF($F62&gt;$D$5,0,VLOOKUP($F62,$F$24:$BZ$44,AF$2-$E$2,FALSE)*$D$11*$D$14*(1+$D$13)^($F62-'הנחות עבודה'!$C$5)/$D$11)</f>
        <v>0</v>
      </c>
      <c r="AG62" s="44">
        <f ca="1">IF($F62&gt;$D$5,0,VLOOKUP($F62,$F$24:$BZ$44,AG$2-$E$2,FALSE)*$D$11*$D$14*(1+$D$13)^($F62-'הנחות עבודה'!$C$5)/$D$11)</f>
        <v>0</v>
      </c>
      <c r="AH62" s="44">
        <f ca="1">IF($F62&gt;$D$5,0,VLOOKUP($F62,$F$24:$BZ$44,AH$2-$E$2,FALSE)*$D$11*$D$14*(1+$D$13)^($F62-'הנחות עבודה'!$C$5)/$D$11)</f>
        <v>0</v>
      </c>
      <c r="AI62" s="44">
        <f ca="1">IF($F62&gt;$D$5,0,VLOOKUP($F62,$F$24:$BZ$44,AI$2-$E$2,FALSE)*$D$11*$D$14*(1+$D$13)^($F62-'הנחות עבודה'!$C$5)/$D$11)</f>
        <v>0</v>
      </c>
      <c r="AJ62" s="44">
        <f ca="1">IF($F62&gt;$D$5,0,VLOOKUP($F62,$F$24:$BZ$44,AJ$2-$E$2,FALSE)*$D$11*$D$14*(1+$D$13)^($F62-'הנחות עבודה'!$C$5)/$D$11)</f>
        <v>0</v>
      </c>
      <c r="AK62" s="42">
        <f ca="1">IF($F62&gt;$D$5,0,VLOOKUP($F62,$F$24:$BZ$44,AK$2-$E$2,FALSE)*$D$11*$D$14*(1+$D$13)^($F62-'הנחות עבודה'!$C$5)/$D$11)</f>
        <v>1270.6176590585117</v>
      </c>
      <c r="AL62" s="42">
        <f ca="1">IF($F62&gt;$D$5,0,VLOOKUP($F62,$F$24:$BZ$44,AL$2-$E$2,FALSE)*$D$11*$D$14*(1+$D$13)^($F62-'הנחות עבודה'!$C$5)/$D$11)</f>
        <v>3869.1218896842006</v>
      </c>
      <c r="AM62" s="42">
        <f ca="1">IF($F62&gt;$D$5,0,VLOOKUP($F62,$F$24:$BZ$44,AM$2-$E$2,FALSE)*$D$11*$D$14*(1+$D$13)^($F62-'הנחות עבודה'!$C$5)/$D$11)</f>
        <v>0</v>
      </c>
      <c r="AN62" s="43">
        <f ca="1">IF($F62&gt;$D$5,0,VLOOKUP($F62,$F$24:$BZ$44,AN$2-$E$2,FALSE)*$D$11*$D$14*(1+$D$13)^($F62-'הנחות עבודה'!$C$5)/$D$11)</f>
        <v>0</v>
      </c>
      <c r="AO62" s="42">
        <f ca="1">IF($F62&gt;$D$5,0,VLOOKUP($F62,$F$24:$BZ$44,AO$2-$E$2,FALSE)*$D$11*$D$14*(1+$D$13)^($F62-'הנחות עבודה'!$C$5)/$D$11)</f>
        <v>0</v>
      </c>
      <c r="AP62" s="43">
        <f ca="1">IF($F62&gt;$D$5,0,VLOOKUP($F62,$F$24:$BZ$44,AP$2-$E$2,FALSE)*$D$11*$D$14*(1+$D$13)^($F62-'הנחות עבודה'!$C$5)/$D$11)</f>
        <v>0</v>
      </c>
      <c r="AQ62" s="52">
        <f ca="1">IF($F62&gt;$D$5,0,VLOOKUP($F62,$F$24:$BZ$44,AQ$2-$E$2,FALSE)*$D$11*$D$14*(1+$D$13)^($F62-'הנחות עבודה'!$C$5)/$D$11)</f>
        <v>0</v>
      </c>
      <c r="AR62" s="127">
        <f ca="1">IF($F62&gt;$D$5,0,VLOOKUP($F62,$F$24:$BZ$44,AR$2-$E$2,FALSE)*$D$11*$D$14*(1+$D$13)^($F62-'הנחות עבודה'!$C$5)/$D$11)</f>
        <v>0</v>
      </c>
      <c r="AS62" s="127">
        <f ca="1">IF($F62&gt;$D$5,0,VLOOKUP($F62,$F$24:$BZ$44,AS$2-$E$2,FALSE)*$D$11*$D$14*(1+$D$13)^($F62-'הנחות עבודה'!$C$5)/$D$11)</f>
        <v>0</v>
      </c>
      <c r="AT62" s="127">
        <f ca="1">IF($F62&gt;$D$5,0,VLOOKUP($F62,$F$24:$BZ$44,AT$2-$E$2,FALSE)*$D$11*$D$14*(1+$D$13)^($F62-'הנחות עבודה'!$C$5)/$D$11)</f>
        <v>0</v>
      </c>
      <c r="AU62" s="127">
        <f ca="1">IF($F62&gt;$D$5,0,VLOOKUP($F62,$F$24:$BZ$44,AU$2-$E$2,FALSE)*$D$11*$D$14*(1+$D$13)^($F62-'הנחות עבודה'!$C$5)/$D$11)</f>
        <v>0</v>
      </c>
      <c r="AV62" s="127">
        <f ca="1">IF($F62&gt;$D$5,0,VLOOKUP($F62,$F$24:$BZ$44,AV$2-$E$2,FALSE)*$D$11*$D$14*(1+$D$13)^($F62-'הנחות עבודה'!$C$5)/$D$11)</f>
        <v>0</v>
      </c>
      <c r="AW62" s="52">
        <f ca="1">IF($F62&gt;$D$5,0,VLOOKUP($F62,$F$24:$BZ$44,AW$2-$E$2,FALSE)*$D$11*$D$14*(1+$D$13)^($F62-'הנחות עבודה'!$C$5)/$D$11)</f>
        <v>1270.6176590585117</v>
      </c>
      <c r="AX62" s="52">
        <f ca="1">IF($F62&gt;$D$5,0,VLOOKUP($F62,$F$24:$BZ$44,AX$2-$E$2,FALSE)*$D$11*$D$14*(1+$D$13)^($F62-'הנחות עבודה'!$C$5)/$D$11)</f>
        <v>3869.1218896842006</v>
      </c>
      <c r="AY62" s="52">
        <f ca="1">IF($F62&gt;$D$5,0,VLOOKUP($F62,$F$24:$BZ$44,AY$2-$E$2,FALSE)*$D$11*$D$14*(1+$D$13)^($F62-'הנחות עבודה'!$C$5)/$D$11)</f>
        <v>0</v>
      </c>
      <c r="AZ62" s="52">
        <f ca="1">IF($F62&gt;$D$5,0,VLOOKUP($F62,$F$24:$BZ$44,AZ$2-$E$2,FALSE)*$D$11*$D$14*(1+$D$13)^($F62-'הנחות עבודה'!$C$5)/$D$11)</f>
        <v>0</v>
      </c>
      <c r="BA62" s="52">
        <f ca="1">IF($F62&gt;$D$5,0,VLOOKUP($F62,$F$24:$BZ$44,BA$2-$E$2,FALSE)*$D$11*$D$14*(1+$D$13)^($F62-'הנחות עבודה'!$C$5)/$D$11)</f>
        <v>0</v>
      </c>
      <c r="BB62" s="52">
        <f ca="1">IF($F62&gt;$D$5,0,VLOOKUP($F62,$F$24:$BZ$44,BB$2-$E$2,FALSE)*$D$11*$D$14*(1+$D$13)^($F62-'הנחות עבודה'!$C$5)/$D$11)</f>
        <v>0</v>
      </c>
      <c r="BC62" s="42">
        <f ca="1">IF($F62&gt;$D$5,0,VLOOKUP($F62,$F$24:$BZ$44,BC$2-$E$2,FALSE)*$D$11*$D$14*(1+$D$13)^($F62-'הנחות עבודה'!$C$5)/$D$11)</f>
        <v>0</v>
      </c>
      <c r="BD62" s="44">
        <f ca="1">IF($F62&gt;$D$5,0,VLOOKUP($F62,$F$24:$BZ$44,BD$2-$E$2,FALSE)*$D$11*$D$14*(1+$D$13)^($F62-'הנחות עבודה'!$C$5)/$D$11)</f>
        <v>0</v>
      </c>
      <c r="BE62" s="44">
        <f ca="1">IF($F62&gt;$D$5,0,VLOOKUP($F62,$F$24:$BZ$44,BE$2-$E$2,FALSE)*$D$11*$D$14*(1+$D$13)^($F62-'הנחות עבודה'!$C$5)/$D$11)</f>
        <v>0</v>
      </c>
      <c r="BF62" s="44">
        <f ca="1">IF($F62&gt;$D$5,0,VLOOKUP($F62,$F$24:$BZ$44,BF$2-$E$2,FALSE)*$D$11*$D$14*(1+$D$13)^($F62-'הנחות עבודה'!$C$5)/$D$11)</f>
        <v>0</v>
      </c>
      <c r="BG62" s="44">
        <f ca="1">IF($F62&gt;$D$5,0,VLOOKUP($F62,$F$24:$BZ$44,BG$2-$E$2,FALSE)*$D$11*$D$14*(1+$D$13)^($F62-'הנחות עבודה'!$C$5)/$D$11)</f>
        <v>0</v>
      </c>
      <c r="BH62" s="44">
        <f ca="1">IF($F62&gt;$D$5,0,VLOOKUP($F62,$F$24:$BZ$44,BH$2-$E$2,FALSE)*$D$11*$D$14*(1+$D$13)^($F62-'הנחות עבודה'!$C$5)/$D$11)</f>
        <v>0</v>
      </c>
      <c r="BI62" s="42">
        <f ca="1">IF($F62&gt;$D$5,0,VLOOKUP($F62,$F$24:$BZ$44,BI$2-$E$2,FALSE)*$D$11*$D$14*(1+$D$13)^($F62-'הנחות עבודה'!$C$5)/$D$11)</f>
        <v>1296.8971956934763</v>
      </c>
      <c r="BJ62" s="42">
        <f ca="1">IF($F62&gt;$D$5,0,VLOOKUP($F62,$F$24:$BZ$44,BJ$2-$E$2,FALSE)*$D$11*$D$14*(1+$D$13)^($F62-'הנחות עבודה'!$C$5)/$D$11)</f>
        <v>3538.3558563415886</v>
      </c>
      <c r="BK62" s="42">
        <f ca="1">IF($F62&gt;$D$5,0,VLOOKUP($F62,$F$24:$BZ$44,BK$2-$E$2,FALSE)*$D$11*$D$14*(1+$D$13)^($F62-'הנחות עבודה'!$C$5)/$D$11)</f>
        <v>0</v>
      </c>
      <c r="BL62" s="42">
        <f ca="1">IF($F62&gt;$D$5,0,VLOOKUP($F62,$F$24:$BZ$44,BL$2-$E$2,FALSE)*$D$11*$D$14*(1+$D$13)^($F62-'הנחות עבודה'!$C$5)/$D$11)</f>
        <v>0</v>
      </c>
      <c r="BM62" s="42">
        <f ca="1">IF($F62&gt;$D$5,0,VLOOKUP($F62,$F$24:$BZ$44,BM$2-$E$2,FALSE)*$D$11*$D$14*(1+$D$13)^($F62-'הנחות עבודה'!$C$5)/$D$11)</f>
        <v>0</v>
      </c>
      <c r="BN62" s="42">
        <f ca="1">IF($F62&gt;$D$5,0,VLOOKUP($F62,$F$24:$BZ$44,BN$2-$E$2,FALSE)*$D$11*$D$14*(1+$D$13)^($F62-'הנחות עבודה'!$C$5)/$D$11)</f>
        <v>0</v>
      </c>
      <c r="BO62" s="52">
        <f ca="1">IF($F62&gt;$D$5,0,VLOOKUP($F62,$F$24:$BZ$44,BO$2-$E$2,FALSE)*$D$11*$D$14*(1+$D$13)^($F62-'הנחות עבודה'!$C$5)/$D$11)</f>
        <v>0</v>
      </c>
      <c r="BP62" s="127">
        <f ca="1">IF($F62&gt;$D$5,0,VLOOKUP($F62,$F$24:$BZ$44,BP$2-$E$2,FALSE)*$D$11*$D$14*(1+$D$13)^($F62-'הנחות עבודה'!$C$5)/$D$11)</f>
        <v>0</v>
      </c>
      <c r="BQ62" s="127">
        <f ca="1">IF($F62&gt;$D$5,0,VLOOKUP($F62,$F$24:$BZ$44,BQ$2-$E$2,FALSE)*$D$11*$D$14*(1+$D$13)^($F62-'הנחות עבודה'!$C$5)/$D$11)</f>
        <v>0</v>
      </c>
      <c r="BR62" s="127">
        <f ca="1">IF($F62&gt;$D$5,0,VLOOKUP($F62,$F$24:$BZ$44,BR$2-$E$2,FALSE)*$D$11*$D$14*(1+$D$13)^($F62-'הנחות עבודה'!$C$5)/$D$11)</f>
        <v>0</v>
      </c>
      <c r="BS62" s="127">
        <f ca="1">IF($F62&gt;$D$5,0,VLOOKUP($F62,$F$24:$BZ$44,BS$2-$E$2,FALSE)*$D$11*$D$14*(1+$D$13)^($F62-'הנחות עבודה'!$C$5)/$D$11)</f>
        <v>0</v>
      </c>
      <c r="BT62" s="127">
        <f ca="1">IF($F62&gt;$D$5,0,VLOOKUP($F62,$F$24:$BZ$44,BT$2-$E$2,FALSE)*$D$11*$D$14*(1+$D$13)^($F62-'הנחות עבודה'!$C$5)/$D$11)</f>
        <v>0</v>
      </c>
      <c r="BU62" s="52">
        <f ca="1">IF($F62&gt;$D$5,0,VLOOKUP($F62,$F$24:$BZ$44,BU$2-$E$2,FALSE)*$D$11*$D$14*(1+$D$13)^($F62-'הנחות עבודה'!$C$5)/$D$11)</f>
        <v>1296.8971956934763</v>
      </c>
      <c r="BV62" s="52">
        <f ca="1">IF($F62&gt;$D$5,0,VLOOKUP($F62,$F$24:$BZ$44,BV$2-$E$2,FALSE)*$D$11*$D$14*(1+$D$13)^($F62-'הנחות עבודה'!$C$5)/$D$11)</f>
        <v>3538.3558563415886</v>
      </c>
      <c r="BW62" s="52">
        <f ca="1">IF($F62&gt;$D$5,0,VLOOKUP($F62,$F$24:$BZ$44,BW$2-$E$2,FALSE)*$D$11*$D$14*(1+$D$13)^($F62-'הנחות עבודה'!$C$5)/$D$11)</f>
        <v>0</v>
      </c>
      <c r="BX62" s="52">
        <f ca="1">IF($F62&gt;$D$5,0,VLOOKUP($F62,$F$24:$BZ$44,BX$2-$E$2,FALSE)*$D$11*$D$14*(1+$D$13)^($F62-'הנחות עבודה'!$C$5)/$D$11)</f>
        <v>0</v>
      </c>
      <c r="BY62" s="52">
        <f ca="1">IF($F62&gt;$D$5,0,VLOOKUP($F62,$F$24:$BZ$44,BY$2-$E$2,FALSE)*$D$11*$D$14*(1+$D$13)^($F62-'הנחות עבודה'!$C$5)/$D$11)</f>
        <v>0</v>
      </c>
      <c r="BZ62" s="52">
        <f ca="1">IF($F62&gt;$D$5,0,VLOOKUP($F62,$F$24:$BZ$44,BZ$2-$E$2,FALSE)*$D$11*$D$14*(1+$D$13)^($F62-'הנחות עבודה'!$C$5)/$D$11)</f>
        <v>0</v>
      </c>
    </row>
    <row r="63" spans="6:78" ht="15.75">
      <c r="F63" s="10">
        <f t="shared" si="130"/>
        <v>2032</v>
      </c>
      <c r="G63" s="42">
        <f ca="1">IF($F63&gt;$D$5,0,VLOOKUP($F63,$F$24:$BZ$44,G$2-$E$2,FALSE)*$D$11*$D$14*(1+$D$13)^($F63-'הנחות עבודה'!$C$5)/$D$11)</f>
        <v>0</v>
      </c>
      <c r="H63" s="44">
        <f ca="1">IF($F63&gt;$D$5,0,VLOOKUP($F63,$F$24:$BZ$44,H$2-$E$2,FALSE)*$D$11*$D$14*(1+$D$13)^($F63-'הנחות עבודה'!$C$5)/$D$11)</f>
        <v>0</v>
      </c>
      <c r="I63" s="44">
        <f ca="1">IF($F63&gt;$D$5,0,VLOOKUP($F63,$F$24:$BZ$44,I$2-$E$2,FALSE)*$D$11*$D$14*(1+$D$13)^($F63-'הנחות עבודה'!$C$5)/$D$11)</f>
        <v>0</v>
      </c>
      <c r="J63" s="44">
        <f ca="1">IF($F63&gt;$D$5,0,VLOOKUP($F63,$F$24:$BZ$44,J$2-$E$2,FALSE)*$D$11*$D$14*(1+$D$13)^($F63-'הנחות עבודה'!$C$5)/$D$11)</f>
        <v>0</v>
      </c>
      <c r="K63" s="44">
        <f ca="1">IF($F63&gt;$D$5,0,VLOOKUP($F63,$F$24:$BZ$44,K$2-$E$2,FALSE)*$D$11*$D$14*(1+$D$13)^($F63-'הנחות עבודה'!$C$5)/$D$11)</f>
        <v>0</v>
      </c>
      <c r="L63" s="44">
        <f ca="1">IF($F63&gt;$D$5,0,VLOOKUP($F63,$F$24:$BZ$44,L$2-$E$2,FALSE)*$D$11*$D$14*(1+$D$13)^($F63-'הנחות עבודה'!$C$5)/$D$11)</f>
        <v>0</v>
      </c>
      <c r="M63" s="42">
        <f ca="1">IF($F63&gt;$D$5,0,VLOOKUP($F63,$F$24:$BZ$44,M$2-$E$2,FALSE)*$D$11*$D$14*(1+$D$13)^($F63-'הנחות עבודה'!$C$5)/$D$11)</f>
        <v>1219.503688019453</v>
      </c>
      <c r="N63" s="42">
        <f ca="1">IF($F63&gt;$D$5,0,VLOOKUP($F63,$F$24:$BZ$44,N$2-$E$2,FALSE)*$D$11*$D$14*(1+$D$13)^($F63-'הנחות עבודה'!$C$5)/$D$11)</f>
        <v>4714.9956971363599</v>
      </c>
      <c r="O63" s="42">
        <f ca="1">IF($F63&gt;$D$5,0,VLOOKUP($F63,$F$24:$BZ$44,O$2-$E$2,FALSE)*$D$11*$D$14*(1+$D$13)^($F63-'הנחות עבודה'!$C$5)/$D$11)</f>
        <v>0</v>
      </c>
      <c r="P63" s="43">
        <f ca="1">IF($F63&gt;$D$5,0,VLOOKUP($F63,$F$24:$BZ$44,P$2-$E$2,FALSE)*$D$11*$D$14*(1+$D$13)^($F63-'הנחות עבודה'!$C$5)/$D$11)</f>
        <v>0</v>
      </c>
      <c r="Q63" s="42">
        <f ca="1">IF($F63&gt;$D$5,0,VLOOKUP($F63,$F$24:$BZ$44,Q$2-$E$2,FALSE)*$D$11*$D$14*(1+$D$13)^($F63-'הנחות עבודה'!$C$5)/$D$11)</f>
        <v>0</v>
      </c>
      <c r="R63" s="43">
        <f ca="1">IF($F63&gt;$D$5,0,VLOOKUP($F63,$F$24:$BZ$44,R$2-$E$2,FALSE)*$D$11*$D$14*(1+$D$13)^($F63-'הנחות עבודה'!$C$5)/$D$11)</f>
        <v>0</v>
      </c>
      <c r="S63" s="52">
        <f ca="1">IF($F63&gt;$D$5,0,VLOOKUP($F63,$F$24:$BZ$44,S$2-$E$2,FALSE)*$D$11*$D$14*(1+$D$13)^($F63-'הנחות עבודה'!$C$5)/$D$11)</f>
        <v>0</v>
      </c>
      <c r="T63" s="127">
        <f ca="1">IF($F63&gt;$D$5,0,VLOOKUP($F63,$F$24:$BZ$44,T$2-$E$2,FALSE)*$D$11*$D$14*(1+$D$13)^($F63-'הנחות עבודה'!$C$5)/$D$11)</f>
        <v>0</v>
      </c>
      <c r="U63" s="127">
        <f ca="1">IF($F63&gt;$D$5,0,VLOOKUP($F63,$F$24:$BZ$44,U$2-$E$2,FALSE)*$D$11*$D$14*(1+$D$13)^($F63-'הנחות עבודה'!$C$5)/$D$11)</f>
        <v>0</v>
      </c>
      <c r="V63" s="127">
        <f ca="1">IF($F63&gt;$D$5,0,VLOOKUP($F63,$F$24:$BZ$44,V$2-$E$2,FALSE)*$D$11*$D$14*(1+$D$13)^($F63-'הנחות עבודה'!$C$5)/$D$11)</f>
        <v>0</v>
      </c>
      <c r="W63" s="127">
        <f ca="1">IF($F63&gt;$D$5,0,VLOOKUP($F63,$F$24:$BZ$44,W$2-$E$2,FALSE)*$D$11*$D$14*(1+$D$13)^($F63-'הנחות עבודה'!$C$5)/$D$11)</f>
        <v>0</v>
      </c>
      <c r="X63" s="127">
        <f ca="1">IF($F63&gt;$D$5,0,VLOOKUP($F63,$F$24:$BZ$44,X$2-$E$2,FALSE)*$D$11*$D$14*(1+$D$13)^($F63-'הנחות עבודה'!$C$5)/$D$11)</f>
        <v>0</v>
      </c>
      <c r="Y63" s="52">
        <f ca="1">IF($F63&gt;$D$5,0,VLOOKUP($F63,$F$24:$BZ$44,Y$2-$E$2,FALSE)*$D$11*$D$14*(1+$D$13)^($F63-'הנחות עבודה'!$C$5)/$D$11)</f>
        <v>1219.503688019453</v>
      </c>
      <c r="Z63" s="52">
        <f ca="1">IF($F63&gt;$D$5,0,VLOOKUP($F63,$F$24:$BZ$44,Z$2-$E$2,FALSE)*$D$11*$D$14*(1+$D$13)^($F63-'הנחות עבודה'!$C$5)/$D$11)</f>
        <v>4714.9956971363599</v>
      </c>
      <c r="AA63" s="52">
        <f ca="1">IF($F63&gt;$D$5,0,VLOOKUP($F63,$F$24:$BZ$44,AA$2-$E$2,FALSE)*$D$11*$D$14*(1+$D$13)^($F63-'הנחות עבודה'!$C$5)/$D$11)</f>
        <v>0</v>
      </c>
      <c r="AB63" s="52">
        <f ca="1">IF($F63&gt;$D$5,0,VLOOKUP($F63,$F$24:$BZ$44,AB$2-$E$2,FALSE)*$D$11*$D$14*(1+$D$13)^($F63-'הנחות עבודה'!$C$5)/$D$11)</f>
        <v>0</v>
      </c>
      <c r="AC63" s="52">
        <f ca="1">IF($F63&gt;$D$5,0,VLOOKUP($F63,$F$24:$BZ$44,AC$2-$E$2,FALSE)*$D$11*$D$14*(1+$D$13)^($F63-'הנחות עבודה'!$C$5)/$D$11)</f>
        <v>0</v>
      </c>
      <c r="AD63" s="52">
        <f ca="1">IF($F63&gt;$D$5,0,VLOOKUP($F63,$F$24:$BZ$44,AD$2-$E$2,FALSE)*$D$11*$D$14*(1+$D$13)^($F63-'הנחות עבודה'!$C$5)/$D$11)</f>
        <v>0</v>
      </c>
      <c r="AE63" s="42">
        <f ca="1">IF($F63&gt;$D$5,0,VLOOKUP($F63,$F$24:$BZ$44,AE$2-$E$2,FALSE)*$D$11*$D$14*(1+$D$13)^($F63-'הנחות עבודה'!$C$5)/$D$11)</f>
        <v>0</v>
      </c>
      <c r="AF63" s="44">
        <f ca="1">IF($F63&gt;$D$5,0,VLOOKUP($F63,$F$24:$BZ$44,AF$2-$E$2,FALSE)*$D$11*$D$14*(1+$D$13)^($F63-'הנחות עבודה'!$C$5)/$D$11)</f>
        <v>0</v>
      </c>
      <c r="AG63" s="44">
        <f ca="1">IF($F63&gt;$D$5,0,VLOOKUP($F63,$F$24:$BZ$44,AG$2-$E$2,FALSE)*$D$11*$D$14*(1+$D$13)^($F63-'הנחות עבודה'!$C$5)/$D$11)</f>
        <v>0</v>
      </c>
      <c r="AH63" s="44">
        <f ca="1">IF($F63&gt;$D$5,0,VLOOKUP($F63,$F$24:$BZ$44,AH$2-$E$2,FALSE)*$D$11*$D$14*(1+$D$13)^($F63-'הנחות עבודה'!$C$5)/$D$11)</f>
        <v>0</v>
      </c>
      <c r="AI63" s="44">
        <f ca="1">IF($F63&gt;$D$5,0,VLOOKUP($F63,$F$24:$BZ$44,AI$2-$E$2,FALSE)*$D$11*$D$14*(1+$D$13)^($F63-'הנחות עבודה'!$C$5)/$D$11)</f>
        <v>0</v>
      </c>
      <c r="AJ63" s="44">
        <f ca="1">IF($F63&gt;$D$5,0,VLOOKUP($F63,$F$24:$BZ$44,AJ$2-$E$2,FALSE)*$D$11*$D$14*(1+$D$13)^($F63-'הנחות עבודה'!$C$5)/$D$11)</f>
        <v>0</v>
      </c>
      <c r="AK63" s="42">
        <f ca="1">IF($F63&gt;$D$5,0,VLOOKUP($F63,$F$24:$BZ$44,AK$2-$E$2,FALSE)*$D$11*$D$14*(1+$D$13)^($F63-'הנחות עבודה'!$C$5)/$D$11)</f>
        <v>1301.0459795587176</v>
      </c>
      <c r="AL63" s="42">
        <f ca="1">IF($F63&gt;$D$5,0,VLOOKUP($F63,$F$24:$BZ$44,AL$2-$E$2,FALSE)*$D$11*$D$14*(1+$D$13)^($F63-'הנחות עבודה'!$C$5)/$D$11)</f>
        <v>4147.8109901932403</v>
      </c>
      <c r="AM63" s="42">
        <f ca="1">IF($F63&gt;$D$5,0,VLOOKUP($F63,$F$24:$BZ$44,AM$2-$E$2,FALSE)*$D$11*$D$14*(1+$D$13)^($F63-'הנחות עבודה'!$C$5)/$D$11)</f>
        <v>0</v>
      </c>
      <c r="AN63" s="43">
        <f ca="1">IF($F63&gt;$D$5,0,VLOOKUP($F63,$F$24:$BZ$44,AN$2-$E$2,FALSE)*$D$11*$D$14*(1+$D$13)^($F63-'הנחות עבודה'!$C$5)/$D$11)</f>
        <v>0</v>
      </c>
      <c r="AO63" s="42">
        <f ca="1">IF($F63&gt;$D$5,0,VLOOKUP($F63,$F$24:$BZ$44,AO$2-$E$2,FALSE)*$D$11*$D$14*(1+$D$13)^($F63-'הנחות עבודה'!$C$5)/$D$11)</f>
        <v>0</v>
      </c>
      <c r="AP63" s="43">
        <f ca="1">IF($F63&gt;$D$5,0,VLOOKUP($F63,$F$24:$BZ$44,AP$2-$E$2,FALSE)*$D$11*$D$14*(1+$D$13)^($F63-'הנחות עבודה'!$C$5)/$D$11)</f>
        <v>0</v>
      </c>
      <c r="AQ63" s="52">
        <f ca="1">IF($F63&gt;$D$5,0,VLOOKUP($F63,$F$24:$BZ$44,AQ$2-$E$2,FALSE)*$D$11*$D$14*(1+$D$13)^($F63-'הנחות עבודה'!$C$5)/$D$11)</f>
        <v>0</v>
      </c>
      <c r="AR63" s="127">
        <f ca="1">IF($F63&gt;$D$5,0,VLOOKUP($F63,$F$24:$BZ$44,AR$2-$E$2,FALSE)*$D$11*$D$14*(1+$D$13)^($F63-'הנחות עבודה'!$C$5)/$D$11)</f>
        <v>0</v>
      </c>
      <c r="AS63" s="127">
        <f ca="1">IF($F63&gt;$D$5,0,VLOOKUP($F63,$F$24:$BZ$44,AS$2-$E$2,FALSE)*$D$11*$D$14*(1+$D$13)^($F63-'הנחות עבודה'!$C$5)/$D$11)</f>
        <v>0</v>
      </c>
      <c r="AT63" s="127">
        <f ca="1">IF($F63&gt;$D$5,0,VLOOKUP($F63,$F$24:$BZ$44,AT$2-$E$2,FALSE)*$D$11*$D$14*(1+$D$13)^($F63-'הנחות עבודה'!$C$5)/$D$11)</f>
        <v>0</v>
      </c>
      <c r="AU63" s="127">
        <f ca="1">IF($F63&gt;$D$5,0,VLOOKUP($F63,$F$24:$BZ$44,AU$2-$E$2,FALSE)*$D$11*$D$14*(1+$D$13)^($F63-'הנחות עבודה'!$C$5)/$D$11)</f>
        <v>0</v>
      </c>
      <c r="AV63" s="127">
        <f ca="1">IF($F63&gt;$D$5,0,VLOOKUP($F63,$F$24:$BZ$44,AV$2-$E$2,FALSE)*$D$11*$D$14*(1+$D$13)^($F63-'הנחות עבודה'!$C$5)/$D$11)</f>
        <v>0</v>
      </c>
      <c r="AW63" s="52">
        <f ca="1">IF($F63&gt;$D$5,0,VLOOKUP($F63,$F$24:$BZ$44,AW$2-$E$2,FALSE)*$D$11*$D$14*(1+$D$13)^($F63-'הנחות עבודה'!$C$5)/$D$11)</f>
        <v>1301.0459795587176</v>
      </c>
      <c r="AX63" s="52">
        <f ca="1">IF($F63&gt;$D$5,0,VLOOKUP($F63,$F$24:$BZ$44,AX$2-$E$2,FALSE)*$D$11*$D$14*(1+$D$13)^($F63-'הנחות עבודה'!$C$5)/$D$11)</f>
        <v>4147.8109901932403</v>
      </c>
      <c r="AY63" s="52">
        <f ca="1">IF($F63&gt;$D$5,0,VLOOKUP($F63,$F$24:$BZ$44,AY$2-$E$2,FALSE)*$D$11*$D$14*(1+$D$13)^($F63-'הנחות עבודה'!$C$5)/$D$11)</f>
        <v>0</v>
      </c>
      <c r="AZ63" s="52">
        <f ca="1">IF($F63&gt;$D$5,0,VLOOKUP($F63,$F$24:$BZ$44,AZ$2-$E$2,FALSE)*$D$11*$D$14*(1+$D$13)^($F63-'הנחות עבודה'!$C$5)/$D$11)</f>
        <v>0</v>
      </c>
      <c r="BA63" s="52">
        <f ca="1">IF($F63&gt;$D$5,0,VLOOKUP($F63,$F$24:$BZ$44,BA$2-$E$2,FALSE)*$D$11*$D$14*(1+$D$13)^($F63-'הנחות עבודה'!$C$5)/$D$11)</f>
        <v>0</v>
      </c>
      <c r="BB63" s="52">
        <f ca="1">IF($F63&gt;$D$5,0,VLOOKUP($F63,$F$24:$BZ$44,BB$2-$E$2,FALSE)*$D$11*$D$14*(1+$D$13)^($F63-'הנחות עבודה'!$C$5)/$D$11)</f>
        <v>0</v>
      </c>
      <c r="BC63" s="42">
        <f ca="1">IF($F63&gt;$D$5,0,VLOOKUP($F63,$F$24:$BZ$44,BC$2-$E$2,FALSE)*$D$11*$D$14*(1+$D$13)^($F63-'הנחות עבודה'!$C$5)/$D$11)</f>
        <v>0</v>
      </c>
      <c r="BD63" s="44">
        <f ca="1">IF($F63&gt;$D$5,0,VLOOKUP($F63,$F$24:$BZ$44,BD$2-$E$2,FALSE)*$D$11*$D$14*(1+$D$13)^($F63-'הנחות עבודה'!$C$5)/$D$11)</f>
        <v>0</v>
      </c>
      <c r="BE63" s="44">
        <f ca="1">IF($F63&gt;$D$5,0,VLOOKUP($F63,$F$24:$BZ$44,BE$2-$E$2,FALSE)*$D$11*$D$14*(1+$D$13)^($F63-'הנחות עבודה'!$C$5)/$D$11)</f>
        <v>0</v>
      </c>
      <c r="BF63" s="44">
        <f ca="1">IF($F63&gt;$D$5,0,VLOOKUP($F63,$F$24:$BZ$44,BF$2-$E$2,FALSE)*$D$11*$D$14*(1+$D$13)^($F63-'הנחות עבודה'!$C$5)/$D$11)</f>
        <v>0</v>
      </c>
      <c r="BG63" s="44">
        <f ca="1">IF($F63&gt;$D$5,0,VLOOKUP($F63,$F$24:$BZ$44,BG$2-$E$2,FALSE)*$D$11*$D$14*(1+$D$13)^($F63-'הנחות עבודה'!$C$5)/$D$11)</f>
        <v>0</v>
      </c>
      <c r="BH63" s="44">
        <f ca="1">IF($F63&gt;$D$5,0,VLOOKUP($F63,$F$24:$BZ$44,BH$2-$E$2,FALSE)*$D$11*$D$14*(1+$D$13)^($F63-'הנחות עבודה'!$C$5)/$D$11)</f>
        <v>0</v>
      </c>
      <c r="BI63" s="42">
        <f ca="1">IF($F63&gt;$D$5,0,VLOOKUP($F63,$F$24:$BZ$44,BI$2-$E$2,FALSE)*$D$11*$D$14*(1+$D$13)^($F63-'הנחות עבודה'!$C$5)/$D$11)</f>
        <v>1330.9145500541144</v>
      </c>
      <c r="BJ63" s="42">
        <f ca="1">IF($F63&gt;$D$5,0,VLOOKUP($F63,$F$24:$BZ$44,BJ$2-$E$2,FALSE)*$D$11*$D$14*(1+$D$13)^($F63-'הנחות עבודה'!$C$5)/$D$11)</f>
        <v>3810.1532713386268</v>
      </c>
      <c r="BK63" s="42">
        <f ca="1">IF($F63&gt;$D$5,0,VLOOKUP($F63,$F$24:$BZ$44,BK$2-$E$2,FALSE)*$D$11*$D$14*(1+$D$13)^($F63-'הנחות עבודה'!$C$5)/$D$11)</f>
        <v>0</v>
      </c>
      <c r="BL63" s="42">
        <f ca="1">IF($F63&gt;$D$5,0,VLOOKUP($F63,$F$24:$BZ$44,BL$2-$E$2,FALSE)*$D$11*$D$14*(1+$D$13)^($F63-'הנחות עבודה'!$C$5)/$D$11)</f>
        <v>0</v>
      </c>
      <c r="BM63" s="42">
        <f ca="1">IF($F63&gt;$D$5,0,VLOOKUP($F63,$F$24:$BZ$44,BM$2-$E$2,FALSE)*$D$11*$D$14*(1+$D$13)^($F63-'הנחות עבודה'!$C$5)/$D$11)</f>
        <v>0</v>
      </c>
      <c r="BN63" s="42">
        <f ca="1">IF($F63&gt;$D$5,0,VLOOKUP($F63,$F$24:$BZ$44,BN$2-$E$2,FALSE)*$D$11*$D$14*(1+$D$13)^($F63-'הנחות עבודה'!$C$5)/$D$11)</f>
        <v>0</v>
      </c>
      <c r="BO63" s="52">
        <f ca="1">IF($F63&gt;$D$5,0,VLOOKUP($F63,$F$24:$BZ$44,BO$2-$E$2,FALSE)*$D$11*$D$14*(1+$D$13)^($F63-'הנחות עבודה'!$C$5)/$D$11)</f>
        <v>0</v>
      </c>
      <c r="BP63" s="127">
        <f ca="1">IF($F63&gt;$D$5,0,VLOOKUP($F63,$F$24:$BZ$44,BP$2-$E$2,FALSE)*$D$11*$D$14*(1+$D$13)^($F63-'הנחות עבודה'!$C$5)/$D$11)</f>
        <v>0</v>
      </c>
      <c r="BQ63" s="127">
        <f ca="1">IF($F63&gt;$D$5,0,VLOOKUP($F63,$F$24:$BZ$44,BQ$2-$E$2,FALSE)*$D$11*$D$14*(1+$D$13)^($F63-'הנחות עבודה'!$C$5)/$D$11)</f>
        <v>0</v>
      </c>
      <c r="BR63" s="127">
        <f ca="1">IF($F63&gt;$D$5,0,VLOOKUP($F63,$F$24:$BZ$44,BR$2-$E$2,FALSE)*$D$11*$D$14*(1+$D$13)^($F63-'הנחות עבודה'!$C$5)/$D$11)</f>
        <v>0</v>
      </c>
      <c r="BS63" s="127">
        <f ca="1">IF($F63&gt;$D$5,0,VLOOKUP($F63,$F$24:$BZ$44,BS$2-$E$2,FALSE)*$D$11*$D$14*(1+$D$13)^($F63-'הנחות עבודה'!$C$5)/$D$11)</f>
        <v>0</v>
      </c>
      <c r="BT63" s="127">
        <f ca="1">IF($F63&gt;$D$5,0,VLOOKUP($F63,$F$24:$BZ$44,BT$2-$E$2,FALSE)*$D$11*$D$14*(1+$D$13)^($F63-'הנחות עבודה'!$C$5)/$D$11)</f>
        <v>0</v>
      </c>
      <c r="BU63" s="52">
        <f ca="1">IF($F63&gt;$D$5,0,VLOOKUP($F63,$F$24:$BZ$44,BU$2-$E$2,FALSE)*$D$11*$D$14*(1+$D$13)^($F63-'הנחות עבודה'!$C$5)/$D$11)</f>
        <v>1330.9145500541144</v>
      </c>
      <c r="BV63" s="52">
        <f ca="1">IF($F63&gt;$D$5,0,VLOOKUP($F63,$F$24:$BZ$44,BV$2-$E$2,FALSE)*$D$11*$D$14*(1+$D$13)^($F63-'הנחות עבודה'!$C$5)/$D$11)</f>
        <v>3810.1532713386268</v>
      </c>
      <c r="BW63" s="52">
        <f ca="1">IF($F63&gt;$D$5,0,VLOOKUP($F63,$F$24:$BZ$44,BW$2-$E$2,FALSE)*$D$11*$D$14*(1+$D$13)^($F63-'הנחות עבודה'!$C$5)/$D$11)</f>
        <v>0</v>
      </c>
      <c r="BX63" s="52">
        <f ca="1">IF($F63&gt;$D$5,0,VLOOKUP($F63,$F$24:$BZ$44,BX$2-$E$2,FALSE)*$D$11*$D$14*(1+$D$13)^($F63-'הנחות עבודה'!$C$5)/$D$11)</f>
        <v>0</v>
      </c>
      <c r="BY63" s="52">
        <f ca="1">IF($F63&gt;$D$5,0,VLOOKUP($F63,$F$24:$BZ$44,BY$2-$E$2,FALSE)*$D$11*$D$14*(1+$D$13)^($F63-'הנחות עבודה'!$C$5)/$D$11)</f>
        <v>0</v>
      </c>
      <c r="BZ63" s="52">
        <f ca="1">IF($F63&gt;$D$5,0,VLOOKUP($F63,$F$24:$BZ$44,BZ$2-$E$2,FALSE)*$D$11*$D$14*(1+$D$13)^($F63-'הנחות עבודה'!$C$5)/$D$11)</f>
        <v>0</v>
      </c>
    </row>
    <row r="64" spans="6:78" ht="15.75">
      <c r="F64" s="10">
        <f t="shared" si="130"/>
        <v>2033</v>
      </c>
      <c r="G64" s="42">
        <f ca="1">IF($F64&gt;$D$5,0,VLOOKUP($F64,$F$24:$BZ$44,G$2-$E$2,FALSE)*$D$11*$D$14*(1+$D$13)^($F64-'הנחות עבודה'!$C$5)/$D$11)</f>
        <v>0</v>
      </c>
      <c r="H64" s="44">
        <f ca="1">IF($F64&gt;$D$5,0,VLOOKUP($F64,$F$24:$BZ$44,H$2-$E$2,FALSE)*$D$11*$D$14*(1+$D$13)^($F64-'הנחות עבודה'!$C$5)/$D$11)</f>
        <v>0</v>
      </c>
      <c r="I64" s="44">
        <f ca="1">IF($F64&gt;$D$5,0,VLOOKUP($F64,$F$24:$BZ$44,I$2-$E$2,FALSE)*$D$11*$D$14*(1+$D$13)^($F64-'הנחות עבודה'!$C$5)/$D$11)</f>
        <v>0</v>
      </c>
      <c r="J64" s="44">
        <f ca="1">IF($F64&gt;$D$5,0,VLOOKUP($F64,$F$24:$BZ$44,J$2-$E$2,FALSE)*$D$11*$D$14*(1+$D$13)^($F64-'הנחות עבודה'!$C$5)/$D$11)</f>
        <v>0</v>
      </c>
      <c r="K64" s="44">
        <f ca="1">IF($F64&gt;$D$5,0,VLOOKUP($F64,$F$24:$BZ$44,K$2-$E$2,FALSE)*$D$11*$D$14*(1+$D$13)^($F64-'הנחות עבודה'!$C$5)/$D$11)</f>
        <v>0</v>
      </c>
      <c r="L64" s="44">
        <f ca="1">IF($F64&gt;$D$5,0,VLOOKUP($F64,$F$24:$BZ$44,L$2-$E$2,FALSE)*$D$11*$D$14*(1+$D$13)^($F64-'הנחות עבודה'!$C$5)/$D$11)</f>
        <v>0</v>
      </c>
      <c r="M64" s="42">
        <f ca="1">IF($F64&gt;$D$5,0,VLOOKUP($F64,$F$24:$BZ$44,M$2-$E$2,FALSE)*$D$11*$D$14*(1+$D$13)^($F64-'הנחות עבודה'!$C$5)/$D$11)</f>
        <v>1269.6391566426762</v>
      </c>
      <c r="N64" s="42">
        <f ca="1">IF($F64&gt;$D$5,0,VLOOKUP($F64,$F$24:$BZ$44,N$2-$E$2,FALSE)*$D$11*$D$14*(1+$D$13)^($F64-'הנחות עבודה'!$C$5)/$D$11)</f>
        <v>5000.8010209911927</v>
      </c>
      <c r="O64" s="42">
        <f ca="1">IF($F64&gt;$D$5,0,VLOOKUP($F64,$F$24:$BZ$44,O$2-$E$2,FALSE)*$D$11*$D$14*(1+$D$13)^($F64-'הנחות עבודה'!$C$5)/$D$11)</f>
        <v>0</v>
      </c>
      <c r="P64" s="43">
        <f ca="1">IF($F64&gt;$D$5,0,VLOOKUP($F64,$F$24:$BZ$44,P$2-$E$2,FALSE)*$D$11*$D$14*(1+$D$13)^($F64-'הנחות עבודה'!$C$5)/$D$11)</f>
        <v>0</v>
      </c>
      <c r="Q64" s="42">
        <f ca="1">IF($F64&gt;$D$5,0,VLOOKUP($F64,$F$24:$BZ$44,Q$2-$E$2,FALSE)*$D$11*$D$14*(1+$D$13)^($F64-'הנחות עבודה'!$C$5)/$D$11)</f>
        <v>0</v>
      </c>
      <c r="R64" s="43">
        <f ca="1">IF($F64&gt;$D$5,0,VLOOKUP($F64,$F$24:$BZ$44,R$2-$E$2,FALSE)*$D$11*$D$14*(1+$D$13)^($F64-'הנחות עבודה'!$C$5)/$D$11)</f>
        <v>0</v>
      </c>
      <c r="S64" s="52">
        <f ca="1">IF($F64&gt;$D$5,0,VLOOKUP($F64,$F$24:$BZ$44,S$2-$E$2,FALSE)*$D$11*$D$14*(1+$D$13)^($F64-'הנחות עבודה'!$C$5)/$D$11)</f>
        <v>0</v>
      </c>
      <c r="T64" s="127">
        <f ca="1">IF($F64&gt;$D$5,0,VLOOKUP($F64,$F$24:$BZ$44,T$2-$E$2,FALSE)*$D$11*$D$14*(1+$D$13)^($F64-'הנחות עבודה'!$C$5)/$D$11)</f>
        <v>0</v>
      </c>
      <c r="U64" s="127">
        <f ca="1">IF($F64&gt;$D$5,0,VLOOKUP($F64,$F$24:$BZ$44,U$2-$E$2,FALSE)*$D$11*$D$14*(1+$D$13)^($F64-'הנחות עבודה'!$C$5)/$D$11)</f>
        <v>0</v>
      </c>
      <c r="V64" s="127">
        <f ca="1">IF($F64&gt;$D$5,0,VLOOKUP($F64,$F$24:$BZ$44,V$2-$E$2,FALSE)*$D$11*$D$14*(1+$D$13)^($F64-'הנחות עבודה'!$C$5)/$D$11)</f>
        <v>0</v>
      </c>
      <c r="W64" s="127">
        <f ca="1">IF($F64&gt;$D$5,0,VLOOKUP($F64,$F$24:$BZ$44,W$2-$E$2,FALSE)*$D$11*$D$14*(1+$D$13)^($F64-'הנחות עבודה'!$C$5)/$D$11)</f>
        <v>0</v>
      </c>
      <c r="X64" s="127">
        <f ca="1">IF($F64&gt;$D$5,0,VLOOKUP($F64,$F$24:$BZ$44,X$2-$E$2,FALSE)*$D$11*$D$14*(1+$D$13)^($F64-'הנחות עבודה'!$C$5)/$D$11)</f>
        <v>0</v>
      </c>
      <c r="Y64" s="52">
        <f ca="1">IF($F64&gt;$D$5,0,VLOOKUP($F64,$F$24:$BZ$44,Y$2-$E$2,FALSE)*$D$11*$D$14*(1+$D$13)^($F64-'הנחות עבודה'!$C$5)/$D$11)</f>
        <v>1269.6391566426762</v>
      </c>
      <c r="Z64" s="52">
        <f ca="1">IF($F64&gt;$D$5,0,VLOOKUP($F64,$F$24:$BZ$44,Z$2-$E$2,FALSE)*$D$11*$D$14*(1+$D$13)^($F64-'הנחות עבודה'!$C$5)/$D$11)</f>
        <v>5000.8010209911927</v>
      </c>
      <c r="AA64" s="52">
        <f ca="1">IF($F64&gt;$D$5,0,VLOOKUP($F64,$F$24:$BZ$44,AA$2-$E$2,FALSE)*$D$11*$D$14*(1+$D$13)^($F64-'הנחות עבודה'!$C$5)/$D$11)</f>
        <v>0</v>
      </c>
      <c r="AB64" s="52">
        <f ca="1">IF($F64&gt;$D$5,0,VLOOKUP($F64,$F$24:$BZ$44,AB$2-$E$2,FALSE)*$D$11*$D$14*(1+$D$13)^($F64-'הנחות עבודה'!$C$5)/$D$11)</f>
        <v>0</v>
      </c>
      <c r="AC64" s="52">
        <f ca="1">IF($F64&gt;$D$5,0,VLOOKUP($F64,$F$24:$BZ$44,AC$2-$E$2,FALSE)*$D$11*$D$14*(1+$D$13)^($F64-'הנחות עבודה'!$C$5)/$D$11)</f>
        <v>0</v>
      </c>
      <c r="AD64" s="52">
        <f ca="1">IF($F64&gt;$D$5,0,VLOOKUP($F64,$F$24:$BZ$44,AD$2-$E$2,FALSE)*$D$11*$D$14*(1+$D$13)^($F64-'הנחות עבודה'!$C$5)/$D$11)</f>
        <v>0</v>
      </c>
      <c r="AE64" s="42">
        <f ca="1">IF($F64&gt;$D$5,0,VLOOKUP($F64,$F$24:$BZ$44,AE$2-$E$2,FALSE)*$D$11*$D$14*(1+$D$13)^($F64-'הנחות עבודה'!$C$5)/$D$11)</f>
        <v>0</v>
      </c>
      <c r="AF64" s="44">
        <f ca="1">IF($F64&gt;$D$5,0,VLOOKUP($F64,$F$24:$BZ$44,AF$2-$E$2,FALSE)*$D$11*$D$14*(1+$D$13)^($F64-'הנחות עבודה'!$C$5)/$D$11)</f>
        <v>0</v>
      </c>
      <c r="AG64" s="44">
        <f ca="1">IF($F64&gt;$D$5,0,VLOOKUP($F64,$F$24:$BZ$44,AG$2-$E$2,FALSE)*$D$11*$D$14*(1+$D$13)^($F64-'הנחות עבודה'!$C$5)/$D$11)</f>
        <v>0</v>
      </c>
      <c r="AH64" s="44">
        <f ca="1">IF($F64&gt;$D$5,0,VLOOKUP($F64,$F$24:$BZ$44,AH$2-$E$2,FALSE)*$D$11*$D$14*(1+$D$13)^($F64-'הנחות עבודה'!$C$5)/$D$11)</f>
        <v>0</v>
      </c>
      <c r="AI64" s="44">
        <f ca="1">IF($F64&gt;$D$5,0,VLOOKUP($F64,$F$24:$BZ$44,AI$2-$E$2,FALSE)*$D$11*$D$14*(1+$D$13)^($F64-'הנחות עבודה'!$C$5)/$D$11)</f>
        <v>0</v>
      </c>
      <c r="AJ64" s="44">
        <f ca="1">IF($F64&gt;$D$5,0,VLOOKUP($F64,$F$24:$BZ$44,AJ$2-$E$2,FALSE)*$D$11*$D$14*(1+$D$13)^($F64-'הנחות עבודה'!$C$5)/$D$11)</f>
        <v>0</v>
      </c>
      <c r="AK64" s="42">
        <f ca="1">IF($F64&gt;$D$5,0,VLOOKUP($F64,$F$24:$BZ$44,AK$2-$E$2,FALSE)*$D$11*$D$14*(1+$D$13)^($F64-'הנחות עבודה'!$C$5)/$D$11)</f>
        <v>1352.7994174523265</v>
      </c>
      <c r="AL64" s="42">
        <f ca="1">IF($F64&gt;$D$5,0,VLOOKUP($F64,$F$24:$BZ$44,AL$2-$E$2,FALSE)*$D$11*$D$14*(1+$D$13)^($F64-'הנחות עבודה'!$C$5)/$D$11)</f>
        <v>4425.1431695126485</v>
      </c>
      <c r="AM64" s="42">
        <f ca="1">IF($F64&gt;$D$5,0,VLOOKUP($F64,$F$24:$BZ$44,AM$2-$E$2,FALSE)*$D$11*$D$14*(1+$D$13)^($F64-'הנחות עבודה'!$C$5)/$D$11)</f>
        <v>0</v>
      </c>
      <c r="AN64" s="43">
        <f ca="1">IF($F64&gt;$D$5,0,VLOOKUP($F64,$F$24:$BZ$44,AN$2-$E$2,FALSE)*$D$11*$D$14*(1+$D$13)^($F64-'הנחות עבודה'!$C$5)/$D$11)</f>
        <v>0</v>
      </c>
      <c r="AO64" s="42">
        <f ca="1">IF($F64&gt;$D$5,0,VLOOKUP($F64,$F$24:$BZ$44,AO$2-$E$2,FALSE)*$D$11*$D$14*(1+$D$13)^($F64-'הנחות עבודה'!$C$5)/$D$11)</f>
        <v>0</v>
      </c>
      <c r="AP64" s="43">
        <f ca="1">IF($F64&gt;$D$5,0,VLOOKUP($F64,$F$24:$BZ$44,AP$2-$E$2,FALSE)*$D$11*$D$14*(1+$D$13)^($F64-'הנחות עבודה'!$C$5)/$D$11)</f>
        <v>0</v>
      </c>
      <c r="AQ64" s="52">
        <f ca="1">IF($F64&gt;$D$5,0,VLOOKUP($F64,$F$24:$BZ$44,AQ$2-$E$2,FALSE)*$D$11*$D$14*(1+$D$13)^($F64-'הנחות עבודה'!$C$5)/$D$11)</f>
        <v>0</v>
      </c>
      <c r="AR64" s="127">
        <f ca="1">IF($F64&gt;$D$5,0,VLOOKUP($F64,$F$24:$BZ$44,AR$2-$E$2,FALSE)*$D$11*$D$14*(1+$D$13)^($F64-'הנחות עבודה'!$C$5)/$D$11)</f>
        <v>0</v>
      </c>
      <c r="AS64" s="127">
        <f ca="1">IF($F64&gt;$D$5,0,VLOOKUP($F64,$F$24:$BZ$44,AS$2-$E$2,FALSE)*$D$11*$D$14*(1+$D$13)^($F64-'הנחות עבודה'!$C$5)/$D$11)</f>
        <v>0</v>
      </c>
      <c r="AT64" s="127">
        <f ca="1">IF($F64&gt;$D$5,0,VLOOKUP($F64,$F$24:$BZ$44,AT$2-$E$2,FALSE)*$D$11*$D$14*(1+$D$13)^($F64-'הנחות עבודה'!$C$5)/$D$11)</f>
        <v>0</v>
      </c>
      <c r="AU64" s="127">
        <f ca="1">IF($F64&gt;$D$5,0,VLOOKUP($F64,$F$24:$BZ$44,AU$2-$E$2,FALSE)*$D$11*$D$14*(1+$D$13)^($F64-'הנחות עבודה'!$C$5)/$D$11)</f>
        <v>0</v>
      </c>
      <c r="AV64" s="127">
        <f ca="1">IF($F64&gt;$D$5,0,VLOOKUP($F64,$F$24:$BZ$44,AV$2-$E$2,FALSE)*$D$11*$D$14*(1+$D$13)^($F64-'הנחות עבודה'!$C$5)/$D$11)</f>
        <v>0</v>
      </c>
      <c r="AW64" s="52">
        <f ca="1">IF($F64&gt;$D$5,0,VLOOKUP($F64,$F$24:$BZ$44,AW$2-$E$2,FALSE)*$D$11*$D$14*(1+$D$13)^($F64-'הנחות עבודה'!$C$5)/$D$11)</f>
        <v>1352.7994174523265</v>
      </c>
      <c r="AX64" s="52">
        <f ca="1">IF($F64&gt;$D$5,0,VLOOKUP($F64,$F$24:$BZ$44,AX$2-$E$2,FALSE)*$D$11*$D$14*(1+$D$13)^($F64-'הנחות עבודה'!$C$5)/$D$11)</f>
        <v>4425.1431695126485</v>
      </c>
      <c r="AY64" s="52">
        <f ca="1">IF($F64&gt;$D$5,0,VLOOKUP($F64,$F$24:$BZ$44,AY$2-$E$2,FALSE)*$D$11*$D$14*(1+$D$13)^($F64-'הנחות עבודה'!$C$5)/$D$11)</f>
        <v>0</v>
      </c>
      <c r="AZ64" s="52">
        <f ca="1">IF($F64&gt;$D$5,0,VLOOKUP($F64,$F$24:$BZ$44,AZ$2-$E$2,FALSE)*$D$11*$D$14*(1+$D$13)^($F64-'הנחות עבודה'!$C$5)/$D$11)</f>
        <v>0</v>
      </c>
      <c r="BA64" s="52">
        <f ca="1">IF($F64&gt;$D$5,0,VLOOKUP($F64,$F$24:$BZ$44,BA$2-$E$2,FALSE)*$D$11*$D$14*(1+$D$13)^($F64-'הנחות עבודה'!$C$5)/$D$11)</f>
        <v>0</v>
      </c>
      <c r="BB64" s="52">
        <f ca="1">IF($F64&gt;$D$5,0,VLOOKUP($F64,$F$24:$BZ$44,BB$2-$E$2,FALSE)*$D$11*$D$14*(1+$D$13)^($F64-'הנחות עבודה'!$C$5)/$D$11)</f>
        <v>0</v>
      </c>
      <c r="BC64" s="42">
        <f ca="1">IF($F64&gt;$D$5,0,VLOOKUP($F64,$F$24:$BZ$44,BC$2-$E$2,FALSE)*$D$11*$D$14*(1+$D$13)^($F64-'הנחות עבודה'!$C$5)/$D$11)</f>
        <v>0</v>
      </c>
      <c r="BD64" s="44">
        <f ca="1">IF($F64&gt;$D$5,0,VLOOKUP($F64,$F$24:$BZ$44,BD$2-$E$2,FALSE)*$D$11*$D$14*(1+$D$13)^($F64-'הנחות עבודה'!$C$5)/$D$11)</f>
        <v>0</v>
      </c>
      <c r="BE64" s="44">
        <f ca="1">IF($F64&gt;$D$5,0,VLOOKUP($F64,$F$24:$BZ$44,BE$2-$E$2,FALSE)*$D$11*$D$14*(1+$D$13)^($F64-'הנחות עבודה'!$C$5)/$D$11)</f>
        <v>0</v>
      </c>
      <c r="BF64" s="44">
        <f ca="1">IF($F64&gt;$D$5,0,VLOOKUP($F64,$F$24:$BZ$44,BF$2-$E$2,FALSE)*$D$11*$D$14*(1+$D$13)^($F64-'הנחות עבודה'!$C$5)/$D$11)</f>
        <v>0</v>
      </c>
      <c r="BG64" s="44">
        <f ca="1">IF($F64&gt;$D$5,0,VLOOKUP($F64,$F$24:$BZ$44,BG$2-$E$2,FALSE)*$D$11*$D$14*(1+$D$13)^($F64-'הנחות עבודה'!$C$5)/$D$11)</f>
        <v>0</v>
      </c>
      <c r="BH64" s="44">
        <f ca="1">IF($F64&gt;$D$5,0,VLOOKUP($F64,$F$24:$BZ$44,BH$2-$E$2,FALSE)*$D$11*$D$14*(1+$D$13)^($F64-'הנחות עבודה'!$C$5)/$D$11)</f>
        <v>0</v>
      </c>
      <c r="BI64" s="42">
        <f ca="1">IF($F64&gt;$D$5,0,VLOOKUP($F64,$F$24:$BZ$44,BI$2-$E$2,FALSE)*$D$11*$D$14*(1+$D$13)^($F64-'הנחות עבודה'!$C$5)/$D$11)</f>
        <v>1387.8356798621073</v>
      </c>
      <c r="BJ64" s="42">
        <f ca="1">IF($F64&gt;$D$5,0,VLOOKUP($F64,$F$24:$BZ$44,BJ$2-$E$2,FALSE)*$D$11*$D$14*(1+$D$13)^($F64-'הנחות עבודה'!$C$5)/$D$11)</f>
        <v>4079.1002161887459</v>
      </c>
      <c r="BK64" s="42">
        <f ca="1">IF($F64&gt;$D$5,0,VLOOKUP($F64,$F$24:$BZ$44,BK$2-$E$2,FALSE)*$D$11*$D$14*(1+$D$13)^($F64-'הנחות עבודה'!$C$5)/$D$11)</f>
        <v>0</v>
      </c>
      <c r="BL64" s="42">
        <f ca="1">IF($F64&gt;$D$5,0,VLOOKUP($F64,$F$24:$BZ$44,BL$2-$E$2,FALSE)*$D$11*$D$14*(1+$D$13)^($F64-'הנחות עבודה'!$C$5)/$D$11)</f>
        <v>0</v>
      </c>
      <c r="BM64" s="42">
        <f ca="1">IF($F64&gt;$D$5,0,VLOOKUP($F64,$F$24:$BZ$44,BM$2-$E$2,FALSE)*$D$11*$D$14*(1+$D$13)^($F64-'הנחות עבודה'!$C$5)/$D$11)</f>
        <v>0</v>
      </c>
      <c r="BN64" s="42">
        <f ca="1">IF($F64&gt;$D$5,0,VLOOKUP($F64,$F$24:$BZ$44,BN$2-$E$2,FALSE)*$D$11*$D$14*(1+$D$13)^($F64-'הנחות עבודה'!$C$5)/$D$11)</f>
        <v>0</v>
      </c>
      <c r="BO64" s="52">
        <f ca="1">IF($F64&gt;$D$5,0,VLOOKUP($F64,$F$24:$BZ$44,BO$2-$E$2,FALSE)*$D$11*$D$14*(1+$D$13)^($F64-'הנחות עבודה'!$C$5)/$D$11)</f>
        <v>0</v>
      </c>
      <c r="BP64" s="127">
        <f ca="1">IF($F64&gt;$D$5,0,VLOOKUP($F64,$F$24:$BZ$44,BP$2-$E$2,FALSE)*$D$11*$D$14*(1+$D$13)^($F64-'הנחות עבודה'!$C$5)/$D$11)</f>
        <v>0</v>
      </c>
      <c r="BQ64" s="127">
        <f ca="1">IF($F64&gt;$D$5,0,VLOOKUP($F64,$F$24:$BZ$44,BQ$2-$E$2,FALSE)*$D$11*$D$14*(1+$D$13)^($F64-'הנחות עבודה'!$C$5)/$D$11)</f>
        <v>0</v>
      </c>
      <c r="BR64" s="127">
        <f ca="1">IF($F64&gt;$D$5,0,VLOOKUP($F64,$F$24:$BZ$44,BR$2-$E$2,FALSE)*$D$11*$D$14*(1+$D$13)^($F64-'הנחות עבודה'!$C$5)/$D$11)</f>
        <v>0</v>
      </c>
      <c r="BS64" s="127">
        <f ca="1">IF($F64&gt;$D$5,0,VLOOKUP($F64,$F$24:$BZ$44,BS$2-$E$2,FALSE)*$D$11*$D$14*(1+$D$13)^($F64-'הנחות עבודה'!$C$5)/$D$11)</f>
        <v>0</v>
      </c>
      <c r="BT64" s="127">
        <f ca="1">IF($F64&gt;$D$5,0,VLOOKUP($F64,$F$24:$BZ$44,BT$2-$E$2,FALSE)*$D$11*$D$14*(1+$D$13)^($F64-'הנחות עבודה'!$C$5)/$D$11)</f>
        <v>0</v>
      </c>
      <c r="BU64" s="52">
        <f ca="1">IF($F64&gt;$D$5,0,VLOOKUP($F64,$F$24:$BZ$44,BU$2-$E$2,FALSE)*$D$11*$D$14*(1+$D$13)^($F64-'הנחות עבודה'!$C$5)/$D$11)</f>
        <v>1387.8356798621073</v>
      </c>
      <c r="BV64" s="52">
        <f ca="1">IF($F64&gt;$D$5,0,VLOOKUP($F64,$F$24:$BZ$44,BV$2-$E$2,FALSE)*$D$11*$D$14*(1+$D$13)^($F64-'הנחות עבודה'!$C$5)/$D$11)</f>
        <v>4079.1002161887459</v>
      </c>
      <c r="BW64" s="52">
        <f ca="1">IF($F64&gt;$D$5,0,VLOOKUP($F64,$F$24:$BZ$44,BW$2-$E$2,FALSE)*$D$11*$D$14*(1+$D$13)^($F64-'הנחות עבודה'!$C$5)/$D$11)</f>
        <v>0</v>
      </c>
      <c r="BX64" s="52">
        <f ca="1">IF($F64&gt;$D$5,0,VLOOKUP($F64,$F$24:$BZ$44,BX$2-$E$2,FALSE)*$D$11*$D$14*(1+$D$13)^($F64-'הנחות עבודה'!$C$5)/$D$11)</f>
        <v>0</v>
      </c>
      <c r="BY64" s="52">
        <f ca="1">IF($F64&gt;$D$5,0,VLOOKUP($F64,$F$24:$BZ$44,BY$2-$E$2,FALSE)*$D$11*$D$14*(1+$D$13)^($F64-'הנחות עבודה'!$C$5)/$D$11)</f>
        <v>0</v>
      </c>
      <c r="BZ64" s="52">
        <f ca="1">IF($F64&gt;$D$5,0,VLOOKUP($F64,$F$24:$BZ$44,BZ$2-$E$2,FALSE)*$D$11*$D$14*(1+$D$13)^($F64-'הנחות עבודה'!$C$5)/$D$11)</f>
        <v>0</v>
      </c>
    </row>
    <row r="65" spans="6:78" ht="15.75">
      <c r="F65" s="10">
        <f t="shared" si="130"/>
        <v>2034</v>
      </c>
      <c r="G65" s="42">
        <f ca="1">IF($F65&gt;$D$5,0,VLOOKUP($F65,$F$24:$BZ$44,G$2-$E$2,FALSE)*$D$11*$D$14*(1+$D$13)^($F65-'הנחות עבודה'!$C$5)/$D$11)</f>
        <v>0</v>
      </c>
      <c r="H65" s="44">
        <f ca="1">IF($F65&gt;$D$5,0,VLOOKUP($F65,$F$24:$BZ$44,H$2-$E$2,FALSE)*$D$11*$D$14*(1+$D$13)^($F65-'הנחות עבודה'!$C$5)/$D$11)</f>
        <v>0</v>
      </c>
      <c r="I65" s="44">
        <f ca="1">IF($F65&gt;$D$5,0,VLOOKUP($F65,$F$24:$BZ$44,I$2-$E$2,FALSE)*$D$11*$D$14*(1+$D$13)^($F65-'הנחות עבודה'!$C$5)/$D$11)</f>
        <v>0</v>
      </c>
      <c r="J65" s="44">
        <f ca="1">IF($F65&gt;$D$5,0,VLOOKUP($F65,$F$24:$BZ$44,J$2-$E$2,FALSE)*$D$11*$D$14*(1+$D$13)^($F65-'הנחות עבודה'!$C$5)/$D$11)</f>
        <v>0</v>
      </c>
      <c r="K65" s="44">
        <f ca="1">IF($F65&gt;$D$5,0,VLOOKUP($F65,$F$24:$BZ$44,K$2-$E$2,FALSE)*$D$11*$D$14*(1+$D$13)^($F65-'הנחות עבודה'!$C$5)/$D$11)</f>
        <v>0</v>
      </c>
      <c r="L65" s="44">
        <f ca="1">IF($F65&gt;$D$5,0,VLOOKUP($F65,$F$24:$BZ$44,L$2-$E$2,FALSE)*$D$11*$D$14*(1+$D$13)^($F65-'הנחות עבודה'!$C$5)/$D$11)</f>
        <v>0</v>
      </c>
      <c r="M65" s="42">
        <f ca="1">IF($F65&gt;$D$5,0,VLOOKUP($F65,$F$24:$BZ$44,M$2-$E$2,FALSE)*$D$11*$D$14*(1+$D$13)^($F65-'הנחות עבודה'!$C$5)/$D$11)</f>
        <v>1288.5839764023408</v>
      </c>
      <c r="N65" s="42">
        <f ca="1">IF($F65&gt;$D$5,0,VLOOKUP($F65,$F$24:$BZ$44,N$2-$E$2,FALSE)*$D$11*$D$14*(1+$D$13)^($F65-'הנחות עבודה'!$C$5)/$D$11)</f>
        <v>5328.7514029605045</v>
      </c>
      <c r="O65" s="42">
        <f ca="1">IF($F65&gt;$D$5,0,VLOOKUP($F65,$F$24:$BZ$44,O$2-$E$2,FALSE)*$D$11*$D$14*(1+$D$13)^($F65-'הנחות עבודה'!$C$5)/$D$11)</f>
        <v>0</v>
      </c>
      <c r="P65" s="43">
        <f ca="1">IF($F65&gt;$D$5,0,VLOOKUP($F65,$F$24:$BZ$44,P$2-$E$2,FALSE)*$D$11*$D$14*(1+$D$13)^($F65-'הנחות עבודה'!$C$5)/$D$11)</f>
        <v>0</v>
      </c>
      <c r="Q65" s="42">
        <f ca="1">IF($F65&gt;$D$5,0,VLOOKUP($F65,$F$24:$BZ$44,Q$2-$E$2,FALSE)*$D$11*$D$14*(1+$D$13)^($F65-'הנחות עבודה'!$C$5)/$D$11)</f>
        <v>0</v>
      </c>
      <c r="R65" s="43">
        <f ca="1">IF($F65&gt;$D$5,0,VLOOKUP($F65,$F$24:$BZ$44,R$2-$E$2,FALSE)*$D$11*$D$14*(1+$D$13)^($F65-'הנחות עבודה'!$C$5)/$D$11)</f>
        <v>0</v>
      </c>
      <c r="S65" s="52">
        <f ca="1">IF($F65&gt;$D$5,0,VLOOKUP($F65,$F$24:$BZ$44,S$2-$E$2,FALSE)*$D$11*$D$14*(1+$D$13)^($F65-'הנחות עבודה'!$C$5)/$D$11)</f>
        <v>0</v>
      </c>
      <c r="T65" s="127">
        <f ca="1">IF($F65&gt;$D$5,0,VLOOKUP($F65,$F$24:$BZ$44,T$2-$E$2,FALSE)*$D$11*$D$14*(1+$D$13)^($F65-'הנחות עבודה'!$C$5)/$D$11)</f>
        <v>0</v>
      </c>
      <c r="U65" s="127">
        <f ca="1">IF($F65&gt;$D$5,0,VLOOKUP($F65,$F$24:$BZ$44,U$2-$E$2,FALSE)*$D$11*$D$14*(1+$D$13)^($F65-'הנחות עבודה'!$C$5)/$D$11)</f>
        <v>0</v>
      </c>
      <c r="V65" s="127">
        <f ca="1">IF($F65&gt;$D$5,0,VLOOKUP($F65,$F$24:$BZ$44,V$2-$E$2,FALSE)*$D$11*$D$14*(1+$D$13)^($F65-'הנחות עבודה'!$C$5)/$D$11)</f>
        <v>0</v>
      </c>
      <c r="W65" s="127">
        <f ca="1">IF($F65&gt;$D$5,0,VLOOKUP($F65,$F$24:$BZ$44,W$2-$E$2,FALSE)*$D$11*$D$14*(1+$D$13)^($F65-'הנחות עבודה'!$C$5)/$D$11)</f>
        <v>0</v>
      </c>
      <c r="X65" s="127">
        <f ca="1">IF($F65&gt;$D$5,0,VLOOKUP($F65,$F$24:$BZ$44,X$2-$E$2,FALSE)*$D$11*$D$14*(1+$D$13)^($F65-'הנחות עבודה'!$C$5)/$D$11)</f>
        <v>0</v>
      </c>
      <c r="Y65" s="52">
        <f ca="1">IF($F65&gt;$D$5,0,VLOOKUP($F65,$F$24:$BZ$44,Y$2-$E$2,FALSE)*$D$11*$D$14*(1+$D$13)^($F65-'הנחות עבודה'!$C$5)/$D$11)</f>
        <v>1288.5839764023408</v>
      </c>
      <c r="Z65" s="52">
        <f ca="1">IF($F65&gt;$D$5,0,VLOOKUP($F65,$F$24:$BZ$44,Z$2-$E$2,FALSE)*$D$11*$D$14*(1+$D$13)^($F65-'הנחות עבודה'!$C$5)/$D$11)</f>
        <v>5328.7514029605045</v>
      </c>
      <c r="AA65" s="52">
        <f ca="1">IF($F65&gt;$D$5,0,VLOOKUP($F65,$F$24:$BZ$44,AA$2-$E$2,FALSE)*$D$11*$D$14*(1+$D$13)^($F65-'הנחות עבודה'!$C$5)/$D$11)</f>
        <v>0</v>
      </c>
      <c r="AB65" s="52">
        <f ca="1">IF($F65&gt;$D$5,0,VLOOKUP($F65,$F$24:$BZ$44,AB$2-$E$2,FALSE)*$D$11*$D$14*(1+$D$13)^($F65-'הנחות עבודה'!$C$5)/$D$11)</f>
        <v>0</v>
      </c>
      <c r="AC65" s="52">
        <f ca="1">IF($F65&gt;$D$5,0,VLOOKUP($F65,$F$24:$BZ$44,AC$2-$E$2,FALSE)*$D$11*$D$14*(1+$D$13)^($F65-'הנחות עבודה'!$C$5)/$D$11)</f>
        <v>0</v>
      </c>
      <c r="AD65" s="52">
        <f ca="1">IF($F65&gt;$D$5,0,VLOOKUP($F65,$F$24:$BZ$44,AD$2-$E$2,FALSE)*$D$11*$D$14*(1+$D$13)^($F65-'הנחות עבודה'!$C$5)/$D$11)</f>
        <v>0</v>
      </c>
      <c r="AE65" s="42">
        <f ca="1">IF($F65&gt;$D$5,0,VLOOKUP($F65,$F$24:$BZ$44,AE$2-$E$2,FALSE)*$D$11*$D$14*(1+$D$13)^($F65-'הנחות עבודה'!$C$5)/$D$11)</f>
        <v>0</v>
      </c>
      <c r="AF65" s="44">
        <f ca="1">IF($F65&gt;$D$5,0,VLOOKUP($F65,$F$24:$BZ$44,AF$2-$E$2,FALSE)*$D$11*$D$14*(1+$D$13)^($F65-'הנחות עבודה'!$C$5)/$D$11)</f>
        <v>0</v>
      </c>
      <c r="AG65" s="44">
        <f ca="1">IF($F65&gt;$D$5,0,VLOOKUP($F65,$F$24:$BZ$44,AG$2-$E$2,FALSE)*$D$11*$D$14*(1+$D$13)^($F65-'הנחות עבודה'!$C$5)/$D$11)</f>
        <v>0</v>
      </c>
      <c r="AH65" s="44">
        <f ca="1">IF($F65&gt;$D$5,0,VLOOKUP($F65,$F$24:$BZ$44,AH$2-$E$2,FALSE)*$D$11*$D$14*(1+$D$13)^($F65-'הנחות עבודה'!$C$5)/$D$11)</f>
        <v>0</v>
      </c>
      <c r="AI65" s="44">
        <f ca="1">IF($F65&gt;$D$5,0,VLOOKUP($F65,$F$24:$BZ$44,AI$2-$E$2,FALSE)*$D$11*$D$14*(1+$D$13)^($F65-'הנחות עבודה'!$C$5)/$D$11)</f>
        <v>0</v>
      </c>
      <c r="AJ65" s="44">
        <f ca="1">IF($F65&gt;$D$5,0,VLOOKUP($F65,$F$24:$BZ$44,AJ$2-$E$2,FALSE)*$D$11*$D$14*(1+$D$13)^($F65-'הנחות עבודה'!$C$5)/$D$11)</f>
        <v>0</v>
      </c>
      <c r="AK65" s="42">
        <f ca="1">IF($F65&gt;$D$5,0,VLOOKUP($F65,$F$24:$BZ$44,AK$2-$E$2,FALSE)*$D$11*$D$14*(1+$D$13)^($F65-'הנחות עבודה'!$C$5)/$D$11)</f>
        <v>1374.2559047460309</v>
      </c>
      <c r="AL65" s="42">
        <f ca="1">IF($F65&gt;$D$5,0,VLOOKUP($F65,$F$24:$BZ$44,AL$2-$E$2,FALSE)*$D$11*$D$14*(1+$D$13)^($F65-'הנחות עבודה'!$C$5)/$D$11)</f>
        <v>4743.9762138249189</v>
      </c>
      <c r="AM65" s="42">
        <f ca="1">IF($F65&gt;$D$5,0,VLOOKUP($F65,$F$24:$BZ$44,AM$2-$E$2,FALSE)*$D$11*$D$14*(1+$D$13)^($F65-'הנחות עבודה'!$C$5)/$D$11)</f>
        <v>0</v>
      </c>
      <c r="AN65" s="43">
        <f ca="1">IF($F65&gt;$D$5,0,VLOOKUP($F65,$F$24:$BZ$44,AN$2-$E$2,FALSE)*$D$11*$D$14*(1+$D$13)^($F65-'הנחות עבודה'!$C$5)/$D$11)</f>
        <v>0</v>
      </c>
      <c r="AO65" s="42">
        <f ca="1">IF($F65&gt;$D$5,0,VLOOKUP($F65,$F$24:$BZ$44,AO$2-$E$2,FALSE)*$D$11*$D$14*(1+$D$13)^($F65-'הנחות עבודה'!$C$5)/$D$11)</f>
        <v>0</v>
      </c>
      <c r="AP65" s="43">
        <f ca="1">IF($F65&gt;$D$5,0,VLOOKUP($F65,$F$24:$BZ$44,AP$2-$E$2,FALSE)*$D$11*$D$14*(1+$D$13)^($F65-'הנחות עבודה'!$C$5)/$D$11)</f>
        <v>0</v>
      </c>
      <c r="AQ65" s="52">
        <f ca="1">IF($F65&gt;$D$5,0,VLOOKUP($F65,$F$24:$BZ$44,AQ$2-$E$2,FALSE)*$D$11*$D$14*(1+$D$13)^($F65-'הנחות עבודה'!$C$5)/$D$11)</f>
        <v>0</v>
      </c>
      <c r="AR65" s="127">
        <f ca="1">IF($F65&gt;$D$5,0,VLOOKUP($F65,$F$24:$BZ$44,AR$2-$E$2,FALSE)*$D$11*$D$14*(1+$D$13)^($F65-'הנחות עבודה'!$C$5)/$D$11)</f>
        <v>0</v>
      </c>
      <c r="AS65" s="127">
        <f ca="1">IF($F65&gt;$D$5,0,VLOOKUP($F65,$F$24:$BZ$44,AS$2-$E$2,FALSE)*$D$11*$D$14*(1+$D$13)^($F65-'הנחות עבודה'!$C$5)/$D$11)</f>
        <v>0</v>
      </c>
      <c r="AT65" s="127">
        <f ca="1">IF($F65&gt;$D$5,0,VLOOKUP($F65,$F$24:$BZ$44,AT$2-$E$2,FALSE)*$D$11*$D$14*(1+$D$13)^($F65-'הנחות עבודה'!$C$5)/$D$11)</f>
        <v>0</v>
      </c>
      <c r="AU65" s="127">
        <f ca="1">IF($F65&gt;$D$5,0,VLOOKUP($F65,$F$24:$BZ$44,AU$2-$E$2,FALSE)*$D$11*$D$14*(1+$D$13)^($F65-'הנחות עבודה'!$C$5)/$D$11)</f>
        <v>0</v>
      </c>
      <c r="AV65" s="127">
        <f ca="1">IF($F65&gt;$D$5,0,VLOOKUP($F65,$F$24:$BZ$44,AV$2-$E$2,FALSE)*$D$11*$D$14*(1+$D$13)^($F65-'הנחות עבודה'!$C$5)/$D$11)</f>
        <v>0</v>
      </c>
      <c r="AW65" s="52">
        <f ca="1">IF($F65&gt;$D$5,0,VLOOKUP($F65,$F$24:$BZ$44,AW$2-$E$2,FALSE)*$D$11*$D$14*(1+$D$13)^($F65-'הנחות עבודה'!$C$5)/$D$11)</f>
        <v>1374.2559047460309</v>
      </c>
      <c r="AX65" s="52">
        <f ca="1">IF($F65&gt;$D$5,0,VLOOKUP($F65,$F$24:$BZ$44,AX$2-$E$2,FALSE)*$D$11*$D$14*(1+$D$13)^($F65-'הנחות עבודה'!$C$5)/$D$11)</f>
        <v>4743.9762138249189</v>
      </c>
      <c r="AY65" s="52">
        <f ca="1">IF($F65&gt;$D$5,0,VLOOKUP($F65,$F$24:$BZ$44,AY$2-$E$2,FALSE)*$D$11*$D$14*(1+$D$13)^($F65-'הנחות עבודה'!$C$5)/$D$11)</f>
        <v>0</v>
      </c>
      <c r="AZ65" s="52">
        <f ca="1">IF($F65&gt;$D$5,0,VLOOKUP($F65,$F$24:$BZ$44,AZ$2-$E$2,FALSE)*$D$11*$D$14*(1+$D$13)^($F65-'הנחות עבודה'!$C$5)/$D$11)</f>
        <v>0</v>
      </c>
      <c r="BA65" s="52">
        <f ca="1">IF($F65&gt;$D$5,0,VLOOKUP($F65,$F$24:$BZ$44,BA$2-$E$2,FALSE)*$D$11*$D$14*(1+$D$13)^($F65-'הנחות עבודה'!$C$5)/$D$11)</f>
        <v>0</v>
      </c>
      <c r="BB65" s="52">
        <f ca="1">IF($F65&gt;$D$5,0,VLOOKUP($F65,$F$24:$BZ$44,BB$2-$E$2,FALSE)*$D$11*$D$14*(1+$D$13)^($F65-'הנחות עבודה'!$C$5)/$D$11)</f>
        <v>0</v>
      </c>
      <c r="BC65" s="42">
        <f ca="1">IF($F65&gt;$D$5,0,VLOOKUP($F65,$F$24:$BZ$44,BC$2-$E$2,FALSE)*$D$11*$D$14*(1+$D$13)^($F65-'הנחות עבודה'!$C$5)/$D$11)</f>
        <v>0</v>
      </c>
      <c r="BD65" s="44">
        <f ca="1">IF($F65&gt;$D$5,0,VLOOKUP($F65,$F$24:$BZ$44,BD$2-$E$2,FALSE)*$D$11*$D$14*(1+$D$13)^($F65-'הנחות עבודה'!$C$5)/$D$11)</f>
        <v>0</v>
      </c>
      <c r="BE65" s="44">
        <f ca="1">IF($F65&gt;$D$5,0,VLOOKUP($F65,$F$24:$BZ$44,BE$2-$E$2,FALSE)*$D$11*$D$14*(1+$D$13)^($F65-'הנחות עבודה'!$C$5)/$D$11)</f>
        <v>0</v>
      </c>
      <c r="BF65" s="44">
        <f ca="1">IF($F65&gt;$D$5,0,VLOOKUP($F65,$F$24:$BZ$44,BF$2-$E$2,FALSE)*$D$11*$D$14*(1+$D$13)^($F65-'הנחות עבודה'!$C$5)/$D$11)</f>
        <v>0</v>
      </c>
      <c r="BG65" s="44">
        <f ca="1">IF($F65&gt;$D$5,0,VLOOKUP($F65,$F$24:$BZ$44,BG$2-$E$2,FALSE)*$D$11*$D$14*(1+$D$13)^($F65-'הנחות עבודה'!$C$5)/$D$11)</f>
        <v>0</v>
      </c>
      <c r="BH65" s="44">
        <f ca="1">IF($F65&gt;$D$5,0,VLOOKUP($F65,$F$24:$BZ$44,BH$2-$E$2,FALSE)*$D$11*$D$14*(1+$D$13)^($F65-'הנחות עבודה'!$C$5)/$D$11)</f>
        <v>0</v>
      </c>
      <c r="BI65" s="42">
        <f ca="1">IF($F65&gt;$D$5,0,VLOOKUP($F65,$F$24:$BZ$44,BI$2-$E$2,FALSE)*$D$11*$D$14*(1+$D$13)^($F65-'הנחות עבודה'!$C$5)/$D$11)</f>
        <v>1407.711938494833</v>
      </c>
      <c r="BJ65" s="42">
        <f ca="1">IF($F65&gt;$D$5,0,VLOOKUP($F65,$F$24:$BZ$44,BJ$2-$E$2,FALSE)*$D$11*$D$14*(1+$D$13)^($F65-'הנחות עבודה'!$C$5)/$D$11)</f>
        <v>4394.8974126113662</v>
      </c>
      <c r="BK65" s="42">
        <f ca="1">IF($F65&gt;$D$5,0,VLOOKUP($F65,$F$24:$BZ$44,BK$2-$E$2,FALSE)*$D$11*$D$14*(1+$D$13)^($F65-'הנחות עבודה'!$C$5)/$D$11)</f>
        <v>0</v>
      </c>
      <c r="BL65" s="42">
        <f ca="1">IF($F65&gt;$D$5,0,VLOOKUP($F65,$F$24:$BZ$44,BL$2-$E$2,FALSE)*$D$11*$D$14*(1+$D$13)^($F65-'הנחות עבודה'!$C$5)/$D$11)</f>
        <v>0</v>
      </c>
      <c r="BM65" s="42">
        <f ca="1">IF($F65&gt;$D$5,0,VLOOKUP($F65,$F$24:$BZ$44,BM$2-$E$2,FALSE)*$D$11*$D$14*(1+$D$13)^($F65-'הנחות עבודה'!$C$5)/$D$11)</f>
        <v>0</v>
      </c>
      <c r="BN65" s="42">
        <f ca="1">IF($F65&gt;$D$5,0,VLOOKUP($F65,$F$24:$BZ$44,BN$2-$E$2,FALSE)*$D$11*$D$14*(1+$D$13)^($F65-'הנחות עבודה'!$C$5)/$D$11)</f>
        <v>0</v>
      </c>
      <c r="BO65" s="52">
        <f ca="1">IF($F65&gt;$D$5,0,VLOOKUP($F65,$F$24:$BZ$44,BO$2-$E$2,FALSE)*$D$11*$D$14*(1+$D$13)^($F65-'הנחות עבודה'!$C$5)/$D$11)</f>
        <v>0</v>
      </c>
      <c r="BP65" s="127">
        <f ca="1">IF($F65&gt;$D$5,0,VLOOKUP($F65,$F$24:$BZ$44,BP$2-$E$2,FALSE)*$D$11*$D$14*(1+$D$13)^($F65-'הנחות עבודה'!$C$5)/$D$11)</f>
        <v>0</v>
      </c>
      <c r="BQ65" s="127">
        <f ca="1">IF($F65&gt;$D$5,0,VLOOKUP($F65,$F$24:$BZ$44,BQ$2-$E$2,FALSE)*$D$11*$D$14*(1+$D$13)^($F65-'הנחות עבודה'!$C$5)/$D$11)</f>
        <v>0</v>
      </c>
      <c r="BR65" s="127">
        <f ca="1">IF($F65&gt;$D$5,0,VLOOKUP($F65,$F$24:$BZ$44,BR$2-$E$2,FALSE)*$D$11*$D$14*(1+$D$13)^($F65-'הנחות עבודה'!$C$5)/$D$11)</f>
        <v>0</v>
      </c>
      <c r="BS65" s="127">
        <f ca="1">IF($F65&gt;$D$5,0,VLOOKUP($F65,$F$24:$BZ$44,BS$2-$E$2,FALSE)*$D$11*$D$14*(1+$D$13)^($F65-'הנחות עבודה'!$C$5)/$D$11)</f>
        <v>0</v>
      </c>
      <c r="BT65" s="127">
        <f ca="1">IF($F65&gt;$D$5,0,VLOOKUP($F65,$F$24:$BZ$44,BT$2-$E$2,FALSE)*$D$11*$D$14*(1+$D$13)^($F65-'הנחות עבודה'!$C$5)/$D$11)</f>
        <v>0</v>
      </c>
      <c r="BU65" s="52">
        <f ca="1">IF($F65&gt;$D$5,0,VLOOKUP($F65,$F$24:$BZ$44,BU$2-$E$2,FALSE)*$D$11*$D$14*(1+$D$13)^($F65-'הנחות עבודה'!$C$5)/$D$11)</f>
        <v>1407.711938494833</v>
      </c>
      <c r="BV65" s="52">
        <f ca="1">IF($F65&gt;$D$5,0,VLOOKUP($F65,$F$24:$BZ$44,BV$2-$E$2,FALSE)*$D$11*$D$14*(1+$D$13)^($F65-'הנחות עבודה'!$C$5)/$D$11)</f>
        <v>4394.8974126113662</v>
      </c>
      <c r="BW65" s="52">
        <f ca="1">IF($F65&gt;$D$5,0,VLOOKUP($F65,$F$24:$BZ$44,BW$2-$E$2,FALSE)*$D$11*$D$14*(1+$D$13)^($F65-'הנחות עבודה'!$C$5)/$D$11)</f>
        <v>0</v>
      </c>
      <c r="BX65" s="52">
        <f ca="1">IF($F65&gt;$D$5,0,VLOOKUP($F65,$F$24:$BZ$44,BX$2-$E$2,FALSE)*$D$11*$D$14*(1+$D$13)^($F65-'הנחות עבודה'!$C$5)/$D$11)</f>
        <v>0</v>
      </c>
      <c r="BY65" s="52">
        <f ca="1">IF($F65&gt;$D$5,0,VLOOKUP($F65,$F$24:$BZ$44,BY$2-$E$2,FALSE)*$D$11*$D$14*(1+$D$13)^($F65-'הנחות עבודה'!$C$5)/$D$11)</f>
        <v>0</v>
      </c>
      <c r="BZ65" s="52">
        <f ca="1">IF($F65&gt;$D$5,0,VLOOKUP($F65,$F$24:$BZ$44,BZ$2-$E$2,FALSE)*$D$11*$D$14*(1+$D$13)^($F65-'הנחות עבודה'!$C$5)/$D$11)</f>
        <v>0</v>
      </c>
    </row>
    <row r="66" spans="6:78" ht="15.75">
      <c r="F66" s="10">
        <f t="shared" si="130"/>
        <v>2035</v>
      </c>
      <c r="G66" s="42">
        <f ca="1">IF($F66&gt;$D$5,0,VLOOKUP($F66,$F$24:$BZ$44,G$2-$E$2,FALSE)*$D$11*$D$14*(1+$D$13)^($F66-'הנחות עבודה'!$C$5)/$D$11)</f>
        <v>0</v>
      </c>
      <c r="H66" s="44">
        <f ca="1">IF($F66&gt;$D$5,0,VLOOKUP($F66,$F$24:$BZ$44,H$2-$E$2,FALSE)*$D$11*$D$14*(1+$D$13)^($F66-'הנחות עבודה'!$C$5)/$D$11)</f>
        <v>0</v>
      </c>
      <c r="I66" s="44">
        <f ca="1">IF($F66&gt;$D$5,0,VLOOKUP($F66,$F$24:$BZ$44,I$2-$E$2,FALSE)*$D$11*$D$14*(1+$D$13)^($F66-'הנחות עבודה'!$C$5)/$D$11)</f>
        <v>0</v>
      </c>
      <c r="J66" s="44">
        <f ca="1">IF($F66&gt;$D$5,0,VLOOKUP($F66,$F$24:$BZ$44,J$2-$E$2,FALSE)*$D$11*$D$14*(1+$D$13)^($F66-'הנחות עבודה'!$C$5)/$D$11)</f>
        <v>0</v>
      </c>
      <c r="K66" s="44">
        <f ca="1">IF($F66&gt;$D$5,0,VLOOKUP($F66,$F$24:$BZ$44,K$2-$E$2,FALSE)*$D$11*$D$14*(1+$D$13)^($F66-'הנחות עבודה'!$C$5)/$D$11)</f>
        <v>0</v>
      </c>
      <c r="L66" s="44">
        <f ca="1">IF($F66&gt;$D$5,0,VLOOKUP($F66,$F$24:$BZ$44,L$2-$E$2,FALSE)*$D$11*$D$14*(1+$D$13)^($F66-'הנחות עבודה'!$C$5)/$D$11)</f>
        <v>0</v>
      </c>
      <c r="M66" s="42">
        <f ca="1">IF($F66&gt;$D$5,0,VLOOKUP($F66,$F$24:$BZ$44,M$2-$E$2,FALSE)*$D$11*$D$14*(1+$D$13)^($F66-'הנחות עבודה'!$C$5)/$D$11)</f>
        <v>1322.8295616900984</v>
      </c>
      <c r="N66" s="42">
        <f ca="1">IF($F66&gt;$D$5,0,VLOOKUP($F66,$F$24:$BZ$44,N$2-$E$2,FALSE)*$D$11*$D$14*(1+$D$13)^($F66-'הנחות עבודה'!$C$5)/$D$11)</f>
        <v>5662.4087091816446</v>
      </c>
      <c r="O66" s="42">
        <f ca="1">IF($F66&gt;$D$5,0,VLOOKUP($F66,$F$24:$BZ$44,O$2-$E$2,FALSE)*$D$11*$D$14*(1+$D$13)^($F66-'הנחות עבודה'!$C$5)/$D$11)</f>
        <v>0</v>
      </c>
      <c r="P66" s="43">
        <f ca="1">IF($F66&gt;$D$5,0,VLOOKUP($F66,$F$24:$BZ$44,P$2-$E$2,FALSE)*$D$11*$D$14*(1+$D$13)^($F66-'הנחות עבודה'!$C$5)/$D$11)</f>
        <v>0</v>
      </c>
      <c r="Q66" s="42">
        <f ca="1">IF($F66&gt;$D$5,0,VLOOKUP($F66,$F$24:$BZ$44,Q$2-$E$2,FALSE)*$D$11*$D$14*(1+$D$13)^($F66-'הנחות עבודה'!$C$5)/$D$11)</f>
        <v>0</v>
      </c>
      <c r="R66" s="43">
        <f ca="1">IF($F66&gt;$D$5,0,VLOOKUP($F66,$F$24:$BZ$44,R$2-$E$2,FALSE)*$D$11*$D$14*(1+$D$13)^($F66-'הנחות עבודה'!$C$5)/$D$11)</f>
        <v>0</v>
      </c>
      <c r="S66" s="52">
        <f ca="1">IF($F66&gt;$D$5,0,VLOOKUP($F66,$F$24:$BZ$44,S$2-$E$2,FALSE)*$D$11*$D$14*(1+$D$13)^($F66-'הנחות עבודה'!$C$5)/$D$11)</f>
        <v>0</v>
      </c>
      <c r="T66" s="127">
        <f ca="1">IF($F66&gt;$D$5,0,VLOOKUP($F66,$F$24:$BZ$44,T$2-$E$2,FALSE)*$D$11*$D$14*(1+$D$13)^($F66-'הנחות עבודה'!$C$5)/$D$11)</f>
        <v>0</v>
      </c>
      <c r="U66" s="127">
        <f ca="1">IF($F66&gt;$D$5,0,VLOOKUP($F66,$F$24:$BZ$44,U$2-$E$2,FALSE)*$D$11*$D$14*(1+$D$13)^($F66-'הנחות עבודה'!$C$5)/$D$11)</f>
        <v>0</v>
      </c>
      <c r="V66" s="127">
        <f ca="1">IF($F66&gt;$D$5,0,VLOOKUP($F66,$F$24:$BZ$44,V$2-$E$2,FALSE)*$D$11*$D$14*(1+$D$13)^($F66-'הנחות עבודה'!$C$5)/$D$11)</f>
        <v>0</v>
      </c>
      <c r="W66" s="127">
        <f ca="1">IF($F66&gt;$D$5,0,VLOOKUP($F66,$F$24:$BZ$44,W$2-$E$2,FALSE)*$D$11*$D$14*(1+$D$13)^($F66-'הנחות עבודה'!$C$5)/$D$11)</f>
        <v>0</v>
      </c>
      <c r="X66" s="127">
        <f ca="1">IF($F66&gt;$D$5,0,VLOOKUP($F66,$F$24:$BZ$44,X$2-$E$2,FALSE)*$D$11*$D$14*(1+$D$13)^($F66-'הנחות עבודה'!$C$5)/$D$11)</f>
        <v>0</v>
      </c>
      <c r="Y66" s="52">
        <f ca="1">IF($F66&gt;$D$5,0,VLOOKUP($F66,$F$24:$BZ$44,Y$2-$E$2,FALSE)*$D$11*$D$14*(1+$D$13)^($F66-'הנחות עבודה'!$C$5)/$D$11)</f>
        <v>1322.8295616900984</v>
      </c>
      <c r="Z66" s="52">
        <f ca="1">IF($F66&gt;$D$5,0,VLOOKUP($F66,$F$24:$BZ$44,Z$2-$E$2,FALSE)*$D$11*$D$14*(1+$D$13)^($F66-'הנחות עבודה'!$C$5)/$D$11)</f>
        <v>5662.4087091816446</v>
      </c>
      <c r="AA66" s="52">
        <f ca="1">IF($F66&gt;$D$5,0,VLOOKUP($F66,$F$24:$BZ$44,AA$2-$E$2,FALSE)*$D$11*$D$14*(1+$D$13)^($F66-'הנחות עבודה'!$C$5)/$D$11)</f>
        <v>0</v>
      </c>
      <c r="AB66" s="52">
        <f ca="1">IF($F66&gt;$D$5,0,VLOOKUP($F66,$F$24:$BZ$44,AB$2-$E$2,FALSE)*$D$11*$D$14*(1+$D$13)^($F66-'הנחות עבודה'!$C$5)/$D$11)</f>
        <v>0</v>
      </c>
      <c r="AC66" s="52">
        <f ca="1">IF($F66&gt;$D$5,0,VLOOKUP($F66,$F$24:$BZ$44,AC$2-$E$2,FALSE)*$D$11*$D$14*(1+$D$13)^($F66-'הנחות עבודה'!$C$5)/$D$11)</f>
        <v>0</v>
      </c>
      <c r="AD66" s="52">
        <f ca="1">IF($F66&gt;$D$5,0,VLOOKUP($F66,$F$24:$BZ$44,AD$2-$E$2,FALSE)*$D$11*$D$14*(1+$D$13)^($F66-'הנחות עבודה'!$C$5)/$D$11)</f>
        <v>0</v>
      </c>
      <c r="AE66" s="42">
        <f ca="1">IF($F66&gt;$D$5,0,VLOOKUP($F66,$F$24:$BZ$44,AE$2-$E$2,FALSE)*$D$11*$D$14*(1+$D$13)^($F66-'הנחות עבודה'!$C$5)/$D$11)</f>
        <v>0</v>
      </c>
      <c r="AF66" s="44">
        <f ca="1">IF($F66&gt;$D$5,0,VLOOKUP($F66,$F$24:$BZ$44,AF$2-$E$2,FALSE)*$D$11*$D$14*(1+$D$13)^($F66-'הנחות עבודה'!$C$5)/$D$11)</f>
        <v>0</v>
      </c>
      <c r="AG66" s="44">
        <f ca="1">IF($F66&gt;$D$5,0,VLOOKUP($F66,$F$24:$BZ$44,AG$2-$E$2,FALSE)*$D$11*$D$14*(1+$D$13)^($F66-'הנחות עבודה'!$C$5)/$D$11)</f>
        <v>0</v>
      </c>
      <c r="AH66" s="44">
        <f ca="1">IF($F66&gt;$D$5,0,VLOOKUP($F66,$F$24:$BZ$44,AH$2-$E$2,FALSE)*$D$11*$D$14*(1+$D$13)^($F66-'הנחות עבודה'!$C$5)/$D$11)</f>
        <v>0</v>
      </c>
      <c r="AI66" s="44">
        <f ca="1">IF($F66&gt;$D$5,0,VLOOKUP($F66,$F$24:$BZ$44,AI$2-$E$2,FALSE)*$D$11*$D$14*(1+$D$13)^($F66-'הנחות עבודה'!$C$5)/$D$11)</f>
        <v>0</v>
      </c>
      <c r="AJ66" s="44">
        <f ca="1">IF($F66&gt;$D$5,0,VLOOKUP($F66,$F$24:$BZ$44,AJ$2-$E$2,FALSE)*$D$11*$D$14*(1+$D$13)^($F66-'הנחות עבודה'!$C$5)/$D$11)</f>
        <v>0</v>
      </c>
      <c r="AK66" s="42">
        <f ca="1">IF($F66&gt;$D$5,0,VLOOKUP($F66,$F$24:$BZ$44,AK$2-$E$2,FALSE)*$D$11*$D$14*(1+$D$13)^($F66-'הנחות עבודה'!$C$5)/$D$11)</f>
        <v>1413.9347660257461</v>
      </c>
      <c r="AL66" s="42">
        <f ca="1">IF($F66&gt;$D$5,0,VLOOKUP($F66,$F$24:$BZ$44,AL$2-$E$2,FALSE)*$D$11*$D$14*(1+$D$13)^($F66-'הנחות עבודה'!$C$5)/$D$11)</f>
        <v>5066.4624377695991</v>
      </c>
      <c r="AM66" s="42">
        <f ca="1">IF($F66&gt;$D$5,0,VLOOKUP($F66,$F$24:$BZ$44,AM$2-$E$2,FALSE)*$D$11*$D$14*(1+$D$13)^($F66-'הנחות עבודה'!$C$5)/$D$11)</f>
        <v>0</v>
      </c>
      <c r="AN66" s="43">
        <f ca="1">IF($F66&gt;$D$5,0,VLOOKUP($F66,$F$24:$BZ$44,AN$2-$E$2,FALSE)*$D$11*$D$14*(1+$D$13)^($F66-'הנחות עבודה'!$C$5)/$D$11)</f>
        <v>0</v>
      </c>
      <c r="AO66" s="42">
        <f ca="1">IF($F66&gt;$D$5,0,VLOOKUP($F66,$F$24:$BZ$44,AO$2-$E$2,FALSE)*$D$11*$D$14*(1+$D$13)^($F66-'הנחות עבודה'!$C$5)/$D$11)</f>
        <v>0</v>
      </c>
      <c r="AP66" s="43">
        <f ca="1">IF($F66&gt;$D$5,0,VLOOKUP($F66,$F$24:$BZ$44,AP$2-$E$2,FALSE)*$D$11*$D$14*(1+$D$13)^($F66-'הנחות עבודה'!$C$5)/$D$11)</f>
        <v>0</v>
      </c>
      <c r="AQ66" s="52">
        <f ca="1">IF($F66&gt;$D$5,0,VLOOKUP($F66,$F$24:$BZ$44,AQ$2-$E$2,FALSE)*$D$11*$D$14*(1+$D$13)^($F66-'הנחות עבודה'!$C$5)/$D$11)</f>
        <v>0</v>
      </c>
      <c r="AR66" s="127">
        <f ca="1">IF($F66&gt;$D$5,0,VLOOKUP($F66,$F$24:$BZ$44,AR$2-$E$2,FALSE)*$D$11*$D$14*(1+$D$13)^($F66-'הנחות עבודה'!$C$5)/$D$11)</f>
        <v>0</v>
      </c>
      <c r="AS66" s="127">
        <f ca="1">IF($F66&gt;$D$5,0,VLOOKUP($F66,$F$24:$BZ$44,AS$2-$E$2,FALSE)*$D$11*$D$14*(1+$D$13)^($F66-'הנחות עבודה'!$C$5)/$D$11)</f>
        <v>0</v>
      </c>
      <c r="AT66" s="127">
        <f ca="1">IF($F66&gt;$D$5,0,VLOOKUP($F66,$F$24:$BZ$44,AT$2-$E$2,FALSE)*$D$11*$D$14*(1+$D$13)^($F66-'הנחות עבודה'!$C$5)/$D$11)</f>
        <v>0</v>
      </c>
      <c r="AU66" s="127">
        <f ca="1">IF($F66&gt;$D$5,0,VLOOKUP($F66,$F$24:$BZ$44,AU$2-$E$2,FALSE)*$D$11*$D$14*(1+$D$13)^($F66-'הנחות עבודה'!$C$5)/$D$11)</f>
        <v>0</v>
      </c>
      <c r="AV66" s="127">
        <f ca="1">IF($F66&gt;$D$5,0,VLOOKUP($F66,$F$24:$BZ$44,AV$2-$E$2,FALSE)*$D$11*$D$14*(1+$D$13)^($F66-'הנחות עבודה'!$C$5)/$D$11)</f>
        <v>0</v>
      </c>
      <c r="AW66" s="52">
        <f ca="1">IF($F66&gt;$D$5,0,VLOOKUP($F66,$F$24:$BZ$44,AW$2-$E$2,FALSE)*$D$11*$D$14*(1+$D$13)^($F66-'הנחות עבודה'!$C$5)/$D$11)</f>
        <v>1413.9347660257461</v>
      </c>
      <c r="AX66" s="52">
        <f ca="1">IF($F66&gt;$D$5,0,VLOOKUP($F66,$F$24:$BZ$44,AX$2-$E$2,FALSE)*$D$11*$D$14*(1+$D$13)^($F66-'הנחות עבודה'!$C$5)/$D$11)</f>
        <v>5066.4624377695991</v>
      </c>
      <c r="AY66" s="52">
        <f ca="1">IF($F66&gt;$D$5,0,VLOOKUP($F66,$F$24:$BZ$44,AY$2-$E$2,FALSE)*$D$11*$D$14*(1+$D$13)^($F66-'הנחות עבודה'!$C$5)/$D$11)</f>
        <v>0</v>
      </c>
      <c r="AZ66" s="52">
        <f ca="1">IF($F66&gt;$D$5,0,VLOOKUP($F66,$F$24:$BZ$44,AZ$2-$E$2,FALSE)*$D$11*$D$14*(1+$D$13)^($F66-'הנחות עבודה'!$C$5)/$D$11)</f>
        <v>0</v>
      </c>
      <c r="BA66" s="52">
        <f ca="1">IF($F66&gt;$D$5,0,VLOOKUP($F66,$F$24:$BZ$44,BA$2-$E$2,FALSE)*$D$11*$D$14*(1+$D$13)^($F66-'הנחות עבודה'!$C$5)/$D$11)</f>
        <v>0</v>
      </c>
      <c r="BB66" s="52">
        <f ca="1">IF($F66&gt;$D$5,0,VLOOKUP($F66,$F$24:$BZ$44,BB$2-$E$2,FALSE)*$D$11*$D$14*(1+$D$13)^($F66-'הנחות עבודה'!$C$5)/$D$11)</f>
        <v>0</v>
      </c>
      <c r="BC66" s="42">
        <f ca="1">IF($F66&gt;$D$5,0,VLOOKUP($F66,$F$24:$BZ$44,BC$2-$E$2,FALSE)*$D$11*$D$14*(1+$D$13)^($F66-'הנחות עבודה'!$C$5)/$D$11)</f>
        <v>0</v>
      </c>
      <c r="BD66" s="44">
        <f ca="1">IF($F66&gt;$D$5,0,VLOOKUP($F66,$F$24:$BZ$44,BD$2-$E$2,FALSE)*$D$11*$D$14*(1+$D$13)^($F66-'הנחות עבודה'!$C$5)/$D$11)</f>
        <v>0</v>
      </c>
      <c r="BE66" s="44">
        <f ca="1">IF($F66&gt;$D$5,0,VLOOKUP($F66,$F$24:$BZ$44,BE$2-$E$2,FALSE)*$D$11*$D$14*(1+$D$13)^($F66-'הנחות עבודה'!$C$5)/$D$11)</f>
        <v>0</v>
      </c>
      <c r="BF66" s="44">
        <f ca="1">IF($F66&gt;$D$5,0,VLOOKUP($F66,$F$24:$BZ$44,BF$2-$E$2,FALSE)*$D$11*$D$14*(1+$D$13)^($F66-'הנחות עבודה'!$C$5)/$D$11)</f>
        <v>0</v>
      </c>
      <c r="BG66" s="44">
        <f ca="1">IF($F66&gt;$D$5,0,VLOOKUP($F66,$F$24:$BZ$44,BG$2-$E$2,FALSE)*$D$11*$D$14*(1+$D$13)^($F66-'הנחות עבודה'!$C$5)/$D$11)</f>
        <v>0</v>
      </c>
      <c r="BH66" s="44">
        <f ca="1">IF($F66&gt;$D$5,0,VLOOKUP($F66,$F$24:$BZ$44,BH$2-$E$2,FALSE)*$D$11*$D$14*(1+$D$13)^($F66-'הנחות עבודה'!$C$5)/$D$11)</f>
        <v>0</v>
      </c>
      <c r="BI66" s="42">
        <f ca="1">IF($F66&gt;$D$5,0,VLOOKUP($F66,$F$24:$BZ$44,BI$2-$E$2,FALSE)*$D$11*$D$14*(1+$D$13)^($F66-'הנחות עבודה'!$C$5)/$D$11)</f>
        <v>1444.1721767973297</v>
      </c>
      <c r="BJ66" s="42">
        <f ca="1">IF($F66&gt;$D$5,0,VLOOKUP($F66,$F$24:$BZ$44,BJ$2-$E$2,FALSE)*$D$11*$D$14*(1+$D$13)^($F66-'הנחות עבודה'!$C$5)/$D$11)</f>
        <v>4715.0717330831822</v>
      </c>
      <c r="BK66" s="42">
        <f ca="1">IF($F66&gt;$D$5,0,VLOOKUP($F66,$F$24:$BZ$44,BK$2-$E$2,FALSE)*$D$11*$D$14*(1+$D$13)^($F66-'הנחות עבודה'!$C$5)/$D$11)</f>
        <v>0</v>
      </c>
      <c r="BL66" s="42">
        <f ca="1">IF($F66&gt;$D$5,0,VLOOKUP($F66,$F$24:$BZ$44,BL$2-$E$2,FALSE)*$D$11*$D$14*(1+$D$13)^($F66-'הנחות עבודה'!$C$5)/$D$11)</f>
        <v>0</v>
      </c>
      <c r="BM66" s="42">
        <f ca="1">IF($F66&gt;$D$5,0,VLOOKUP($F66,$F$24:$BZ$44,BM$2-$E$2,FALSE)*$D$11*$D$14*(1+$D$13)^($F66-'הנחות עבודה'!$C$5)/$D$11)</f>
        <v>0</v>
      </c>
      <c r="BN66" s="42">
        <f ca="1">IF($F66&gt;$D$5,0,VLOOKUP($F66,$F$24:$BZ$44,BN$2-$E$2,FALSE)*$D$11*$D$14*(1+$D$13)^($F66-'הנחות עבודה'!$C$5)/$D$11)</f>
        <v>0</v>
      </c>
      <c r="BO66" s="52">
        <f ca="1">IF($F66&gt;$D$5,0,VLOOKUP($F66,$F$24:$BZ$44,BO$2-$E$2,FALSE)*$D$11*$D$14*(1+$D$13)^($F66-'הנחות עבודה'!$C$5)/$D$11)</f>
        <v>0</v>
      </c>
      <c r="BP66" s="127">
        <f ca="1">IF($F66&gt;$D$5,0,VLOOKUP($F66,$F$24:$BZ$44,BP$2-$E$2,FALSE)*$D$11*$D$14*(1+$D$13)^($F66-'הנחות עבודה'!$C$5)/$D$11)</f>
        <v>0</v>
      </c>
      <c r="BQ66" s="127">
        <f ca="1">IF($F66&gt;$D$5,0,VLOOKUP($F66,$F$24:$BZ$44,BQ$2-$E$2,FALSE)*$D$11*$D$14*(1+$D$13)^($F66-'הנחות עבודה'!$C$5)/$D$11)</f>
        <v>0</v>
      </c>
      <c r="BR66" s="127">
        <f ca="1">IF($F66&gt;$D$5,0,VLOOKUP($F66,$F$24:$BZ$44,BR$2-$E$2,FALSE)*$D$11*$D$14*(1+$D$13)^($F66-'הנחות עבודה'!$C$5)/$D$11)</f>
        <v>0</v>
      </c>
      <c r="BS66" s="127">
        <f ca="1">IF($F66&gt;$D$5,0,VLOOKUP($F66,$F$24:$BZ$44,BS$2-$E$2,FALSE)*$D$11*$D$14*(1+$D$13)^($F66-'הנחות עבודה'!$C$5)/$D$11)</f>
        <v>0</v>
      </c>
      <c r="BT66" s="127">
        <f ca="1">IF($F66&gt;$D$5,0,VLOOKUP($F66,$F$24:$BZ$44,BT$2-$E$2,FALSE)*$D$11*$D$14*(1+$D$13)^($F66-'הנחות עבודה'!$C$5)/$D$11)</f>
        <v>0</v>
      </c>
      <c r="BU66" s="52">
        <f ca="1">IF($F66&gt;$D$5,0,VLOOKUP($F66,$F$24:$BZ$44,BU$2-$E$2,FALSE)*$D$11*$D$14*(1+$D$13)^($F66-'הנחות עבודה'!$C$5)/$D$11)</f>
        <v>1444.1721767973297</v>
      </c>
      <c r="BV66" s="52">
        <f ca="1">IF($F66&gt;$D$5,0,VLOOKUP($F66,$F$24:$BZ$44,BV$2-$E$2,FALSE)*$D$11*$D$14*(1+$D$13)^($F66-'הנחות עבודה'!$C$5)/$D$11)</f>
        <v>4715.0717330831822</v>
      </c>
      <c r="BW66" s="52">
        <f ca="1">IF($F66&gt;$D$5,0,VLOOKUP($F66,$F$24:$BZ$44,BW$2-$E$2,FALSE)*$D$11*$D$14*(1+$D$13)^($F66-'הנחות עבודה'!$C$5)/$D$11)</f>
        <v>0</v>
      </c>
      <c r="BX66" s="52">
        <f ca="1">IF($F66&gt;$D$5,0,VLOOKUP($F66,$F$24:$BZ$44,BX$2-$E$2,FALSE)*$D$11*$D$14*(1+$D$13)^($F66-'הנחות עבודה'!$C$5)/$D$11)</f>
        <v>0</v>
      </c>
      <c r="BY66" s="52">
        <f ca="1">IF($F66&gt;$D$5,0,VLOOKUP($F66,$F$24:$BZ$44,BY$2-$E$2,FALSE)*$D$11*$D$14*(1+$D$13)^($F66-'הנחות עבודה'!$C$5)/$D$11)</f>
        <v>0</v>
      </c>
      <c r="BZ66" s="52">
        <f ca="1">IF($F66&gt;$D$5,0,VLOOKUP($F66,$F$24:$BZ$44,BZ$2-$E$2,FALSE)*$D$11*$D$14*(1+$D$13)^($F66-'הנחות עבודה'!$C$5)/$D$11)</f>
        <v>0</v>
      </c>
    </row>
    <row r="67" spans="6:78" ht="15.75">
      <c r="F67" s="10">
        <f t="shared" si="130"/>
        <v>2036</v>
      </c>
      <c r="G67" s="42">
        <f ca="1">IF($F67&gt;$D$5,0,VLOOKUP($F67,$F$24:$BZ$44,G$2-$E$2,FALSE)*$D$11*$D$14*(1+$D$13)^($F67-'הנחות עבודה'!$C$5)/$D$11)</f>
        <v>0</v>
      </c>
      <c r="H67" s="44">
        <f ca="1">IF($F67&gt;$D$5,0,VLOOKUP($F67,$F$24:$BZ$44,H$2-$E$2,FALSE)*$D$11*$D$14*(1+$D$13)^($F67-'הנחות עבודה'!$C$5)/$D$11)</f>
        <v>0</v>
      </c>
      <c r="I67" s="44">
        <f ca="1">IF($F67&gt;$D$5,0,VLOOKUP($F67,$F$24:$BZ$44,I$2-$E$2,FALSE)*$D$11*$D$14*(1+$D$13)^($F67-'הנחות עבודה'!$C$5)/$D$11)</f>
        <v>0</v>
      </c>
      <c r="J67" s="44">
        <f ca="1">IF($F67&gt;$D$5,0,VLOOKUP($F67,$F$24:$BZ$44,J$2-$E$2,FALSE)*$D$11*$D$14*(1+$D$13)^($F67-'הנחות עבודה'!$C$5)/$D$11)</f>
        <v>0</v>
      </c>
      <c r="K67" s="44">
        <f ca="1">IF($F67&gt;$D$5,0,VLOOKUP($F67,$F$24:$BZ$44,K$2-$E$2,FALSE)*$D$11*$D$14*(1+$D$13)^($F67-'הנחות עבודה'!$C$5)/$D$11)</f>
        <v>0</v>
      </c>
      <c r="L67" s="44">
        <f ca="1">IF($F67&gt;$D$5,0,VLOOKUP($F67,$F$24:$BZ$44,L$2-$E$2,FALSE)*$D$11*$D$14*(1+$D$13)^($F67-'הנחות עבודה'!$C$5)/$D$11)</f>
        <v>0</v>
      </c>
      <c r="M67" s="42">
        <f ca="1">IF($F67&gt;$D$5,0,VLOOKUP($F67,$F$24:$BZ$44,M$2-$E$2,FALSE)*$D$11*$D$14*(1+$D$13)^($F67-'הנחות עבודה'!$C$5)/$D$11)</f>
        <v>1377.1002124167985</v>
      </c>
      <c r="N67" s="42">
        <f ca="1">IF($F67&gt;$D$5,0,VLOOKUP($F67,$F$24:$BZ$44,N$2-$E$2,FALSE)*$D$11*$D$14*(1+$D$13)^($F67-'הנחות עבודה'!$C$5)/$D$11)</f>
        <v>5999.0479386058196</v>
      </c>
      <c r="O67" s="42">
        <f ca="1">IF($F67&gt;$D$5,0,VLOOKUP($F67,$F$24:$BZ$44,O$2-$E$2,FALSE)*$D$11*$D$14*(1+$D$13)^($F67-'הנחות עבודה'!$C$5)/$D$11)</f>
        <v>0</v>
      </c>
      <c r="P67" s="43">
        <f ca="1">IF($F67&gt;$D$5,0,VLOOKUP($F67,$F$24:$BZ$44,P$2-$E$2,FALSE)*$D$11*$D$14*(1+$D$13)^($F67-'הנחות עבודה'!$C$5)/$D$11)</f>
        <v>0</v>
      </c>
      <c r="Q67" s="42">
        <f ca="1">IF($F67&gt;$D$5,0,VLOOKUP($F67,$F$24:$BZ$44,Q$2-$E$2,FALSE)*$D$11*$D$14*(1+$D$13)^($F67-'הנחות עבודה'!$C$5)/$D$11)</f>
        <v>0</v>
      </c>
      <c r="R67" s="43">
        <f ca="1">IF($F67&gt;$D$5,0,VLOOKUP($F67,$F$24:$BZ$44,R$2-$E$2,FALSE)*$D$11*$D$14*(1+$D$13)^($F67-'הנחות עבודה'!$C$5)/$D$11)</f>
        <v>0</v>
      </c>
      <c r="S67" s="52">
        <f ca="1">IF($F67&gt;$D$5,0,VLOOKUP($F67,$F$24:$BZ$44,S$2-$E$2,FALSE)*$D$11*$D$14*(1+$D$13)^($F67-'הנחות עבודה'!$C$5)/$D$11)</f>
        <v>0</v>
      </c>
      <c r="T67" s="127">
        <f ca="1">IF($F67&gt;$D$5,0,VLOOKUP($F67,$F$24:$BZ$44,T$2-$E$2,FALSE)*$D$11*$D$14*(1+$D$13)^($F67-'הנחות עבודה'!$C$5)/$D$11)</f>
        <v>0</v>
      </c>
      <c r="U67" s="127">
        <f ca="1">IF($F67&gt;$D$5,0,VLOOKUP($F67,$F$24:$BZ$44,U$2-$E$2,FALSE)*$D$11*$D$14*(1+$D$13)^($F67-'הנחות עבודה'!$C$5)/$D$11)</f>
        <v>0</v>
      </c>
      <c r="V67" s="127">
        <f ca="1">IF($F67&gt;$D$5,0,VLOOKUP($F67,$F$24:$BZ$44,V$2-$E$2,FALSE)*$D$11*$D$14*(1+$D$13)^($F67-'הנחות עבודה'!$C$5)/$D$11)</f>
        <v>0</v>
      </c>
      <c r="W67" s="127">
        <f ca="1">IF($F67&gt;$D$5,0,VLOOKUP($F67,$F$24:$BZ$44,W$2-$E$2,FALSE)*$D$11*$D$14*(1+$D$13)^($F67-'הנחות עבודה'!$C$5)/$D$11)</f>
        <v>0</v>
      </c>
      <c r="X67" s="127">
        <f ca="1">IF($F67&gt;$D$5,0,VLOOKUP($F67,$F$24:$BZ$44,X$2-$E$2,FALSE)*$D$11*$D$14*(1+$D$13)^($F67-'הנחות עבודה'!$C$5)/$D$11)</f>
        <v>0</v>
      </c>
      <c r="Y67" s="52">
        <f ca="1">IF($F67&gt;$D$5,0,VLOOKUP($F67,$F$24:$BZ$44,Y$2-$E$2,FALSE)*$D$11*$D$14*(1+$D$13)^($F67-'הנחות עבודה'!$C$5)/$D$11)</f>
        <v>1377.1002124167985</v>
      </c>
      <c r="Z67" s="52">
        <f ca="1">IF($F67&gt;$D$5,0,VLOOKUP($F67,$F$24:$BZ$44,Z$2-$E$2,FALSE)*$D$11*$D$14*(1+$D$13)^($F67-'הנחות עבודה'!$C$5)/$D$11)</f>
        <v>5999.0479386058196</v>
      </c>
      <c r="AA67" s="52">
        <f ca="1">IF($F67&gt;$D$5,0,VLOOKUP($F67,$F$24:$BZ$44,AA$2-$E$2,FALSE)*$D$11*$D$14*(1+$D$13)^($F67-'הנחות עבודה'!$C$5)/$D$11)</f>
        <v>0</v>
      </c>
      <c r="AB67" s="52">
        <f ca="1">IF($F67&gt;$D$5,0,VLOOKUP($F67,$F$24:$BZ$44,AB$2-$E$2,FALSE)*$D$11*$D$14*(1+$D$13)^($F67-'הנחות עבודה'!$C$5)/$D$11)</f>
        <v>0</v>
      </c>
      <c r="AC67" s="52">
        <f ca="1">IF($F67&gt;$D$5,0,VLOOKUP($F67,$F$24:$BZ$44,AC$2-$E$2,FALSE)*$D$11*$D$14*(1+$D$13)^($F67-'הנחות עבודה'!$C$5)/$D$11)</f>
        <v>0</v>
      </c>
      <c r="AD67" s="52">
        <f ca="1">IF($F67&gt;$D$5,0,VLOOKUP($F67,$F$24:$BZ$44,AD$2-$E$2,FALSE)*$D$11*$D$14*(1+$D$13)^($F67-'הנחות עבודה'!$C$5)/$D$11)</f>
        <v>0</v>
      </c>
      <c r="AE67" s="42">
        <f ca="1">IF($F67&gt;$D$5,0,VLOOKUP($F67,$F$24:$BZ$44,AE$2-$E$2,FALSE)*$D$11*$D$14*(1+$D$13)^($F67-'הנחות עבודה'!$C$5)/$D$11)</f>
        <v>0</v>
      </c>
      <c r="AF67" s="44">
        <f ca="1">IF($F67&gt;$D$5,0,VLOOKUP($F67,$F$24:$BZ$44,AF$2-$E$2,FALSE)*$D$11*$D$14*(1+$D$13)^($F67-'הנחות עבודה'!$C$5)/$D$11)</f>
        <v>0</v>
      </c>
      <c r="AG67" s="44">
        <f ca="1">IF($F67&gt;$D$5,0,VLOOKUP($F67,$F$24:$BZ$44,AG$2-$E$2,FALSE)*$D$11*$D$14*(1+$D$13)^($F67-'הנחות עבודה'!$C$5)/$D$11)</f>
        <v>0</v>
      </c>
      <c r="AH67" s="44">
        <f ca="1">IF($F67&gt;$D$5,0,VLOOKUP($F67,$F$24:$BZ$44,AH$2-$E$2,FALSE)*$D$11*$D$14*(1+$D$13)^($F67-'הנחות עבודה'!$C$5)/$D$11)</f>
        <v>0</v>
      </c>
      <c r="AI67" s="44">
        <f ca="1">IF($F67&gt;$D$5,0,VLOOKUP($F67,$F$24:$BZ$44,AI$2-$E$2,FALSE)*$D$11*$D$14*(1+$D$13)^($F67-'הנחות עבודה'!$C$5)/$D$11)</f>
        <v>0</v>
      </c>
      <c r="AJ67" s="44">
        <f ca="1">IF($F67&gt;$D$5,0,VLOOKUP($F67,$F$24:$BZ$44,AJ$2-$E$2,FALSE)*$D$11*$D$14*(1+$D$13)^($F67-'הנחות עבודה'!$C$5)/$D$11)</f>
        <v>0</v>
      </c>
      <c r="AK67" s="42">
        <f ca="1">IF($F67&gt;$D$5,0,VLOOKUP($F67,$F$24:$BZ$44,AK$2-$E$2,FALSE)*$D$11*$D$14*(1+$D$13)^($F67-'הנחות עבודה'!$C$5)/$D$11)</f>
        <v>1456.9048453840564</v>
      </c>
      <c r="AL67" s="42">
        <f ca="1">IF($F67&gt;$D$5,0,VLOOKUP($F67,$F$24:$BZ$44,AL$2-$E$2,FALSE)*$D$11*$D$14*(1+$D$13)^($F67-'הנחות עבודה'!$C$5)/$D$11)</f>
        <v>5404.5996826328465</v>
      </c>
      <c r="AM67" s="42">
        <f ca="1">IF($F67&gt;$D$5,0,VLOOKUP($F67,$F$24:$BZ$44,AM$2-$E$2,FALSE)*$D$11*$D$14*(1+$D$13)^($F67-'הנחות עבודה'!$C$5)/$D$11)</f>
        <v>0</v>
      </c>
      <c r="AN67" s="43">
        <f ca="1">IF($F67&gt;$D$5,0,VLOOKUP($F67,$F$24:$BZ$44,AN$2-$E$2,FALSE)*$D$11*$D$14*(1+$D$13)^($F67-'הנחות עבודה'!$C$5)/$D$11)</f>
        <v>0</v>
      </c>
      <c r="AO67" s="42">
        <f ca="1">IF($F67&gt;$D$5,0,VLOOKUP($F67,$F$24:$BZ$44,AO$2-$E$2,FALSE)*$D$11*$D$14*(1+$D$13)^($F67-'הנחות עבודה'!$C$5)/$D$11)</f>
        <v>0</v>
      </c>
      <c r="AP67" s="43">
        <f ca="1">IF($F67&gt;$D$5,0,VLOOKUP($F67,$F$24:$BZ$44,AP$2-$E$2,FALSE)*$D$11*$D$14*(1+$D$13)^($F67-'הנחות עבודה'!$C$5)/$D$11)</f>
        <v>0</v>
      </c>
      <c r="AQ67" s="52">
        <f ca="1">IF($F67&gt;$D$5,0,VLOOKUP($F67,$F$24:$BZ$44,AQ$2-$E$2,FALSE)*$D$11*$D$14*(1+$D$13)^($F67-'הנחות עבודה'!$C$5)/$D$11)</f>
        <v>0</v>
      </c>
      <c r="AR67" s="127">
        <f ca="1">IF($F67&gt;$D$5,0,VLOOKUP($F67,$F$24:$BZ$44,AR$2-$E$2,FALSE)*$D$11*$D$14*(1+$D$13)^($F67-'הנחות עבודה'!$C$5)/$D$11)</f>
        <v>0</v>
      </c>
      <c r="AS67" s="127">
        <f ca="1">IF($F67&gt;$D$5,0,VLOOKUP($F67,$F$24:$BZ$44,AS$2-$E$2,FALSE)*$D$11*$D$14*(1+$D$13)^($F67-'הנחות עבודה'!$C$5)/$D$11)</f>
        <v>0</v>
      </c>
      <c r="AT67" s="127">
        <f ca="1">IF($F67&gt;$D$5,0,VLOOKUP($F67,$F$24:$BZ$44,AT$2-$E$2,FALSE)*$D$11*$D$14*(1+$D$13)^($F67-'הנחות עבודה'!$C$5)/$D$11)</f>
        <v>0</v>
      </c>
      <c r="AU67" s="127">
        <f ca="1">IF($F67&gt;$D$5,0,VLOOKUP($F67,$F$24:$BZ$44,AU$2-$E$2,FALSE)*$D$11*$D$14*(1+$D$13)^($F67-'הנחות עבודה'!$C$5)/$D$11)</f>
        <v>0</v>
      </c>
      <c r="AV67" s="127">
        <f ca="1">IF($F67&gt;$D$5,0,VLOOKUP($F67,$F$24:$BZ$44,AV$2-$E$2,FALSE)*$D$11*$D$14*(1+$D$13)^($F67-'הנחות עבודה'!$C$5)/$D$11)</f>
        <v>0</v>
      </c>
      <c r="AW67" s="52">
        <f ca="1">IF($F67&gt;$D$5,0,VLOOKUP($F67,$F$24:$BZ$44,AW$2-$E$2,FALSE)*$D$11*$D$14*(1+$D$13)^($F67-'הנחות עבודה'!$C$5)/$D$11)</f>
        <v>1456.9048453840564</v>
      </c>
      <c r="AX67" s="52">
        <f ca="1">IF($F67&gt;$D$5,0,VLOOKUP($F67,$F$24:$BZ$44,AX$2-$E$2,FALSE)*$D$11*$D$14*(1+$D$13)^($F67-'הנחות עבודה'!$C$5)/$D$11)</f>
        <v>5404.5996826328465</v>
      </c>
      <c r="AY67" s="52">
        <f ca="1">IF($F67&gt;$D$5,0,VLOOKUP($F67,$F$24:$BZ$44,AY$2-$E$2,FALSE)*$D$11*$D$14*(1+$D$13)^($F67-'הנחות עבודה'!$C$5)/$D$11)</f>
        <v>0</v>
      </c>
      <c r="AZ67" s="52">
        <f ca="1">IF($F67&gt;$D$5,0,VLOOKUP($F67,$F$24:$BZ$44,AZ$2-$E$2,FALSE)*$D$11*$D$14*(1+$D$13)^($F67-'הנחות עבודה'!$C$5)/$D$11)</f>
        <v>0</v>
      </c>
      <c r="BA67" s="52">
        <f ca="1">IF($F67&gt;$D$5,0,VLOOKUP($F67,$F$24:$BZ$44,BA$2-$E$2,FALSE)*$D$11*$D$14*(1+$D$13)^($F67-'הנחות עבודה'!$C$5)/$D$11)</f>
        <v>0</v>
      </c>
      <c r="BB67" s="52">
        <f ca="1">IF($F67&gt;$D$5,0,VLOOKUP($F67,$F$24:$BZ$44,BB$2-$E$2,FALSE)*$D$11*$D$14*(1+$D$13)^($F67-'הנחות עבודה'!$C$5)/$D$11)</f>
        <v>0</v>
      </c>
      <c r="BC67" s="42">
        <f ca="1">IF($F67&gt;$D$5,0,VLOOKUP($F67,$F$24:$BZ$44,BC$2-$E$2,FALSE)*$D$11*$D$14*(1+$D$13)^($F67-'הנחות עבודה'!$C$5)/$D$11)</f>
        <v>0</v>
      </c>
      <c r="BD67" s="44">
        <f ca="1">IF($F67&gt;$D$5,0,VLOOKUP($F67,$F$24:$BZ$44,BD$2-$E$2,FALSE)*$D$11*$D$14*(1+$D$13)^($F67-'הנחות עבודה'!$C$5)/$D$11)</f>
        <v>0</v>
      </c>
      <c r="BE67" s="44">
        <f ca="1">IF($F67&gt;$D$5,0,VLOOKUP($F67,$F$24:$BZ$44,BE$2-$E$2,FALSE)*$D$11*$D$14*(1+$D$13)^($F67-'הנחות עבודה'!$C$5)/$D$11)</f>
        <v>0</v>
      </c>
      <c r="BF67" s="44">
        <f ca="1">IF($F67&gt;$D$5,0,VLOOKUP($F67,$F$24:$BZ$44,BF$2-$E$2,FALSE)*$D$11*$D$14*(1+$D$13)^($F67-'הנחות עבודה'!$C$5)/$D$11)</f>
        <v>0</v>
      </c>
      <c r="BG67" s="44">
        <f ca="1">IF($F67&gt;$D$5,0,VLOOKUP($F67,$F$24:$BZ$44,BG$2-$E$2,FALSE)*$D$11*$D$14*(1+$D$13)^($F67-'הנחות עבודה'!$C$5)/$D$11)</f>
        <v>0</v>
      </c>
      <c r="BH67" s="44">
        <f ca="1">IF($F67&gt;$D$5,0,VLOOKUP($F67,$F$24:$BZ$44,BH$2-$E$2,FALSE)*$D$11*$D$14*(1+$D$13)^($F67-'הנחות עבודה'!$C$5)/$D$11)</f>
        <v>0</v>
      </c>
      <c r="BI67" s="42">
        <f ca="1">IF($F67&gt;$D$5,0,VLOOKUP($F67,$F$24:$BZ$44,BI$2-$E$2,FALSE)*$D$11*$D$14*(1+$D$13)^($F67-'הנחות עבודה'!$C$5)/$D$11)</f>
        <v>1486.902525360528</v>
      </c>
      <c r="BJ67" s="42">
        <f ca="1">IF($F67&gt;$D$5,0,VLOOKUP($F67,$F$24:$BZ$44,BJ$2-$E$2,FALSE)*$D$11*$D$14*(1+$D$13)^($F67-'הנחות עבודה'!$C$5)/$D$11)</f>
        <v>5048.7925107696101</v>
      </c>
      <c r="BK67" s="42">
        <f ca="1">IF($F67&gt;$D$5,0,VLOOKUP($F67,$F$24:$BZ$44,BK$2-$E$2,FALSE)*$D$11*$D$14*(1+$D$13)^($F67-'הנחות עבודה'!$C$5)/$D$11)</f>
        <v>0</v>
      </c>
      <c r="BL67" s="42">
        <f ca="1">IF($F67&gt;$D$5,0,VLOOKUP($F67,$F$24:$BZ$44,BL$2-$E$2,FALSE)*$D$11*$D$14*(1+$D$13)^($F67-'הנחות עבודה'!$C$5)/$D$11)</f>
        <v>0</v>
      </c>
      <c r="BM67" s="42">
        <f ca="1">IF($F67&gt;$D$5,0,VLOOKUP($F67,$F$24:$BZ$44,BM$2-$E$2,FALSE)*$D$11*$D$14*(1+$D$13)^($F67-'הנחות עבודה'!$C$5)/$D$11)</f>
        <v>0</v>
      </c>
      <c r="BN67" s="42">
        <f ca="1">IF($F67&gt;$D$5,0,VLOOKUP($F67,$F$24:$BZ$44,BN$2-$E$2,FALSE)*$D$11*$D$14*(1+$D$13)^($F67-'הנחות עבודה'!$C$5)/$D$11)</f>
        <v>0</v>
      </c>
      <c r="BO67" s="52">
        <f ca="1">IF($F67&gt;$D$5,0,VLOOKUP($F67,$F$24:$BZ$44,BO$2-$E$2,FALSE)*$D$11*$D$14*(1+$D$13)^($F67-'הנחות עבודה'!$C$5)/$D$11)</f>
        <v>0</v>
      </c>
      <c r="BP67" s="127">
        <f ca="1">IF($F67&gt;$D$5,0,VLOOKUP($F67,$F$24:$BZ$44,BP$2-$E$2,FALSE)*$D$11*$D$14*(1+$D$13)^($F67-'הנחות עבודה'!$C$5)/$D$11)</f>
        <v>0</v>
      </c>
      <c r="BQ67" s="127">
        <f ca="1">IF($F67&gt;$D$5,0,VLOOKUP($F67,$F$24:$BZ$44,BQ$2-$E$2,FALSE)*$D$11*$D$14*(1+$D$13)^($F67-'הנחות עבודה'!$C$5)/$D$11)</f>
        <v>0</v>
      </c>
      <c r="BR67" s="127">
        <f ca="1">IF($F67&gt;$D$5,0,VLOOKUP($F67,$F$24:$BZ$44,BR$2-$E$2,FALSE)*$D$11*$D$14*(1+$D$13)^($F67-'הנחות עבודה'!$C$5)/$D$11)</f>
        <v>0</v>
      </c>
      <c r="BS67" s="127">
        <f ca="1">IF($F67&gt;$D$5,0,VLOOKUP($F67,$F$24:$BZ$44,BS$2-$E$2,FALSE)*$D$11*$D$14*(1+$D$13)^($F67-'הנחות עבודה'!$C$5)/$D$11)</f>
        <v>0</v>
      </c>
      <c r="BT67" s="127">
        <f ca="1">IF($F67&gt;$D$5,0,VLOOKUP($F67,$F$24:$BZ$44,BT$2-$E$2,FALSE)*$D$11*$D$14*(1+$D$13)^($F67-'הנחות עבודה'!$C$5)/$D$11)</f>
        <v>0</v>
      </c>
      <c r="BU67" s="52">
        <f ca="1">IF($F67&gt;$D$5,0,VLOOKUP($F67,$F$24:$BZ$44,BU$2-$E$2,FALSE)*$D$11*$D$14*(1+$D$13)^($F67-'הנחות עבודה'!$C$5)/$D$11)</f>
        <v>1486.902525360528</v>
      </c>
      <c r="BV67" s="52">
        <f ca="1">IF($F67&gt;$D$5,0,VLOOKUP($F67,$F$24:$BZ$44,BV$2-$E$2,FALSE)*$D$11*$D$14*(1+$D$13)^($F67-'הנחות עבודה'!$C$5)/$D$11)</f>
        <v>5048.7925107696101</v>
      </c>
      <c r="BW67" s="52">
        <f ca="1">IF($F67&gt;$D$5,0,VLOOKUP($F67,$F$24:$BZ$44,BW$2-$E$2,FALSE)*$D$11*$D$14*(1+$D$13)^($F67-'הנחות עבודה'!$C$5)/$D$11)</f>
        <v>0</v>
      </c>
      <c r="BX67" s="52">
        <f ca="1">IF($F67&gt;$D$5,0,VLOOKUP($F67,$F$24:$BZ$44,BX$2-$E$2,FALSE)*$D$11*$D$14*(1+$D$13)^($F67-'הנחות עבודה'!$C$5)/$D$11)</f>
        <v>0</v>
      </c>
      <c r="BY67" s="52">
        <f ca="1">IF($F67&gt;$D$5,0,VLOOKUP($F67,$F$24:$BZ$44,BY$2-$E$2,FALSE)*$D$11*$D$14*(1+$D$13)^($F67-'הנחות עבודה'!$C$5)/$D$11)</f>
        <v>0</v>
      </c>
      <c r="BZ67" s="52">
        <f ca="1">IF($F67&gt;$D$5,0,VLOOKUP($F67,$F$24:$BZ$44,BZ$2-$E$2,FALSE)*$D$11*$D$14*(1+$D$13)^($F67-'הנחות עבודה'!$C$5)/$D$11)</f>
        <v>0</v>
      </c>
    </row>
    <row r="68" spans="6:78" ht="15.75">
      <c r="F68" s="10">
        <f t="shared" si="130"/>
        <v>2037</v>
      </c>
      <c r="G68" s="42">
        <f ca="1">IF($F68&gt;$D$5,0,VLOOKUP($F68,$F$24:$BZ$44,G$2-$E$2,FALSE)*$D$11*$D$14*(1+$D$13)^($F68-'הנחות עבודה'!$C$5)/$D$11)</f>
        <v>0</v>
      </c>
      <c r="H68" s="44">
        <f ca="1">IF($F68&gt;$D$5,0,VLOOKUP($F68,$F$24:$BZ$44,H$2-$E$2,FALSE)*$D$11*$D$14*(1+$D$13)^($F68-'הנחות עבודה'!$C$5)/$D$11)</f>
        <v>0</v>
      </c>
      <c r="I68" s="44">
        <f ca="1">IF($F68&gt;$D$5,0,VLOOKUP($F68,$F$24:$BZ$44,I$2-$E$2,FALSE)*$D$11*$D$14*(1+$D$13)^($F68-'הנחות עבודה'!$C$5)/$D$11)</f>
        <v>0</v>
      </c>
      <c r="J68" s="44">
        <f ca="1">IF($F68&gt;$D$5,0,VLOOKUP($F68,$F$24:$BZ$44,J$2-$E$2,FALSE)*$D$11*$D$14*(1+$D$13)^($F68-'הנחות עבודה'!$C$5)/$D$11)</f>
        <v>0</v>
      </c>
      <c r="K68" s="44">
        <f ca="1">IF($F68&gt;$D$5,0,VLOOKUP($F68,$F$24:$BZ$44,K$2-$E$2,FALSE)*$D$11*$D$14*(1+$D$13)^($F68-'הנחות עבודה'!$C$5)/$D$11)</f>
        <v>0</v>
      </c>
      <c r="L68" s="44">
        <f ca="1">IF($F68&gt;$D$5,0,VLOOKUP($F68,$F$24:$BZ$44,L$2-$E$2,FALSE)*$D$11*$D$14*(1+$D$13)^($F68-'הנחות עבודה'!$C$5)/$D$11)</f>
        <v>0</v>
      </c>
      <c r="M68" s="42">
        <f ca="1">IF($F68&gt;$D$5,0,VLOOKUP($F68,$F$24:$BZ$44,M$2-$E$2,FALSE)*$D$11*$D$14*(1+$D$13)^($F68-'הנחות עבודה'!$C$5)/$D$11)</f>
        <v>1420.4181777588014</v>
      </c>
      <c r="N68" s="42">
        <f ca="1">IF($F68&gt;$D$5,0,VLOOKUP($F68,$F$24:$BZ$44,N$2-$E$2,FALSE)*$D$11*$D$14*(1+$D$13)^($F68-'הנחות עבודה'!$C$5)/$D$11)</f>
        <v>6364.1789711549472</v>
      </c>
      <c r="O68" s="42">
        <f ca="1">IF($F68&gt;$D$5,0,VLOOKUP($F68,$F$24:$BZ$44,O$2-$E$2,FALSE)*$D$11*$D$14*(1+$D$13)^($F68-'הנחות עבודה'!$C$5)/$D$11)</f>
        <v>0</v>
      </c>
      <c r="P68" s="43">
        <f ca="1">IF($F68&gt;$D$5,0,VLOOKUP($F68,$F$24:$BZ$44,P$2-$E$2,FALSE)*$D$11*$D$14*(1+$D$13)^($F68-'הנחות עבודה'!$C$5)/$D$11)</f>
        <v>0</v>
      </c>
      <c r="Q68" s="42">
        <f ca="1">IF($F68&gt;$D$5,0,VLOOKUP($F68,$F$24:$BZ$44,Q$2-$E$2,FALSE)*$D$11*$D$14*(1+$D$13)^($F68-'הנחות עבודה'!$C$5)/$D$11)</f>
        <v>0</v>
      </c>
      <c r="R68" s="43">
        <f ca="1">IF($F68&gt;$D$5,0,VLOOKUP($F68,$F$24:$BZ$44,R$2-$E$2,FALSE)*$D$11*$D$14*(1+$D$13)^($F68-'הנחות עבודה'!$C$5)/$D$11)</f>
        <v>0</v>
      </c>
      <c r="S68" s="52">
        <f ca="1">IF($F68&gt;$D$5,0,VLOOKUP($F68,$F$24:$BZ$44,S$2-$E$2,FALSE)*$D$11*$D$14*(1+$D$13)^($F68-'הנחות עבודה'!$C$5)/$D$11)</f>
        <v>0</v>
      </c>
      <c r="T68" s="127">
        <f ca="1">IF($F68&gt;$D$5,0,VLOOKUP($F68,$F$24:$BZ$44,T$2-$E$2,FALSE)*$D$11*$D$14*(1+$D$13)^($F68-'הנחות עבודה'!$C$5)/$D$11)</f>
        <v>0</v>
      </c>
      <c r="U68" s="127">
        <f ca="1">IF($F68&gt;$D$5,0,VLOOKUP($F68,$F$24:$BZ$44,U$2-$E$2,FALSE)*$D$11*$D$14*(1+$D$13)^($F68-'הנחות עבודה'!$C$5)/$D$11)</f>
        <v>0</v>
      </c>
      <c r="V68" s="127">
        <f ca="1">IF($F68&gt;$D$5,0,VLOOKUP($F68,$F$24:$BZ$44,V$2-$E$2,FALSE)*$D$11*$D$14*(1+$D$13)^($F68-'הנחות עבודה'!$C$5)/$D$11)</f>
        <v>0</v>
      </c>
      <c r="W68" s="127">
        <f ca="1">IF($F68&gt;$D$5,0,VLOOKUP($F68,$F$24:$BZ$44,W$2-$E$2,FALSE)*$D$11*$D$14*(1+$D$13)^($F68-'הנחות עבודה'!$C$5)/$D$11)</f>
        <v>0</v>
      </c>
      <c r="X68" s="127">
        <f ca="1">IF($F68&gt;$D$5,0,VLOOKUP($F68,$F$24:$BZ$44,X$2-$E$2,FALSE)*$D$11*$D$14*(1+$D$13)^($F68-'הנחות עבודה'!$C$5)/$D$11)</f>
        <v>0</v>
      </c>
      <c r="Y68" s="52">
        <f ca="1">IF($F68&gt;$D$5,0,VLOOKUP($F68,$F$24:$BZ$44,Y$2-$E$2,FALSE)*$D$11*$D$14*(1+$D$13)^($F68-'הנחות עבודה'!$C$5)/$D$11)</f>
        <v>1420.4181777588014</v>
      </c>
      <c r="Z68" s="52">
        <f ca="1">IF($F68&gt;$D$5,0,VLOOKUP($F68,$F$24:$BZ$44,Z$2-$E$2,FALSE)*$D$11*$D$14*(1+$D$13)^($F68-'הנחות עבודה'!$C$5)/$D$11)</f>
        <v>6364.1789711549472</v>
      </c>
      <c r="AA68" s="52">
        <f ca="1">IF($F68&gt;$D$5,0,VLOOKUP($F68,$F$24:$BZ$44,AA$2-$E$2,FALSE)*$D$11*$D$14*(1+$D$13)^($F68-'הנחות עבודה'!$C$5)/$D$11)</f>
        <v>0</v>
      </c>
      <c r="AB68" s="52">
        <f ca="1">IF($F68&gt;$D$5,0,VLOOKUP($F68,$F$24:$BZ$44,AB$2-$E$2,FALSE)*$D$11*$D$14*(1+$D$13)^($F68-'הנחות עבודה'!$C$5)/$D$11)</f>
        <v>0</v>
      </c>
      <c r="AC68" s="52">
        <f ca="1">IF($F68&gt;$D$5,0,VLOOKUP($F68,$F$24:$BZ$44,AC$2-$E$2,FALSE)*$D$11*$D$14*(1+$D$13)^($F68-'הנחות עבודה'!$C$5)/$D$11)</f>
        <v>0</v>
      </c>
      <c r="AD68" s="52">
        <f ca="1">IF($F68&gt;$D$5,0,VLOOKUP($F68,$F$24:$BZ$44,AD$2-$E$2,FALSE)*$D$11*$D$14*(1+$D$13)^($F68-'הנחות עבודה'!$C$5)/$D$11)</f>
        <v>0</v>
      </c>
      <c r="AE68" s="42">
        <f ca="1">IF($F68&gt;$D$5,0,VLOOKUP($F68,$F$24:$BZ$44,AE$2-$E$2,FALSE)*$D$11*$D$14*(1+$D$13)^($F68-'הנחות עבודה'!$C$5)/$D$11)</f>
        <v>0</v>
      </c>
      <c r="AF68" s="44">
        <f ca="1">IF($F68&gt;$D$5,0,VLOOKUP($F68,$F$24:$BZ$44,AF$2-$E$2,FALSE)*$D$11*$D$14*(1+$D$13)^($F68-'הנחות עבודה'!$C$5)/$D$11)</f>
        <v>0</v>
      </c>
      <c r="AG68" s="44">
        <f ca="1">IF($F68&gt;$D$5,0,VLOOKUP($F68,$F$24:$BZ$44,AG$2-$E$2,FALSE)*$D$11*$D$14*(1+$D$13)^($F68-'הנחות עבודה'!$C$5)/$D$11)</f>
        <v>0</v>
      </c>
      <c r="AH68" s="44">
        <f ca="1">IF($F68&gt;$D$5,0,VLOOKUP($F68,$F$24:$BZ$44,AH$2-$E$2,FALSE)*$D$11*$D$14*(1+$D$13)^($F68-'הנחות עבודה'!$C$5)/$D$11)</f>
        <v>0</v>
      </c>
      <c r="AI68" s="44">
        <f ca="1">IF($F68&gt;$D$5,0,VLOOKUP($F68,$F$24:$BZ$44,AI$2-$E$2,FALSE)*$D$11*$D$14*(1+$D$13)^($F68-'הנחות עבודה'!$C$5)/$D$11)</f>
        <v>0</v>
      </c>
      <c r="AJ68" s="44">
        <f ca="1">IF($F68&gt;$D$5,0,VLOOKUP($F68,$F$24:$BZ$44,AJ$2-$E$2,FALSE)*$D$11*$D$14*(1+$D$13)^($F68-'הנחות עבודה'!$C$5)/$D$11)</f>
        <v>0</v>
      </c>
      <c r="AK68" s="42">
        <f ca="1">IF($F68&gt;$D$5,0,VLOOKUP($F68,$F$24:$BZ$44,AK$2-$E$2,FALSE)*$D$11*$D$14*(1+$D$13)^($F68-'הנחות עבודה'!$C$5)/$D$11)</f>
        <v>1483.2014480624744</v>
      </c>
      <c r="AL68" s="42">
        <f ca="1">IF($F68&gt;$D$5,0,VLOOKUP($F68,$F$24:$BZ$44,AL$2-$E$2,FALSE)*$D$11*$D$14*(1+$D$13)^($F68-'הנחות עבודה'!$C$5)/$D$11)</f>
        <v>5775.4142618759115</v>
      </c>
      <c r="AM68" s="42">
        <f ca="1">IF($F68&gt;$D$5,0,VLOOKUP($F68,$F$24:$BZ$44,AM$2-$E$2,FALSE)*$D$11*$D$14*(1+$D$13)^($F68-'הנחות עבודה'!$C$5)/$D$11)</f>
        <v>0</v>
      </c>
      <c r="AN68" s="43">
        <f ca="1">IF($F68&gt;$D$5,0,VLOOKUP($F68,$F$24:$BZ$44,AN$2-$E$2,FALSE)*$D$11*$D$14*(1+$D$13)^($F68-'הנחות עבודה'!$C$5)/$D$11)</f>
        <v>0</v>
      </c>
      <c r="AO68" s="42">
        <f ca="1">IF($F68&gt;$D$5,0,VLOOKUP($F68,$F$24:$BZ$44,AO$2-$E$2,FALSE)*$D$11*$D$14*(1+$D$13)^($F68-'הנחות עבודה'!$C$5)/$D$11)</f>
        <v>0</v>
      </c>
      <c r="AP68" s="43">
        <f ca="1">IF($F68&gt;$D$5,0,VLOOKUP($F68,$F$24:$BZ$44,AP$2-$E$2,FALSE)*$D$11*$D$14*(1+$D$13)^($F68-'הנחות עבודה'!$C$5)/$D$11)</f>
        <v>0</v>
      </c>
      <c r="AQ68" s="52">
        <f ca="1">IF($F68&gt;$D$5,0,VLOOKUP($F68,$F$24:$BZ$44,AQ$2-$E$2,FALSE)*$D$11*$D$14*(1+$D$13)^($F68-'הנחות עבודה'!$C$5)/$D$11)</f>
        <v>0</v>
      </c>
      <c r="AR68" s="127">
        <f ca="1">IF($F68&gt;$D$5,0,VLOOKUP($F68,$F$24:$BZ$44,AR$2-$E$2,FALSE)*$D$11*$D$14*(1+$D$13)^($F68-'הנחות עבודה'!$C$5)/$D$11)</f>
        <v>0</v>
      </c>
      <c r="AS68" s="127">
        <f ca="1">IF($F68&gt;$D$5,0,VLOOKUP($F68,$F$24:$BZ$44,AS$2-$E$2,FALSE)*$D$11*$D$14*(1+$D$13)^($F68-'הנחות עבודה'!$C$5)/$D$11)</f>
        <v>0</v>
      </c>
      <c r="AT68" s="127">
        <f ca="1">IF($F68&gt;$D$5,0,VLOOKUP($F68,$F$24:$BZ$44,AT$2-$E$2,FALSE)*$D$11*$D$14*(1+$D$13)^($F68-'הנחות עבודה'!$C$5)/$D$11)</f>
        <v>0</v>
      </c>
      <c r="AU68" s="127">
        <f ca="1">IF($F68&gt;$D$5,0,VLOOKUP($F68,$F$24:$BZ$44,AU$2-$E$2,FALSE)*$D$11*$D$14*(1+$D$13)^($F68-'הנחות עבודה'!$C$5)/$D$11)</f>
        <v>0</v>
      </c>
      <c r="AV68" s="127">
        <f ca="1">IF($F68&gt;$D$5,0,VLOOKUP($F68,$F$24:$BZ$44,AV$2-$E$2,FALSE)*$D$11*$D$14*(1+$D$13)^($F68-'הנחות עבודה'!$C$5)/$D$11)</f>
        <v>0</v>
      </c>
      <c r="AW68" s="52">
        <f ca="1">IF($F68&gt;$D$5,0,VLOOKUP($F68,$F$24:$BZ$44,AW$2-$E$2,FALSE)*$D$11*$D$14*(1+$D$13)^($F68-'הנחות עבודה'!$C$5)/$D$11)</f>
        <v>1483.2014480624744</v>
      </c>
      <c r="AX68" s="52">
        <f ca="1">IF($F68&gt;$D$5,0,VLOOKUP($F68,$F$24:$BZ$44,AX$2-$E$2,FALSE)*$D$11*$D$14*(1+$D$13)^($F68-'הנחות עבודה'!$C$5)/$D$11)</f>
        <v>5775.4142618759115</v>
      </c>
      <c r="AY68" s="52">
        <f ca="1">IF($F68&gt;$D$5,0,VLOOKUP($F68,$F$24:$BZ$44,AY$2-$E$2,FALSE)*$D$11*$D$14*(1+$D$13)^($F68-'הנחות עבודה'!$C$5)/$D$11)</f>
        <v>0</v>
      </c>
      <c r="AZ68" s="52">
        <f ca="1">IF($F68&gt;$D$5,0,VLOOKUP($F68,$F$24:$BZ$44,AZ$2-$E$2,FALSE)*$D$11*$D$14*(1+$D$13)^($F68-'הנחות עבודה'!$C$5)/$D$11)</f>
        <v>0</v>
      </c>
      <c r="BA68" s="52">
        <f ca="1">IF($F68&gt;$D$5,0,VLOOKUP($F68,$F$24:$BZ$44,BA$2-$E$2,FALSE)*$D$11*$D$14*(1+$D$13)^($F68-'הנחות עבודה'!$C$5)/$D$11)</f>
        <v>0</v>
      </c>
      <c r="BB68" s="52">
        <f ca="1">IF($F68&gt;$D$5,0,VLOOKUP($F68,$F$24:$BZ$44,BB$2-$E$2,FALSE)*$D$11*$D$14*(1+$D$13)^($F68-'הנחות עבודה'!$C$5)/$D$11)</f>
        <v>0</v>
      </c>
      <c r="BC68" s="42">
        <f ca="1">IF($F68&gt;$D$5,0,VLOOKUP($F68,$F$24:$BZ$44,BC$2-$E$2,FALSE)*$D$11*$D$14*(1+$D$13)^($F68-'הנחות עבודה'!$C$5)/$D$11)</f>
        <v>0</v>
      </c>
      <c r="BD68" s="44">
        <f ca="1">IF($F68&gt;$D$5,0,VLOOKUP($F68,$F$24:$BZ$44,BD$2-$E$2,FALSE)*$D$11*$D$14*(1+$D$13)^($F68-'הנחות עבודה'!$C$5)/$D$11)</f>
        <v>0</v>
      </c>
      <c r="BE68" s="44">
        <f ca="1">IF($F68&gt;$D$5,0,VLOOKUP($F68,$F$24:$BZ$44,BE$2-$E$2,FALSE)*$D$11*$D$14*(1+$D$13)^($F68-'הנחות עבודה'!$C$5)/$D$11)</f>
        <v>0</v>
      </c>
      <c r="BF68" s="44">
        <f ca="1">IF($F68&gt;$D$5,0,VLOOKUP($F68,$F$24:$BZ$44,BF$2-$E$2,FALSE)*$D$11*$D$14*(1+$D$13)^($F68-'הנחות עבודה'!$C$5)/$D$11)</f>
        <v>0</v>
      </c>
      <c r="BG68" s="44">
        <f ca="1">IF($F68&gt;$D$5,0,VLOOKUP($F68,$F$24:$BZ$44,BG$2-$E$2,FALSE)*$D$11*$D$14*(1+$D$13)^($F68-'הנחות עבודה'!$C$5)/$D$11)</f>
        <v>0</v>
      </c>
      <c r="BH68" s="44">
        <f ca="1">IF($F68&gt;$D$5,0,VLOOKUP($F68,$F$24:$BZ$44,BH$2-$E$2,FALSE)*$D$11*$D$14*(1+$D$13)^($F68-'הנחות עבודה'!$C$5)/$D$11)</f>
        <v>0</v>
      </c>
      <c r="BI68" s="42">
        <f ca="1">IF($F68&gt;$D$5,0,VLOOKUP($F68,$F$24:$BZ$44,BI$2-$E$2,FALSE)*$D$11*$D$14*(1+$D$13)^($F68-'הנחות עבודה'!$C$5)/$D$11)</f>
        <v>1513.0166950652122</v>
      </c>
      <c r="BJ68" s="42">
        <f ca="1">IF($F68&gt;$D$5,0,VLOOKUP($F68,$F$24:$BZ$44,BJ$2-$E$2,FALSE)*$D$11*$D$14*(1+$D$13)^($F68-'הנחות עבודה'!$C$5)/$D$11)</f>
        <v>5415.4149409861402</v>
      </c>
      <c r="BK68" s="42">
        <f ca="1">IF($F68&gt;$D$5,0,VLOOKUP($F68,$F$24:$BZ$44,BK$2-$E$2,FALSE)*$D$11*$D$14*(1+$D$13)^($F68-'הנחות עבודה'!$C$5)/$D$11)</f>
        <v>0</v>
      </c>
      <c r="BL68" s="42">
        <f ca="1">IF($F68&gt;$D$5,0,VLOOKUP($F68,$F$24:$BZ$44,BL$2-$E$2,FALSE)*$D$11*$D$14*(1+$D$13)^($F68-'הנחות עבודה'!$C$5)/$D$11)</f>
        <v>0</v>
      </c>
      <c r="BM68" s="42">
        <f ca="1">IF($F68&gt;$D$5,0,VLOOKUP($F68,$F$24:$BZ$44,BM$2-$E$2,FALSE)*$D$11*$D$14*(1+$D$13)^($F68-'הנחות עבודה'!$C$5)/$D$11)</f>
        <v>0</v>
      </c>
      <c r="BN68" s="42">
        <f ca="1">IF($F68&gt;$D$5,0,VLOOKUP($F68,$F$24:$BZ$44,BN$2-$E$2,FALSE)*$D$11*$D$14*(1+$D$13)^($F68-'הנחות עבודה'!$C$5)/$D$11)</f>
        <v>0</v>
      </c>
      <c r="BO68" s="52">
        <f ca="1">IF($F68&gt;$D$5,0,VLOOKUP($F68,$F$24:$BZ$44,BO$2-$E$2,FALSE)*$D$11*$D$14*(1+$D$13)^($F68-'הנחות עבודה'!$C$5)/$D$11)</f>
        <v>0</v>
      </c>
      <c r="BP68" s="127">
        <f ca="1">IF($F68&gt;$D$5,0,VLOOKUP($F68,$F$24:$BZ$44,BP$2-$E$2,FALSE)*$D$11*$D$14*(1+$D$13)^($F68-'הנחות עבודה'!$C$5)/$D$11)</f>
        <v>0</v>
      </c>
      <c r="BQ68" s="127">
        <f ca="1">IF($F68&gt;$D$5,0,VLOOKUP($F68,$F$24:$BZ$44,BQ$2-$E$2,FALSE)*$D$11*$D$14*(1+$D$13)^($F68-'הנחות עבודה'!$C$5)/$D$11)</f>
        <v>0</v>
      </c>
      <c r="BR68" s="127">
        <f ca="1">IF($F68&gt;$D$5,0,VLOOKUP($F68,$F$24:$BZ$44,BR$2-$E$2,FALSE)*$D$11*$D$14*(1+$D$13)^($F68-'הנחות עבודה'!$C$5)/$D$11)</f>
        <v>0</v>
      </c>
      <c r="BS68" s="127">
        <f ca="1">IF($F68&gt;$D$5,0,VLOOKUP($F68,$F$24:$BZ$44,BS$2-$E$2,FALSE)*$D$11*$D$14*(1+$D$13)^($F68-'הנחות עבודה'!$C$5)/$D$11)</f>
        <v>0</v>
      </c>
      <c r="BT68" s="127">
        <f ca="1">IF($F68&gt;$D$5,0,VLOOKUP($F68,$F$24:$BZ$44,BT$2-$E$2,FALSE)*$D$11*$D$14*(1+$D$13)^($F68-'הנחות עבודה'!$C$5)/$D$11)</f>
        <v>0</v>
      </c>
      <c r="BU68" s="52">
        <f ca="1">IF($F68&gt;$D$5,0,VLOOKUP($F68,$F$24:$BZ$44,BU$2-$E$2,FALSE)*$D$11*$D$14*(1+$D$13)^($F68-'הנחות עבודה'!$C$5)/$D$11)</f>
        <v>1513.0166950652122</v>
      </c>
      <c r="BV68" s="52">
        <f ca="1">IF($F68&gt;$D$5,0,VLOOKUP($F68,$F$24:$BZ$44,BV$2-$E$2,FALSE)*$D$11*$D$14*(1+$D$13)^($F68-'הנחות עבודה'!$C$5)/$D$11)</f>
        <v>5415.4149409861402</v>
      </c>
      <c r="BW68" s="52">
        <f ca="1">IF($F68&gt;$D$5,0,VLOOKUP($F68,$F$24:$BZ$44,BW$2-$E$2,FALSE)*$D$11*$D$14*(1+$D$13)^($F68-'הנחות עבודה'!$C$5)/$D$11)</f>
        <v>0</v>
      </c>
      <c r="BX68" s="52">
        <f ca="1">IF($F68&gt;$D$5,0,VLOOKUP($F68,$F$24:$BZ$44,BX$2-$E$2,FALSE)*$D$11*$D$14*(1+$D$13)^($F68-'הנחות עבודה'!$C$5)/$D$11)</f>
        <v>0</v>
      </c>
      <c r="BY68" s="52">
        <f ca="1">IF($F68&gt;$D$5,0,VLOOKUP($F68,$F$24:$BZ$44,BY$2-$E$2,FALSE)*$D$11*$D$14*(1+$D$13)^($F68-'הנחות עבודה'!$C$5)/$D$11)</f>
        <v>0</v>
      </c>
      <c r="BZ68" s="52">
        <f ca="1">IF($F68&gt;$D$5,0,VLOOKUP($F68,$F$24:$BZ$44,BZ$2-$E$2,FALSE)*$D$11*$D$14*(1+$D$13)^($F68-'הנחות עבודה'!$C$5)/$D$11)</f>
        <v>0</v>
      </c>
    </row>
    <row r="69" spans="6:78" ht="15.75">
      <c r="F69" s="10">
        <f t="shared" si="130"/>
        <v>2038</v>
      </c>
      <c r="G69" s="42">
        <f ca="1">IF($F69&gt;$D$5,0,VLOOKUP($F69,$F$24:$BZ$44,G$2-$E$2,FALSE)*$D$11*$D$14*(1+$D$13)^($F69-'הנחות עבודה'!$C$5)/$D$11)</f>
        <v>0</v>
      </c>
      <c r="H69" s="44">
        <f ca="1">IF($F69&gt;$D$5,0,VLOOKUP($F69,$F$24:$BZ$44,H$2-$E$2,FALSE)*$D$11*$D$14*(1+$D$13)^($F69-'הנחות עבודה'!$C$5)/$D$11)</f>
        <v>0</v>
      </c>
      <c r="I69" s="44">
        <f ca="1">IF($F69&gt;$D$5,0,VLOOKUP($F69,$F$24:$BZ$44,I$2-$E$2,FALSE)*$D$11*$D$14*(1+$D$13)^($F69-'הנחות עבודה'!$C$5)/$D$11)</f>
        <v>0</v>
      </c>
      <c r="J69" s="44">
        <f ca="1">IF($F69&gt;$D$5,0,VLOOKUP($F69,$F$24:$BZ$44,J$2-$E$2,FALSE)*$D$11*$D$14*(1+$D$13)^($F69-'הנחות עבודה'!$C$5)/$D$11)</f>
        <v>0</v>
      </c>
      <c r="K69" s="44">
        <f ca="1">IF($F69&gt;$D$5,0,VLOOKUP($F69,$F$24:$BZ$44,K$2-$E$2,FALSE)*$D$11*$D$14*(1+$D$13)^($F69-'הנחות עבודה'!$C$5)/$D$11)</f>
        <v>0</v>
      </c>
      <c r="L69" s="44">
        <f ca="1">IF($F69&gt;$D$5,0,VLOOKUP($F69,$F$24:$BZ$44,L$2-$E$2,FALSE)*$D$11*$D$14*(1+$D$13)^($F69-'הנחות עבודה'!$C$5)/$D$11)</f>
        <v>0</v>
      </c>
      <c r="M69" s="42">
        <f ca="1">IF($F69&gt;$D$5,0,VLOOKUP($F69,$F$24:$BZ$44,M$2-$E$2,FALSE)*$D$11*$D$14*(1+$D$13)^($F69-'הנחות עבודה'!$C$5)/$D$11)</f>
        <v>1464.7208825138596</v>
      </c>
      <c r="N69" s="42">
        <f ca="1">IF($F69&gt;$D$5,0,VLOOKUP($F69,$F$24:$BZ$44,N$2-$E$2,FALSE)*$D$11*$D$14*(1+$D$13)^($F69-'הנחות עבודה'!$C$5)/$D$11)</f>
        <v>6749.7657181624609</v>
      </c>
      <c r="O69" s="42">
        <f ca="1">IF($F69&gt;$D$5,0,VLOOKUP($F69,$F$24:$BZ$44,O$2-$E$2,FALSE)*$D$11*$D$14*(1+$D$13)^($F69-'הנחות עבודה'!$C$5)/$D$11)</f>
        <v>0</v>
      </c>
      <c r="P69" s="43">
        <f ca="1">IF($F69&gt;$D$5,0,VLOOKUP($F69,$F$24:$BZ$44,P$2-$E$2,FALSE)*$D$11*$D$14*(1+$D$13)^($F69-'הנחות עבודה'!$C$5)/$D$11)</f>
        <v>0</v>
      </c>
      <c r="Q69" s="42">
        <f ca="1">IF($F69&gt;$D$5,0,VLOOKUP($F69,$F$24:$BZ$44,Q$2-$E$2,FALSE)*$D$11*$D$14*(1+$D$13)^($F69-'הנחות עבודה'!$C$5)/$D$11)</f>
        <v>0</v>
      </c>
      <c r="R69" s="43">
        <f ca="1">IF($F69&gt;$D$5,0,VLOOKUP($F69,$F$24:$BZ$44,R$2-$E$2,FALSE)*$D$11*$D$14*(1+$D$13)^($F69-'הנחות עבודה'!$C$5)/$D$11)</f>
        <v>0</v>
      </c>
      <c r="S69" s="52">
        <f ca="1">IF($F69&gt;$D$5,0,VLOOKUP($F69,$F$24:$BZ$44,S$2-$E$2,FALSE)*$D$11*$D$14*(1+$D$13)^($F69-'הנחות עבודה'!$C$5)/$D$11)</f>
        <v>0</v>
      </c>
      <c r="T69" s="127">
        <f ca="1">IF($F69&gt;$D$5,0,VLOOKUP($F69,$F$24:$BZ$44,T$2-$E$2,FALSE)*$D$11*$D$14*(1+$D$13)^($F69-'הנחות עבודה'!$C$5)/$D$11)</f>
        <v>0</v>
      </c>
      <c r="U69" s="127">
        <f ca="1">IF($F69&gt;$D$5,0,VLOOKUP($F69,$F$24:$BZ$44,U$2-$E$2,FALSE)*$D$11*$D$14*(1+$D$13)^($F69-'הנחות עבודה'!$C$5)/$D$11)</f>
        <v>0</v>
      </c>
      <c r="V69" s="127">
        <f ca="1">IF($F69&gt;$D$5,0,VLOOKUP($F69,$F$24:$BZ$44,V$2-$E$2,FALSE)*$D$11*$D$14*(1+$D$13)^($F69-'הנחות עבודה'!$C$5)/$D$11)</f>
        <v>0</v>
      </c>
      <c r="W69" s="127">
        <f ca="1">IF($F69&gt;$D$5,0,VLOOKUP($F69,$F$24:$BZ$44,W$2-$E$2,FALSE)*$D$11*$D$14*(1+$D$13)^($F69-'הנחות עבודה'!$C$5)/$D$11)</f>
        <v>0</v>
      </c>
      <c r="X69" s="127">
        <f ca="1">IF($F69&gt;$D$5,0,VLOOKUP($F69,$F$24:$BZ$44,X$2-$E$2,FALSE)*$D$11*$D$14*(1+$D$13)^($F69-'הנחות עבודה'!$C$5)/$D$11)</f>
        <v>0</v>
      </c>
      <c r="Y69" s="52">
        <f ca="1">IF($F69&gt;$D$5,0,VLOOKUP($F69,$F$24:$BZ$44,Y$2-$E$2,FALSE)*$D$11*$D$14*(1+$D$13)^($F69-'הנחות עבודה'!$C$5)/$D$11)</f>
        <v>1464.7208825138596</v>
      </c>
      <c r="Z69" s="52">
        <f ca="1">IF($F69&gt;$D$5,0,VLOOKUP($F69,$F$24:$BZ$44,Z$2-$E$2,FALSE)*$D$11*$D$14*(1+$D$13)^($F69-'הנחות עבודה'!$C$5)/$D$11)</f>
        <v>6749.7657181624609</v>
      </c>
      <c r="AA69" s="52">
        <f ca="1">IF($F69&gt;$D$5,0,VLOOKUP($F69,$F$24:$BZ$44,AA$2-$E$2,FALSE)*$D$11*$D$14*(1+$D$13)^($F69-'הנחות עבודה'!$C$5)/$D$11)</f>
        <v>0</v>
      </c>
      <c r="AB69" s="52">
        <f ca="1">IF($F69&gt;$D$5,0,VLOOKUP($F69,$F$24:$BZ$44,AB$2-$E$2,FALSE)*$D$11*$D$14*(1+$D$13)^($F69-'הנחות עבודה'!$C$5)/$D$11)</f>
        <v>0</v>
      </c>
      <c r="AC69" s="52">
        <f ca="1">IF($F69&gt;$D$5,0,VLOOKUP($F69,$F$24:$BZ$44,AC$2-$E$2,FALSE)*$D$11*$D$14*(1+$D$13)^($F69-'הנחות עבודה'!$C$5)/$D$11)</f>
        <v>0</v>
      </c>
      <c r="AD69" s="52">
        <f ca="1">IF($F69&gt;$D$5,0,VLOOKUP($F69,$F$24:$BZ$44,AD$2-$E$2,FALSE)*$D$11*$D$14*(1+$D$13)^($F69-'הנחות עבודה'!$C$5)/$D$11)</f>
        <v>0</v>
      </c>
      <c r="AE69" s="42">
        <f ca="1">IF($F69&gt;$D$5,0,VLOOKUP($F69,$F$24:$BZ$44,AE$2-$E$2,FALSE)*$D$11*$D$14*(1+$D$13)^($F69-'הנחות עבודה'!$C$5)/$D$11)</f>
        <v>0</v>
      </c>
      <c r="AF69" s="44">
        <f ca="1">IF($F69&gt;$D$5,0,VLOOKUP($F69,$F$24:$BZ$44,AF$2-$E$2,FALSE)*$D$11*$D$14*(1+$D$13)^($F69-'הנחות עבודה'!$C$5)/$D$11)</f>
        <v>0</v>
      </c>
      <c r="AG69" s="44">
        <f ca="1">IF($F69&gt;$D$5,0,VLOOKUP($F69,$F$24:$BZ$44,AG$2-$E$2,FALSE)*$D$11*$D$14*(1+$D$13)^($F69-'הנחות עבודה'!$C$5)/$D$11)</f>
        <v>0</v>
      </c>
      <c r="AH69" s="44">
        <f ca="1">IF($F69&gt;$D$5,0,VLOOKUP($F69,$F$24:$BZ$44,AH$2-$E$2,FALSE)*$D$11*$D$14*(1+$D$13)^($F69-'הנחות עבודה'!$C$5)/$D$11)</f>
        <v>0</v>
      </c>
      <c r="AI69" s="44">
        <f ca="1">IF($F69&gt;$D$5,0,VLOOKUP($F69,$F$24:$BZ$44,AI$2-$E$2,FALSE)*$D$11*$D$14*(1+$D$13)^($F69-'הנחות עבודה'!$C$5)/$D$11)</f>
        <v>0</v>
      </c>
      <c r="AJ69" s="44">
        <f ca="1">IF($F69&gt;$D$5,0,VLOOKUP($F69,$F$24:$BZ$44,AJ$2-$E$2,FALSE)*$D$11*$D$14*(1+$D$13)^($F69-'הנחות עבודה'!$C$5)/$D$11)</f>
        <v>0</v>
      </c>
      <c r="AK69" s="42">
        <f ca="1">IF($F69&gt;$D$5,0,VLOOKUP($F69,$F$24:$BZ$44,AK$2-$E$2,FALSE)*$D$11*$D$14*(1+$D$13)^($F69-'הנחות עבודה'!$C$5)/$D$11)</f>
        <v>1531.4297263428709</v>
      </c>
      <c r="AL69" s="42">
        <f ca="1">IF($F69&gt;$D$5,0,VLOOKUP($F69,$F$24:$BZ$44,AL$2-$E$2,FALSE)*$D$11*$D$14*(1+$D$13)^($F69-'הנחות עבודה'!$C$5)/$D$11)</f>
        <v>6150.4599045124824</v>
      </c>
      <c r="AM69" s="42">
        <f ca="1">IF($F69&gt;$D$5,0,VLOOKUP($F69,$F$24:$BZ$44,AM$2-$E$2,FALSE)*$D$11*$D$14*(1+$D$13)^($F69-'הנחות עבודה'!$C$5)/$D$11)</f>
        <v>0</v>
      </c>
      <c r="AN69" s="43">
        <f ca="1">IF($F69&gt;$D$5,0,VLOOKUP($F69,$F$24:$BZ$44,AN$2-$E$2,FALSE)*$D$11*$D$14*(1+$D$13)^($F69-'הנחות עבודה'!$C$5)/$D$11)</f>
        <v>0</v>
      </c>
      <c r="AO69" s="42">
        <f ca="1">IF($F69&gt;$D$5,0,VLOOKUP($F69,$F$24:$BZ$44,AO$2-$E$2,FALSE)*$D$11*$D$14*(1+$D$13)^($F69-'הנחות עבודה'!$C$5)/$D$11)</f>
        <v>0</v>
      </c>
      <c r="AP69" s="43">
        <f ca="1">IF($F69&gt;$D$5,0,VLOOKUP($F69,$F$24:$BZ$44,AP$2-$E$2,FALSE)*$D$11*$D$14*(1+$D$13)^($F69-'הנחות עבודה'!$C$5)/$D$11)</f>
        <v>0</v>
      </c>
      <c r="AQ69" s="52">
        <f ca="1">IF($F69&gt;$D$5,0,VLOOKUP($F69,$F$24:$BZ$44,AQ$2-$E$2,FALSE)*$D$11*$D$14*(1+$D$13)^($F69-'הנחות עבודה'!$C$5)/$D$11)</f>
        <v>0</v>
      </c>
      <c r="AR69" s="127">
        <f ca="1">IF($F69&gt;$D$5,0,VLOOKUP($F69,$F$24:$BZ$44,AR$2-$E$2,FALSE)*$D$11*$D$14*(1+$D$13)^($F69-'הנחות עבודה'!$C$5)/$D$11)</f>
        <v>0</v>
      </c>
      <c r="AS69" s="127">
        <f ca="1">IF($F69&gt;$D$5,0,VLOOKUP($F69,$F$24:$BZ$44,AS$2-$E$2,FALSE)*$D$11*$D$14*(1+$D$13)^($F69-'הנחות עבודה'!$C$5)/$D$11)</f>
        <v>0</v>
      </c>
      <c r="AT69" s="127">
        <f ca="1">IF($F69&gt;$D$5,0,VLOOKUP($F69,$F$24:$BZ$44,AT$2-$E$2,FALSE)*$D$11*$D$14*(1+$D$13)^($F69-'הנחות עבודה'!$C$5)/$D$11)</f>
        <v>0</v>
      </c>
      <c r="AU69" s="127">
        <f ca="1">IF($F69&gt;$D$5,0,VLOOKUP($F69,$F$24:$BZ$44,AU$2-$E$2,FALSE)*$D$11*$D$14*(1+$D$13)^($F69-'הנחות עבודה'!$C$5)/$D$11)</f>
        <v>0</v>
      </c>
      <c r="AV69" s="127">
        <f ca="1">IF($F69&gt;$D$5,0,VLOOKUP($F69,$F$24:$BZ$44,AV$2-$E$2,FALSE)*$D$11*$D$14*(1+$D$13)^($F69-'הנחות עבודה'!$C$5)/$D$11)</f>
        <v>0</v>
      </c>
      <c r="AW69" s="52">
        <f ca="1">IF($F69&gt;$D$5,0,VLOOKUP($F69,$F$24:$BZ$44,AW$2-$E$2,FALSE)*$D$11*$D$14*(1+$D$13)^($F69-'הנחות עבודה'!$C$5)/$D$11)</f>
        <v>1531.4297263428709</v>
      </c>
      <c r="AX69" s="52">
        <f ca="1">IF($F69&gt;$D$5,0,VLOOKUP($F69,$F$24:$BZ$44,AX$2-$E$2,FALSE)*$D$11*$D$14*(1+$D$13)^($F69-'הנחות עבודה'!$C$5)/$D$11)</f>
        <v>6150.4599045124824</v>
      </c>
      <c r="AY69" s="52">
        <f ca="1">IF($F69&gt;$D$5,0,VLOOKUP($F69,$F$24:$BZ$44,AY$2-$E$2,FALSE)*$D$11*$D$14*(1+$D$13)^($F69-'הנחות עבודה'!$C$5)/$D$11)</f>
        <v>0</v>
      </c>
      <c r="AZ69" s="52">
        <f ca="1">IF($F69&gt;$D$5,0,VLOOKUP($F69,$F$24:$BZ$44,AZ$2-$E$2,FALSE)*$D$11*$D$14*(1+$D$13)^($F69-'הנחות עבודה'!$C$5)/$D$11)</f>
        <v>0</v>
      </c>
      <c r="BA69" s="52">
        <f ca="1">IF($F69&gt;$D$5,0,VLOOKUP($F69,$F$24:$BZ$44,BA$2-$E$2,FALSE)*$D$11*$D$14*(1+$D$13)^($F69-'הנחות עבודה'!$C$5)/$D$11)</f>
        <v>0</v>
      </c>
      <c r="BB69" s="52">
        <f ca="1">IF($F69&gt;$D$5,0,VLOOKUP($F69,$F$24:$BZ$44,BB$2-$E$2,FALSE)*$D$11*$D$14*(1+$D$13)^($F69-'הנחות עבודה'!$C$5)/$D$11)</f>
        <v>0</v>
      </c>
      <c r="BC69" s="42">
        <f ca="1">IF($F69&gt;$D$5,0,VLOOKUP($F69,$F$24:$BZ$44,BC$2-$E$2,FALSE)*$D$11*$D$14*(1+$D$13)^($F69-'הנחות עבודה'!$C$5)/$D$11)</f>
        <v>0</v>
      </c>
      <c r="BD69" s="44">
        <f ca="1">IF($F69&gt;$D$5,0,VLOOKUP($F69,$F$24:$BZ$44,BD$2-$E$2,FALSE)*$D$11*$D$14*(1+$D$13)^($F69-'הנחות עבודה'!$C$5)/$D$11)</f>
        <v>0</v>
      </c>
      <c r="BE69" s="44">
        <f ca="1">IF($F69&gt;$D$5,0,VLOOKUP($F69,$F$24:$BZ$44,BE$2-$E$2,FALSE)*$D$11*$D$14*(1+$D$13)^($F69-'הנחות עבודה'!$C$5)/$D$11)</f>
        <v>0</v>
      </c>
      <c r="BF69" s="44">
        <f ca="1">IF($F69&gt;$D$5,0,VLOOKUP($F69,$F$24:$BZ$44,BF$2-$E$2,FALSE)*$D$11*$D$14*(1+$D$13)^($F69-'הנחות עבודה'!$C$5)/$D$11)</f>
        <v>0</v>
      </c>
      <c r="BG69" s="44">
        <f ca="1">IF($F69&gt;$D$5,0,VLOOKUP($F69,$F$24:$BZ$44,BG$2-$E$2,FALSE)*$D$11*$D$14*(1+$D$13)^($F69-'הנחות עבודה'!$C$5)/$D$11)</f>
        <v>0</v>
      </c>
      <c r="BH69" s="44">
        <f ca="1">IF($F69&gt;$D$5,0,VLOOKUP($F69,$F$24:$BZ$44,BH$2-$E$2,FALSE)*$D$11*$D$14*(1+$D$13)^($F69-'הנחות עבודה'!$C$5)/$D$11)</f>
        <v>0</v>
      </c>
      <c r="BI69" s="42">
        <f ca="1">IF($F69&gt;$D$5,0,VLOOKUP($F69,$F$24:$BZ$44,BI$2-$E$2,FALSE)*$D$11*$D$14*(1+$D$13)^($F69-'הנחות עבודה'!$C$5)/$D$11)</f>
        <v>1567.2559694767742</v>
      </c>
      <c r="BJ69" s="42">
        <f ca="1">IF($F69&gt;$D$5,0,VLOOKUP($F69,$F$24:$BZ$44,BJ$2-$E$2,FALSE)*$D$11*$D$14*(1+$D$13)^($F69-'הנחות עבודה'!$C$5)/$D$11)</f>
        <v>5781.0421782994708</v>
      </c>
      <c r="BK69" s="42">
        <f ca="1">IF($F69&gt;$D$5,0,VLOOKUP($F69,$F$24:$BZ$44,BK$2-$E$2,FALSE)*$D$11*$D$14*(1+$D$13)^($F69-'הנחות עבודה'!$C$5)/$D$11)</f>
        <v>0</v>
      </c>
      <c r="BL69" s="42">
        <f ca="1">IF($F69&gt;$D$5,0,VLOOKUP($F69,$F$24:$BZ$44,BL$2-$E$2,FALSE)*$D$11*$D$14*(1+$D$13)^($F69-'הנחות עבודה'!$C$5)/$D$11)</f>
        <v>0</v>
      </c>
      <c r="BM69" s="42">
        <f ca="1">IF($F69&gt;$D$5,0,VLOOKUP($F69,$F$24:$BZ$44,BM$2-$E$2,FALSE)*$D$11*$D$14*(1+$D$13)^($F69-'הנחות עבודה'!$C$5)/$D$11)</f>
        <v>0</v>
      </c>
      <c r="BN69" s="42">
        <f ca="1">IF($F69&gt;$D$5,0,VLOOKUP($F69,$F$24:$BZ$44,BN$2-$E$2,FALSE)*$D$11*$D$14*(1+$D$13)^($F69-'הנחות עבודה'!$C$5)/$D$11)</f>
        <v>0</v>
      </c>
      <c r="BO69" s="52">
        <f ca="1">IF($F69&gt;$D$5,0,VLOOKUP($F69,$F$24:$BZ$44,BO$2-$E$2,FALSE)*$D$11*$D$14*(1+$D$13)^($F69-'הנחות עבודה'!$C$5)/$D$11)</f>
        <v>0</v>
      </c>
      <c r="BP69" s="127">
        <f ca="1">IF($F69&gt;$D$5,0,VLOOKUP($F69,$F$24:$BZ$44,BP$2-$E$2,FALSE)*$D$11*$D$14*(1+$D$13)^($F69-'הנחות עבודה'!$C$5)/$D$11)</f>
        <v>0</v>
      </c>
      <c r="BQ69" s="127">
        <f ca="1">IF($F69&gt;$D$5,0,VLOOKUP($F69,$F$24:$BZ$44,BQ$2-$E$2,FALSE)*$D$11*$D$14*(1+$D$13)^($F69-'הנחות עבודה'!$C$5)/$D$11)</f>
        <v>0</v>
      </c>
      <c r="BR69" s="127">
        <f ca="1">IF($F69&gt;$D$5,0,VLOOKUP($F69,$F$24:$BZ$44,BR$2-$E$2,FALSE)*$D$11*$D$14*(1+$D$13)^($F69-'הנחות עבודה'!$C$5)/$D$11)</f>
        <v>0</v>
      </c>
      <c r="BS69" s="127">
        <f ca="1">IF($F69&gt;$D$5,0,VLOOKUP($F69,$F$24:$BZ$44,BS$2-$E$2,FALSE)*$D$11*$D$14*(1+$D$13)^($F69-'הנחות עבודה'!$C$5)/$D$11)</f>
        <v>0</v>
      </c>
      <c r="BT69" s="127">
        <f ca="1">IF($F69&gt;$D$5,0,VLOOKUP($F69,$F$24:$BZ$44,BT$2-$E$2,FALSE)*$D$11*$D$14*(1+$D$13)^($F69-'הנחות עבודה'!$C$5)/$D$11)</f>
        <v>0</v>
      </c>
      <c r="BU69" s="52">
        <f ca="1">IF($F69&gt;$D$5,0,VLOOKUP($F69,$F$24:$BZ$44,BU$2-$E$2,FALSE)*$D$11*$D$14*(1+$D$13)^($F69-'הנחות עבודה'!$C$5)/$D$11)</f>
        <v>1567.2559694767742</v>
      </c>
      <c r="BV69" s="52">
        <f ca="1">IF($F69&gt;$D$5,0,VLOOKUP($F69,$F$24:$BZ$44,BV$2-$E$2,FALSE)*$D$11*$D$14*(1+$D$13)^($F69-'הנחות עבודה'!$C$5)/$D$11)</f>
        <v>5781.0421782994708</v>
      </c>
      <c r="BW69" s="52">
        <f ca="1">IF($F69&gt;$D$5,0,VLOOKUP($F69,$F$24:$BZ$44,BW$2-$E$2,FALSE)*$D$11*$D$14*(1+$D$13)^($F69-'הנחות עבודה'!$C$5)/$D$11)</f>
        <v>0</v>
      </c>
      <c r="BX69" s="52">
        <f ca="1">IF($F69&gt;$D$5,0,VLOOKUP($F69,$F$24:$BZ$44,BX$2-$E$2,FALSE)*$D$11*$D$14*(1+$D$13)^($F69-'הנחות עבודה'!$C$5)/$D$11)</f>
        <v>0</v>
      </c>
      <c r="BY69" s="52">
        <f ca="1">IF($F69&gt;$D$5,0,VLOOKUP($F69,$F$24:$BZ$44,BY$2-$E$2,FALSE)*$D$11*$D$14*(1+$D$13)^($F69-'הנחות עבודה'!$C$5)/$D$11)</f>
        <v>0</v>
      </c>
      <c r="BZ69" s="52">
        <f ca="1">IF($F69&gt;$D$5,0,VLOOKUP($F69,$F$24:$BZ$44,BZ$2-$E$2,FALSE)*$D$11*$D$14*(1+$D$13)^($F69-'הנחות עבודה'!$C$5)/$D$11)</f>
        <v>0</v>
      </c>
    </row>
    <row r="70" spans="6:78" ht="15.75">
      <c r="F70" s="10">
        <f t="shared" si="130"/>
        <v>2039</v>
      </c>
      <c r="G70" s="42">
        <f ca="1">IF($F70&gt;$D$5,0,VLOOKUP($F70,$F$24:$BZ$44,G$2-$E$2,FALSE)*$D$11*$D$14*(1+$D$13)^($F70-'הנחות עבודה'!$C$5)/$D$11)</f>
        <v>0</v>
      </c>
      <c r="H70" s="44">
        <f ca="1">IF($F70&gt;$D$5,0,VLOOKUP($F70,$F$24:$BZ$44,H$2-$E$2,FALSE)*$D$11*$D$14*(1+$D$13)^($F70-'הנחות עבודה'!$C$5)/$D$11)</f>
        <v>0</v>
      </c>
      <c r="I70" s="44">
        <f ca="1">IF($F70&gt;$D$5,0,VLOOKUP($F70,$F$24:$BZ$44,I$2-$E$2,FALSE)*$D$11*$D$14*(1+$D$13)^($F70-'הנחות עבודה'!$C$5)/$D$11)</f>
        <v>0</v>
      </c>
      <c r="J70" s="44">
        <f ca="1">IF($F70&gt;$D$5,0,VLOOKUP($F70,$F$24:$BZ$44,J$2-$E$2,FALSE)*$D$11*$D$14*(1+$D$13)^($F70-'הנחות עבודה'!$C$5)/$D$11)</f>
        <v>0</v>
      </c>
      <c r="K70" s="44">
        <f ca="1">IF($F70&gt;$D$5,0,VLOOKUP($F70,$F$24:$BZ$44,K$2-$E$2,FALSE)*$D$11*$D$14*(1+$D$13)^($F70-'הנחות עבודה'!$C$5)/$D$11)</f>
        <v>0</v>
      </c>
      <c r="L70" s="44">
        <f ca="1">IF($F70&gt;$D$5,0,VLOOKUP($F70,$F$24:$BZ$44,L$2-$E$2,FALSE)*$D$11*$D$14*(1+$D$13)^($F70-'הנחות עבודה'!$C$5)/$D$11)</f>
        <v>0</v>
      </c>
      <c r="M70" s="42">
        <f ca="1">IF($F70&gt;$D$5,0,VLOOKUP($F70,$F$24:$BZ$44,M$2-$E$2,FALSE)*$D$11*$D$14*(1+$D$13)^($F70-'הנחות עבודה'!$C$5)/$D$11)</f>
        <v>1508.0117603507633</v>
      </c>
      <c r="N70" s="42">
        <f ca="1">IF($F70&gt;$D$5,0,VLOOKUP($F70,$F$24:$BZ$44,N$2-$E$2,FALSE)*$D$11*$D$14*(1+$D$13)^($F70-'הנחות עבודה'!$C$5)/$D$11)</f>
        <v>7157.3857685432877</v>
      </c>
      <c r="O70" s="42">
        <f ca="1">IF($F70&gt;$D$5,0,VLOOKUP($F70,$F$24:$BZ$44,O$2-$E$2,FALSE)*$D$11*$D$14*(1+$D$13)^($F70-'הנחות עבודה'!$C$5)/$D$11)</f>
        <v>0</v>
      </c>
      <c r="P70" s="43">
        <f ca="1">IF($F70&gt;$D$5,0,VLOOKUP($F70,$F$24:$BZ$44,P$2-$E$2,FALSE)*$D$11*$D$14*(1+$D$13)^($F70-'הנחות עבודה'!$C$5)/$D$11)</f>
        <v>0</v>
      </c>
      <c r="Q70" s="42">
        <f ca="1">IF($F70&gt;$D$5,0,VLOOKUP($F70,$F$24:$BZ$44,Q$2-$E$2,FALSE)*$D$11*$D$14*(1+$D$13)^($F70-'הנחות עבודה'!$C$5)/$D$11)</f>
        <v>0</v>
      </c>
      <c r="R70" s="43">
        <f ca="1">IF($F70&gt;$D$5,0,VLOOKUP($F70,$F$24:$BZ$44,R$2-$E$2,FALSE)*$D$11*$D$14*(1+$D$13)^($F70-'הנחות עבודה'!$C$5)/$D$11)</f>
        <v>0</v>
      </c>
      <c r="S70" s="52">
        <f ca="1">IF($F70&gt;$D$5,0,VLOOKUP($F70,$F$24:$BZ$44,S$2-$E$2,FALSE)*$D$11*$D$14*(1+$D$13)^($F70-'הנחות עבודה'!$C$5)/$D$11)</f>
        <v>0</v>
      </c>
      <c r="T70" s="127">
        <f ca="1">IF($F70&gt;$D$5,0,VLOOKUP($F70,$F$24:$BZ$44,T$2-$E$2,FALSE)*$D$11*$D$14*(1+$D$13)^($F70-'הנחות עבודה'!$C$5)/$D$11)</f>
        <v>0</v>
      </c>
      <c r="U70" s="127">
        <f ca="1">IF($F70&gt;$D$5,0,VLOOKUP($F70,$F$24:$BZ$44,U$2-$E$2,FALSE)*$D$11*$D$14*(1+$D$13)^($F70-'הנחות עבודה'!$C$5)/$D$11)</f>
        <v>0</v>
      </c>
      <c r="V70" s="127">
        <f ca="1">IF($F70&gt;$D$5,0,VLOOKUP($F70,$F$24:$BZ$44,V$2-$E$2,FALSE)*$D$11*$D$14*(1+$D$13)^($F70-'הנחות עבודה'!$C$5)/$D$11)</f>
        <v>0</v>
      </c>
      <c r="W70" s="127">
        <f ca="1">IF($F70&gt;$D$5,0,VLOOKUP($F70,$F$24:$BZ$44,W$2-$E$2,FALSE)*$D$11*$D$14*(1+$D$13)^($F70-'הנחות עבודה'!$C$5)/$D$11)</f>
        <v>0</v>
      </c>
      <c r="X70" s="127">
        <f ca="1">IF($F70&gt;$D$5,0,VLOOKUP($F70,$F$24:$BZ$44,X$2-$E$2,FALSE)*$D$11*$D$14*(1+$D$13)^($F70-'הנחות עבודה'!$C$5)/$D$11)</f>
        <v>0</v>
      </c>
      <c r="Y70" s="52">
        <f ca="1">IF($F70&gt;$D$5,0,VLOOKUP($F70,$F$24:$BZ$44,Y$2-$E$2,FALSE)*$D$11*$D$14*(1+$D$13)^($F70-'הנחות עבודה'!$C$5)/$D$11)</f>
        <v>1508.0117603507633</v>
      </c>
      <c r="Z70" s="52">
        <f ca="1">IF($F70&gt;$D$5,0,VLOOKUP($F70,$F$24:$BZ$44,Z$2-$E$2,FALSE)*$D$11*$D$14*(1+$D$13)^($F70-'הנחות עבודה'!$C$5)/$D$11)</f>
        <v>7157.3857685432877</v>
      </c>
      <c r="AA70" s="52">
        <f ca="1">IF($F70&gt;$D$5,0,VLOOKUP($F70,$F$24:$BZ$44,AA$2-$E$2,FALSE)*$D$11*$D$14*(1+$D$13)^($F70-'הנחות עבודה'!$C$5)/$D$11)</f>
        <v>0</v>
      </c>
      <c r="AB70" s="52">
        <f ca="1">IF($F70&gt;$D$5,0,VLOOKUP($F70,$F$24:$BZ$44,AB$2-$E$2,FALSE)*$D$11*$D$14*(1+$D$13)^($F70-'הנחות עבודה'!$C$5)/$D$11)</f>
        <v>0</v>
      </c>
      <c r="AC70" s="52">
        <f ca="1">IF($F70&gt;$D$5,0,VLOOKUP($F70,$F$24:$BZ$44,AC$2-$E$2,FALSE)*$D$11*$D$14*(1+$D$13)^($F70-'הנחות עבודה'!$C$5)/$D$11)</f>
        <v>0</v>
      </c>
      <c r="AD70" s="52">
        <f ca="1">IF($F70&gt;$D$5,0,VLOOKUP($F70,$F$24:$BZ$44,AD$2-$E$2,FALSE)*$D$11*$D$14*(1+$D$13)^($F70-'הנחות עבודה'!$C$5)/$D$11)</f>
        <v>0</v>
      </c>
      <c r="AE70" s="42">
        <f ca="1">IF($F70&gt;$D$5,0,VLOOKUP($F70,$F$24:$BZ$44,AE$2-$E$2,FALSE)*$D$11*$D$14*(1+$D$13)^($F70-'הנחות עבודה'!$C$5)/$D$11)</f>
        <v>0</v>
      </c>
      <c r="AF70" s="44">
        <f ca="1">IF($F70&gt;$D$5,0,VLOOKUP($F70,$F$24:$BZ$44,AF$2-$E$2,FALSE)*$D$11*$D$14*(1+$D$13)^($F70-'הנחות עבודה'!$C$5)/$D$11)</f>
        <v>0</v>
      </c>
      <c r="AG70" s="44">
        <f ca="1">IF($F70&gt;$D$5,0,VLOOKUP($F70,$F$24:$BZ$44,AG$2-$E$2,FALSE)*$D$11*$D$14*(1+$D$13)^($F70-'הנחות עבודה'!$C$5)/$D$11)</f>
        <v>0</v>
      </c>
      <c r="AH70" s="44">
        <f ca="1">IF($F70&gt;$D$5,0,VLOOKUP($F70,$F$24:$BZ$44,AH$2-$E$2,FALSE)*$D$11*$D$14*(1+$D$13)^($F70-'הנחות עבודה'!$C$5)/$D$11)</f>
        <v>0</v>
      </c>
      <c r="AI70" s="44">
        <f ca="1">IF($F70&gt;$D$5,0,VLOOKUP($F70,$F$24:$BZ$44,AI$2-$E$2,FALSE)*$D$11*$D$14*(1+$D$13)^($F70-'הנחות עבודה'!$C$5)/$D$11)</f>
        <v>0</v>
      </c>
      <c r="AJ70" s="44">
        <f ca="1">IF($F70&gt;$D$5,0,VLOOKUP($F70,$F$24:$BZ$44,AJ$2-$E$2,FALSE)*$D$11*$D$14*(1+$D$13)^($F70-'הנחות עבודה'!$C$5)/$D$11)</f>
        <v>0</v>
      </c>
      <c r="AK70" s="42">
        <f ca="1">IF($F70&gt;$D$5,0,VLOOKUP($F70,$F$24:$BZ$44,AK$2-$E$2,FALSE)*$D$11*$D$14*(1+$D$13)^($F70-'הנחות עבודה'!$C$5)/$D$11)</f>
        <v>1560.7918916084709</v>
      </c>
      <c r="AL70" s="42">
        <f ca="1">IF($F70&gt;$D$5,0,VLOOKUP($F70,$F$24:$BZ$44,AL$2-$E$2,FALSE)*$D$11*$D$14*(1+$D$13)^($F70-'הנחות עבודה'!$C$5)/$D$11)</f>
        <v>6561.1176682873274</v>
      </c>
      <c r="AM70" s="42">
        <f ca="1">IF($F70&gt;$D$5,0,VLOOKUP($F70,$F$24:$BZ$44,AM$2-$E$2,FALSE)*$D$11*$D$14*(1+$D$13)^($F70-'הנחות עבודה'!$C$5)/$D$11)</f>
        <v>0</v>
      </c>
      <c r="AN70" s="43">
        <f ca="1">IF($F70&gt;$D$5,0,VLOOKUP($F70,$F$24:$BZ$44,AN$2-$E$2,FALSE)*$D$11*$D$14*(1+$D$13)^($F70-'הנחות עבודה'!$C$5)/$D$11)</f>
        <v>0</v>
      </c>
      <c r="AO70" s="42">
        <f ca="1">IF($F70&gt;$D$5,0,VLOOKUP($F70,$F$24:$BZ$44,AO$2-$E$2,FALSE)*$D$11*$D$14*(1+$D$13)^($F70-'הנחות עבודה'!$C$5)/$D$11)</f>
        <v>0</v>
      </c>
      <c r="AP70" s="43">
        <f ca="1">IF($F70&gt;$D$5,0,VLOOKUP($F70,$F$24:$BZ$44,AP$2-$E$2,FALSE)*$D$11*$D$14*(1+$D$13)^($F70-'הנחות עבודה'!$C$5)/$D$11)</f>
        <v>0</v>
      </c>
      <c r="AQ70" s="52">
        <f ca="1">IF($F70&gt;$D$5,0,VLOOKUP($F70,$F$24:$BZ$44,AQ$2-$E$2,FALSE)*$D$11*$D$14*(1+$D$13)^($F70-'הנחות עבודה'!$C$5)/$D$11)</f>
        <v>0</v>
      </c>
      <c r="AR70" s="127">
        <f ca="1">IF($F70&gt;$D$5,0,VLOOKUP($F70,$F$24:$BZ$44,AR$2-$E$2,FALSE)*$D$11*$D$14*(1+$D$13)^($F70-'הנחות עבודה'!$C$5)/$D$11)</f>
        <v>0</v>
      </c>
      <c r="AS70" s="127">
        <f ca="1">IF($F70&gt;$D$5,0,VLOOKUP($F70,$F$24:$BZ$44,AS$2-$E$2,FALSE)*$D$11*$D$14*(1+$D$13)^($F70-'הנחות עבודה'!$C$5)/$D$11)</f>
        <v>0</v>
      </c>
      <c r="AT70" s="127">
        <f ca="1">IF($F70&gt;$D$5,0,VLOOKUP($F70,$F$24:$BZ$44,AT$2-$E$2,FALSE)*$D$11*$D$14*(1+$D$13)^($F70-'הנחות עבודה'!$C$5)/$D$11)</f>
        <v>0</v>
      </c>
      <c r="AU70" s="127">
        <f ca="1">IF($F70&gt;$D$5,0,VLOOKUP($F70,$F$24:$BZ$44,AU$2-$E$2,FALSE)*$D$11*$D$14*(1+$D$13)^($F70-'הנחות עבודה'!$C$5)/$D$11)</f>
        <v>0</v>
      </c>
      <c r="AV70" s="127">
        <f ca="1">IF($F70&gt;$D$5,0,VLOOKUP($F70,$F$24:$BZ$44,AV$2-$E$2,FALSE)*$D$11*$D$14*(1+$D$13)^($F70-'הנחות עבודה'!$C$5)/$D$11)</f>
        <v>0</v>
      </c>
      <c r="AW70" s="52">
        <f ca="1">IF($F70&gt;$D$5,0,VLOOKUP($F70,$F$24:$BZ$44,AW$2-$E$2,FALSE)*$D$11*$D$14*(1+$D$13)^($F70-'הנחות עבודה'!$C$5)/$D$11)</f>
        <v>1560.7918916084709</v>
      </c>
      <c r="AX70" s="52">
        <f ca="1">IF($F70&gt;$D$5,0,VLOOKUP($F70,$F$24:$BZ$44,AX$2-$E$2,FALSE)*$D$11*$D$14*(1+$D$13)^($F70-'הנחות עבודה'!$C$5)/$D$11)</f>
        <v>6561.1176682873274</v>
      </c>
      <c r="AY70" s="52">
        <f ca="1">IF($F70&gt;$D$5,0,VLOOKUP($F70,$F$24:$BZ$44,AY$2-$E$2,FALSE)*$D$11*$D$14*(1+$D$13)^($F70-'הנחות עבודה'!$C$5)/$D$11)</f>
        <v>0</v>
      </c>
      <c r="AZ70" s="52">
        <f ca="1">IF($F70&gt;$D$5,0,VLOOKUP($F70,$F$24:$BZ$44,AZ$2-$E$2,FALSE)*$D$11*$D$14*(1+$D$13)^($F70-'הנחות עבודה'!$C$5)/$D$11)</f>
        <v>0</v>
      </c>
      <c r="BA70" s="52">
        <f ca="1">IF($F70&gt;$D$5,0,VLOOKUP($F70,$F$24:$BZ$44,BA$2-$E$2,FALSE)*$D$11*$D$14*(1+$D$13)^($F70-'הנחות עבודה'!$C$5)/$D$11)</f>
        <v>0</v>
      </c>
      <c r="BB70" s="52">
        <f ca="1">IF($F70&gt;$D$5,0,VLOOKUP($F70,$F$24:$BZ$44,BB$2-$E$2,FALSE)*$D$11*$D$14*(1+$D$13)^($F70-'הנחות עבודה'!$C$5)/$D$11)</f>
        <v>0</v>
      </c>
      <c r="BC70" s="42">
        <f ca="1">IF($F70&gt;$D$5,0,VLOOKUP($F70,$F$24:$BZ$44,BC$2-$E$2,FALSE)*$D$11*$D$14*(1+$D$13)^($F70-'הנחות עבודה'!$C$5)/$D$11)</f>
        <v>0</v>
      </c>
      <c r="BD70" s="44">
        <f ca="1">IF($F70&gt;$D$5,0,VLOOKUP($F70,$F$24:$BZ$44,BD$2-$E$2,FALSE)*$D$11*$D$14*(1+$D$13)^($F70-'הנחות עבודה'!$C$5)/$D$11)</f>
        <v>0</v>
      </c>
      <c r="BE70" s="44">
        <f ca="1">IF($F70&gt;$D$5,0,VLOOKUP($F70,$F$24:$BZ$44,BE$2-$E$2,FALSE)*$D$11*$D$14*(1+$D$13)^($F70-'הנחות עבודה'!$C$5)/$D$11)</f>
        <v>0</v>
      </c>
      <c r="BF70" s="44">
        <f ca="1">IF($F70&gt;$D$5,0,VLOOKUP($F70,$F$24:$BZ$44,BF$2-$E$2,FALSE)*$D$11*$D$14*(1+$D$13)^($F70-'הנחות עבודה'!$C$5)/$D$11)</f>
        <v>0</v>
      </c>
      <c r="BG70" s="44">
        <f ca="1">IF($F70&gt;$D$5,0,VLOOKUP($F70,$F$24:$BZ$44,BG$2-$E$2,FALSE)*$D$11*$D$14*(1+$D$13)^($F70-'הנחות עבודה'!$C$5)/$D$11)</f>
        <v>0</v>
      </c>
      <c r="BH70" s="44">
        <f ca="1">IF($F70&gt;$D$5,0,VLOOKUP($F70,$F$24:$BZ$44,BH$2-$E$2,FALSE)*$D$11*$D$14*(1+$D$13)^($F70-'הנחות עבודה'!$C$5)/$D$11)</f>
        <v>0</v>
      </c>
      <c r="BI70" s="42">
        <f ca="1">IF($F70&gt;$D$5,0,VLOOKUP($F70,$F$24:$BZ$44,BI$2-$E$2,FALSE)*$D$11*$D$14*(1+$D$13)^($F70-'הנחות עבודה'!$C$5)/$D$11)</f>
        <v>1604.788224188482</v>
      </c>
      <c r="BJ70" s="42">
        <f ca="1">IF($F70&gt;$D$5,0,VLOOKUP($F70,$F$24:$BZ$44,BJ$2-$E$2,FALSE)*$D$11*$D$14*(1+$D$13)^($F70-'הנחות עבודה'!$C$5)/$D$11)</f>
        <v>6180.8681512555177</v>
      </c>
      <c r="BK70" s="42">
        <f ca="1">IF($F70&gt;$D$5,0,VLOOKUP($F70,$F$24:$BZ$44,BK$2-$E$2,FALSE)*$D$11*$D$14*(1+$D$13)^($F70-'הנחות עבודה'!$C$5)/$D$11)</f>
        <v>0</v>
      </c>
      <c r="BL70" s="42">
        <f ca="1">IF($F70&gt;$D$5,0,VLOOKUP($F70,$F$24:$BZ$44,BL$2-$E$2,FALSE)*$D$11*$D$14*(1+$D$13)^($F70-'הנחות עבודה'!$C$5)/$D$11)</f>
        <v>0</v>
      </c>
      <c r="BM70" s="42">
        <f ca="1">IF($F70&gt;$D$5,0,VLOOKUP($F70,$F$24:$BZ$44,BM$2-$E$2,FALSE)*$D$11*$D$14*(1+$D$13)^($F70-'הנחות עבודה'!$C$5)/$D$11)</f>
        <v>0</v>
      </c>
      <c r="BN70" s="42">
        <f ca="1">IF($F70&gt;$D$5,0,VLOOKUP($F70,$F$24:$BZ$44,BN$2-$E$2,FALSE)*$D$11*$D$14*(1+$D$13)^($F70-'הנחות עבודה'!$C$5)/$D$11)</f>
        <v>0</v>
      </c>
      <c r="BO70" s="52">
        <f ca="1">IF($F70&gt;$D$5,0,VLOOKUP($F70,$F$24:$BZ$44,BO$2-$E$2,FALSE)*$D$11*$D$14*(1+$D$13)^($F70-'הנחות עבודה'!$C$5)/$D$11)</f>
        <v>0</v>
      </c>
      <c r="BP70" s="127">
        <f ca="1">IF($F70&gt;$D$5,0,VLOOKUP($F70,$F$24:$BZ$44,BP$2-$E$2,FALSE)*$D$11*$D$14*(1+$D$13)^($F70-'הנחות עבודה'!$C$5)/$D$11)</f>
        <v>0</v>
      </c>
      <c r="BQ70" s="127">
        <f ca="1">IF($F70&gt;$D$5,0,VLOOKUP($F70,$F$24:$BZ$44,BQ$2-$E$2,FALSE)*$D$11*$D$14*(1+$D$13)^($F70-'הנחות עבודה'!$C$5)/$D$11)</f>
        <v>0</v>
      </c>
      <c r="BR70" s="127">
        <f ca="1">IF($F70&gt;$D$5,0,VLOOKUP($F70,$F$24:$BZ$44,BR$2-$E$2,FALSE)*$D$11*$D$14*(1+$D$13)^($F70-'הנחות עבודה'!$C$5)/$D$11)</f>
        <v>0</v>
      </c>
      <c r="BS70" s="127">
        <f ca="1">IF($F70&gt;$D$5,0,VLOOKUP($F70,$F$24:$BZ$44,BS$2-$E$2,FALSE)*$D$11*$D$14*(1+$D$13)^($F70-'הנחות עבודה'!$C$5)/$D$11)</f>
        <v>0</v>
      </c>
      <c r="BT70" s="127">
        <f ca="1">IF($F70&gt;$D$5,0,VLOOKUP($F70,$F$24:$BZ$44,BT$2-$E$2,FALSE)*$D$11*$D$14*(1+$D$13)^($F70-'הנחות עבודה'!$C$5)/$D$11)</f>
        <v>0</v>
      </c>
      <c r="BU70" s="52">
        <f ca="1">IF($F70&gt;$D$5,0,VLOOKUP($F70,$F$24:$BZ$44,BU$2-$E$2,FALSE)*$D$11*$D$14*(1+$D$13)^($F70-'הנחות עבודה'!$C$5)/$D$11)</f>
        <v>1604.788224188482</v>
      </c>
      <c r="BV70" s="52">
        <f ca="1">IF($F70&gt;$D$5,0,VLOOKUP($F70,$F$24:$BZ$44,BV$2-$E$2,FALSE)*$D$11*$D$14*(1+$D$13)^($F70-'הנחות עבודה'!$C$5)/$D$11)</f>
        <v>6180.8681512555177</v>
      </c>
      <c r="BW70" s="52">
        <f ca="1">IF($F70&gt;$D$5,0,VLOOKUP($F70,$F$24:$BZ$44,BW$2-$E$2,FALSE)*$D$11*$D$14*(1+$D$13)^($F70-'הנחות עבודה'!$C$5)/$D$11)</f>
        <v>0</v>
      </c>
      <c r="BX70" s="52">
        <f ca="1">IF($F70&gt;$D$5,0,VLOOKUP($F70,$F$24:$BZ$44,BX$2-$E$2,FALSE)*$D$11*$D$14*(1+$D$13)^($F70-'הנחות עבודה'!$C$5)/$D$11)</f>
        <v>0</v>
      </c>
      <c r="BY70" s="52">
        <f ca="1">IF($F70&gt;$D$5,0,VLOOKUP($F70,$F$24:$BZ$44,BY$2-$E$2,FALSE)*$D$11*$D$14*(1+$D$13)^($F70-'הנחות עבודה'!$C$5)/$D$11)</f>
        <v>0</v>
      </c>
      <c r="BZ70" s="52">
        <f ca="1">IF($F70&gt;$D$5,0,VLOOKUP($F70,$F$24:$BZ$44,BZ$2-$E$2,FALSE)*$D$11*$D$14*(1+$D$13)^($F70-'הנחות עבודה'!$C$5)/$D$11)</f>
        <v>0</v>
      </c>
    </row>
    <row r="71" spans="6:78" ht="16.5" thickBot="1">
      <c r="F71" s="328">
        <f t="shared" si="130"/>
        <v>2040</v>
      </c>
      <c r="G71" s="45">
        <f ca="1">IF($F71&gt;$D$5,0,VLOOKUP($F71,$F$24:$BZ$44,G$2-$E$2,FALSE)*$D$11*$D$14*(1+$D$13)^($F71-'הנחות עבודה'!$C$5)/$D$11)</f>
        <v>0</v>
      </c>
      <c r="H71" s="47">
        <f ca="1">IF($F71&gt;$D$5,0,VLOOKUP($F71,$F$24:$BZ$44,H$2-$E$2,FALSE)*$D$11*$D$14*(1+$D$13)^($F71-'הנחות עבודה'!$C$5)/$D$11)</f>
        <v>0</v>
      </c>
      <c r="I71" s="47">
        <f ca="1">IF($F71&gt;$D$5,0,VLOOKUP($F71,$F$24:$BZ$44,I$2-$E$2,FALSE)*$D$11*$D$14*(1+$D$13)^($F71-'הנחות עבודה'!$C$5)/$D$11)</f>
        <v>0</v>
      </c>
      <c r="J71" s="47">
        <f ca="1">IF($F71&gt;$D$5,0,VLOOKUP($F71,$F$24:$BZ$44,J$2-$E$2,FALSE)*$D$11*$D$14*(1+$D$13)^($F71-'הנחות עבודה'!$C$5)/$D$11)</f>
        <v>0</v>
      </c>
      <c r="K71" s="47">
        <f ca="1">IF($F71&gt;$D$5,0,VLOOKUP($F71,$F$24:$BZ$44,K$2-$E$2,FALSE)*$D$11*$D$14*(1+$D$13)^($F71-'הנחות עבודה'!$C$5)/$D$11)</f>
        <v>0</v>
      </c>
      <c r="L71" s="47">
        <f ca="1">IF($F71&gt;$D$5,0,VLOOKUP($F71,$F$24:$BZ$44,L$2-$E$2,FALSE)*$D$11*$D$14*(1+$D$13)^($F71-'הנחות עבודה'!$C$5)/$D$11)</f>
        <v>0</v>
      </c>
      <c r="M71" s="45">
        <f ca="1">IF($F71&gt;$D$5,0,VLOOKUP($F71,$F$24:$BZ$44,M$2-$E$2,FALSE)*$D$11*$D$14*(1+$D$13)^($F71-'הנחות עבודה'!$C$5)/$D$11)</f>
        <v>1549.1736308961022</v>
      </c>
      <c r="N71" s="45">
        <f ca="1">IF($F71&gt;$D$5,0,VLOOKUP($F71,$F$24:$BZ$44,N$2-$E$2,FALSE)*$D$11*$D$14*(1+$D$13)^($F71-'הנחות עבודה'!$C$5)/$D$11)</f>
        <v>7589.7127715964461</v>
      </c>
      <c r="O71" s="45">
        <f ca="1">IF($F71&gt;$D$5,0,VLOOKUP($F71,$F$24:$BZ$44,O$2-$E$2,FALSE)*$D$11*$D$14*(1+$D$13)^($F71-'הנחות עבודה'!$C$5)/$D$11)</f>
        <v>0</v>
      </c>
      <c r="P71" s="46">
        <f ca="1">IF($F71&gt;$D$5,0,VLOOKUP($F71,$F$24:$BZ$44,P$2-$E$2,FALSE)*$D$11*$D$14*(1+$D$13)^($F71-'הנחות עבודה'!$C$5)/$D$11)</f>
        <v>0</v>
      </c>
      <c r="Q71" s="45">
        <f ca="1">IF($F71&gt;$D$5,0,VLOOKUP($F71,$F$24:$BZ$44,Q$2-$E$2,FALSE)*$D$11*$D$14*(1+$D$13)^($F71-'הנחות עבודה'!$C$5)/$D$11)</f>
        <v>0</v>
      </c>
      <c r="R71" s="46">
        <f ca="1">IF($F71&gt;$D$5,0,VLOOKUP($F71,$F$24:$BZ$44,R$2-$E$2,FALSE)*$D$11*$D$14*(1+$D$13)^($F71-'הנחות עבודה'!$C$5)/$D$11)</f>
        <v>0</v>
      </c>
      <c r="S71" s="55">
        <f ca="1">IF($F71&gt;$D$5,0,VLOOKUP($F71,$F$24:$BZ$44,S$2-$E$2,FALSE)*$D$11*$D$14*(1+$D$13)^($F71-'הנחות עבודה'!$C$5)/$D$11)</f>
        <v>0</v>
      </c>
      <c r="T71" s="128">
        <f ca="1">IF($F71&gt;$D$5,0,VLOOKUP($F71,$F$24:$BZ$44,T$2-$E$2,FALSE)*$D$11*$D$14*(1+$D$13)^($F71-'הנחות עבודה'!$C$5)/$D$11)</f>
        <v>0</v>
      </c>
      <c r="U71" s="128">
        <f ca="1">IF($F71&gt;$D$5,0,VLOOKUP($F71,$F$24:$BZ$44,U$2-$E$2,FALSE)*$D$11*$D$14*(1+$D$13)^($F71-'הנחות עבודה'!$C$5)/$D$11)</f>
        <v>0</v>
      </c>
      <c r="V71" s="128">
        <f ca="1">IF($F71&gt;$D$5,0,VLOOKUP($F71,$F$24:$BZ$44,V$2-$E$2,FALSE)*$D$11*$D$14*(1+$D$13)^($F71-'הנחות עבודה'!$C$5)/$D$11)</f>
        <v>0</v>
      </c>
      <c r="W71" s="128">
        <f ca="1">IF($F71&gt;$D$5,0,VLOOKUP($F71,$F$24:$BZ$44,W$2-$E$2,FALSE)*$D$11*$D$14*(1+$D$13)^($F71-'הנחות עבודה'!$C$5)/$D$11)</f>
        <v>0</v>
      </c>
      <c r="X71" s="128">
        <f ca="1">IF($F71&gt;$D$5,0,VLOOKUP($F71,$F$24:$BZ$44,X$2-$E$2,FALSE)*$D$11*$D$14*(1+$D$13)^($F71-'הנחות עבודה'!$C$5)/$D$11)</f>
        <v>0</v>
      </c>
      <c r="Y71" s="55">
        <f ca="1">IF($F71&gt;$D$5,0,VLOOKUP($F71,$F$24:$BZ$44,Y$2-$E$2,FALSE)*$D$11*$D$14*(1+$D$13)^($F71-'הנחות עבודה'!$C$5)/$D$11)</f>
        <v>1549.1736308961022</v>
      </c>
      <c r="Z71" s="55">
        <f ca="1">IF($F71&gt;$D$5,0,VLOOKUP($F71,$F$24:$BZ$44,Z$2-$E$2,FALSE)*$D$11*$D$14*(1+$D$13)^($F71-'הנחות עבודה'!$C$5)/$D$11)</f>
        <v>7589.7127715964461</v>
      </c>
      <c r="AA71" s="55">
        <f ca="1">IF($F71&gt;$D$5,0,VLOOKUP($F71,$F$24:$BZ$44,AA$2-$E$2,FALSE)*$D$11*$D$14*(1+$D$13)^($F71-'הנחות עבודה'!$C$5)/$D$11)</f>
        <v>0</v>
      </c>
      <c r="AB71" s="55">
        <f ca="1">IF($F71&gt;$D$5,0,VLOOKUP($F71,$F$24:$BZ$44,AB$2-$E$2,FALSE)*$D$11*$D$14*(1+$D$13)^($F71-'הנחות עבודה'!$C$5)/$D$11)</f>
        <v>0</v>
      </c>
      <c r="AC71" s="55">
        <f ca="1">IF($F71&gt;$D$5,0,VLOOKUP($F71,$F$24:$BZ$44,AC$2-$E$2,FALSE)*$D$11*$D$14*(1+$D$13)^($F71-'הנחות עבודה'!$C$5)/$D$11)</f>
        <v>0</v>
      </c>
      <c r="AD71" s="55">
        <f ca="1">IF($F71&gt;$D$5,0,VLOOKUP($F71,$F$24:$BZ$44,AD$2-$E$2,FALSE)*$D$11*$D$14*(1+$D$13)^($F71-'הנחות עבודה'!$C$5)/$D$11)</f>
        <v>0</v>
      </c>
      <c r="AE71" s="45">
        <f ca="1">IF($F71&gt;$D$5,0,VLOOKUP($F71,$F$24:$BZ$44,AE$2-$E$2,FALSE)*$D$11*$D$14*(1+$D$13)^($F71-'הנחות עבודה'!$C$5)/$D$11)</f>
        <v>0</v>
      </c>
      <c r="AF71" s="47">
        <f ca="1">IF($F71&gt;$D$5,0,VLOOKUP($F71,$F$24:$BZ$44,AF$2-$E$2,FALSE)*$D$11*$D$14*(1+$D$13)^($F71-'הנחות עבודה'!$C$5)/$D$11)</f>
        <v>0</v>
      </c>
      <c r="AG71" s="47">
        <f ca="1">IF($F71&gt;$D$5,0,VLOOKUP($F71,$F$24:$BZ$44,AG$2-$E$2,FALSE)*$D$11*$D$14*(1+$D$13)^($F71-'הנחות עבודה'!$C$5)/$D$11)</f>
        <v>0</v>
      </c>
      <c r="AH71" s="47">
        <f ca="1">IF($F71&gt;$D$5,0,VLOOKUP($F71,$F$24:$BZ$44,AH$2-$E$2,FALSE)*$D$11*$D$14*(1+$D$13)^($F71-'הנחות עבודה'!$C$5)/$D$11)</f>
        <v>0</v>
      </c>
      <c r="AI71" s="47">
        <f ca="1">IF($F71&gt;$D$5,0,VLOOKUP($F71,$F$24:$BZ$44,AI$2-$E$2,FALSE)*$D$11*$D$14*(1+$D$13)^($F71-'הנחות עבודה'!$C$5)/$D$11)</f>
        <v>0</v>
      </c>
      <c r="AJ71" s="47">
        <f ca="1">IF($F71&gt;$D$5,0,VLOOKUP($F71,$F$24:$BZ$44,AJ$2-$E$2,FALSE)*$D$11*$D$14*(1+$D$13)^($F71-'הנחות עבודה'!$C$5)/$D$11)</f>
        <v>0</v>
      </c>
      <c r="AK71" s="45">
        <f ca="1">IF($F71&gt;$D$5,0,VLOOKUP($F71,$F$24:$BZ$44,AK$2-$E$2,FALSE)*$D$11*$D$14*(1+$D$13)^($F71-'הנחות עבודה'!$C$5)/$D$11)</f>
        <v>1608.619143701588</v>
      </c>
      <c r="AL71" s="45">
        <f ca="1">IF($F71&gt;$D$5,0,VLOOKUP($F71,$F$24:$BZ$44,AL$2-$E$2,FALSE)*$D$11*$D$14*(1+$D$13)^($F71-'הנחות עבודה'!$C$5)/$D$11)</f>
        <v>6980.803236775093</v>
      </c>
      <c r="AM71" s="45">
        <f ca="1">IF($F71&gt;$D$5,0,VLOOKUP($F71,$F$24:$BZ$44,AM$2-$E$2,FALSE)*$D$11*$D$14*(1+$D$13)^($F71-'הנחות עבודה'!$C$5)/$D$11)</f>
        <v>0</v>
      </c>
      <c r="AN71" s="46">
        <f ca="1">IF($F71&gt;$D$5,0,VLOOKUP($F71,$F$24:$BZ$44,AN$2-$E$2,FALSE)*$D$11*$D$14*(1+$D$13)^($F71-'הנחות עבודה'!$C$5)/$D$11)</f>
        <v>0</v>
      </c>
      <c r="AO71" s="45">
        <f ca="1">IF($F71&gt;$D$5,0,VLOOKUP($F71,$F$24:$BZ$44,AO$2-$E$2,FALSE)*$D$11*$D$14*(1+$D$13)^($F71-'הנחות עבודה'!$C$5)/$D$11)</f>
        <v>0</v>
      </c>
      <c r="AP71" s="46">
        <f ca="1">IF($F71&gt;$D$5,0,VLOOKUP($F71,$F$24:$BZ$44,AP$2-$E$2,FALSE)*$D$11*$D$14*(1+$D$13)^($F71-'הנחות עבודה'!$C$5)/$D$11)</f>
        <v>0</v>
      </c>
      <c r="AQ71" s="55">
        <f ca="1">IF($F71&gt;$D$5,0,VLOOKUP($F71,$F$24:$BZ$44,AQ$2-$E$2,FALSE)*$D$11*$D$14*(1+$D$13)^($F71-'הנחות עבודה'!$C$5)/$D$11)</f>
        <v>0</v>
      </c>
      <c r="AR71" s="128">
        <f ca="1">IF($F71&gt;$D$5,0,VLOOKUP($F71,$F$24:$BZ$44,AR$2-$E$2,FALSE)*$D$11*$D$14*(1+$D$13)^($F71-'הנחות עבודה'!$C$5)/$D$11)</f>
        <v>0</v>
      </c>
      <c r="AS71" s="128">
        <f ca="1">IF($F71&gt;$D$5,0,VLOOKUP($F71,$F$24:$BZ$44,AS$2-$E$2,FALSE)*$D$11*$D$14*(1+$D$13)^($F71-'הנחות עבודה'!$C$5)/$D$11)</f>
        <v>0</v>
      </c>
      <c r="AT71" s="128">
        <f ca="1">IF($F71&gt;$D$5,0,VLOOKUP($F71,$F$24:$BZ$44,AT$2-$E$2,FALSE)*$D$11*$D$14*(1+$D$13)^($F71-'הנחות עבודה'!$C$5)/$D$11)</f>
        <v>0</v>
      </c>
      <c r="AU71" s="128">
        <f ca="1">IF($F71&gt;$D$5,0,VLOOKUP($F71,$F$24:$BZ$44,AU$2-$E$2,FALSE)*$D$11*$D$14*(1+$D$13)^($F71-'הנחות עבודה'!$C$5)/$D$11)</f>
        <v>0</v>
      </c>
      <c r="AV71" s="128">
        <f ca="1">IF($F71&gt;$D$5,0,VLOOKUP($F71,$F$24:$BZ$44,AV$2-$E$2,FALSE)*$D$11*$D$14*(1+$D$13)^($F71-'הנחות עבודה'!$C$5)/$D$11)</f>
        <v>0</v>
      </c>
      <c r="AW71" s="55">
        <f ca="1">IF($F71&gt;$D$5,0,VLOOKUP($F71,$F$24:$BZ$44,AW$2-$E$2,FALSE)*$D$11*$D$14*(1+$D$13)^($F71-'הנחות עבודה'!$C$5)/$D$11)</f>
        <v>1608.619143701588</v>
      </c>
      <c r="AX71" s="55">
        <f ca="1">IF($F71&gt;$D$5,0,VLOOKUP($F71,$F$24:$BZ$44,AX$2-$E$2,FALSE)*$D$11*$D$14*(1+$D$13)^($F71-'הנחות עבודה'!$C$5)/$D$11)</f>
        <v>6980.803236775093</v>
      </c>
      <c r="AY71" s="55">
        <f ca="1">IF($F71&gt;$D$5,0,VLOOKUP($F71,$F$24:$BZ$44,AY$2-$E$2,FALSE)*$D$11*$D$14*(1+$D$13)^($F71-'הנחות עבודה'!$C$5)/$D$11)</f>
        <v>0</v>
      </c>
      <c r="AZ71" s="55">
        <f ca="1">IF($F71&gt;$D$5,0,VLOOKUP($F71,$F$24:$BZ$44,AZ$2-$E$2,FALSE)*$D$11*$D$14*(1+$D$13)^($F71-'הנחות עבודה'!$C$5)/$D$11)</f>
        <v>0</v>
      </c>
      <c r="BA71" s="55">
        <f ca="1">IF($F71&gt;$D$5,0,VLOOKUP($F71,$F$24:$BZ$44,BA$2-$E$2,FALSE)*$D$11*$D$14*(1+$D$13)^($F71-'הנחות עבודה'!$C$5)/$D$11)</f>
        <v>0</v>
      </c>
      <c r="BB71" s="55">
        <f ca="1">IF($F71&gt;$D$5,0,VLOOKUP($F71,$F$24:$BZ$44,BB$2-$E$2,FALSE)*$D$11*$D$14*(1+$D$13)^($F71-'הנחות עבודה'!$C$5)/$D$11)</f>
        <v>0</v>
      </c>
      <c r="BC71" s="45">
        <f ca="1">IF($F71&gt;$D$5,0,VLOOKUP($F71,$F$24:$BZ$44,BC$2-$E$2,FALSE)*$D$11*$D$14*(1+$D$13)^($F71-'הנחות עבודה'!$C$5)/$D$11)</f>
        <v>0</v>
      </c>
      <c r="BD71" s="47">
        <f ca="1">IF($F71&gt;$D$5,0,VLOOKUP($F71,$F$24:$BZ$44,BD$2-$E$2,FALSE)*$D$11*$D$14*(1+$D$13)^($F71-'הנחות עבודה'!$C$5)/$D$11)</f>
        <v>0</v>
      </c>
      <c r="BE71" s="47">
        <f ca="1">IF($F71&gt;$D$5,0,VLOOKUP($F71,$F$24:$BZ$44,BE$2-$E$2,FALSE)*$D$11*$D$14*(1+$D$13)^($F71-'הנחות עבודה'!$C$5)/$D$11)</f>
        <v>0</v>
      </c>
      <c r="BF71" s="47">
        <f ca="1">IF($F71&gt;$D$5,0,VLOOKUP($F71,$F$24:$BZ$44,BF$2-$E$2,FALSE)*$D$11*$D$14*(1+$D$13)^($F71-'הנחות עבודה'!$C$5)/$D$11)</f>
        <v>0</v>
      </c>
      <c r="BG71" s="47">
        <f ca="1">IF($F71&gt;$D$5,0,VLOOKUP($F71,$F$24:$BZ$44,BG$2-$E$2,FALSE)*$D$11*$D$14*(1+$D$13)^($F71-'הנחות עבודה'!$C$5)/$D$11)</f>
        <v>0</v>
      </c>
      <c r="BH71" s="47">
        <f ca="1">IF($F71&gt;$D$5,0,VLOOKUP($F71,$F$24:$BZ$44,BH$2-$E$2,FALSE)*$D$11*$D$14*(1+$D$13)^($F71-'הנחות עבודה'!$C$5)/$D$11)</f>
        <v>0</v>
      </c>
      <c r="BI71" s="45">
        <f ca="1">IF($F71&gt;$D$5,0,VLOOKUP($F71,$F$24:$BZ$44,BI$2-$E$2,FALSE)*$D$11*$D$14*(1+$D$13)^($F71-'הנחות עבודה'!$C$5)/$D$11)</f>
        <v>1647.9280252223293</v>
      </c>
      <c r="BJ71" s="45">
        <f ca="1">IF($F71&gt;$D$5,0,VLOOKUP($F71,$F$24:$BZ$44,BJ$2-$E$2,FALSE)*$D$11*$D$14*(1+$D$13)^($F71-'הנחות עבודה'!$C$5)/$D$11)</f>
        <v>6599.1572982205425</v>
      </c>
      <c r="BK71" s="45">
        <f ca="1">IF($F71&gt;$D$5,0,VLOOKUP($F71,$F$24:$BZ$44,BK$2-$E$2,FALSE)*$D$11*$D$14*(1+$D$13)^($F71-'הנחות עבודה'!$C$5)/$D$11)</f>
        <v>0</v>
      </c>
      <c r="BL71" s="45">
        <f ca="1">IF($F71&gt;$D$5,0,VLOOKUP($F71,$F$24:$BZ$44,BL$2-$E$2,FALSE)*$D$11*$D$14*(1+$D$13)^($F71-'הנחות עבודה'!$C$5)/$D$11)</f>
        <v>0</v>
      </c>
      <c r="BM71" s="45">
        <f ca="1">IF($F71&gt;$D$5,0,VLOOKUP($F71,$F$24:$BZ$44,BM$2-$E$2,FALSE)*$D$11*$D$14*(1+$D$13)^($F71-'הנחות עבודה'!$C$5)/$D$11)</f>
        <v>0</v>
      </c>
      <c r="BN71" s="45">
        <f ca="1">IF($F71&gt;$D$5,0,VLOOKUP($F71,$F$24:$BZ$44,BN$2-$E$2,FALSE)*$D$11*$D$14*(1+$D$13)^($F71-'הנחות עבודה'!$C$5)/$D$11)</f>
        <v>0</v>
      </c>
      <c r="BO71" s="55">
        <f ca="1">IF($F71&gt;$D$5,0,VLOOKUP($F71,$F$24:$BZ$44,BO$2-$E$2,FALSE)*$D$11*$D$14*(1+$D$13)^($F71-'הנחות עבודה'!$C$5)/$D$11)</f>
        <v>0</v>
      </c>
      <c r="BP71" s="128">
        <f ca="1">IF($F71&gt;$D$5,0,VLOOKUP($F71,$F$24:$BZ$44,BP$2-$E$2,FALSE)*$D$11*$D$14*(1+$D$13)^($F71-'הנחות עבודה'!$C$5)/$D$11)</f>
        <v>0</v>
      </c>
      <c r="BQ71" s="128">
        <f ca="1">IF($F71&gt;$D$5,0,VLOOKUP($F71,$F$24:$BZ$44,BQ$2-$E$2,FALSE)*$D$11*$D$14*(1+$D$13)^($F71-'הנחות עבודה'!$C$5)/$D$11)</f>
        <v>0</v>
      </c>
      <c r="BR71" s="128">
        <f ca="1">IF($F71&gt;$D$5,0,VLOOKUP($F71,$F$24:$BZ$44,BR$2-$E$2,FALSE)*$D$11*$D$14*(1+$D$13)^($F71-'הנחות עבודה'!$C$5)/$D$11)</f>
        <v>0</v>
      </c>
      <c r="BS71" s="128">
        <f ca="1">IF($F71&gt;$D$5,0,VLOOKUP($F71,$F$24:$BZ$44,BS$2-$E$2,FALSE)*$D$11*$D$14*(1+$D$13)^($F71-'הנחות עבודה'!$C$5)/$D$11)</f>
        <v>0</v>
      </c>
      <c r="BT71" s="128">
        <f ca="1">IF($F71&gt;$D$5,0,VLOOKUP($F71,$F$24:$BZ$44,BT$2-$E$2,FALSE)*$D$11*$D$14*(1+$D$13)^($F71-'הנחות עבודה'!$C$5)/$D$11)</f>
        <v>0</v>
      </c>
      <c r="BU71" s="55">
        <f ca="1">IF($F71&gt;$D$5,0,VLOOKUP($F71,$F$24:$BZ$44,BU$2-$E$2,FALSE)*$D$11*$D$14*(1+$D$13)^($F71-'הנחות עבודה'!$C$5)/$D$11)</f>
        <v>1647.9280252223293</v>
      </c>
      <c r="BV71" s="55">
        <f ca="1">IF($F71&gt;$D$5,0,VLOOKUP($F71,$F$24:$BZ$44,BV$2-$E$2,FALSE)*$D$11*$D$14*(1+$D$13)^($F71-'הנחות עבודה'!$C$5)/$D$11)</f>
        <v>6599.1572982205425</v>
      </c>
      <c r="BW71" s="55">
        <f ca="1">IF($F71&gt;$D$5,0,VLOOKUP($F71,$F$24:$BZ$44,BW$2-$E$2,FALSE)*$D$11*$D$14*(1+$D$13)^($F71-'הנחות עבודה'!$C$5)/$D$11)</f>
        <v>0</v>
      </c>
      <c r="BX71" s="55">
        <f ca="1">IF($F71&gt;$D$5,0,VLOOKUP($F71,$F$24:$BZ$44,BX$2-$E$2,FALSE)*$D$11*$D$14*(1+$D$13)^($F71-'הנחות עבודה'!$C$5)/$D$11)</f>
        <v>0</v>
      </c>
      <c r="BY71" s="55">
        <f ca="1">IF($F71&gt;$D$5,0,VLOOKUP($F71,$F$24:$BZ$44,BY$2-$E$2,FALSE)*$D$11*$D$14*(1+$D$13)^($F71-'הנחות עבודה'!$C$5)/$D$11)</f>
        <v>0</v>
      </c>
      <c r="BZ71" s="55">
        <f ca="1">IF($F71&gt;$D$5,0,VLOOKUP($F71,$F$24:$BZ$44,BZ$2-$E$2,FALSE)*$D$11*$D$14*(1+$D$13)^($F71-'הנחות עבודה'!$C$5)/$D$11)</f>
        <v>0</v>
      </c>
    </row>
    <row r="72" spans="6:78" ht="16.5" thickBot="1">
      <c r="F72" s="349" t="s">
        <v>27</v>
      </c>
      <c r="G72" s="65">
        <f t="shared" ref="G72:BU72" ca="1" si="131">SUM(G51:G71)</f>
        <v>0</v>
      </c>
      <c r="H72" s="65">
        <f t="shared" ca="1" si="131"/>
        <v>0</v>
      </c>
      <c r="I72" s="65">
        <f t="shared" ca="1" si="131"/>
        <v>0</v>
      </c>
      <c r="J72" s="65">
        <f t="shared" ca="1" si="131"/>
        <v>0</v>
      </c>
      <c r="K72" s="65">
        <f t="shared" ca="1" si="131"/>
        <v>0</v>
      </c>
      <c r="L72" s="65">
        <f t="shared" ca="1" si="131"/>
        <v>0</v>
      </c>
      <c r="M72" s="65">
        <f t="shared" ca="1" si="131"/>
        <v>20478.123926200456</v>
      </c>
      <c r="N72" s="65">
        <f t="shared" ref="N72:O72" ca="1" si="132">SUM(N51:N71)</f>
        <v>95897.532926040774</v>
      </c>
      <c r="O72" s="65">
        <f t="shared" ca="1" si="132"/>
        <v>0</v>
      </c>
      <c r="P72" s="65">
        <f t="shared" ca="1" si="131"/>
        <v>0</v>
      </c>
      <c r="Q72" s="65">
        <f t="shared" ca="1" si="131"/>
        <v>9545.2014308407761</v>
      </c>
      <c r="R72" s="65">
        <f t="shared" ca="1" si="131"/>
        <v>0</v>
      </c>
      <c r="S72" s="76">
        <f t="shared" ca="1" si="131"/>
        <v>0</v>
      </c>
      <c r="T72" s="76">
        <f t="shared" ca="1" si="131"/>
        <v>0</v>
      </c>
      <c r="U72" s="76">
        <f t="shared" ca="1" si="131"/>
        <v>0</v>
      </c>
      <c r="V72" s="76">
        <f t="shared" ca="1" si="131"/>
        <v>0</v>
      </c>
      <c r="W72" s="76">
        <f t="shared" ca="1" si="131"/>
        <v>0</v>
      </c>
      <c r="X72" s="76">
        <f t="shared" ca="1" si="131"/>
        <v>0</v>
      </c>
      <c r="Y72" s="76">
        <f t="shared" ca="1" si="131"/>
        <v>20478.123926200456</v>
      </c>
      <c r="Z72" s="76">
        <f t="shared" ref="Z72:AD72" ca="1" si="133">SUM(Z51:Z71)</f>
        <v>95897.532926040774</v>
      </c>
      <c r="AA72" s="76">
        <f t="shared" ca="1" si="133"/>
        <v>0</v>
      </c>
      <c r="AB72" s="76">
        <f t="shared" ca="1" si="133"/>
        <v>0</v>
      </c>
      <c r="AC72" s="76">
        <f t="shared" ca="1" si="133"/>
        <v>9545.2014308407761</v>
      </c>
      <c r="AD72" s="76">
        <f t="shared" ca="1" si="133"/>
        <v>0</v>
      </c>
      <c r="AE72" s="65">
        <f t="shared" ref="AE72:BB72" ca="1" si="134">SUM(AE51:AE71)</f>
        <v>0</v>
      </c>
      <c r="AF72" s="65">
        <f t="shared" ca="1" si="134"/>
        <v>0</v>
      </c>
      <c r="AG72" s="65">
        <f t="shared" ca="1" si="134"/>
        <v>0</v>
      </c>
      <c r="AH72" s="65">
        <f t="shared" ca="1" si="134"/>
        <v>0</v>
      </c>
      <c r="AI72" s="65">
        <f t="shared" ca="1" si="134"/>
        <v>0</v>
      </c>
      <c r="AJ72" s="65">
        <f t="shared" ca="1" si="134"/>
        <v>0</v>
      </c>
      <c r="AK72" s="65">
        <f t="shared" ca="1" si="134"/>
        <v>21281.898097210506</v>
      </c>
      <c r="AL72" s="65">
        <f t="shared" ca="1" si="134"/>
        <v>87507.036578712403</v>
      </c>
      <c r="AM72" s="65">
        <f t="shared" ca="1" si="134"/>
        <v>0</v>
      </c>
      <c r="AN72" s="65">
        <f t="shared" ca="1" si="134"/>
        <v>0</v>
      </c>
      <c r="AO72" s="65">
        <f t="shared" ca="1" si="134"/>
        <v>9541.2298058415254</v>
      </c>
      <c r="AP72" s="65">
        <f t="shared" ca="1" si="134"/>
        <v>0</v>
      </c>
      <c r="AQ72" s="76">
        <f t="shared" ca="1" si="134"/>
        <v>0</v>
      </c>
      <c r="AR72" s="76">
        <f t="shared" ca="1" si="134"/>
        <v>0</v>
      </c>
      <c r="AS72" s="76">
        <f t="shared" ca="1" si="134"/>
        <v>0</v>
      </c>
      <c r="AT72" s="76">
        <f t="shared" ca="1" si="134"/>
        <v>0</v>
      </c>
      <c r="AU72" s="76">
        <f t="shared" ca="1" si="134"/>
        <v>0</v>
      </c>
      <c r="AV72" s="76">
        <f t="shared" ca="1" si="134"/>
        <v>0</v>
      </c>
      <c r="AW72" s="76">
        <f t="shared" ca="1" si="134"/>
        <v>21281.898097210506</v>
      </c>
      <c r="AX72" s="76">
        <f t="shared" ca="1" si="134"/>
        <v>87507.036578712403</v>
      </c>
      <c r="AY72" s="76">
        <f t="shared" ca="1" si="134"/>
        <v>0</v>
      </c>
      <c r="AZ72" s="76">
        <f t="shared" ca="1" si="134"/>
        <v>0</v>
      </c>
      <c r="BA72" s="76">
        <f t="shared" ca="1" si="134"/>
        <v>9541.2298058415254</v>
      </c>
      <c r="BB72" s="76">
        <f t="shared" ca="1" si="134"/>
        <v>0</v>
      </c>
      <c r="BC72" s="65">
        <f t="shared" ca="1" si="131"/>
        <v>0</v>
      </c>
      <c r="BD72" s="65">
        <f t="shared" ca="1" si="131"/>
        <v>0</v>
      </c>
      <c r="BE72" s="65">
        <f t="shared" ca="1" si="131"/>
        <v>0</v>
      </c>
      <c r="BF72" s="65">
        <f t="shared" ca="1" si="131"/>
        <v>0</v>
      </c>
      <c r="BG72" s="65">
        <f t="shared" ca="1" si="131"/>
        <v>0</v>
      </c>
      <c r="BH72" s="65">
        <f t="shared" ca="1" si="131"/>
        <v>0</v>
      </c>
      <c r="BI72" s="65">
        <f t="shared" ca="1" si="131"/>
        <v>21720.453149538836</v>
      </c>
      <c r="BJ72" s="65">
        <f t="shared" ref="BJ72:BN72" ca="1" si="135">SUM(BJ51:BJ71)</f>
        <v>82418.926599274171</v>
      </c>
      <c r="BK72" s="65">
        <f t="shared" ca="1" si="135"/>
        <v>0</v>
      </c>
      <c r="BL72" s="65">
        <f t="shared" ca="1" si="135"/>
        <v>0</v>
      </c>
      <c r="BM72" s="65">
        <f t="shared" ca="1" si="135"/>
        <v>9539.8589088869758</v>
      </c>
      <c r="BN72" s="65">
        <f t="shared" ca="1" si="135"/>
        <v>0</v>
      </c>
      <c r="BO72" s="76">
        <f t="shared" ca="1" si="131"/>
        <v>0</v>
      </c>
      <c r="BP72" s="76">
        <f t="shared" ca="1" si="131"/>
        <v>0</v>
      </c>
      <c r="BQ72" s="76">
        <f t="shared" ca="1" si="131"/>
        <v>0</v>
      </c>
      <c r="BR72" s="76">
        <f t="shared" ca="1" si="131"/>
        <v>0</v>
      </c>
      <c r="BS72" s="76">
        <f t="shared" ca="1" si="131"/>
        <v>0</v>
      </c>
      <c r="BT72" s="76">
        <f t="shared" ca="1" si="131"/>
        <v>0</v>
      </c>
      <c r="BU72" s="76">
        <f t="shared" ca="1" si="131"/>
        <v>21720.453149538836</v>
      </c>
      <c r="BV72" s="76">
        <f t="shared" ref="BV72:BZ72" ca="1" si="136">SUM(BV51:BV71)</f>
        <v>82418.926599274171</v>
      </c>
      <c r="BW72" s="76">
        <f t="shared" ca="1" si="136"/>
        <v>0</v>
      </c>
      <c r="BX72" s="76">
        <f t="shared" ca="1" si="136"/>
        <v>0</v>
      </c>
      <c r="BY72" s="76">
        <f t="shared" ca="1" si="136"/>
        <v>9539.8589088869758</v>
      </c>
      <c r="BZ72" s="76">
        <f t="shared" ca="1" si="136"/>
        <v>0</v>
      </c>
    </row>
    <row r="73" spans="6:78" ht="16.5" thickBot="1">
      <c r="F73" s="349" t="s">
        <v>4</v>
      </c>
      <c r="G73" s="65">
        <f ca="1">NPV($D$6,G51:G71)</f>
        <v>0</v>
      </c>
      <c r="H73" s="65">
        <f t="shared" ref="H73:BU73" ca="1" si="137">NPV($D$6,H51:H71)</f>
        <v>0</v>
      </c>
      <c r="I73" s="65">
        <f t="shared" ca="1" si="137"/>
        <v>0</v>
      </c>
      <c r="J73" s="65">
        <f t="shared" ca="1" si="137"/>
        <v>0</v>
      </c>
      <c r="K73" s="65">
        <f t="shared" ca="1" si="137"/>
        <v>0</v>
      </c>
      <c r="L73" s="65">
        <f t="shared" ca="1" si="137"/>
        <v>0</v>
      </c>
      <c r="M73" s="65">
        <f t="shared" ca="1" si="137"/>
        <v>13688.684582718612</v>
      </c>
      <c r="N73" s="65">
        <f t="shared" ref="N73:O73" ca="1" si="138">NPV($D$6,N51:N71)</f>
        <v>66434.189359417549</v>
      </c>
      <c r="O73" s="65">
        <f t="shared" ca="1" si="138"/>
        <v>0</v>
      </c>
      <c r="P73" s="65">
        <f t="shared" ca="1" si="137"/>
        <v>0</v>
      </c>
      <c r="Q73" s="65">
        <f t="shared" ca="1" si="137"/>
        <v>8779.8872038985573</v>
      </c>
      <c r="R73" s="65">
        <f t="shared" ca="1" si="137"/>
        <v>0</v>
      </c>
      <c r="S73" s="76">
        <f t="shared" ca="1" si="137"/>
        <v>0</v>
      </c>
      <c r="T73" s="76">
        <f t="shared" ca="1" si="137"/>
        <v>0</v>
      </c>
      <c r="U73" s="76">
        <f t="shared" ca="1" si="137"/>
        <v>0</v>
      </c>
      <c r="V73" s="76">
        <f t="shared" ca="1" si="137"/>
        <v>0</v>
      </c>
      <c r="W73" s="76">
        <f t="shared" ca="1" si="137"/>
        <v>0</v>
      </c>
      <c r="X73" s="76">
        <f t="shared" ca="1" si="137"/>
        <v>0</v>
      </c>
      <c r="Y73" s="76">
        <f t="shared" ca="1" si="137"/>
        <v>13688.684582718612</v>
      </c>
      <c r="Z73" s="76">
        <f t="shared" ref="Z73:AD73" ca="1" si="139">NPV($D$6,Z51:Z71)</f>
        <v>66434.189359417549</v>
      </c>
      <c r="AA73" s="76">
        <f t="shared" ca="1" si="139"/>
        <v>0</v>
      </c>
      <c r="AB73" s="76">
        <f t="shared" ca="1" si="139"/>
        <v>0</v>
      </c>
      <c r="AC73" s="76">
        <f t="shared" ca="1" si="139"/>
        <v>8779.8872038985573</v>
      </c>
      <c r="AD73" s="76">
        <f t="shared" ca="1" si="139"/>
        <v>0</v>
      </c>
      <c r="AE73" s="65">
        <f t="shared" ref="AE73:BB73" ca="1" si="140">NPV($D$6,AE51:AE71)</f>
        <v>0</v>
      </c>
      <c r="AF73" s="65">
        <f t="shared" ca="1" si="140"/>
        <v>0</v>
      </c>
      <c r="AG73" s="65">
        <f t="shared" ca="1" si="140"/>
        <v>0</v>
      </c>
      <c r="AH73" s="65">
        <f t="shared" ca="1" si="140"/>
        <v>0</v>
      </c>
      <c r="AI73" s="65">
        <f t="shared" ca="1" si="140"/>
        <v>0</v>
      </c>
      <c r="AJ73" s="65">
        <f t="shared" ca="1" si="140"/>
        <v>0</v>
      </c>
      <c r="AK73" s="65">
        <f t="shared" ca="1" si="140"/>
        <v>14190.038642831534</v>
      </c>
      <c r="AL73" s="65">
        <f t="shared" ca="1" si="140"/>
        <v>60846.754819024718</v>
      </c>
      <c r="AM73" s="65">
        <f t="shared" ca="1" si="140"/>
        <v>0</v>
      </c>
      <c r="AN73" s="65">
        <f t="shared" ca="1" si="140"/>
        <v>0</v>
      </c>
      <c r="AO73" s="65">
        <f t="shared" ca="1" si="140"/>
        <v>8776.4666810383005</v>
      </c>
      <c r="AP73" s="65">
        <f t="shared" ca="1" si="140"/>
        <v>0</v>
      </c>
      <c r="AQ73" s="76">
        <f t="shared" ca="1" si="140"/>
        <v>0</v>
      </c>
      <c r="AR73" s="76">
        <f t="shared" ca="1" si="140"/>
        <v>0</v>
      </c>
      <c r="AS73" s="76">
        <f t="shared" ca="1" si="140"/>
        <v>0</v>
      </c>
      <c r="AT73" s="76">
        <f t="shared" ca="1" si="140"/>
        <v>0</v>
      </c>
      <c r="AU73" s="76">
        <f t="shared" ca="1" si="140"/>
        <v>0</v>
      </c>
      <c r="AV73" s="76">
        <f t="shared" ca="1" si="140"/>
        <v>0</v>
      </c>
      <c r="AW73" s="76">
        <f t="shared" ca="1" si="140"/>
        <v>14190.038642831534</v>
      </c>
      <c r="AX73" s="76">
        <f t="shared" ca="1" si="140"/>
        <v>60846.754819024718</v>
      </c>
      <c r="AY73" s="76">
        <f t="shared" ca="1" si="140"/>
        <v>0</v>
      </c>
      <c r="AZ73" s="76">
        <f t="shared" ca="1" si="140"/>
        <v>0</v>
      </c>
      <c r="BA73" s="76">
        <f t="shared" ca="1" si="140"/>
        <v>8776.4666810383005</v>
      </c>
      <c r="BB73" s="76">
        <f t="shared" ca="1" si="140"/>
        <v>0</v>
      </c>
      <c r="BC73" s="65">
        <f t="shared" ca="1" si="137"/>
        <v>0</v>
      </c>
      <c r="BD73" s="65">
        <f t="shared" ca="1" si="137"/>
        <v>0</v>
      </c>
      <c r="BE73" s="65">
        <f t="shared" ca="1" si="137"/>
        <v>0</v>
      </c>
      <c r="BF73" s="65">
        <f t="shared" ca="1" si="137"/>
        <v>0</v>
      </c>
      <c r="BG73" s="65">
        <f t="shared" ca="1" si="137"/>
        <v>0</v>
      </c>
      <c r="BH73" s="65">
        <f t="shared" ca="1" si="137"/>
        <v>0</v>
      </c>
      <c r="BI73" s="65">
        <f t="shared" ca="1" si="137"/>
        <v>14473.035481283367</v>
      </c>
      <c r="BJ73" s="65">
        <f t="shared" ref="BJ73:BN73" ca="1" si="141">NPV($D$6,BJ51:BJ71)</f>
        <v>57466.368255661175</v>
      </c>
      <c r="BK73" s="65">
        <f t="shared" ca="1" si="141"/>
        <v>0</v>
      </c>
      <c r="BL73" s="65">
        <f t="shared" ca="1" si="141"/>
        <v>0</v>
      </c>
      <c r="BM73" s="65">
        <f t="shared" ca="1" si="141"/>
        <v>8775.2977534849852</v>
      </c>
      <c r="BN73" s="65">
        <f t="shared" ca="1" si="141"/>
        <v>0</v>
      </c>
      <c r="BO73" s="76">
        <f t="shared" ca="1" si="137"/>
        <v>0</v>
      </c>
      <c r="BP73" s="76">
        <f t="shared" ca="1" si="137"/>
        <v>0</v>
      </c>
      <c r="BQ73" s="76">
        <f t="shared" ca="1" si="137"/>
        <v>0</v>
      </c>
      <c r="BR73" s="76">
        <f t="shared" ca="1" si="137"/>
        <v>0</v>
      </c>
      <c r="BS73" s="76">
        <f t="shared" ca="1" si="137"/>
        <v>0</v>
      </c>
      <c r="BT73" s="76">
        <f t="shared" ca="1" si="137"/>
        <v>0</v>
      </c>
      <c r="BU73" s="76">
        <f t="shared" ca="1" si="137"/>
        <v>14473.035481283367</v>
      </c>
      <c r="BV73" s="76">
        <f t="shared" ref="BV73:BZ73" ca="1" si="142">NPV($D$6,BV51:BV71)</f>
        <v>57466.368255661175</v>
      </c>
      <c r="BW73" s="76">
        <f t="shared" ca="1" si="142"/>
        <v>0</v>
      </c>
      <c r="BX73" s="76">
        <f t="shared" ca="1" si="142"/>
        <v>0</v>
      </c>
      <c r="BY73" s="76">
        <f t="shared" ca="1" si="142"/>
        <v>8775.2977534849852</v>
      </c>
      <c r="BZ73" s="76">
        <f t="shared" ca="1" si="142"/>
        <v>0</v>
      </c>
    </row>
    <row r="74" spans="6:78" ht="16.5" thickBot="1">
      <c r="F74" s="349" t="s">
        <v>27</v>
      </c>
      <c r="G74" s="1306">
        <f ca="1">SUM(G72:R72)</f>
        <v>125920.85828308201</v>
      </c>
      <c r="H74" s="1307"/>
      <c r="I74" s="1307"/>
      <c r="J74" s="1307"/>
      <c r="K74" s="1307"/>
      <c r="L74" s="1307"/>
      <c r="M74" s="1307"/>
      <c r="N74" s="1307"/>
      <c r="O74" s="1307"/>
      <c r="P74" s="1307"/>
      <c r="Q74" s="1307"/>
      <c r="R74" s="1308"/>
      <c r="S74" s="1306">
        <f ca="1">SUM(S72:AD72)</f>
        <v>125920.85828308201</v>
      </c>
      <c r="T74" s="1307"/>
      <c r="U74" s="1307"/>
      <c r="V74" s="1307"/>
      <c r="W74" s="1307"/>
      <c r="X74" s="1307"/>
      <c r="Y74" s="1307"/>
      <c r="Z74" s="1307"/>
      <c r="AA74" s="1307"/>
      <c r="AB74" s="1307"/>
      <c r="AC74" s="1307"/>
      <c r="AD74" s="1308"/>
      <c r="AE74" s="1306">
        <f t="shared" ref="AE74:AE75" ca="1" si="143">SUM(AE72:AP72)</f>
        <v>118330.16448176443</v>
      </c>
      <c r="AF74" s="1307"/>
      <c r="AG74" s="1307"/>
      <c r="AH74" s="1307"/>
      <c r="AI74" s="1307"/>
      <c r="AJ74" s="1307"/>
      <c r="AK74" s="1307"/>
      <c r="AL74" s="1307"/>
      <c r="AM74" s="1307"/>
      <c r="AN74" s="1307"/>
      <c r="AO74" s="1307"/>
      <c r="AP74" s="1308"/>
      <c r="AQ74" s="1306">
        <f t="shared" ref="AQ74:AQ75" ca="1" si="144">SUM(AQ72:BB72)</f>
        <v>118330.16448176443</v>
      </c>
      <c r="AR74" s="1307"/>
      <c r="AS74" s="1307"/>
      <c r="AT74" s="1307"/>
      <c r="AU74" s="1307"/>
      <c r="AV74" s="1307"/>
      <c r="AW74" s="1307"/>
      <c r="AX74" s="1307"/>
      <c r="AY74" s="1307"/>
      <c r="AZ74" s="1307"/>
      <c r="BA74" s="1307"/>
      <c r="BB74" s="1308"/>
      <c r="BC74" s="1306">
        <f ca="1">SUM(BC72:BN72)</f>
        <v>113679.23865769999</v>
      </c>
      <c r="BD74" s="1307"/>
      <c r="BE74" s="1307"/>
      <c r="BF74" s="1307"/>
      <c r="BG74" s="1307"/>
      <c r="BH74" s="1307"/>
      <c r="BI74" s="1307"/>
      <c r="BJ74" s="1307"/>
      <c r="BK74" s="1307"/>
      <c r="BL74" s="1307"/>
      <c r="BM74" s="1307"/>
      <c r="BN74" s="1308"/>
      <c r="BO74" s="1306">
        <f ca="1">SUM(BO72:BZ72)</f>
        <v>113679.23865769999</v>
      </c>
      <c r="BP74" s="1307"/>
      <c r="BQ74" s="1307"/>
      <c r="BR74" s="1307"/>
      <c r="BS74" s="1307"/>
      <c r="BT74" s="1307"/>
      <c r="BU74" s="1307"/>
      <c r="BV74" s="1307"/>
      <c r="BW74" s="1307"/>
      <c r="BX74" s="1307"/>
      <c r="BY74" s="1307"/>
      <c r="BZ74" s="1308"/>
    </row>
    <row r="75" spans="6:78" ht="16.5" thickBot="1">
      <c r="F75" s="349" t="s">
        <v>4</v>
      </c>
      <c r="G75" s="1309">
        <f ca="1">SUM(G73:R73)</f>
        <v>88902.761146034711</v>
      </c>
      <c r="H75" s="1310"/>
      <c r="I75" s="1310"/>
      <c r="J75" s="1310"/>
      <c r="K75" s="1310"/>
      <c r="L75" s="1310"/>
      <c r="M75" s="1310"/>
      <c r="N75" s="1310"/>
      <c r="O75" s="1310"/>
      <c r="P75" s="1310"/>
      <c r="Q75" s="1310"/>
      <c r="R75" s="1311"/>
      <c r="S75" s="1309">
        <f ca="1">SUM(S73:AD73)</f>
        <v>88902.761146034711</v>
      </c>
      <c r="T75" s="1310"/>
      <c r="U75" s="1310"/>
      <c r="V75" s="1310"/>
      <c r="W75" s="1310"/>
      <c r="X75" s="1310"/>
      <c r="Y75" s="1310"/>
      <c r="Z75" s="1310"/>
      <c r="AA75" s="1310"/>
      <c r="AB75" s="1310"/>
      <c r="AC75" s="1310"/>
      <c r="AD75" s="1311"/>
      <c r="AE75" s="1309">
        <f t="shared" ca="1" si="143"/>
        <v>83813.260142894564</v>
      </c>
      <c r="AF75" s="1310"/>
      <c r="AG75" s="1310"/>
      <c r="AH75" s="1310"/>
      <c r="AI75" s="1310"/>
      <c r="AJ75" s="1310"/>
      <c r="AK75" s="1310"/>
      <c r="AL75" s="1310"/>
      <c r="AM75" s="1310"/>
      <c r="AN75" s="1310"/>
      <c r="AO75" s="1310"/>
      <c r="AP75" s="1311"/>
      <c r="AQ75" s="1309">
        <f t="shared" ca="1" si="144"/>
        <v>83813.260142894564</v>
      </c>
      <c r="AR75" s="1310"/>
      <c r="AS75" s="1310"/>
      <c r="AT75" s="1310"/>
      <c r="AU75" s="1310"/>
      <c r="AV75" s="1310"/>
      <c r="AW75" s="1310"/>
      <c r="AX75" s="1310"/>
      <c r="AY75" s="1310"/>
      <c r="AZ75" s="1310"/>
      <c r="BA75" s="1310"/>
      <c r="BB75" s="1311"/>
      <c r="BC75" s="1309">
        <f ca="1">SUM(BC73:BN73)</f>
        <v>80714.701490429521</v>
      </c>
      <c r="BD75" s="1310"/>
      <c r="BE75" s="1310"/>
      <c r="BF75" s="1310"/>
      <c r="BG75" s="1310"/>
      <c r="BH75" s="1310"/>
      <c r="BI75" s="1310"/>
      <c r="BJ75" s="1310"/>
      <c r="BK75" s="1310"/>
      <c r="BL75" s="1310"/>
      <c r="BM75" s="1310"/>
      <c r="BN75" s="1311"/>
      <c r="BO75" s="1309">
        <f ca="1">SUM(BO73:BZ73)</f>
        <v>80714.701490429521</v>
      </c>
      <c r="BP75" s="1310"/>
      <c r="BQ75" s="1310"/>
      <c r="BR75" s="1310"/>
      <c r="BS75" s="1310"/>
      <c r="BT75" s="1310"/>
      <c r="BU75" s="1310"/>
      <c r="BV75" s="1310"/>
      <c r="BW75" s="1310"/>
      <c r="BX75" s="1310"/>
      <c r="BY75" s="1310"/>
      <c r="BZ75" s="1311"/>
    </row>
  </sheetData>
  <mergeCells count="34">
    <mergeCell ref="BO74:BZ74"/>
    <mergeCell ref="BO75:BZ75"/>
    <mergeCell ref="G74:R74"/>
    <mergeCell ref="G75:R75"/>
    <mergeCell ref="S74:AD74"/>
    <mergeCell ref="S75:AD75"/>
    <mergeCell ref="BC74:BN74"/>
    <mergeCell ref="BC75:BN75"/>
    <mergeCell ref="AE74:AP74"/>
    <mergeCell ref="AQ74:BB74"/>
    <mergeCell ref="AE75:AP75"/>
    <mergeCell ref="AQ75:BB75"/>
    <mergeCell ref="G48:BZ48"/>
    <mergeCell ref="G49:R49"/>
    <mergeCell ref="S49:AD49"/>
    <mergeCell ref="BC49:BN49"/>
    <mergeCell ref="BO49:BZ49"/>
    <mergeCell ref="AE49:AP49"/>
    <mergeCell ref="AQ49:BB49"/>
    <mergeCell ref="G46:R46"/>
    <mergeCell ref="S46:AD46"/>
    <mergeCell ref="BC46:BN46"/>
    <mergeCell ref="BO46:BZ46"/>
    <mergeCell ref="B6:B11"/>
    <mergeCell ref="G21:BZ21"/>
    <mergeCell ref="G22:R22"/>
    <mergeCell ref="S22:AD22"/>
    <mergeCell ref="BC22:BN22"/>
    <mergeCell ref="BO22:BZ22"/>
    <mergeCell ref="F17:R17"/>
    <mergeCell ref="AE22:AP22"/>
    <mergeCell ref="AQ22:BB22"/>
    <mergeCell ref="AE46:AP46"/>
    <mergeCell ref="AQ46:BB46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B00-000000000000}">
          <x14:formula1>
            <xm:f>'הנחות עבודה'!$L$39:$L$42</xm:f>
          </x14:formula1>
          <xm:sqref>F19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K75"/>
  <sheetViews>
    <sheetView rightToLeft="1" topLeftCell="C14" zoomScale="55" zoomScaleNormal="55" workbookViewId="0">
      <selection activeCell="F29" sqref="F29"/>
    </sheetView>
  </sheetViews>
  <sheetFormatPr defaultColWidth="10.42578125" defaultRowHeight="15"/>
  <cols>
    <col min="1" max="1" width="2.5703125" bestFit="1" customWidth="1"/>
    <col min="2" max="2" width="22.7109375" bestFit="1" customWidth="1"/>
    <col min="3" max="3" width="33" bestFit="1" customWidth="1"/>
    <col min="4" max="4" width="15.28515625" bestFit="1" customWidth="1"/>
    <col min="5" max="5" width="2.5703125" bestFit="1" customWidth="1"/>
    <col min="6" max="6" width="9.140625" customWidth="1"/>
    <col min="7" max="7" width="14.42578125" bestFit="1" customWidth="1"/>
    <col min="8" max="8" width="14.28515625" bestFit="1" customWidth="1"/>
    <col min="9" max="9" width="5.7109375" bestFit="1" customWidth="1"/>
    <col min="10" max="10" width="11.7109375" bestFit="1" customWidth="1"/>
    <col min="11" max="11" width="11.5703125" bestFit="1" customWidth="1"/>
    <col min="12" max="12" width="15.140625" bestFit="1" customWidth="1"/>
    <col min="13" max="13" width="16.7109375" bestFit="1" customWidth="1"/>
    <col min="14" max="14" width="21.7109375" bestFit="1" customWidth="1"/>
    <col min="15" max="15" width="19.42578125" bestFit="1" customWidth="1"/>
    <col min="16" max="16" width="16.5703125" bestFit="1" customWidth="1"/>
    <col min="17" max="17" width="12.140625" bestFit="1" customWidth="1"/>
    <col min="18" max="18" width="5.7109375" bestFit="1" customWidth="1"/>
    <col min="19" max="19" width="14.42578125" bestFit="1" customWidth="1"/>
    <col min="20" max="20" width="14.28515625" bestFit="1" customWidth="1"/>
    <col min="21" max="21" width="5.7109375" bestFit="1" customWidth="1"/>
    <col min="22" max="22" width="11.7109375" bestFit="1" customWidth="1"/>
    <col min="23" max="23" width="11.5703125" bestFit="1" customWidth="1"/>
    <col min="24" max="24" width="15.140625" bestFit="1" customWidth="1"/>
    <col min="25" max="25" width="16.7109375" bestFit="1" customWidth="1"/>
    <col min="26" max="26" width="21.7109375" bestFit="1" customWidth="1"/>
    <col min="27" max="27" width="19.42578125" bestFit="1" customWidth="1"/>
    <col min="28" max="28" width="16.5703125" bestFit="1" customWidth="1"/>
    <col min="29" max="29" width="12.140625" bestFit="1" customWidth="1"/>
    <col min="30" max="30" width="5.7109375" bestFit="1" customWidth="1"/>
    <col min="31" max="31" width="11.28515625" bestFit="1" customWidth="1"/>
    <col min="32" max="32" width="11.140625" bestFit="1" customWidth="1"/>
    <col min="33" max="33" width="5.7109375" bestFit="1" customWidth="1"/>
    <col min="34" max="34" width="11.7109375" bestFit="1" customWidth="1"/>
    <col min="35" max="35" width="11.5703125" bestFit="1" customWidth="1"/>
    <col min="36" max="36" width="8.5703125" bestFit="1" customWidth="1"/>
    <col min="37" max="37" width="10.42578125" bestFit="1" customWidth="1"/>
    <col min="38" max="38" width="9.42578125" bestFit="1" customWidth="1"/>
    <col min="39" max="39" width="11.28515625" bestFit="1" customWidth="1"/>
    <col min="40" max="40" width="9.140625" bestFit="1" customWidth="1"/>
    <col min="41" max="41" width="12.140625" bestFit="1" customWidth="1"/>
    <col min="42" max="42" width="5.7109375" bestFit="1" customWidth="1"/>
    <col min="43" max="43" width="11.28515625" bestFit="1" customWidth="1"/>
    <col min="44" max="44" width="11.140625" bestFit="1" customWidth="1"/>
    <col min="45" max="45" width="5.7109375" bestFit="1" customWidth="1"/>
    <col min="46" max="46" width="11.7109375" bestFit="1" customWidth="1"/>
    <col min="47" max="47" width="11.5703125" bestFit="1" customWidth="1"/>
    <col min="48" max="48" width="8.5703125" bestFit="1" customWidth="1"/>
    <col min="49" max="49" width="10.42578125" bestFit="1" customWidth="1"/>
    <col min="50" max="50" width="9.42578125" bestFit="1" customWidth="1"/>
    <col min="51" max="51" width="11.28515625" bestFit="1" customWidth="1"/>
    <col min="52" max="52" width="9.140625" bestFit="1" customWidth="1"/>
    <col min="53" max="53" width="12.140625" bestFit="1" customWidth="1"/>
    <col min="54" max="54" width="5.7109375" bestFit="1" customWidth="1"/>
    <col min="55" max="55" width="14.42578125" bestFit="1" customWidth="1"/>
    <col min="56" max="56" width="14.28515625" bestFit="1" customWidth="1"/>
    <col min="57" max="57" width="5.7109375" bestFit="1" customWidth="1"/>
    <col min="58" max="58" width="11.7109375" bestFit="1" customWidth="1"/>
    <col min="59" max="59" width="11.5703125" bestFit="1" customWidth="1"/>
    <col min="60" max="60" width="15.140625" bestFit="1" customWidth="1"/>
    <col min="61" max="61" width="16.7109375" bestFit="1" customWidth="1"/>
    <col min="62" max="62" width="21.7109375" bestFit="1" customWidth="1"/>
    <col min="63" max="63" width="19.42578125" bestFit="1" customWidth="1"/>
    <col min="64" max="64" width="16.5703125" bestFit="1" customWidth="1"/>
    <col min="65" max="65" width="12.140625" bestFit="1" customWidth="1"/>
    <col min="66" max="66" width="5.7109375" bestFit="1" customWidth="1"/>
    <col min="67" max="67" width="14.42578125" bestFit="1" customWidth="1"/>
    <col min="68" max="68" width="14.28515625" bestFit="1" customWidth="1"/>
    <col min="69" max="69" width="5.7109375" bestFit="1" customWidth="1"/>
    <col min="70" max="70" width="11.7109375" bestFit="1" customWidth="1"/>
    <col min="71" max="71" width="11.5703125" bestFit="1" customWidth="1"/>
    <col min="72" max="72" width="15.140625" bestFit="1" customWidth="1"/>
    <col min="73" max="73" width="16.7109375" bestFit="1" customWidth="1"/>
    <col min="74" max="74" width="21.7109375" bestFit="1" customWidth="1"/>
    <col min="75" max="75" width="19.42578125" bestFit="1" customWidth="1"/>
    <col min="76" max="76" width="16.5703125" bestFit="1" customWidth="1"/>
    <col min="77" max="77" width="12.140625" bestFit="1" customWidth="1"/>
    <col min="78" max="78" width="5.7109375" bestFit="1" customWidth="1"/>
    <col min="79" max="89" width="3.7109375" bestFit="1" customWidth="1"/>
  </cols>
  <sheetData>
    <row r="1" spans="1:89" ht="15.75" thickBot="1"/>
    <row r="2" spans="1:89" s="3" customFormat="1" ht="16.5" thickBot="1">
      <c r="A2" s="2">
        <v>1</v>
      </c>
      <c r="B2" s="2">
        <f>+A2+1</f>
        <v>2</v>
      </c>
      <c r="C2" s="2">
        <f t="shared" ref="C2:H2" si="0">+B2+1</f>
        <v>3</v>
      </c>
      <c r="D2" s="2">
        <f t="shared" si="0"/>
        <v>4</v>
      </c>
      <c r="E2" s="2">
        <f t="shared" si="0"/>
        <v>5</v>
      </c>
      <c r="F2" s="2">
        <f t="shared" si="0"/>
        <v>6</v>
      </c>
      <c r="G2" s="2">
        <f t="shared" si="0"/>
        <v>7</v>
      </c>
      <c r="H2" s="2">
        <f t="shared" si="0"/>
        <v>8</v>
      </c>
      <c r="I2" s="2">
        <f t="shared" ref="I2" si="1">+H2+1</f>
        <v>9</v>
      </c>
      <c r="J2" s="2">
        <f t="shared" ref="J2" si="2">+I2+1</f>
        <v>10</v>
      </c>
      <c r="K2" s="2">
        <f t="shared" ref="K2" si="3">+J2+1</f>
        <v>11</v>
      </c>
      <c r="L2" s="2">
        <f t="shared" ref="L2" si="4">+K2+1</f>
        <v>12</v>
      </c>
      <c r="M2" s="2">
        <f t="shared" ref="M2" si="5">+L2+1</f>
        <v>13</v>
      </c>
      <c r="N2" s="2">
        <f t="shared" ref="N2" si="6">+M2+1</f>
        <v>14</v>
      </c>
      <c r="O2" s="2">
        <f t="shared" ref="O2" si="7">+N2+1</f>
        <v>15</v>
      </c>
      <c r="P2" s="2">
        <f t="shared" ref="P2" si="8">+O2+1</f>
        <v>16</v>
      </c>
      <c r="Q2" s="2">
        <f t="shared" ref="Q2" si="9">+P2+1</f>
        <v>17</v>
      </c>
      <c r="R2" s="2">
        <f t="shared" ref="R2" si="10">+Q2+1</f>
        <v>18</v>
      </c>
      <c r="S2" s="2">
        <f t="shared" ref="S2" si="11">+R2+1</f>
        <v>19</v>
      </c>
      <c r="T2" s="2">
        <f t="shared" ref="T2" si="12">+S2+1</f>
        <v>20</v>
      </c>
      <c r="U2" s="2">
        <f t="shared" ref="U2" si="13">+T2+1</f>
        <v>21</v>
      </c>
      <c r="V2" s="2">
        <f t="shared" ref="V2" si="14">+U2+1</f>
        <v>22</v>
      </c>
      <c r="W2" s="2">
        <f t="shared" ref="W2" si="15">+V2+1</f>
        <v>23</v>
      </c>
      <c r="X2" s="2">
        <f t="shared" ref="X2" si="16">+W2+1</f>
        <v>24</v>
      </c>
      <c r="Y2" s="2">
        <f t="shared" ref="Y2" si="17">+X2+1</f>
        <v>25</v>
      </c>
      <c r="Z2" s="2">
        <f t="shared" ref="Z2" si="18">+Y2+1</f>
        <v>26</v>
      </c>
      <c r="AA2" s="2">
        <f t="shared" ref="AA2" si="19">+Z2+1</f>
        <v>27</v>
      </c>
      <c r="AB2" s="2">
        <f t="shared" ref="AB2" si="20">+AA2+1</f>
        <v>28</v>
      </c>
      <c r="AC2" s="2">
        <f t="shared" ref="AC2" si="21">+AB2+1</f>
        <v>29</v>
      </c>
      <c r="AD2" s="2">
        <f t="shared" ref="AD2" si="22">+AC2+1</f>
        <v>30</v>
      </c>
      <c r="AE2" s="2">
        <f t="shared" ref="AE2" si="23">+AD2+1</f>
        <v>31</v>
      </c>
      <c r="AF2" s="2">
        <f t="shared" ref="AF2" si="24">+AE2+1</f>
        <v>32</v>
      </c>
      <c r="AG2" s="2">
        <f t="shared" ref="AG2" si="25">+AF2+1</f>
        <v>33</v>
      </c>
      <c r="AH2" s="2">
        <f t="shared" ref="AH2" si="26">+AG2+1</f>
        <v>34</v>
      </c>
      <c r="AI2" s="2">
        <f t="shared" ref="AI2" si="27">+AH2+1</f>
        <v>35</v>
      </c>
      <c r="AJ2" s="2">
        <f t="shared" ref="AJ2" si="28">+AI2+1</f>
        <v>36</v>
      </c>
      <c r="AK2" s="2">
        <f t="shared" ref="AK2" si="29">+AJ2+1</f>
        <v>37</v>
      </c>
      <c r="AL2" s="2">
        <f t="shared" ref="AL2" si="30">+AK2+1</f>
        <v>38</v>
      </c>
      <c r="AM2" s="2">
        <f t="shared" ref="AM2" si="31">+AL2+1</f>
        <v>39</v>
      </c>
      <c r="AN2" s="2">
        <f t="shared" ref="AN2" si="32">+AM2+1</f>
        <v>40</v>
      </c>
      <c r="AO2" s="2">
        <f t="shared" ref="AO2" si="33">+AN2+1</f>
        <v>41</v>
      </c>
      <c r="AP2" s="2">
        <f t="shared" ref="AP2" si="34">+AO2+1</f>
        <v>42</v>
      </c>
      <c r="AQ2" s="2">
        <f t="shared" ref="AQ2" si="35">+AP2+1</f>
        <v>43</v>
      </c>
      <c r="AR2" s="2">
        <f t="shared" ref="AR2" si="36">+AQ2+1</f>
        <v>44</v>
      </c>
      <c r="AS2" s="2">
        <f t="shared" ref="AS2" si="37">+AR2+1</f>
        <v>45</v>
      </c>
      <c r="AT2" s="2">
        <f t="shared" ref="AT2" si="38">+AS2+1</f>
        <v>46</v>
      </c>
      <c r="AU2" s="2">
        <f t="shared" ref="AU2" si="39">+AT2+1</f>
        <v>47</v>
      </c>
      <c r="AV2" s="2">
        <f t="shared" ref="AV2" si="40">+AU2+1</f>
        <v>48</v>
      </c>
      <c r="AW2" s="2">
        <f t="shared" ref="AW2" si="41">+AV2+1</f>
        <v>49</v>
      </c>
      <c r="AX2" s="2">
        <f t="shared" ref="AX2" si="42">+AW2+1</f>
        <v>50</v>
      </c>
      <c r="AY2" s="2">
        <f t="shared" ref="AY2" si="43">+AX2+1</f>
        <v>51</v>
      </c>
      <c r="AZ2" s="2">
        <f t="shared" ref="AZ2" si="44">+AY2+1</f>
        <v>52</v>
      </c>
      <c r="BA2" s="2">
        <f t="shared" ref="BA2" si="45">+AZ2+1</f>
        <v>53</v>
      </c>
      <c r="BB2" s="2">
        <f t="shared" ref="BB2" si="46">+BA2+1</f>
        <v>54</v>
      </c>
      <c r="BC2" s="2">
        <f t="shared" ref="BC2" si="47">+BB2+1</f>
        <v>55</v>
      </c>
      <c r="BD2" s="2">
        <f t="shared" ref="BD2" si="48">+BC2+1</f>
        <v>56</v>
      </c>
      <c r="BE2" s="2">
        <f t="shared" ref="BE2" si="49">+BD2+1</f>
        <v>57</v>
      </c>
      <c r="BF2" s="2">
        <f t="shared" ref="BF2" si="50">+BE2+1</f>
        <v>58</v>
      </c>
      <c r="BG2" s="2">
        <f t="shared" ref="BG2" si="51">+BF2+1</f>
        <v>59</v>
      </c>
      <c r="BH2" s="2">
        <f t="shared" ref="BH2" si="52">+BG2+1</f>
        <v>60</v>
      </c>
      <c r="BI2" s="2">
        <f t="shared" ref="BI2" si="53">+BH2+1</f>
        <v>61</v>
      </c>
      <c r="BJ2" s="2">
        <f t="shared" ref="BJ2" si="54">+BI2+1</f>
        <v>62</v>
      </c>
      <c r="BK2" s="2">
        <f t="shared" ref="BK2" si="55">+BJ2+1</f>
        <v>63</v>
      </c>
      <c r="BL2" s="2">
        <f t="shared" ref="BL2" si="56">+BK2+1</f>
        <v>64</v>
      </c>
      <c r="BM2" s="2">
        <f t="shared" ref="BM2" si="57">+BL2+1</f>
        <v>65</v>
      </c>
      <c r="BN2" s="2">
        <f t="shared" ref="BN2" si="58">+BM2+1</f>
        <v>66</v>
      </c>
      <c r="BO2" s="2">
        <f t="shared" ref="BO2" si="59">+BN2+1</f>
        <v>67</v>
      </c>
      <c r="BP2" s="2">
        <f t="shared" ref="BP2" si="60">+BO2+1</f>
        <v>68</v>
      </c>
      <c r="BQ2" s="2">
        <f t="shared" ref="BQ2" si="61">+BP2+1</f>
        <v>69</v>
      </c>
      <c r="BR2" s="2">
        <f t="shared" ref="BR2" si="62">+BQ2+1</f>
        <v>70</v>
      </c>
      <c r="BS2" s="2">
        <f t="shared" ref="BS2" si="63">+BR2+1</f>
        <v>71</v>
      </c>
      <c r="BT2" s="2">
        <f t="shared" ref="BT2" si="64">+BS2+1</f>
        <v>72</v>
      </c>
      <c r="BU2" s="2">
        <f t="shared" ref="BU2" si="65">+BT2+1</f>
        <v>73</v>
      </c>
      <c r="BV2" s="2">
        <f t="shared" ref="BV2" si="66">+BU2+1</f>
        <v>74</v>
      </c>
      <c r="BW2" s="2">
        <f t="shared" ref="BW2" si="67">+BV2+1</f>
        <v>75</v>
      </c>
      <c r="BX2" s="2">
        <f t="shared" ref="BX2" si="68">+BW2+1</f>
        <v>76</v>
      </c>
      <c r="BY2" s="2">
        <f t="shared" ref="BY2" si="69">+BX2+1</f>
        <v>77</v>
      </c>
      <c r="BZ2" s="2">
        <f t="shared" ref="BZ2" si="70">+BY2+1</f>
        <v>78</v>
      </c>
      <c r="CA2" s="2">
        <f t="shared" ref="CA2" si="71">+BZ2+1</f>
        <v>79</v>
      </c>
      <c r="CB2" s="2">
        <f t="shared" ref="CB2" si="72">+CA2+1</f>
        <v>80</v>
      </c>
      <c r="CC2" s="2">
        <f t="shared" ref="CC2" si="73">+CB2+1</f>
        <v>81</v>
      </c>
      <c r="CD2" s="2">
        <f t="shared" ref="CD2" si="74">+CC2+1</f>
        <v>82</v>
      </c>
      <c r="CE2" s="2">
        <f t="shared" ref="CE2" si="75">+CD2+1</f>
        <v>83</v>
      </c>
      <c r="CF2" s="2">
        <f t="shared" ref="CF2" si="76">+CE2+1</f>
        <v>84</v>
      </c>
      <c r="CG2" s="2">
        <f t="shared" ref="CG2" si="77">+CF2+1</f>
        <v>85</v>
      </c>
      <c r="CH2" s="2">
        <f t="shared" ref="CH2" si="78">+CG2+1</f>
        <v>86</v>
      </c>
      <c r="CI2" s="2">
        <f t="shared" ref="CI2" si="79">+CH2+1</f>
        <v>87</v>
      </c>
      <c r="CJ2" s="2">
        <f t="shared" ref="CJ2" si="80">+CI2+1</f>
        <v>88</v>
      </c>
      <c r="CK2" s="2">
        <f t="shared" ref="CK2" si="81">+CJ2+1</f>
        <v>89</v>
      </c>
    </row>
    <row r="3" spans="1:89" ht="15.75" thickBot="1"/>
    <row r="4" spans="1:89" ht="15.75">
      <c r="C4" s="368" t="str">
        <f>'הנחות עבודה'!B6</f>
        <v>שנת התחלת חישוב תזרים</v>
      </c>
      <c r="D4" s="18">
        <f>'הנחות עבודה'!C6</f>
        <v>2020</v>
      </c>
    </row>
    <row r="5" spans="1:89" ht="16.5" thickBot="1">
      <c r="C5" s="369" t="str">
        <f>'הנחות עבודה'!B7</f>
        <v>שנת היוון מקסימלית - תפעולי</v>
      </c>
      <c r="D5" s="19">
        <f>'הנחות עבודה'!C7</f>
        <v>2040</v>
      </c>
    </row>
    <row r="6" spans="1:89" ht="15.75">
      <c r="B6" s="1249" t="str">
        <f>'הנחות עבודה'!B9</f>
        <v>הנחות כלליות</v>
      </c>
      <c r="C6" s="366" t="str">
        <f>'הנחות עבודה'!C9</f>
        <v>ריבית שנתית להיוון</v>
      </c>
      <c r="D6" s="367">
        <f>'הנחות עבודה'!D9</f>
        <v>0.03</v>
      </c>
    </row>
    <row r="7" spans="1:89" ht="15.75">
      <c r="B7" s="1250"/>
      <c r="C7" s="184" t="str">
        <f>'הנחות עבודה'!C11</f>
        <v>שער הדולר שקל</v>
      </c>
      <c r="D7" s="193">
        <f>'הנחות עבודה'!D11</f>
        <v>3.5643360655737717</v>
      </c>
    </row>
    <row r="8" spans="1:89" ht="15.75">
      <c r="B8" s="1250"/>
      <c r="C8" s="185" t="str">
        <f>'הנחות עבודה'!C13</f>
        <v>MW TO KW / KW TO W</v>
      </c>
      <c r="D8" s="188">
        <f>'הנחות עבודה'!D13</f>
        <v>1000</v>
      </c>
    </row>
    <row r="9" spans="1:89" ht="15.75">
      <c r="B9" s="1250"/>
      <c r="C9" s="185" t="str">
        <f>'הנחות עבודה'!C14</f>
        <v>TW TO MW</v>
      </c>
      <c r="D9" s="188">
        <f>'הנחות עבודה'!D14</f>
        <v>1000000</v>
      </c>
    </row>
    <row r="10" spans="1:89" ht="15.75">
      <c r="B10" s="1250"/>
      <c r="C10" s="186" t="str">
        <f>'הנחות עבודה'!C15</f>
        <v>₪ לאג</v>
      </c>
      <c r="D10" s="188">
        <f>'הנחות עבודה'!D15</f>
        <v>100</v>
      </c>
    </row>
    <row r="11" spans="1:89" ht="16.5" thickBot="1">
      <c r="B11" s="1251"/>
      <c r="C11" s="347" t="str">
        <f>'הנחות עבודה'!C16</f>
        <v>מלש"ח ל- ₪ / טון לגר' / מיליון טון לטון</v>
      </c>
      <c r="D11" s="348">
        <f>'הנחות עבודה'!D16</f>
        <v>1000000</v>
      </c>
    </row>
    <row r="12" spans="1:89" ht="16.5" thickBot="1">
      <c r="B12" s="295" t="str">
        <f>'הנחות עבודה'!M31</f>
        <v>שיעור הפחתת כמות שנתי</v>
      </c>
      <c r="C12" s="182" t="str">
        <f>$F$19</f>
        <v>NOx</v>
      </c>
      <c r="D12" s="191">
        <f>VLOOKUP(C12,'הנחות עבודה'!$L$32:$N$35,2,FALSE)</f>
        <v>0</v>
      </c>
      <c r="I12" s="244"/>
      <c r="J12" s="244"/>
      <c r="K12" s="244"/>
      <c r="L12" s="244"/>
      <c r="M12" s="244"/>
      <c r="N12" s="244"/>
      <c r="O12" s="244"/>
      <c r="BT12" s="243"/>
      <c r="BU12" s="376"/>
    </row>
    <row r="13" spans="1:89" ht="16.5" thickBot="1">
      <c r="B13" s="82" t="str">
        <f>'הנחות עבודה'!N31</f>
        <v>שיעור עלית מחיר</v>
      </c>
      <c r="C13" s="347" t="str">
        <f>$F$19</f>
        <v>NOx</v>
      </c>
      <c r="D13" s="352">
        <f>VLOOKUP(C13,'הנחות עבודה'!$L$32:$N$35,3,FALSE)</f>
        <v>3.2649999999999998E-2</v>
      </c>
    </row>
    <row r="14" spans="1:89" ht="16.5" thickBot="1">
      <c r="B14" s="359" t="s">
        <v>250</v>
      </c>
      <c r="C14" s="353" t="str">
        <f>F19</f>
        <v>NOx</v>
      </c>
      <c r="D14" s="358">
        <f>VLOOKUP(C14,'הנחות עבודה'!L39:M42,2,FALSE)</f>
        <v>118208</v>
      </c>
    </row>
    <row r="16" spans="1:89" ht="15.75" thickBot="1">
      <c r="I16" s="244"/>
      <c r="J16" s="244"/>
      <c r="K16" s="244"/>
      <c r="L16" s="244"/>
      <c r="M16" s="244"/>
      <c r="N16" s="244"/>
      <c r="O16" s="244"/>
    </row>
    <row r="17" spans="6:78" ht="16.5" thickBot="1">
      <c r="F17" s="1243" t="s">
        <v>243</v>
      </c>
      <c r="G17" s="1244"/>
      <c r="H17" s="1244"/>
      <c r="I17" s="1244"/>
      <c r="J17" s="1244"/>
      <c r="K17" s="1244"/>
      <c r="L17" s="1244"/>
      <c r="M17" s="1244"/>
      <c r="N17" s="1244"/>
      <c r="O17" s="1244"/>
      <c r="P17" s="1244"/>
      <c r="Q17" s="1244"/>
      <c r="R17" s="1245"/>
    </row>
    <row r="18" spans="6:78" ht="48" thickBot="1">
      <c r="F18" s="357"/>
      <c r="G18" s="335" t="str">
        <f t="shared" ref="G18:R18" ca="1" si="82">G23</f>
        <v>מוטה קרקע PV</v>
      </c>
      <c r="H18" s="336" t="str">
        <f t="shared" ca="1" si="82"/>
        <v>מוטה דואלי PV</v>
      </c>
      <c r="I18" s="336" t="str">
        <f t="shared" ca="1" si="82"/>
        <v>רוח</v>
      </c>
      <c r="J18" s="336" t="str">
        <f t="shared" ca="1" si="82"/>
        <v>ביומסה/ביוגז</v>
      </c>
      <c r="K18" s="336" t="str">
        <f t="shared" ca="1" si="82"/>
        <v>תרמו סולארי</v>
      </c>
      <c r="L18" s="336" t="str">
        <f t="shared" si="82"/>
        <v>אחר</v>
      </c>
      <c r="M18" s="336" t="str">
        <f t="shared" ca="1" si="82"/>
        <v>גז פחמיות מוסבות</v>
      </c>
      <c r="N18" s="336" t="str">
        <f t="shared" ref="N18:O18" ca="1" si="83">N23</f>
        <v>גז חח"י מחזמים ופקירים ויח"פים</v>
      </c>
      <c r="O18" s="336" t="str">
        <f t="shared" ca="1" si="83"/>
        <v>אחר 1</v>
      </c>
      <c r="P18" s="336" t="str">
        <f t="shared" ca="1" si="82"/>
        <v>אחר 2</v>
      </c>
      <c r="Q18" s="336" t="str">
        <f t="shared" si="82"/>
        <v>יחידה פחמית</v>
      </c>
      <c r="R18" s="337" t="str">
        <f t="shared" si="82"/>
        <v>סולר ופצלי שמן</v>
      </c>
    </row>
    <row r="19" spans="6:78" ht="16.5" thickBot="1">
      <c r="F19" s="335" t="s">
        <v>247</v>
      </c>
      <c r="G19" s="354">
        <f ca="1">HLOOKUP(G18,'הנחות עבודה'!$C$117:$N$121,MATCH('מזהם מקומי- NOX'!$F$19,'הנחות עבודה'!$B$117:$B$121,0),FALSE)</f>
        <v>0</v>
      </c>
      <c r="H19" s="355">
        <f ca="1">HLOOKUP(H18,'הנחות עבודה'!$C$117:$N$121,MATCH('מזהם מקומי- NOX'!$F$19,'הנחות עבודה'!$B$117:$B$121,0),FALSE)</f>
        <v>0</v>
      </c>
      <c r="I19" s="355">
        <f ca="1">HLOOKUP(I18,'הנחות עבודה'!$C$117:$N$121,MATCH('מזהם מקומי- NOX'!$F$19,'הנחות עבודה'!$B$117:$B$121,0),FALSE)</f>
        <v>0</v>
      </c>
      <c r="J19" s="355">
        <f ca="1">HLOOKUP(J18,'הנחות עבודה'!$C$117:$N$121,MATCH('מזהם מקומי- NOX'!$F$19,'הנחות עבודה'!$B$117:$B$121,0),FALSE)</f>
        <v>0</v>
      </c>
      <c r="K19" s="355">
        <f ca="1">HLOOKUP(K18,'הנחות עבודה'!$C$117:$N$121,MATCH('מזהם מקומי- NOX'!$F$19,'הנחות עבודה'!$B$117:$B$121,0),FALSE)</f>
        <v>0</v>
      </c>
      <c r="L19" s="355">
        <f ca="1">HLOOKUP(L18,'הנחות עבודה'!$C$117:$N$121,MATCH('מזהם מקומי- NOX'!$F$19,'הנחות עבודה'!$B$117:$B$121,0),FALSE)</f>
        <v>0</v>
      </c>
      <c r="M19" s="355">
        <f ca="1">HLOOKUP(M18,'הנחות עבודה'!$C$117:$N$121,MATCH('מזהם מקומי- NOX'!$F$19,'הנחות עבודה'!$B$117:$B$121,0),FALSE)</f>
        <v>0.24</v>
      </c>
      <c r="N19" s="355">
        <f ca="1">HLOOKUP(N18,'הנחות עבודה'!$C$117:$N$121,MATCH('מזהם מקומי- NOX'!$F$19,'הנחות עבודה'!$B$117:$B$121,0),FALSE)</f>
        <v>0.16</v>
      </c>
      <c r="O19" s="355">
        <f ca="1">HLOOKUP(O18,'הנחות עבודה'!$C$117:$N$121,MATCH('מזהם מקומי- NOX'!$F$19,'הנחות עבודה'!$B$117:$B$121,0),FALSE)</f>
        <v>0</v>
      </c>
      <c r="P19" s="355">
        <f ca="1">HLOOKUP(P18,'הנחות עבודה'!$C$117:$N$121,MATCH('מזהם מקומי- NOX'!$F$19,'הנחות עבודה'!$B$117:$B$121,0),FALSE)</f>
        <v>0</v>
      </c>
      <c r="Q19" s="355">
        <f ca="1">HLOOKUP(Q18,'הנחות עבודה'!$C$117:$N$121,MATCH('מזהם מקומי- NOX'!$F$19,'הנחות עבודה'!$B$117:$B$121,0),FALSE)</f>
        <v>0.38574999999999998</v>
      </c>
      <c r="R19" s="356">
        <f ca="1">HLOOKUP(R18,'הנחות עבודה'!$C$117:$N$121,MATCH('מזהם מקומי- NOX'!$F$19,'הנחות עבודה'!$B$117:$B$121,0),FALSE)</f>
        <v>0</v>
      </c>
    </row>
    <row r="20" spans="6:78" ht="15.75" thickBot="1">
      <c r="I20" s="244"/>
      <c r="J20" s="244"/>
      <c r="K20" s="244"/>
      <c r="L20" s="244"/>
      <c r="M20" s="244"/>
      <c r="N20" s="244"/>
      <c r="O20" s="244"/>
    </row>
    <row r="21" spans="6:78" ht="16.5" thickBot="1">
      <c r="G21" s="1243" t="s">
        <v>496</v>
      </c>
      <c r="H21" s="1244"/>
      <c r="I21" s="1244"/>
      <c r="J21" s="1244"/>
      <c r="K21" s="1244"/>
      <c r="L21" s="1244"/>
      <c r="M21" s="1244"/>
      <c r="N21" s="1244"/>
      <c r="O21" s="1244"/>
      <c r="P21" s="1244"/>
      <c r="Q21" s="1244"/>
      <c r="R21" s="1244"/>
      <c r="S21" s="1244"/>
      <c r="T21" s="1244"/>
      <c r="U21" s="1244"/>
      <c r="V21" s="1244"/>
      <c r="W21" s="1244"/>
      <c r="X21" s="1244"/>
      <c r="Y21" s="1244"/>
      <c r="Z21" s="1244"/>
      <c r="AA21" s="1244"/>
      <c r="AB21" s="1244"/>
      <c r="AC21" s="1244"/>
      <c r="AD21" s="1244"/>
      <c r="AE21" s="1244"/>
      <c r="AF21" s="1244"/>
      <c r="AG21" s="1244"/>
      <c r="AH21" s="1244"/>
      <c r="AI21" s="1244"/>
      <c r="AJ21" s="1244"/>
      <c r="AK21" s="1244"/>
      <c r="AL21" s="1244"/>
      <c r="AM21" s="1244"/>
      <c r="AN21" s="1244"/>
      <c r="AO21" s="1244"/>
      <c r="AP21" s="1244"/>
      <c r="AQ21" s="1244"/>
      <c r="AR21" s="1244"/>
      <c r="AS21" s="1244"/>
      <c r="AT21" s="1244"/>
      <c r="AU21" s="1244"/>
      <c r="AV21" s="1244"/>
      <c r="AW21" s="1244"/>
      <c r="AX21" s="1244"/>
      <c r="AY21" s="1244"/>
      <c r="AZ21" s="1244"/>
      <c r="BA21" s="1244"/>
      <c r="BB21" s="1244"/>
      <c r="BC21" s="1244"/>
      <c r="BD21" s="1244"/>
      <c r="BE21" s="1244"/>
      <c r="BF21" s="1244"/>
      <c r="BG21" s="1244"/>
      <c r="BH21" s="1244"/>
      <c r="BI21" s="1244"/>
      <c r="BJ21" s="1244"/>
      <c r="BK21" s="1244"/>
      <c r="BL21" s="1244"/>
      <c r="BM21" s="1244"/>
      <c r="BN21" s="1244"/>
      <c r="BO21" s="1244"/>
      <c r="BP21" s="1244"/>
      <c r="BQ21" s="1244"/>
      <c r="BR21" s="1244"/>
      <c r="BS21" s="1244"/>
      <c r="BT21" s="1244"/>
      <c r="BU21" s="1244"/>
      <c r="BV21" s="1244"/>
      <c r="BW21" s="1244"/>
      <c r="BX21" s="1244"/>
      <c r="BY21" s="1244"/>
      <c r="BZ21" s="1245"/>
    </row>
    <row r="22" spans="6:78" ht="16.5" thickBot="1">
      <c r="G22" s="1289" t="s">
        <v>46</v>
      </c>
      <c r="H22" s="1290"/>
      <c r="I22" s="1290"/>
      <c r="J22" s="1290"/>
      <c r="K22" s="1290"/>
      <c r="L22" s="1290"/>
      <c r="M22" s="1290"/>
      <c r="N22" s="1290"/>
      <c r="O22" s="1290"/>
      <c r="P22" s="1290"/>
      <c r="Q22" s="1290"/>
      <c r="R22" s="1296"/>
      <c r="S22" s="1291" t="s">
        <v>47</v>
      </c>
      <c r="T22" s="1292"/>
      <c r="U22" s="1292"/>
      <c r="V22" s="1292"/>
      <c r="W22" s="1292"/>
      <c r="X22" s="1292"/>
      <c r="Y22" s="1292"/>
      <c r="Z22" s="1292"/>
      <c r="AA22" s="1292"/>
      <c r="AB22" s="1292"/>
      <c r="AC22" s="1292"/>
      <c r="AD22" s="1293"/>
      <c r="AE22" s="1289" t="s">
        <v>342</v>
      </c>
      <c r="AF22" s="1290"/>
      <c r="AG22" s="1290"/>
      <c r="AH22" s="1290"/>
      <c r="AI22" s="1290"/>
      <c r="AJ22" s="1290"/>
      <c r="AK22" s="1290"/>
      <c r="AL22" s="1290"/>
      <c r="AM22" s="1290"/>
      <c r="AN22" s="1290"/>
      <c r="AO22" s="1290"/>
      <c r="AP22" s="1296"/>
      <c r="AQ22" s="1291" t="s">
        <v>343</v>
      </c>
      <c r="AR22" s="1292"/>
      <c r="AS22" s="1292"/>
      <c r="AT22" s="1292"/>
      <c r="AU22" s="1292"/>
      <c r="AV22" s="1292"/>
      <c r="AW22" s="1292"/>
      <c r="AX22" s="1292"/>
      <c r="AY22" s="1292"/>
      <c r="AZ22" s="1292"/>
      <c r="BA22" s="1292"/>
      <c r="BB22" s="1293"/>
      <c r="BC22" s="1289" t="s">
        <v>344</v>
      </c>
      <c r="BD22" s="1290"/>
      <c r="BE22" s="1290"/>
      <c r="BF22" s="1290"/>
      <c r="BG22" s="1290"/>
      <c r="BH22" s="1290"/>
      <c r="BI22" s="1290"/>
      <c r="BJ22" s="1290"/>
      <c r="BK22" s="1290"/>
      <c r="BL22" s="1290"/>
      <c r="BM22" s="1290"/>
      <c r="BN22" s="1296"/>
      <c r="BO22" s="1291" t="s">
        <v>345</v>
      </c>
      <c r="BP22" s="1292"/>
      <c r="BQ22" s="1292"/>
      <c r="BR22" s="1292"/>
      <c r="BS22" s="1292"/>
      <c r="BT22" s="1292"/>
      <c r="BU22" s="1292"/>
      <c r="BV22" s="1292"/>
      <c r="BW22" s="1292"/>
      <c r="BX22" s="1292"/>
      <c r="BY22" s="1292"/>
      <c r="BZ22" s="1293"/>
    </row>
    <row r="23" spans="6:78" ht="48" customHeight="1" thickBot="1">
      <c r="F23" s="7" t="s">
        <v>0</v>
      </c>
      <c r="G23" s="38" t="str">
        <f ca="1">'התפלגות ייצור וסל דלקים'!C62</f>
        <v>מוטה קרקע PV</v>
      </c>
      <c r="H23" s="38" t="str">
        <f ca="1">'התפלגות ייצור וסל דלקים'!D62</f>
        <v>מוטה דואלי PV</v>
      </c>
      <c r="I23" s="38" t="str">
        <f ca="1">'התפלגות ייצור וסל דלקים'!E62</f>
        <v>רוח</v>
      </c>
      <c r="J23" s="38" t="str">
        <f ca="1">'התפלגות ייצור וסל דלקים'!F62</f>
        <v>ביומסה/ביוגז</v>
      </c>
      <c r="K23" s="38" t="str">
        <f ca="1">'התפלגות ייצור וסל דלקים'!G62</f>
        <v>תרמו סולארי</v>
      </c>
      <c r="L23" s="38" t="str">
        <f>'התפלגות ייצור וסל דלקים'!H62</f>
        <v>אחר</v>
      </c>
      <c r="M23" s="38" t="str">
        <f ca="1">'התפלגות ייצור וסל דלקים'!I62</f>
        <v>גז פחמיות מוסבות</v>
      </c>
      <c r="N23" s="38" t="str">
        <f ca="1">'התפלגות ייצור וסל דלקים'!J62</f>
        <v>גז חח"י מחזמים ופקירים ויח"פים</v>
      </c>
      <c r="O23" s="38" t="str">
        <f ca="1">'התפלגות ייצור וסל דלקים'!K62</f>
        <v>אחר 1</v>
      </c>
      <c r="P23" s="38" t="str">
        <f ca="1">'התפלגות ייצור וסל דלקים'!L62</f>
        <v>אחר 2</v>
      </c>
      <c r="Q23" s="38" t="str">
        <f>'התפלגות ייצור וסל דלקים'!M62</f>
        <v>יחידה פחמית</v>
      </c>
      <c r="R23" s="38" t="str">
        <f>'התפלגות ייצור וסל דלקים'!N62</f>
        <v>סולר ופצלי שמן</v>
      </c>
      <c r="S23" s="48" t="str">
        <f t="shared" ref="S23:BZ23" ca="1" si="84">G23</f>
        <v>מוטה קרקע PV</v>
      </c>
      <c r="T23" s="48" t="str">
        <f t="shared" ca="1" si="84"/>
        <v>מוטה דואלי PV</v>
      </c>
      <c r="U23" s="48" t="str">
        <f t="shared" ca="1" si="84"/>
        <v>רוח</v>
      </c>
      <c r="V23" s="48" t="str">
        <f t="shared" ca="1" si="84"/>
        <v>ביומסה/ביוגז</v>
      </c>
      <c r="W23" s="48" t="str">
        <f t="shared" ca="1" si="84"/>
        <v>תרמו סולארי</v>
      </c>
      <c r="X23" s="48" t="str">
        <f t="shared" si="84"/>
        <v>אחר</v>
      </c>
      <c r="Y23" s="48" t="str">
        <f t="shared" ca="1" si="84"/>
        <v>גז פחמיות מוסבות</v>
      </c>
      <c r="Z23" s="48" t="str">
        <f t="shared" ca="1" si="84"/>
        <v>גז חח"י מחזמים ופקירים ויח"פים</v>
      </c>
      <c r="AA23" s="48" t="str">
        <f t="shared" ca="1" si="84"/>
        <v>אחר 1</v>
      </c>
      <c r="AB23" s="48" t="str">
        <f t="shared" ca="1" si="84"/>
        <v>אחר 2</v>
      </c>
      <c r="AC23" s="48" t="str">
        <f t="shared" si="84"/>
        <v>יחידה פחמית</v>
      </c>
      <c r="AD23" s="48" t="str">
        <f t="shared" si="84"/>
        <v>סולר ופצלי שמן</v>
      </c>
      <c r="AE23" s="38" t="str">
        <f t="shared" ref="AE23" ca="1" si="85">S23</f>
        <v>מוטה קרקע PV</v>
      </c>
      <c r="AF23" s="38" t="str">
        <f t="shared" ref="AF23" ca="1" si="86">T23</f>
        <v>מוטה דואלי PV</v>
      </c>
      <c r="AG23" s="38" t="str">
        <f t="shared" ref="AG23" ca="1" si="87">U23</f>
        <v>רוח</v>
      </c>
      <c r="AH23" s="38" t="str">
        <f t="shared" ref="AH23" ca="1" si="88">V23</f>
        <v>ביומסה/ביוגז</v>
      </c>
      <c r="AI23" s="38" t="str">
        <f t="shared" ref="AI23" ca="1" si="89">W23</f>
        <v>תרמו סולארי</v>
      </c>
      <c r="AJ23" s="38" t="str">
        <f t="shared" ref="AJ23" si="90">X23</f>
        <v>אחר</v>
      </c>
      <c r="AK23" s="38" t="str">
        <f t="shared" ref="AK23" ca="1" si="91">Y23</f>
        <v>גז פחמיות מוסבות</v>
      </c>
      <c r="AL23" s="38" t="str">
        <f t="shared" ref="AL23" ca="1" si="92">Z23</f>
        <v>גז חח"י מחזמים ופקירים ויח"פים</v>
      </c>
      <c r="AM23" s="38" t="str">
        <f t="shared" ref="AM23" ca="1" si="93">AA23</f>
        <v>אחר 1</v>
      </c>
      <c r="AN23" s="38" t="str">
        <f t="shared" ref="AN23" ca="1" si="94">AB23</f>
        <v>אחר 2</v>
      </c>
      <c r="AO23" s="38" t="str">
        <f t="shared" ref="AO23" si="95">AC23</f>
        <v>יחידה פחמית</v>
      </c>
      <c r="AP23" s="38" t="str">
        <f t="shared" ref="AP23" si="96">AD23</f>
        <v>סולר ופצלי שמן</v>
      </c>
      <c r="AQ23" s="48" t="str">
        <f t="shared" ref="AQ23" ca="1" si="97">AE23</f>
        <v>מוטה קרקע PV</v>
      </c>
      <c r="AR23" s="48" t="str">
        <f t="shared" ref="AR23" ca="1" si="98">AF23</f>
        <v>מוטה דואלי PV</v>
      </c>
      <c r="AS23" s="48" t="str">
        <f t="shared" ref="AS23" ca="1" si="99">AG23</f>
        <v>רוח</v>
      </c>
      <c r="AT23" s="48" t="str">
        <f t="shared" ref="AT23" ca="1" si="100">AH23</f>
        <v>ביומסה/ביוגז</v>
      </c>
      <c r="AU23" s="48" t="str">
        <f t="shared" ref="AU23" ca="1" si="101">AI23</f>
        <v>תרמו סולארי</v>
      </c>
      <c r="AV23" s="48" t="str">
        <f t="shared" ref="AV23" si="102">AJ23</f>
        <v>אחר</v>
      </c>
      <c r="AW23" s="48" t="str">
        <f t="shared" ref="AW23" ca="1" si="103">AK23</f>
        <v>גז פחמיות מוסבות</v>
      </c>
      <c r="AX23" s="48" t="str">
        <f t="shared" ref="AX23" ca="1" si="104">AL23</f>
        <v>גז חח"י מחזמים ופקירים ויח"פים</v>
      </c>
      <c r="AY23" s="48" t="str">
        <f t="shared" ref="AY23" ca="1" si="105">AM23</f>
        <v>אחר 1</v>
      </c>
      <c r="AZ23" s="48" t="str">
        <f t="shared" ref="AZ23" ca="1" si="106">AN23</f>
        <v>אחר 2</v>
      </c>
      <c r="BA23" s="48" t="str">
        <f t="shared" ref="BA23" si="107">AO23</f>
        <v>יחידה פחמית</v>
      </c>
      <c r="BB23" s="48" t="str">
        <f t="shared" ref="BB23" si="108">AP23</f>
        <v>סולר ופצלי שמן</v>
      </c>
      <c r="BC23" s="38" t="str">
        <f t="shared" ref="BC23:BN23" ca="1" si="109">S23</f>
        <v>מוטה קרקע PV</v>
      </c>
      <c r="BD23" s="38" t="str">
        <f t="shared" ca="1" si="109"/>
        <v>מוטה דואלי PV</v>
      </c>
      <c r="BE23" s="38" t="str">
        <f t="shared" ca="1" si="109"/>
        <v>רוח</v>
      </c>
      <c r="BF23" s="38" t="str">
        <f t="shared" ca="1" si="109"/>
        <v>ביומסה/ביוגז</v>
      </c>
      <c r="BG23" s="38" t="str">
        <f t="shared" ca="1" si="109"/>
        <v>תרמו סולארי</v>
      </c>
      <c r="BH23" s="38" t="str">
        <f t="shared" si="109"/>
        <v>אחר</v>
      </c>
      <c r="BI23" s="38" t="str">
        <f t="shared" ca="1" si="109"/>
        <v>גז פחמיות מוסבות</v>
      </c>
      <c r="BJ23" s="38" t="str">
        <f t="shared" ca="1" si="109"/>
        <v>גז חח"י מחזמים ופקירים ויח"פים</v>
      </c>
      <c r="BK23" s="38" t="str">
        <f t="shared" ca="1" si="109"/>
        <v>אחר 1</v>
      </c>
      <c r="BL23" s="38" t="str">
        <f t="shared" ca="1" si="109"/>
        <v>אחר 2</v>
      </c>
      <c r="BM23" s="38" t="str">
        <f t="shared" si="109"/>
        <v>יחידה פחמית</v>
      </c>
      <c r="BN23" s="38" t="str">
        <f t="shared" si="109"/>
        <v>סולר ופצלי שמן</v>
      </c>
      <c r="BO23" s="48" t="str">
        <f t="shared" ca="1" si="84"/>
        <v>מוטה קרקע PV</v>
      </c>
      <c r="BP23" s="48" t="str">
        <f t="shared" ca="1" si="84"/>
        <v>מוטה דואלי PV</v>
      </c>
      <c r="BQ23" s="48" t="str">
        <f t="shared" ca="1" si="84"/>
        <v>רוח</v>
      </c>
      <c r="BR23" s="48" t="str">
        <f t="shared" ca="1" si="84"/>
        <v>ביומסה/ביוגז</v>
      </c>
      <c r="BS23" s="48" t="str">
        <f t="shared" ca="1" si="84"/>
        <v>תרמו סולארי</v>
      </c>
      <c r="BT23" s="48" t="str">
        <f t="shared" si="84"/>
        <v>אחר</v>
      </c>
      <c r="BU23" s="48" t="str">
        <f t="shared" ca="1" si="84"/>
        <v>גז פחמיות מוסבות</v>
      </c>
      <c r="BV23" s="48" t="str">
        <f t="shared" ca="1" si="84"/>
        <v>גז חח"י מחזמים ופקירים ויח"פים</v>
      </c>
      <c r="BW23" s="48" t="str">
        <f t="shared" ca="1" si="84"/>
        <v>אחר 1</v>
      </c>
      <c r="BX23" s="48" t="str">
        <f t="shared" ca="1" si="84"/>
        <v>אחר 2</v>
      </c>
      <c r="BY23" s="48" t="str">
        <f t="shared" si="84"/>
        <v>יחידה פחמית</v>
      </c>
      <c r="BZ23" s="48" t="str">
        <f t="shared" si="84"/>
        <v>סולר ופצלי שמן</v>
      </c>
    </row>
    <row r="24" spans="6:78" ht="15.75">
      <c r="F24" s="8">
        <f>D4</f>
        <v>2020</v>
      </c>
      <c r="G24" s="39">
        <f ca="1">IF(OR($F24&gt;$D$5,$F24&gt;MAX('הנחות עבודה'!$B$69:$B$89)),0,(VLOOKUP($F24,'התפלגות ייצור וסל דלקים'!$B$64:$BV$84,G$2-$E$2,FALSE))*$D$9*$D$8*(HLOOKUP(G$23,$G$18:$R$19,2,FALSE)*(1-$D$12)^($F24-'הנחות עבודה'!$C$5)/$D$11)/$D$11)</f>
        <v>0</v>
      </c>
      <c r="H24" s="41">
        <f ca="1">IF(OR($F24&gt;$D$5,$F24&gt;MAX('הנחות עבודה'!$B$69:$B$89)),0,(VLOOKUP($F24,'התפלגות ייצור וסל דלקים'!$B$64:$BV$84,H$2-$E$2,FALSE))*$D$9*$D$8*(HLOOKUP(H$23,$G$18:$R$19,2,FALSE)*(1-$D$12)^($F24-'הנחות עבודה'!$C$5)/$D$11)/$D$11)</f>
        <v>0</v>
      </c>
      <c r="I24" s="41">
        <f ca="1">IF(OR($F24&gt;$D$5,$F24&gt;MAX('הנחות עבודה'!$B$69:$B$89)),0,(VLOOKUP($F24,'התפלגות ייצור וסל דלקים'!$B$64:$BV$84,I$2-$E$2,FALSE))*$D$9*$D$8*(HLOOKUP(I$23,$G$18:$R$19,2,FALSE)*(1-$D$12)^($F24-'הנחות עבודה'!$C$5)/$D$11)/$D$11)</f>
        <v>0</v>
      </c>
      <c r="J24" s="41">
        <f ca="1">IF(OR($F24&gt;$D$5,$F24&gt;MAX('הנחות עבודה'!$B$69:$B$89)),0,(VLOOKUP($F24,'התפלגות ייצור וסל דלקים'!$B$64:$BV$84,J$2-$E$2,FALSE))*$D$9*$D$8*(HLOOKUP(J$23,$G$18:$R$19,2,FALSE)*(1-$D$12)^($F24-'הנחות עבודה'!$C$5)/$D$11)/$D$11)</f>
        <v>0</v>
      </c>
      <c r="K24" s="41">
        <f ca="1">IF(OR($F24&gt;$D$5,$F24&gt;MAX('הנחות עבודה'!$B$69:$B$89)),0,(VLOOKUP($F24,'התפלגות ייצור וסל דלקים'!$B$64:$BV$84,K$2-$E$2,FALSE))*$D$9*$D$8*(HLOOKUP(K$23,$G$18:$R$19,2,FALSE)*(1-$D$12)^($F24-'הנחות עבודה'!$C$5)/$D$11)/$D$11)</f>
        <v>0</v>
      </c>
      <c r="L24" s="41">
        <f ca="1">IF(OR($F24&gt;$D$5,$F24&gt;MAX('הנחות עבודה'!$B$69:$B$89)),0,(VLOOKUP($F24,'התפלגות ייצור וסל דלקים'!$B$64:$BV$84,L$2-$E$2,FALSE))*$D$9*$D$8*(HLOOKUP(L$23,$G$18:$R$19,2,FALSE)*(1-$D$12)^($F24-'הנחות עבודה'!$C$5)/$D$11)/$D$11)</f>
        <v>0</v>
      </c>
      <c r="M24" s="39">
        <f ca="1">IF(OR($F24&gt;$D$5,$F24&gt;MAX('הנחות עבודה'!$B$69:$B$89)),0,(VLOOKUP($F24,'התפלגות ייצור וסל דלקים'!$B$64:$BV$84,M$2-$E$2,FALSE))*$D$9*$D$8*(HLOOKUP(M$23,$G$18:$R$19,2,FALSE)*(1-$D$12)^($F24-'הנחות עבודה'!$C$5)/$D$11)/$D$11)</f>
        <v>0</v>
      </c>
      <c r="N24" s="39">
        <f ca="1">IF(OR($F24&gt;$D$5,$F24&gt;MAX('הנחות עבודה'!$B$69:$B$89)),0,(VLOOKUP($F24,'התפלגות ייצור וסל דלקים'!$B$64:$BV$84,N$2-$E$2,FALSE))*$D$9*$D$8*(HLOOKUP(N$23,$G$18:$R$19,2,FALSE)*(1-$D$12)^($F24-'הנחות עבודה'!$C$5)/$D$11)/$D$11)</f>
        <v>7.7934708640000003E-3</v>
      </c>
      <c r="O24" s="39">
        <f ca="1">IF(OR($F24&gt;$D$5,$F24&gt;MAX('הנחות עבודה'!$B$69:$B$89)),0,(VLOOKUP($F24,'התפלגות ייצור וסל דלקים'!$B$64:$BV$84,O$2-$E$2,FALSE))*$D$9*$D$8*(HLOOKUP(O$23,$G$18:$R$19,2,FALSE)*(1-$D$12)^($F24-'הנחות עבודה'!$C$5)/$D$11)/$D$11)</f>
        <v>0</v>
      </c>
      <c r="P24" s="39">
        <f ca="1">IF(OR($F24&gt;$D$5,$F24&gt;MAX('הנחות עבודה'!$B$69:$B$89)),0,(VLOOKUP($F24,'התפלגות ייצור וסל דלקים'!$B$64:$BV$84,P$2-$E$2,FALSE))*$D$9*$D$8*(HLOOKUP(P$23,$G$18:$R$19,2,FALSE)*(1-$D$12)^($F24-'הנחות עבודה'!$C$5)/$D$11)/$D$11)</f>
        <v>0</v>
      </c>
      <c r="Q24" s="39">
        <f ca="1">IF(OR($F24&gt;$D$5,$F24&gt;MAX('הנחות עבודה'!$B$69:$B$89)),0,(VLOOKUP($F24,'התפלגות ייצור וסל דלקים'!$B$64:$BV$84,Q$2-$E$2,FALSE))*$D$9*$D$8*(HLOOKUP(Q$23,$G$18:$R$19,2,FALSE)*(1-$D$12)^($F24-'הנחות עבודה'!$C$5)/$D$11)/$D$11)</f>
        <v>6.7350715599999991E-3</v>
      </c>
      <c r="R24" s="39">
        <f ca="1">IF(OR($F24&gt;$D$5,$F24&gt;MAX('הנחות עבודה'!$B$69:$B$89)),0,(VLOOKUP($F24,'התפלגות ייצור וסל דלקים'!$B$64:$BV$84,R$2-$E$2,FALSE))*$D$9*$D$8*(HLOOKUP(R$23,$G$18:$R$19,2,FALSE)*(1-$D$12)^($F24-'הנחות עבודה'!$C$5)/$D$11)/$D$11)</f>
        <v>0</v>
      </c>
      <c r="S24" s="49">
        <f ca="1">IF(OR($F24&gt;$D$5,$F24&gt;MAX('הנחות עבודה'!$B$69:$B$89)),0,(VLOOKUP($F24,'התפלגות ייצור וסל דלקים'!$B$64:$BV$84,S$2-$E$2,FALSE))*$D$9*$D$8*(HLOOKUP(S$23,$G$18:$R$19,2,FALSE)*(1-$D$12)^($F24-'הנחות עבודה'!$C$5)/$D$11)/$D$11)</f>
        <v>0</v>
      </c>
      <c r="T24" s="126">
        <f ca="1">IF(OR($F24&gt;$D$5,$F24&gt;MAX('הנחות עבודה'!$B$69:$B$89)),0,(VLOOKUP($F24,'התפלגות ייצור וסל דלקים'!$B$64:$BV$84,T$2-$E$2,FALSE))*$D$9*$D$8*(HLOOKUP(T$23,$G$18:$R$19,2,FALSE)*(1-$D$12)^($F24-'הנחות עבודה'!$C$5)/$D$11)/$D$11)</f>
        <v>0</v>
      </c>
      <c r="U24" s="126">
        <f ca="1">IF(OR($F24&gt;$D$5,$F24&gt;MAX('הנחות עבודה'!$B$69:$B$89)),0,(VLOOKUP($F24,'התפלגות ייצור וסל דלקים'!$B$64:$BV$84,U$2-$E$2,FALSE))*$D$9*$D$8*(HLOOKUP(U$23,$G$18:$R$19,2,FALSE)*(1-$D$12)^($F24-'הנחות עבודה'!$C$5)/$D$11)/$D$11)</f>
        <v>0</v>
      </c>
      <c r="V24" s="126">
        <f ca="1">IF(OR($F24&gt;$D$5,$F24&gt;MAX('הנחות עבודה'!$B$69:$B$89)),0,(VLOOKUP($F24,'התפלגות ייצור וסל דלקים'!$B$64:$BV$84,V$2-$E$2,FALSE))*$D$9*$D$8*(HLOOKUP(V$23,$G$18:$R$19,2,FALSE)*(1-$D$12)^($F24-'הנחות עבודה'!$C$5)/$D$11)/$D$11)</f>
        <v>0</v>
      </c>
      <c r="W24" s="126">
        <f ca="1">IF(OR($F24&gt;$D$5,$F24&gt;MAX('הנחות עבודה'!$B$69:$B$89)),0,(VLOOKUP($F24,'התפלגות ייצור וסל דלקים'!$B$64:$BV$84,W$2-$E$2,FALSE))*$D$9*$D$8*(HLOOKUP(W$23,$G$18:$R$19,2,FALSE)*(1-$D$12)^($F24-'הנחות עבודה'!$C$5)/$D$11)/$D$11)</f>
        <v>0</v>
      </c>
      <c r="X24" s="126">
        <f ca="1">IF(OR($F24&gt;$D$5,$F24&gt;MAX('הנחות עבודה'!$B$69:$B$89)),0,(VLOOKUP($F24,'התפלגות ייצור וסל דלקים'!$B$64:$BV$84,X$2-$E$2,FALSE))*$D$9*$D$8*(HLOOKUP(X$23,$G$18:$R$19,2,FALSE)*(1-$D$12)^($F24-'הנחות עבודה'!$C$5)/$D$11)/$D$11)</f>
        <v>0</v>
      </c>
      <c r="Y24" s="49">
        <f ca="1">IF(OR($F24&gt;$D$5,$F24&gt;MAX('הנחות עבודה'!$B$69:$B$89)),0,(VLOOKUP($F24,'התפלגות ייצור וסל דלקים'!$B$64:$BV$84,Y$2-$E$2,FALSE))*$D$9*$D$8*(HLOOKUP(Y$23,$G$18:$R$19,2,FALSE)*(1-$D$12)^($F24-'הנחות עבודה'!$C$5)/$D$11)/$D$11)</f>
        <v>0</v>
      </c>
      <c r="Z24" s="49">
        <f ca="1">IF(OR($F24&gt;$D$5,$F24&gt;MAX('הנחות עבודה'!$B$69:$B$89)),0,(VLOOKUP($F24,'התפלגות ייצור וסל דלקים'!$B$64:$BV$84,Z$2-$E$2,FALSE))*$D$9*$D$8*(HLOOKUP(Z$23,$G$18:$R$19,2,FALSE)*(1-$D$12)^($F24-'הנחות עבודה'!$C$5)/$D$11)/$D$11)</f>
        <v>7.7934708640000003E-3</v>
      </c>
      <c r="AA24" s="49">
        <f ca="1">IF(OR($F24&gt;$D$5,$F24&gt;MAX('הנחות עבודה'!$B$69:$B$89)),0,(VLOOKUP($F24,'התפלגות ייצור וסל דלקים'!$B$64:$BV$84,AA$2-$E$2,FALSE))*$D$9*$D$8*(HLOOKUP(AA$23,$G$18:$R$19,2,FALSE)*(1-$D$12)^($F24-'הנחות עבודה'!$C$5)/$D$11)/$D$11)</f>
        <v>0</v>
      </c>
      <c r="AB24" s="49">
        <f ca="1">IF(OR($F24&gt;$D$5,$F24&gt;MAX('הנחות עבודה'!$B$69:$B$89)),0,(VLOOKUP($F24,'התפלגות ייצור וסל דלקים'!$B$64:$BV$84,AB$2-$E$2,FALSE))*$D$9*$D$8*(HLOOKUP(AB$23,$G$18:$R$19,2,FALSE)*(1-$D$12)^($F24-'הנחות עבודה'!$C$5)/$D$11)/$D$11)</f>
        <v>0</v>
      </c>
      <c r="AC24" s="49">
        <f ca="1">IF(OR($F24&gt;$D$5,$F24&gt;MAX('הנחות עבודה'!$B$69:$B$89)),0,(VLOOKUP($F24,'התפלגות ייצור וסל דלקים'!$B$64:$BV$84,AC$2-$E$2,FALSE))*$D$9*$D$8*(HLOOKUP(AC$23,$G$18:$R$19,2,FALSE)*(1-$D$12)^($F24-'הנחות עבודה'!$C$5)/$D$11)/$D$11)</f>
        <v>6.7350715599999991E-3</v>
      </c>
      <c r="AD24" s="49">
        <f ca="1">IF(OR($F24&gt;$D$5,$F24&gt;MAX('הנחות עבודה'!$B$69:$B$89)),0,(VLOOKUP($F24,'התפלגות ייצור וסל דלקים'!$B$64:$BV$84,AD$2-$E$2,FALSE))*$D$9*$D$8*(HLOOKUP(AD$23,$G$18:$R$19,2,FALSE)*(1-$D$12)^($F24-'הנחות עבודה'!$C$5)/$D$11)/$D$11)</f>
        <v>0</v>
      </c>
      <c r="AE24" s="39">
        <f ca="1">IF(OR($F24&gt;$D$5,$F24&gt;MAX('הנחות עבודה'!$B$69:$B$89)),0,(VLOOKUP($F24,'התפלגות ייצור וסל דלקים'!$B$64:$BV$84,AE$2-$E$2,FALSE))*$D$9*$D$8*(HLOOKUP(AE$23,$G$18:$R$19,2,FALSE)*(1-$D$12)^($F24-'הנחות עבודה'!$C$5)/$D$11)/$D$11)</f>
        <v>0</v>
      </c>
      <c r="AF24" s="41">
        <f ca="1">IF(OR($F24&gt;$D$5,$F24&gt;MAX('הנחות עבודה'!$B$69:$B$89)),0,(VLOOKUP($F24,'התפלגות ייצור וסל דלקים'!$B$64:$BV$84,AF$2-$E$2,FALSE))*$D$9*$D$8*(HLOOKUP(AF$23,$G$18:$R$19,2,FALSE)*(1-$D$12)^($F24-'הנחות עבודה'!$C$5)/$D$11)/$D$11)</f>
        <v>0</v>
      </c>
      <c r="AG24" s="41">
        <f ca="1">IF(OR($F24&gt;$D$5,$F24&gt;MAX('הנחות עבודה'!$B$69:$B$89)),0,(VLOOKUP($F24,'התפלגות ייצור וסל דלקים'!$B$64:$BV$84,AG$2-$E$2,FALSE))*$D$9*$D$8*(HLOOKUP(AG$23,$G$18:$R$19,2,FALSE)*(1-$D$12)^($F24-'הנחות עבודה'!$C$5)/$D$11)/$D$11)</f>
        <v>0</v>
      </c>
      <c r="AH24" s="41">
        <f ca="1">IF(OR($F24&gt;$D$5,$F24&gt;MAX('הנחות עבודה'!$B$69:$B$89)),0,(VLOOKUP($F24,'התפלגות ייצור וסל דלקים'!$B$64:$BV$84,AH$2-$E$2,FALSE))*$D$9*$D$8*(HLOOKUP(AH$23,$G$18:$R$19,2,FALSE)*(1-$D$12)^($F24-'הנחות עבודה'!$C$5)/$D$11)/$D$11)</f>
        <v>0</v>
      </c>
      <c r="AI24" s="41">
        <f ca="1">IF(OR($F24&gt;$D$5,$F24&gt;MAX('הנחות עבודה'!$B$69:$B$89)),0,(VLOOKUP($F24,'התפלגות ייצור וסל דלקים'!$B$64:$BV$84,AI$2-$E$2,FALSE))*$D$9*$D$8*(HLOOKUP(AI$23,$G$18:$R$19,2,FALSE)*(1-$D$12)^($F24-'הנחות עבודה'!$C$5)/$D$11)/$D$11)</f>
        <v>0</v>
      </c>
      <c r="AJ24" s="41">
        <f ca="1">IF(OR($F24&gt;$D$5,$F24&gt;MAX('הנחות עבודה'!$B$69:$B$89)),0,(VLOOKUP($F24,'התפלגות ייצור וסל דלקים'!$B$64:$BV$84,AJ$2-$E$2,FALSE))*$D$9*$D$8*(HLOOKUP(AJ$23,$G$18:$R$19,2,FALSE)*(1-$D$12)^($F24-'הנחות עבודה'!$C$5)/$D$11)/$D$11)</f>
        <v>0</v>
      </c>
      <c r="AK24" s="39">
        <f ca="1">IF(OR($F24&gt;$D$5,$F24&gt;MAX('הנחות עבודה'!$B$69:$B$89)),0,(VLOOKUP($F24,'התפלגות ייצור וסל דלקים'!$B$64:$BV$84,AK$2-$E$2,FALSE))*$D$9*$D$8*(HLOOKUP(AK$23,$G$18:$R$19,2,FALSE)*(1-$D$12)^($F24-'הנחות עבודה'!$C$5)/$D$11)/$D$11)</f>
        <v>0</v>
      </c>
      <c r="AL24" s="39">
        <f ca="1">IF(OR($F24&gt;$D$5,$F24&gt;MAX('הנחות עבודה'!$B$69:$B$89)),0,(VLOOKUP($F24,'התפלגות ייצור וסל דלקים'!$B$64:$BV$84,AL$2-$E$2,FALSE))*$D$9*$D$8*(HLOOKUP(AL$23,$G$18:$R$19,2,FALSE)*(1-$D$12)^($F24-'הנחות עבודה'!$C$5)/$D$11)/$D$11)</f>
        <v>7.7934708640000003E-3</v>
      </c>
      <c r="AM24" s="39">
        <f ca="1">IF(OR($F24&gt;$D$5,$F24&gt;MAX('הנחות עבודה'!$B$69:$B$89)),0,(VLOOKUP($F24,'התפלגות ייצור וסל דלקים'!$B$64:$BV$84,AM$2-$E$2,FALSE))*$D$9*$D$8*(HLOOKUP(AM$23,$G$18:$R$19,2,FALSE)*(1-$D$12)^($F24-'הנחות עבודה'!$C$5)/$D$11)/$D$11)</f>
        <v>0</v>
      </c>
      <c r="AN24" s="39">
        <f ca="1">IF(OR($F24&gt;$D$5,$F24&gt;MAX('הנחות עבודה'!$B$69:$B$89)),0,(VLOOKUP($F24,'התפלגות ייצור וסל דלקים'!$B$64:$BV$84,AN$2-$E$2,FALSE))*$D$9*$D$8*(HLOOKUP(AN$23,$G$18:$R$19,2,FALSE)*(1-$D$12)^($F24-'הנחות עבודה'!$C$5)/$D$11)/$D$11)</f>
        <v>0</v>
      </c>
      <c r="AO24" s="39">
        <f ca="1">IF(OR($F24&gt;$D$5,$F24&gt;MAX('הנחות עבודה'!$B$69:$B$89)),0,(VLOOKUP($F24,'התפלגות ייצור וסל דלקים'!$B$64:$BV$84,AO$2-$E$2,FALSE))*$D$9*$D$8*(HLOOKUP(AO$23,$G$18:$R$19,2,FALSE)*(1-$D$12)^($F24-'הנחות עבודה'!$C$5)/$D$11)/$D$11)</f>
        <v>6.7350715599999991E-3</v>
      </c>
      <c r="AP24" s="39">
        <f ca="1">IF(OR($F24&gt;$D$5,$F24&gt;MAX('הנחות עבודה'!$B$69:$B$89)),0,(VLOOKUP($F24,'התפלגות ייצור וסל דלקים'!$B$64:$BV$84,AP$2-$E$2,FALSE))*$D$9*$D$8*(HLOOKUP(AP$23,$G$18:$R$19,2,FALSE)*(1-$D$12)^($F24-'הנחות עבודה'!$C$5)/$D$11)/$D$11)</f>
        <v>0</v>
      </c>
      <c r="AQ24" s="49">
        <f ca="1">IF(OR($F24&gt;$D$5,$F24&gt;MAX('הנחות עבודה'!$B$69:$B$89)),0,(VLOOKUP($F24,'התפלגות ייצור וסל דלקים'!$B$64:$BV$84,AQ$2-$E$2,FALSE))*$D$9*$D$8*(HLOOKUP(AQ$23,$G$18:$R$19,2,FALSE)*(1-$D$12)^($F24-'הנחות עבודה'!$C$5)/$D$11)/$D$11)</f>
        <v>0</v>
      </c>
      <c r="AR24" s="126">
        <f ca="1">IF(OR($F24&gt;$D$5,$F24&gt;MAX('הנחות עבודה'!$B$69:$B$89)),0,(VLOOKUP($F24,'התפלגות ייצור וסל דלקים'!$B$64:$BV$84,AR$2-$E$2,FALSE))*$D$9*$D$8*(HLOOKUP(AR$23,$G$18:$R$19,2,FALSE)*(1-$D$12)^($F24-'הנחות עבודה'!$C$5)/$D$11)/$D$11)</f>
        <v>0</v>
      </c>
      <c r="AS24" s="126">
        <f ca="1">IF(OR($F24&gt;$D$5,$F24&gt;MAX('הנחות עבודה'!$B$69:$B$89)),0,(VLOOKUP($F24,'התפלגות ייצור וסל דלקים'!$B$64:$BV$84,AS$2-$E$2,FALSE))*$D$9*$D$8*(HLOOKUP(AS$23,$G$18:$R$19,2,FALSE)*(1-$D$12)^($F24-'הנחות עבודה'!$C$5)/$D$11)/$D$11)</f>
        <v>0</v>
      </c>
      <c r="AT24" s="126">
        <f ca="1">IF(OR($F24&gt;$D$5,$F24&gt;MAX('הנחות עבודה'!$B$69:$B$89)),0,(VLOOKUP($F24,'התפלגות ייצור וסל דלקים'!$B$64:$BV$84,AT$2-$E$2,FALSE))*$D$9*$D$8*(HLOOKUP(AT$23,$G$18:$R$19,2,FALSE)*(1-$D$12)^($F24-'הנחות עבודה'!$C$5)/$D$11)/$D$11)</f>
        <v>0</v>
      </c>
      <c r="AU24" s="126">
        <f ca="1">IF(OR($F24&gt;$D$5,$F24&gt;MAX('הנחות עבודה'!$B$69:$B$89)),0,(VLOOKUP($F24,'התפלגות ייצור וסל דלקים'!$B$64:$BV$84,AU$2-$E$2,FALSE))*$D$9*$D$8*(HLOOKUP(AU$23,$G$18:$R$19,2,FALSE)*(1-$D$12)^($F24-'הנחות עבודה'!$C$5)/$D$11)/$D$11)</f>
        <v>0</v>
      </c>
      <c r="AV24" s="126">
        <f ca="1">IF(OR($F24&gt;$D$5,$F24&gt;MAX('הנחות עבודה'!$B$69:$B$89)),0,(VLOOKUP($F24,'התפלגות ייצור וסל דלקים'!$B$64:$BV$84,AV$2-$E$2,FALSE))*$D$9*$D$8*(HLOOKUP(AV$23,$G$18:$R$19,2,FALSE)*(1-$D$12)^($F24-'הנחות עבודה'!$C$5)/$D$11)/$D$11)</f>
        <v>0</v>
      </c>
      <c r="AW24" s="49">
        <f ca="1">IF(OR($F24&gt;$D$5,$F24&gt;MAX('הנחות עבודה'!$B$69:$B$89)),0,(VLOOKUP($F24,'התפלגות ייצור וסל דלקים'!$B$64:$BV$84,AW$2-$E$2,FALSE))*$D$9*$D$8*(HLOOKUP(AW$23,$G$18:$R$19,2,FALSE)*(1-$D$12)^($F24-'הנחות עבודה'!$C$5)/$D$11)/$D$11)</f>
        <v>0</v>
      </c>
      <c r="AX24" s="49">
        <f ca="1">IF(OR($F24&gt;$D$5,$F24&gt;MAX('הנחות עבודה'!$B$69:$B$89)),0,(VLOOKUP($F24,'התפלגות ייצור וסל דלקים'!$B$64:$BV$84,AX$2-$E$2,FALSE))*$D$9*$D$8*(HLOOKUP(AX$23,$G$18:$R$19,2,FALSE)*(1-$D$12)^($F24-'הנחות עבודה'!$C$5)/$D$11)/$D$11)</f>
        <v>7.7934708640000003E-3</v>
      </c>
      <c r="AY24" s="49">
        <f ca="1">IF(OR($F24&gt;$D$5,$F24&gt;MAX('הנחות עבודה'!$B$69:$B$89)),0,(VLOOKUP($F24,'התפלגות ייצור וסל דלקים'!$B$64:$BV$84,AY$2-$E$2,FALSE))*$D$9*$D$8*(HLOOKUP(AY$23,$G$18:$R$19,2,FALSE)*(1-$D$12)^($F24-'הנחות עבודה'!$C$5)/$D$11)/$D$11)</f>
        <v>0</v>
      </c>
      <c r="AZ24" s="49">
        <f ca="1">IF(OR($F24&gt;$D$5,$F24&gt;MAX('הנחות עבודה'!$B$69:$B$89)),0,(VLOOKUP($F24,'התפלגות ייצור וסל דלקים'!$B$64:$BV$84,AZ$2-$E$2,FALSE))*$D$9*$D$8*(HLOOKUP(AZ$23,$G$18:$R$19,2,FALSE)*(1-$D$12)^($F24-'הנחות עבודה'!$C$5)/$D$11)/$D$11)</f>
        <v>0</v>
      </c>
      <c r="BA24" s="49">
        <f ca="1">IF(OR($F24&gt;$D$5,$F24&gt;MAX('הנחות עבודה'!$B$69:$B$89)),0,(VLOOKUP($F24,'התפלגות ייצור וסל דלקים'!$B$64:$BV$84,BA$2-$E$2,FALSE))*$D$9*$D$8*(HLOOKUP(BA$23,$G$18:$R$19,2,FALSE)*(1-$D$12)^($F24-'הנחות עבודה'!$C$5)/$D$11)/$D$11)</f>
        <v>6.7350715599999991E-3</v>
      </c>
      <c r="BB24" s="49">
        <f ca="1">IF(OR($F24&gt;$D$5,$F24&gt;MAX('הנחות עבודה'!$B$69:$B$89)),0,(VLOOKUP($F24,'התפלגות ייצור וסל דלקים'!$B$64:$BV$84,BB$2-$E$2,FALSE))*$D$9*$D$8*(HLOOKUP(BB$23,$G$18:$R$19,2,FALSE)*(1-$D$12)^($F24-'הנחות עבודה'!$C$5)/$D$11)/$D$11)</f>
        <v>0</v>
      </c>
      <c r="BC24" s="39">
        <f ca="1">IF(OR($F24&gt;$D$5,$F24&gt;MAX('הנחות עבודה'!$B$69:$B$89)),0,(VLOOKUP($F24,'התפלגות ייצור וסל דלקים'!$B$64:$BV$84,BC$2-$E$2,FALSE))*$D$9*$D$8*(HLOOKUP(BC$23,$G$18:$R$19,2,FALSE)*(1-$D$12)^($F24-'הנחות עבודה'!$C$5)/$D$11)/$D$11)</f>
        <v>0</v>
      </c>
      <c r="BD24" s="41">
        <f ca="1">IF(OR($F24&gt;$D$5,$F24&gt;MAX('הנחות עבודה'!$B$69:$B$89)),0,(VLOOKUP($F24,'התפלגות ייצור וסל דלקים'!$B$64:$BV$84,BD$2-$E$2,FALSE))*$D$9*$D$8*(HLOOKUP(BD$23,$G$18:$R$19,2,FALSE)*(1-$D$12)^($F24-'הנחות עבודה'!$C$5)/$D$11)/$D$11)</f>
        <v>0</v>
      </c>
      <c r="BE24" s="41">
        <f ca="1">IF(OR($F24&gt;$D$5,$F24&gt;MAX('הנחות עבודה'!$B$69:$B$89)),0,(VLOOKUP($F24,'התפלגות ייצור וסל דלקים'!$B$64:$BV$84,BE$2-$E$2,FALSE))*$D$9*$D$8*(HLOOKUP(BE$23,$G$18:$R$19,2,FALSE)*(1-$D$12)^($F24-'הנחות עבודה'!$C$5)/$D$11)/$D$11)</f>
        <v>0</v>
      </c>
      <c r="BF24" s="41">
        <f ca="1">IF(OR($F24&gt;$D$5,$F24&gt;MAX('הנחות עבודה'!$B$69:$B$89)),0,(VLOOKUP($F24,'התפלגות ייצור וסל דלקים'!$B$64:$BV$84,BF$2-$E$2,FALSE))*$D$9*$D$8*(HLOOKUP(BF$23,$G$18:$R$19,2,FALSE)*(1-$D$12)^($F24-'הנחות עבודה'!$C$5)/$D$11)/$D$11)</f>
        <v>0</v>
      </c>
      <c r="BG24" s="41">
        <f ca="1">IF(OR($F24&gt;$D$5,$F24&gt;MAX('הנחות עבודה'!$B$69:$B$89)),0,(VLOOKUP($F24,'התפלגות ייצור וסל דלקים'!$B$64:$BV$84,BG$2-$E$2,FALSE))*$D$9*$D$8*(HLOOKUP(BG$23,$G$18:$R$19,2,FALSE)*(1-$D$12)^($F24-'הנחות עבודה'!$C$5)/$D$11)/$D$11)</f>
        <v>0</v>
      </c>
      <c r="BH24" s="41">
        <f ca="1">IF(OR($F24&gt;$D$5,$F24&gt;MAX('הנחות עבודה'!$B$69:$B$89)),0,(VLOOKUP($F24,'התפלגות ייצור וסל דלקים'!$B$64:$BV$84,BH$2-$E$2,FALSE))*$D$9*$D$8*(HLOOKUP(BH$23,$G$18:$R$19,2,FALSE)*(1-$D$12)^($F24-'הנחות עבודה'!$C$5)/$D$11)/$D$11)</f>
        <v>0</v>
      </c>
      <c r="BI24" s="39">
        <f ca="1">IF(OR($F24&gt;$D$5,$F24&gt;MAX('הנחות עבודה'!$B$69:$B$89)),0,(VLOOKUP($F24,'התפלגות ייצור וסל דלקים'!$B$64:$BV$84,BI$2-$E$2,FALSE))*$D$9*$D$8*(HLOOKUP(BI$23,$G$18:$R$19,2,FALSE)*(1-$D$12)^($F24-'הנחות עבודה'!$C$5)/$D$11)/$D$11)</f>
        <v>0</v>
      </c>
      <c r="BJ24" s="39">
        <f ca="1">IF(OR($F24&gt;$D$5,$F24&gt;MAX('הנחות עבודה'!$B$69:$B$89)),0,(VLOOKUP($F24,'התפלגות ייצור וסל דלקים'!$B$64:$BV$84,BJ$2-$E$2,FALSE))*$D$9*$D$8*(HLOOKUP(BJ$23,$G$18:$R$19,2,FALSE)*(1-$D$12)^($F24-'הנחות עבודה'!$C$5)/$D$11)/$D$11)</f>
        <v>7.7934708640000003E-3</v>
      </c>
      <c r="BK24" s="39">
        <f ca="1">IF(OR($F24&gt;$D$5,$F24&gt;MAX('הנחות עבודה'!$B$69:$B$89)),0,(VLOOKUP($F24,'התפלגות ייצור וסל דלקים'!$B$64:$BV$84,BK$2-$E$2,FALSE))*$D$9*$D$8*(HLOOKUP(BK$23,$G$18:$R$19,2,FALSE)*(1-$D$12)^($F24-'הנחות עבודה'!$C$5)/$D$11)/$D$11)</f>
        <v>0</v>
      </c>
      <c r="BL24" s="39">
        <f ca="1">IF(OR($F24&gt;$D$5,$F24&gt;MAX('הנחות עבודה'!$B$69:$B$89)),0,(VLOOKUP($F24,'התפלגות ייצור וסל דלקים'!$B$64:$BV$84,BL$2-$E$2,FALSE))*$D$9*$D$8*(HLOOKUP(BL$23,$G$18:$R$19,2,FALSE)*(1-$D$12)^($F24-'הנחות עבודה'!$C$5)/$D$11)/$D$11)</f>
        <v>0</v>
      </c>
      <c r="BM24" s="39">
        <f ca="1">IF(OR($F24&gt;$D$5,$F24&gt;MAX('הנחות עבודה'!$B$69:$B$89)),0,(VLOOKUP($F24,'התפלגות ייצור וסל דלקים'!$B$64:$BV$84,BM$2-$E$2,FALSE))*$D$9*$D$8*(HLOOKUP(BM$23,$G$18:$R$19,2,FALSE)*(1-$D$12)^($F24-'הנחות עבודה'!$C$5)/$D$11)/$D$11)</f>
        <v>6.7350715599999991E-3</v>
      </c>
      <c r="BN24" s="39">
        <f ca="1">IF(OR($F24&gt;$D$5,$F24&gt;MAX('הנחות עבודה'!$B$69:$B$89)),0,(VLOOKUP($F24,'התפלגות ייצור וסל דלקים'!$B$64:$BV$84,BN$2-$E$2,FALSE))*$D$9*$D$8*(HLOOKUP(BN$23,$G$18:$R$19,2,FALSE)*(1-$D$12)^($F24-'הנחות עבודה'!$C$5)/$D$11)/$D$11)</f>
        <v>0</v>
      </c>
      <c r="BO24" s="49">
        <f ca="1">IF(OR($F24&gt;$D$5,$F24&gt;MAX('הנחות עבודה'!$B$69:$B$89)),0,(VLOOKUP($F24,'התפלגות ייצור וסל דלקים'!$B$64:$BV$84,BO$2-$E$2,FALSE))*$D$9*$D$8*(HLOOKUP(BO$23,$G$18:$R$19,2,FALSE)*(1-$D$12)^($F24-'הנחות עבודה'!$C$5)/$D$11)/$D$11)</f>
        <v>0</v>
      </c>
      <c r="BP24" s="126">
        <f ca="1">IF(OR($F24&gt;$D$5,$F24&gt;MAX('הנחות עבודה'!$B$69:$B$89)),0,(VLOOKUP($F24,'התפלגות ייצור וסל דלקים'!$B$64:$BV$84,BP$2-$E$2,FALSE))*$D$9*$D$8*(HLOOKUP(BP$23,$G$18:$R$19,2,FALSE)*(1-$D$12)^($F24-'הנחות עבודה'!$C$5)/$D$11)/$D$11)</f>
        <v>0</v>
      </c>
      <c r="BQ24" s="126">
        <f ca="1">IF(OR($F24&gt;$D$5,$F24&gt;MAX('הנחות עבודה'!$B$69:$B$89)),0,(VLOOKUP($F24,'התפלגות ייצור וסל דלקים'!$B$64:$BV$84,BQ$2-$E$2,FALSE))*$D$9*$D$8*(HLOOKUP(BQ$23,$G$18:$R$19,2,FALSE)*(1-$D$12)^($F24-'הנחות עבודה'!$C$5)/$D$11)/$D$11)</f>
        <v>0</v>
      </c>
      <c r="BR24" s="126">
        <f ca="1">IF(OR($F24&gt;$D$5,$F24&gt;MAX('הנחות עבודה'!$B$69:$B$89)),0,(VLOOKUP($F24,'התפלגות ייצור וסל דלקים'!$B$64:$BV$84,BR$2-$E$2,FALSE))*$D$9*$D$8*(HLOOKUP(BR$23,$G$18:$R$19,2,FALSE)*(1-$D$12)^($F24-'הנחות עבודה'!$C$5)/$D$11)/$D$11)</f>
        <v>0</v>
      </c>
      <c r="BS24" s="126">
        <f ca="1">IF(OR($F24&gt;$D$5,$F24&gt;MAX('הנחות עבודה'!$B$69:$B$89)),0,(VLOOKUP($F24,'התפלגות ייצור וסל דלקים'!$B$64:$BV$84,BS$2-$E$2,FALSE))*$D$9*$D$8*(HLOOKUP(BS$23,$G$18:$R$19,2,FALSE)*(1-$D$12)^($F24-'הנחות עבודה'!$C$5)/$D$11)/$D$11)</f>
        <v>0</v>
      </c>
      <c r="BT24" s="126">
        <f ca="1">IF(OR($F24&gt;$D$5,$F24&gt;MAX('הנחות עבודה'!$B$69:$B$89)),0,(VLOOKUP($F24,'התפלגות ייצור וסל דלקים'!$B$64:$BV$84,BT$2-$E$2,FALSE))*$D$9*$D$8*(HLOOKUP(BT$23,$G$18:$R$19,2,FALSE)*(1-$D$12)^($F24-'הנחות עבודה'!$C$5)/$D$11)/$D$11)</f>
        <v>0</v>
      </c>
      <c r="BU24" s="49">
        <f ca="1">IF(OR($F24&gt;$D$5,$F24&gt;MAX('הנחות עבודה'!$B$69:$B$89)),0,(VLOOKUP($F24,'התפלגות ייצור וסל דלקים'!$B$64:$BV$84,BU$2-$E$2,FALSE))*$D$9*$D$8*(HLOOKUP(BU$23,$G$18:$R$19,2,FALSE)*(1-$D$12)^($F24-'הנחות עבודה'!$C$5)/$D$11)/$D$11)</f>
        <v>0</v>
      </c>
      <c r="BV24" s="49">
        <f ca="1">IF(OR($F24&gt;$D$5,$F24&gt;MAX('הנחות עבודה'!$B$69:$B$89)),0,(VLOOKUP($F24,'התפלגות ייצור וסל דלקים'!$B$64:$BV$84,BV$2-$E$2,FALSE))*$D$9*$D$8*(HLOOKUP(BV$23,$G$18:$R$19,2,FALSE)*(1-$D$12)^($F24-'הנחות עבודה'!$C$5)/$D$11)/$D$11)</f>
        <v>7.7934708640000003E-3</v>
      </c>
      <c r="BW24" s="49">
        <f ca="1">IF(OR($F24&gt;$D$5,$F24&gt;MAX('הנחות עבודה'!$B$69:$B$89)),0,(VLOOKUP($F24,'התפלגות ייצור וסל דלקים'!$B$64:$BV$84,BW$2-$E$2,FALSE))*$D$9*$D$8*(HLOOKUP(BW$23,$G$18:$R$19,2,FALSE)*(1-$D$12)^($F24-'הנחות עבודה'!$C$5)/$D$11)/$D$11)</f>
        <v>0</v>
      </c>
      <c r="BX24" s="49">
        <f ca="1">IF(OR($F24&gt;$D$5,$F24&gt;MAX('הנחות עבודה'!$B$69:$B$89)),0,(VLOOKUP($F24,'התפלגות ייצור וסל דלקים'!$B$64:$BV$84,BX$2-$E$2,FALSE))*$D$9*$D$8*(HLOOKUP(BX$23,$G$18:$R$19,2,FALSE)*(1-$D$12)^($F24-'הנחות עבודה'!$C$5)/$D$11)/$D$11)</f>
        <v>0</v>
      </c>
      <c r="BY24" s="49">
        <f ca="1">IF(OR($F24&gt;$D$5,$F24&gt;MAX('הנחות עבודה'!$B$69:$B$89)),0,(VLOOKUP($F24,'התפלגות ייצור וסל דלקים'!$B$64:$BV$84,BY$2-$E$2,FALSE))*$D$9*$D$8*(HLOOKUP(BY$23,$G$18:$R$19,2,FALSE)*(1-$D$12)^($F24-'הנחות עבודה'!$C$5)/$D$11)/$D$11)</f>
        <v>6.7350715599999991E-3</v>
      </c>
      <c r="BZ24" s="49">
        <f ca="1">IF(OR($F24&gt;$D$5,$F24&gt;MAX('הנחות עבודה'!$B$69:$B$89)),0,(VLOOKUP($F24,'התפלגות ייצור וסל דלקים'!$B$64:$BV$84,BZ$2-$E$2,FALSE))*$D$9*$D$8*(HLOOKUP(BZ$23,$G$18:$R$19,2,FALSE)*(1-$D$12)^($F24-'הנחות עבודה'!$C$5)/$D$11)/$D$11)</f>
        <v>0</v>
      </c>
    </row>
    <row r="25" spans="6:78" ht="15.75">
      <c r="F25" s="10">
        <f>F24+1</f>
        <v>2021</v>
      </c>
      <c r="G25" s="42">
        <f ca="1">IF(OR($F25&gt;$D$5,$F25&gt;MAX('הנחות עבודה'!$B$69:$B$89)),0,(VLOOKUP($F25,'התפלגות ייצור וסל דלקים'!$B$64:$BV$84,G$2-$E$2,FALSE))*$D$9*$D$8*(HLOOKUP(G$23,$G$18:$R$19,2,FALSE)*(1-$D$12)^($F25-'הנחות עבודה'!$C$5)/$D$11)/$D$11)</f>
        <v>0</v>
      </c>
      <c r="H25" s="44">
        <f ca="1">IF(OR($F25&gt;$D$5,$F25&gt;MAX('הנחות עבודה'!$B$69:$B$89)),0,(VLOOKUP($F25,'התפלגות ייצור וסל דלקים'!$B$64:$BV$84,H$2-$E$2,FALSE))*$D$9*$D$8*(HLOOKUP(H$23,$G$18:$R$19,2,FALSE)*(1-$D$12)^($F25-'הנחות עבודה'!$C$5)/$D$11)/$D$11)</f>
        <v>0</v>
      </c>
      <c r="I25" s="44">
        <f ca="1">IF(OR($F25&gt;$D$5,$F25&gt;MAX('הנחות עבודה'!$B$69:$B$89)),0,(VLOOKUP($F25,'התפלגות ייצור וסל דלקים'!$B$64:$BV$84,I$2-$E$2,FALSE))*$D$9*$D$8*(HLOOKUP(I$23,$G$18:$R$19,2,FALSE)*(1-$D$12)^($F25-'הנחות עבודה'!$C$5)/$D$11)/$D$11)</f>
        <v>0</v>
      </c>
      <c r="J25" s="44">
        <f ca="1">IF(OR($F25&gt;$D$5,$F25&gt;MAX('הנחות עבודה'!$B$69:$B$89)),0,(VLOOKUP($F25,'התפלגות ייצור וסל דלקים'!$B$64:$BV$84,J$2-$E$2,FALSE))*$D$9*$D$8*(HLOOKUP(J$23,$G$18:$R$19,2,FALSE)*(1-$D$12)^($F25-'הנחות עבודה'!$C$5)/$D$11)/$D$11)</f>
        <v>0</v>
      </c>
      <c r="K25" s="44">
        <f ca="1">IF(OR($F25&gt;$D$5,$F25&gt;MAX('הנחות עבודה'!$B$69:$B$89)),0,(VLOOKUP($F25,'התפלגות ייצור וסל דלקים'!$B$64:$BV$84,K$2-$E$2,FALSE))*$D$9*$D$8*(HLOOKUP(K$23,$G$18:$R$19,2,FALSE)*(1-$D$12)^($F25-'הנחות עבודה'!$C$5)/$D$11)/$D$11)</f>
        <v>0</v>
      </c>
      <c r="L25" s="44">
        <f ca="1">IF(OR($F25&gt;$D$5,$F25&gt;MAX('הנחות עבודה'!$B$69:$B$89)),0,(VLOOKUP($F25,'התפלגות ייצור וסל דלקים'!$B$64:$BV$84,L$2-$E$2,FALSE))*$D$9*$D$8*(HLOOKUP(L$23,$G$18:$R$19,2,FALSE)*(1-$D$12)^($F25-'הנחות עבודה'!$C$5)/$D$11)/$D$11)</f>
        <v>0</v>
      </c>
      <c r="M25" s="42">
        <f ca="1">IF(OR($F25&gt;$D$5,$F25&gt;MAX('הנחות עבודה'!$B$69:$B$89)),0,(VLOOKUP($F25,'התפלגות ייצור וסל דלקים'!$B$64:$BV$84,M$2-$E$2,FALSE))*$D$9*$D$8*(HLOOKUP(M$23,$G$18:$R$19,2,FALSE)*(1-$D$12)^($F25-'הנחות עבודה'!$C$5)/$D$11)/$D$11)</f>
        <v>0</v>
      </c>
      <c r="N25" s="42">
        <f ca="1">IF(OR($F25&gt;$D$5,$F25&gt;MAX('הנחות עבודה'!$B$69:$B$89)),0,(VLOOKUP($F25,'התפלגות ייצור וסל דלקים'!$B$64:$BV$84,N$2-$E$2,FALSE))*$D$9*$D$8*(HLOOKUP(N$23,$G$18:$R$19,2,FALSE)*(1-$D$12)^($F25-'הנחות עבודה'!$C$5)/$D$11)/$D$11)</f>
        <v>8.0385618764799993E-3</v>
      </c>
      <c r="O25" s="42">
        <f ca="1">IF(OR($F25&gt;$D$5,$F25&gt;MAX('הנחות עבודה'!$B$69:$B$89)),0,(VLOOKUP($F25,'התפלגות ייצור וסל דלקים'!$B$64:$BV$84,O$2-$E$2,FALSE))*$D$9*$D$8*(HLOOKUP(O$23,$G$18:$R$19,2,FALSE)*(1-$D$12)^($F25-'הנחות עבודה'!$C$5)/$D$11)/$D$11)</f>
        <v>0</v>
      </c>
      <c r="P25" s="42">
        <f ca="1">IF(OR($F25&gt;$D$5,$F25&gt;MAX('הנחות עבודה'!$B$69:$B$89)),0,(VLOOKUP($F25,'התפלגות ייצור וסל דלקים'!$B$64:$BV$84,P$2-$E$2,FALSE))*$D$9*$D$8*(HLOOKUP(P$23,$G$18:$R$19,2,FALSE)*(1-$D$12)^($F25-'הנחות עבודה'!$C$5)/$D$11)/$D$11)</f>
        <v>0</v>
      </c>
      <c r="Q25" s="42">
        <f ca="1">IF(OR($F25&gt;$D$5,$F25&gt;MAX('הנחות עבודה'!$B$69:$B$89)),0,(VLOOKUP($F25,'התפלגות ייצור וסל דלקים'!$B$64:$BV$84,Q$2-$E$2,FALSE))*$D$9*$D$8*(HLOOKUP(Q$23,$G$18:$R$19,2,FALSE)*(1-$D$12)^($F25-'הנחות עבודה'!$C$5)/$D$11)/$D$11)</f>
        <v>6.7350715599999991E-3</v>
      </c>
      <c r="R25" s="42">
        <f ca="1">IF(OR($F25&gt;$D$5,$F25&gt;MAX('הנחות עבודה'!$B$69:$B$89)),0,(VLOOKUP($F25,'התפלגות ייצור וסל דלקים'!$B$64:$BV$84,R$2-$E$2,FALSE))*$D$9*$D$8*(HLOOKUP(R$23,$G$18:$R$19,2,FALSE)*(1-$D$12)^($F25-'הנחות עבודה'!$C$5)/$D$11)/$D$11)</f>
        <v>0</v>
      </c>
      <c r="S25" s="52">
        <f ca="1">IF(OR($F25&gt;$D$5,$F25&gt;MAX('הנחות עבודה'!$B$69:$B$89)),0,(VLOOKUP($F25,'התפלגות ייצור וסל דלקים'!$B$64:$BV$84,S$2-$E$2,FALSE))*$D$9*$D$8*(HLOOKUP(S$23,$G$18:$R$19,2,FALSE)*(1-$D$12)^($F25-'הנחות עבודה'!$C$5)/$D$11)/$D$11)</f>
        <v>0</v>
      </c>
      <c r="T25" s="127">
        <f ca="1">IF(OR($F25&gt;$D$5,$F25&gt;MAX('הנחות עבודה'!$B$69:$B$89)),0,(VLOOKUP($F25,'התפלגות ייצור וסל דלקים'!$B$64:$BV$84,T$2-$E$2,FALSE))*$D$9*$D$8*(HLOOKUP(T$23,$G$18:$R$19,2,FALSE)*(1-$D$12)^($F25-'הנחות עבודה'!$C$5)/$D$11)/$D$11)</f>
        <v>0</v>
      </c>
      <c r="U25" s="127">
        <f ca="1">IF(OR($F25&gt;$D$5,$F25&gt;MAX('הנחות עבודה'!$B$69:$B$89)),0,(VLOOKUP($F25,'התפלגות ייצור וסל דלקים'!$B$64:$BV$84,U$2-$E$2,FALSE))*$D$9*$D$8*(HLOOKUP(U$23,$G$18:$R$19,2,FALSE)*(1-$D$12)^($F25-'הנחות עבודה'!$C$5)/$D$11)/$D$11)</f>
        <v>0</v>
      </c>
      <c r="V25" s="127">
        <f ca="1">IF(OR($F25&gt;$D$5,$F25&gt;MAX('הנחות עבודה'!$B$69:$B$89)),0,(VLOOKUP($F25,'התפלגות ייצור וסל דלקים'!$B$64:$BV$84,V$2-$E$2,FALSE))*$D$9*$D$8*(HLOOKUP(V$23,$G$18:$R$19,2,FALSE)*(1-$D$12)^($F25-'הנחות עבודה'!$C$5)/$D$11)/$D$11)</f>
        <v>0</v>
      </c>
      <c r="W25" s="127">
        <f ca="1">IF(OR($F25&gt;$D$5,$F25&gt;MAX('הנחות עבודה'!$B$69:$B$89)),0,(VLOOKUP($F25,'התפלגות ייצור וסל דלקים'!$B$64:$BV$84,W$2-$E$2,FALSE))*$D$9*$D$8*(HLOOKUP(W$23,$G$18:$R$19,2,FALSE)*(1-$D$12)^($F25-'הנחות עבודה'!$C$5)/$D$11)/$D$11)</f>
        <v>0</v>
      </c>
      <c r="X25" s="127">
        <f ca="1">IF(OR($F25&gt;$D$5,$F25&gt;MAX('הנחות עבודה'!$B$69:$B$89)),0,(VLOOKUP($F25,'התפלגות ייצור וסל דלקים'!$B$64:$BV$84,X$2-$E$2,FALSE))*$D$9*$D$8*(HLOOKUP(X$23,$G$18:$R$19,2,FALSE)*(1-$D$12)^($F25-'הנחות עבודה'!$C$5)/$D$11)/$D$11)</f>
        <v>0</v>
      </c>
      <c r="Y25" s="52">
        <f ca="1">IF(OR($F25&gt;$D$5,$F25&gt;MAX('הנחות עבודה'!$B$69:$B$89)),0,(VLOOKUP($F25,'התפלגות ייצור וסל דלקים'!$B$64:$BV$84,Y$2-$E$2,FALSE))*$D$9*$D$8*(HLOOKUP(Y$23,$G$18:$R$19,2,FALSE)*(1-$D$12)^($F25-'הנחות עבודה'!$C$5)/$D$11)/$D$11)</f>
        <v>0</v>
      </c>
      <c r="Z25" s="52">
        <f ca="1">IF(OR($F25&gt;$D$5,$F25&gt;MAX('הנחות עבודה'!$B$69:$B$89)),0,(VLOOKUP($F25,'התפלגות ייצור וסל דלקים'!$B$64:$BV$84,Z$2-$E$2,FALSE))*$D$9*$D$8*(HLOOKUP(Z$23,$G$18:$R$19,2,FALSE)*(1-$D$12)^($F25-'הנחות עבודה'!$C$5)/$D$11)/$D$11)</f>
        <v>8.0385618764799993E-3</v>
      </c>
      <c r="AA25" s="52">
        <f ca="1">IF(OR($F25&gt;$D$5,$F25&gt;MAX('הנחות עבודה'!$B$69:$B$89)),0,(VLOOKUP($F25,'התפלגות ייצור וסל דלקים'!$B$64:$BV$84,AA$2-$E$2,FALSE))*$D$9*$D$8*(HLOOKUP(AA$23,$G$18:$R$19,2,FALSE)*(1-$D$12)^($F25-'הנחות עבודה'!$C$5)/$D$11)/$D$11)</f>
        <v>0</v>
      </c>
      <c r="AB25" s="52">
        <f ca="1">IF(OR($F25&gt;$D$5,$F25&gt;MAX('הנחות עבודה'!$B$69:$B$89)),0,(VLOOKUP($F25,'התפלגות ייצור וסל דלקים'!$B$64:$BV$84,AB$2-$E$2,FALSE))*$D$9*$D$8*(HLOOKUP(AB$23,$G$18:$R$19,2,FALSE)*(1-$D$12)^($F25-'הנחות עבודה'!$C$5)/$D$11)/$D$11)</f>
        <v>0</v>
      </c>
      <c r="AC25" s="52">
        <f ca="1">IF(OR($F25&gt;$D$5,$F25&gt;MAX('הנחות עבודה'!$B$69:$B$89)),0,(VLOOKUP($F25,'התפלגות ייצור וסל דלקים'!$B$64:$BV$84,AC$2-$E$2,FALSE))*$D$9*$D$8*(HLOOKUP(AC$23,$G$18:$R$19,2,FALSE)*(1-$D$12)^($F25-'הנחות עבודה'!$C$5)/$D$11)/$D$11)</f>
        <v>6.7350715599999991E-3</v>
      </c>
      <c r="AD25" s="52">
        <f ca="1">IF(OR($F25&gt;$D$5,$F25&gt;MAX('הנחות עבודה'!$B$69:$B$89)),0,(VLOOKUP($F25,'התפלגות ייצור וסל דלקים'!$B$64:$BV$84,AD$2-$E$2,FALSE))*$D$9*$D$8*(HLOOKUP(AD$23,$G$18:$R$19,2,FALSE)*(1-$D$12)^($F25-'הנחות עבודה'!$C$5)/$D$11)/$D$11)</f>
        <v>0</v>
      </c>
      <c r="AE25" s="42">
        <f ca="1">IF(OR($F25&gt;$D$5,$F25&gt;MAX('הנחות עבודה'!$B$69:$B$89)),0,(VLOOKUP($F25,'התפלגות ייצור וסל דלקים'!$B$64:$BV$84,AE$2-$E$2,FALSE))*$D$9*$D$8*(HLOOKUP(AE$23,$G$18:$R$19,2,FALSE)*(1-$D$12)^($F25-'הנחות עבודה'!$C$5)/$D$11)/$D$11)</f>
        <v>0</v>
      </c>
      <c r="AF25" s="44">
        <f ca="1">IF(OR($F25&gt;$D$5,$F25&gt;MAX('הנחות עבודה'!$B$69:$B$89)),0,(VLOOKUP($F25,'התפלגות ייצור וסל דלקים'!$B$64:$BV$84,AF$2-$E$2,FALSE))*$D$9*$D$8*(HLOOKUP(AF$23,$G$18:$R$19,2,FALSE)*(1-$D$12)^($F25-'הנחות עבודה'!$C$5)/$D$11)/$D$11)</f>
        <v>0</v>
      </c>
      <c r="AG25" s="44">
        <f ca="1">IF(OR($F25&gt;$D$5,$F25&gt;MAX('הנחות עבודה'!$B$69:$B$89)),0,(VLOOKUP($F25,'התפלגות ייצור וסל דלקים'!$B$64:$BV$84,AG$2-$E$2,FALSE))*$D$9*$D$8*(HLOOKUP(AG$23,$G$18:$R$19,2,FALSE)*(1-$D$12)^($F25-'הנחות עבודה'!$C$5)/$D$11)/$D$11)</f>
        <v>0</v>
      </c>
      <c r="AH25" s="44">
        <f ca="1">IF(OR($F25&gt;$D$5,$F25&gt;MAX('הנחות עבודה'!$B$69:$B$89)),0,(VLOOKUP($F25,'התפלגות ייצור וסל דלקים'!$B$64:$BV$84,AH$2-$E$2,FALSE))*$D$9*$D$8*(HLOOKUP(AH$23,$G$18:$R$19,2,FALSE)*(1-$D$12)^($F25-'הנחות עבודה'!$C$5)/$D$11)/$D$11)</f>
        <v>0</v>
      </c>
      <c r="AI25" s="44">
        <f ca="1">IF(OR($F25&gt;$D$5,$F25&gt;MAX('הנחות עבודה'!$B$69:$B$89)),0,(VLOOKUP($F25,'התפלגות ייצור וסל דלקים'!$B$64:$BV$84,AI$2-$E$2,FALSE))*$D$9*$D$8*(HLOOKUP(AI$23,$G$18:$R$19,2,FALSE)*(1-$D$12)^($F25-'הנחות עבודה'!$C$5)/$D$11)/$D$11)</f>
        <v>0</v>
      </c>
      <c r="AJ25" s="44">
        <f ca="1">IF(OR($F25&gt;$D$5,$F25&gt;MAX('הנחות עבודה'!$B$69:$B$89)),0,(VLOOKUP($F25,'התפלגות ייצור וסל דלקים'!$B$64:$BV$84,AJ$2-$E$2,FALSE))*$D$9*$D$8*(HLOOKUP(AJ$23,$G$18:$R$19,2,FALSE)*(1-$D$12)^($F25-'הנחות עבודה'!$C$5)/$D$11)/$D$11)</f>
        <v>0</v>
      </c>
      <c r="AK25" s="42">
        <f ca="1">IF(OR($F25&gt;$D$5,$F25&gt;MAX('הנחות עבודה'!$B$69:$B$89)),0,(VLOOKUP($F25,'התפלגות ייצור וסל דלקים'!$B$64:$BV$84,AK$2-$E$2,FALSE))*$D$9*$D$8*(HLOOKUP(AK$23,$G$18:$R$19,2,FALSE)*(1-$D$12)^($F25-'הנחות עבודה'!$C$5)/$D$11)/$D$11)</f>
        <v>0</v>
      </c>
      <c r="AL25" s="42">
        <f ca="1">IF(OR($F25&gt;$D$5,$F25&gt;MAX('הנחות עבודה'!$B$69:$B$89)),0,(VLOOKUP($F25,'התפלגות ייצור וסל דלקים'!$B$64:$BV$84,AL$2-$E$2,FALSE))*$D$9*$D$8*(HLOOKUP(AL$23,$G$18:$R$19,2,FALSE)*(1-$D$12)^($F25-'הנחות עבודה'!$C$5)/$D$11)/$D$11)</f>
        <v>7.9289612992000016E-3</v>
      </c>
      <c r="AM25" s="42">
        <f ca="1">IF(OR($F25&gt;$D$5,$F25&gt;MAX('הנחות עבודה'!$B$69:$B$89)),0,(VLOOKUP($F25,'התפלגות ייצור וסל דלקים'!$B$64:$BV$84,AM$2-$E$2,FALSE))*$D$9*$D$8*(HLOOKUP(AM$23,$G$18:$R$19,2,FALSE)*(1-$D$12)^($F25-'הנחות עבודה'!$C$5)/$D$11)/$D$11)</f>
        <v>0</v>
      </c>
      <c r="AN25" s="42">
        <f ca="1">IF(OR($F25&gt;$D$5,$F25&gt;MAX('הנחות עבודה'!$B$69:$B$89)),0,(VLOOKUP($F25,'התפלגות ייצור וסל דלקים'!$B$64:$BV$84,AN$2-$E$2,FALSE))*$D$9*$D$8*(HLOOKUP(AN$23,$G$18:$R$19,2,FALSE)*(1-$D$12)^($F25-'הנחות עבודה'!$C$5)/$D$11)/$D$11)</f>
        <v>0</v>
      </c>
      <c r="AO25" s="42">
        <f ca="1">IF(OR($F25&gt;$D$5,$F25&gt;MAX('הנחות עבודה'!$B$69:$B$89)),0,(VLOOKUP($F25,'התפלגות ייצור וסל דלקים'!$B$64:$BV$84,AO$2-$E$2,FALSE))*$D$9*$D$8*(HLOOKUP(AO$23,$G$18:$R$19,2,FALSE)*(1-$D$12)^($F25-'הנחות עבודה'!$C$5)/$D$11)/$D$11)</f>
        <v>6.7350715599999991E-3</v>
      </c>
      <c r="AP25" s="42">
        <f ca="1">IF(OR($F25&gt;$D$5,$F25&gt;MAX('הנחות עבודה'!$B$69:$B$89)),0,(VLOOKUP($F25,'התפלגות ייצור וסל דלקים'!$B$64:$BV$84,AP$2-$E$2,FALSE))*$D$9*$D$8*(HLOOKUP(AP$23,$G$18:$R$19,2,FALSE)*(1-$D$12)^($F25-'הנחות עבודה'!$C$5)/$D$11)/$D$11)</f>
        <v>0</v>
      </c>
      <c r="AQ25" s="52">
        <f ca="1">IF(OR($F25&gt;$D$5,$F25&gt;MAX('הנחות עבודה'!$B$69:$B$89)),0,(VLOOKUP($F25,'התפלגות ייצור וסל דלקים'!$B$64:$BV$84,AQ$2-$E$2,FALSE))*$D$9*$D$8*(HLOOKUP(AQ$23,$G$18:$R$19,2,FALSE)*(1-$D$12)^($F25-'הנחות עבודה'!$C$5)/$D$11)/$D$11)</f>
        <v>0</v>
      </c>
      <c r="AR25" s="127">
        <f ca="1">IF(OR($F25&gt;$D$5,$F25&gt;MAX('הנחות עבודה'!$B$69:$B$89)),0,(VLOOKUP($F25,'התפלגות ייצור וסל דלקים'!$B$64:$BV$84,AR$2-$E$2,FALSE))*$D$9*$D$8*(HLOOKUP(AR$23,$G$18:$R$19,2,FALSE)*(1-$D$12)^($F25-'הנחות עבודה'!$C$5)/$D$11)/$D$11)</f>
        <v>0</v>
      </c>
      <c r="AS25" s="127">
        <f ca="1">IF(OR($F25&gt;$D$5,$F25&gt;MAX('הנחות עבודה'!$B$69:$B$89)),0,(VLOOKUP($F25,'התפלגות ייצור וסל דלקים'!$B$64:$BV$84,AS$2-$E$2,FALSE))*$D$9*$D$8*(HLOOKUP(AS$23,$G$18:$R$19,2,FALSE)*(1-$D$12)^($F25-'הנחות עבודה'!$C$5)/$D$11)/$D$11)</f>
        <v>0</v>
      </c>
      <c r="AT25" s="127">
        <f ca="1">IF(OR($F25&gt;$D$5,$F25&gt;MAX('הנחות עבודה'!$B$69:$B$89)),0,(VLOOKUP($F25,'התפלגות ייצור וסל דלקים'!$B$64:$BV$84,AT$2-$E$2,FALSE))*$D$9*$D$8*(HLOOKUP(AT$23,$G$18:$R$19,2,FALSE)*(1-$D$12)^($F25-'הנחות עבודה'!$C$5)/$D$11)/$D$11)</f>
        <v>0</v>
      </c>
      <c r="AU25" s="127">
        <f ca="1">IF(OR($F25&gt;$D$5,$F25&gt;MAX('הנחות עבודה'!$B$69:$B$89)),0,(VLOOKUP($F25,'התפלגות ייצור וסל דלקים'!$B$64:$BV$84,AU$2-$E$2,FALSE))*$D$9*$D$8*(HLOOKUP(AU$23,$G$18:$R$19,2,FALSE)*(1-$D$12)^($F25-'הנחות עבודה'!$C$5)/$D$11)/$D$11)</f>
        <v>0</v>
      </c>
      <c r="AV25" s="127">
        <f ca="1">IF(OR($F25&gt;$D$5,$F25&gt;MAX('הנחות עבודה'!$B$69:$B$89)),0,(VLOOKUP($F25,'התפלגות ייצור וסל דלקים'!$B$64:$BV$84,AV$2-$E$2,FALSE))*$D$9*$D$8*(HLOOKUP(AV$23,$G$18:$R$19,2,FALSE)*(1-$D$12)^($F25-'הנחות עבודה'!$C$5)/$D$11)/$D$11)</f>
        <v>0</v>
      </c>
      <c r="AW25" s="52">
        <f ca="1">IF(OR($F25&gt;$D$5,$F25&gt;MAX('הנחות עבודה'!$B$69:$B$89)),0,(VLOOKUP($F25,'התפלגות ייצור וסל דלקים'!$B$64:$BV$84,AW$2-$E$2,FALSE))*$D$9*$D$8*(HLOOKUP(AW$23,$G$18:$R$19,2,FALSE)*(1-$D$12)^($F25-'הנחות עבודה'!$C$5)/$D$11)/$D$11)</f>
        <v>0</v>
      </c>
      <c r="AX25" s="52">
        <f ca="1">IF(OR($F25&gt;$D$5,$F25&gt;MAX('הנחות עבודה'!$B$69:$B$89)),0,(VLOOKUP($F25,'התפלגות ייצור וסל דלקים'!$B$64:$BV$84,AX$2-$E$2,FALSE))*$D$9*$D$8*(HLOOKUP(AX$23,$G$18:$R$19,2,FALSE)*(1-$D$12)^($F25-'הנחות עבודה'!$C$5)/$D$11)/$D$11)</f>
        <v>7.9289612992000016E-3</v>
      </c>
      <c r="AY25" s="52">
        <f ca="1">IF(OR($F25&gt;$D$5,$F25&gt;MAX('הנחות עבודה'!$B$69:$B$89)),0,(VLOOKUP($F25,'התפלגות ייצור וסל דלקים'!$B$64:$BV$84,AY$2-$E$2,FALSE))*$D$9*$D$8*(HLOOKUP(AY$23,$G$18:$R$19,2,FALSE)*(1-$D$12)^($F25-'הנחות עבודה'!$C$5)/$D$11)/$D$11)</f>
        <v>0</v>
      </c>
      <c r="AZ25" s="52">
        <f ca="1">IF(OR($F25&gt;$D$5,$F25&gt;MAX('הנחות עבודה'!$B$69:$B$89)),0,(VLOOKUP($F25,'התפלגות ייצור וסל דלקים'!$B$64:$BV$84,AZ$2-$E$2,FALSE))*$D$9*$D$8*(HLOOKUP(AZ$23,$G$18:$R$19,2,FALSE)*(1-$D$12)^($F25-'הנחות עבודה'!$C$5)/$D$11)/$D$11)</f>
        <v>0</v>
      </c>
      <c r="BA25" s="52">
        <f ca="1">IF(OR($F25&gt;$D$5,$F25&gt;MAX('הנחות עבודה'!$B$69:$B$89)),0,(VLOOKUP($F25,'התפלגות ייצור וסל דלקים'!$B$64:$BV$84,BA$2-$E$2,FALSE))*$D$9*$D$8*(HLOOKUP(BA$23,$G$18:$R$19,2,FALSE)*(1-$D$12)^($F25-'הנחות עבודה'!$C$5)/$D$11)/$D$11)</f>
        <v>6.7350715599999991E-3</v>
      </c>
      <c r="BB25" s="52">
        <f ca="1">IF(OR($F25&gt;$D$5,$F25&gt;MAX('הנחות עבודה'!$B$69:$B$89)),0,(VLOOKUP($F25,'התפלגות ייצור וסל דלקים'!$B$64:$BV$84,BB$2-$E$2,FALSE))*$D$9*$D$8*(HLOOKUP(BB$23,$G$18:$R$19,2,FALSE)*(1-$D$12)^($F25-'הנחות עבודה'!$C$5)/$D$11)/$D$11)</f>
        <v>0</v>
      </c>
      <c r="BC25" s="42">
        <f ca="1">IF(OR($F25&gt;$D$5,$F25&gt;MAX('הנחות עבודה'!$B$69:$B$89)),0,(VLOOKUP($F25,'התפלגות ייצור וסל דלקים'!$B$64:$BV$84,BC$2-$E$2,FALSE))*$D$9*$D$8*(HLOOKUP(BC$23,$G$18:$R$19,2,FALSE)*(1-$D$12)^($F25-'הנחות עבודה'!$C$5)/$D$11)/$D$11)</f>
        <v>0</v>
      </c>
      <c r="BD25" s="44">
        <f ca="1">IF(OR($F25&gt;$D$5,$F25&gt;MAX('הנחות עבודה'!$B$69:$B$89)),0,(VLOOKUP($F25,'התפלגות ייצור וסל דלקים'!$B$64:$BV$84,BD$2-$E$2,FALSE))*$D$9*$D$8*(HLOOKUP(BD$23,$G$18:$R$19,2,FALSE)*(1-$D$12)^($F25-'הנחות עבודה'!$C$5)/$D$11)/$D$11)</f>
        <v>0</v>
      </c>
      <c r="BE25" s="44">
        <f ca="1">IF(OR($F25&gt;$D$5,$F25&gt;MAX('הנחות עבודה'!$B$69:$B$89)),0,(VLOOKUP($F25,'התפלגות ייצור וסל דלקים'!$B$64:$BV$84,BE$2-$E$2,FALSE))*$D$9*$D$8*(HLOOKUP(BE$23,$G$18:$R$19,2,FALSE)*(1-$D$12)^($F25-'הנחות עבודה'!$C$5)/$D$11)/$D$11)</f>
        <v>0</v>
      </c>
      <c r="BF25" s="44">
        <f ca="1">IF(OR($F25&gt;$D$5,$F25&gt;MAX('הנחות עבודה'!$B$69:$B$89)),0,(VLOOKUP($F25,'התפלגות ייצור וסל דלקים'!$B$64:$BV$84,BF$2-$E$2,FALSE))*$D$9*$D$8*(HLOOKUP(BF$23,$G$18:$R$19,2,FALSE)*(1-$D$12)^($F25-'הנחות עבודה'!$C$5)/$D$11)/$D$11)</f>
        <v>0</v>
      </c>
      <c r="BG25" s="44">
        <f ca="1">IF(OR($F25&gt;$D$5,$F25&gt;MAX('הנחות עבודה'!$B$69:$B$89)),0,(VLOOKUP($F25,'התפלגות ייצור וסל דלקים'!$B$64:$BV$84,BG$2-$E$2,FALSE))*$D$9*$D$8*(HLOOKUP(BG$23,$G$18:$R$19,2,FALSE)*(1-$D$12)^($F25-'הנחות עבודה'!$C$5)/$D$11)/$D$11)</f>
        <v>0</v>
      </c>
      <c r="BH25" s="44">
        <f ca="1">IF(OR($F25&gt;$D$5,$F25&gt;MAX('הנחות עבודה'!$B$69:$B$89)),0,(VLOOKUP($F25,'התפלגות ייצור וסל דלקים'!$B$64:$BV$84,BH$2-$E$2,FALSE))*$D$9*$D$8*(HLOOKUP(BH$23,$G$18:$R$19,2,FALSE)*(1-$D$12)^($F25-'הנחות עבודה'!$C$5)/$D$11)/$D$11)</f>
        <v>0</v>
      </c>
      <c r="BI25" s="42">
        <f ca="1">IF(OR($F25&gt;$D$5,$F25&gt;MAX('הנחות עבודה'!$B$69:$B$89)),0,(VLOOKUP($F25,'התפלגות ייצור וסל דלקים'!$B$64:$BV$84,BI$2-$E$2,FALSE))*$D$9*$D$8*(HLOOKUP(BI$23,$G$18:$R$19,2,FALSE)*(1-$D$12)^($F25-'הנחות עבודה'!$C$5)/$D$11)/$D$11)</f>
        <v>0</v>
      </c>
      <c r="BJ25" s="42">
        <f ca="1">IF(OR($F25&gt;$D$5,$F25&gt;MAX('הנחות עבודה'!$B$69:$B$89)),0,(VLOOKUP($F25,'התפלגות ייצור וסל דלקים'!$B$64:$BV$84,BJ$2-$E$2,FALSE))*$D$9*$D$8*(HLOOKUP(BJ$23,$G$18:$R$19,2,FALSE)*(1-$D$12)^($F25-'הנחות עבודה'!$C$5)/$D$11)/$D$11)</f>
        <v>7.8975056895999943E-3</v>
      </c>
      <c r="BK25" s="42">
        <f ca="1">IF(OR($F25&gt;$D$5,$F25&gt;MAX('הנחות עבודה'!$B$69:$B$89)),0,(VLOOKUP($F25,'התפלגות ייצור וסל דלקים'!$B$64:$BV$84,BK$2-$E$2,FALSE))*$D$9*$D$8*(HLOOKUP(BK$23,$G$18:$R$19,2,FALSE)*(1-$D$12)^($F25-'הנחות עבודה'!$C$5)/$D$11)/$D$11)</f>
        <v>0</v>
      </c>
      <c r="BL25" s="42">
        <f ca="1">IF(OR($F25&gt;$D$5,$F25&gt;MAX('הנחות עבודה'!$B$69:$B$89)),0,(VLOOKUP($F25,'התפלגות ייצור וסל דלקים'!$B$64:$BV$84,BL$2-$E$2,FALSE))*$D$9*$D$8*(HLOOKUP(BL$23,$G$18:$R$19,2,FALSE)*(1-$D$12)^($F25-'הנחות עבודה'!$C$5)/$D$11)/$D$11)</f>
        <v>0</v>
      </c>
      <c r="BM25" s="42">
        <f ca="1">IF(OR($F25&gt;$D$5,$F25&gt;MAX('הנחות עבודה'!$B$69:$B$89)),0,(VLOOKUP($F25,'התפלגות ייצור וסל דלקים'!$B$64:$BV$84,BM$2-$E$2,FALSE))*$D$9*$D$8*(HLOOKUP(BM$23,$G$18:$R$19,2,FALSE)*(1-$D$12)^($F25-'הנחות עבודה'!$C$5)/$D$11)/$D$11)</f>
        <v>6.7350715599999991E-3</v>
      </c>
      <c r="BN25" s="42">
        <f ca="1">IF(OR($F25&gt;$D$5,$F25&gt;MAX('הנחות עבודה'!$B$69:$B$89)),0,(VLOOKUP($F25,'התפלגות ייצור וסל דלקים'!$B$64:$BV$84,BN$2-$E$2,FALSE))*$D$9*$D$8*(HLOOKUP(BN$23,$G$18:$R$19,2,FALSE)*(1-$D$12)^($F25-'הנחות עבודה'!$C$5)/$D$11)/$D$11)</f>
        <v>0</v>
      </c>
      <c r="BO25" s="52">
        <f ca="1">IF(OR($F25&gt;$D$5,$F25&gt;MAX('הנחות עבודה'!$B$69:$B$89)),0,(VLOOKUP($F25,'התפלגות ייצור וסל דלקים'!$B$64:$BV$84,BO$2-$E$2,FALSE))*$D$9*$D$8*(HLOOKUP(BO$23,$G$18:$R$19,2,FALSE)*(1-$D$12)^($F25-'הנחות עבודה'!$C$5)/$D$11)/$D$11)</f>
        <v>0</v>
      </c>
      <c r="BP25" s="127">
        <f ca="1">IF(OR($F25&gt;$D$5,$F25&gt;MAX('הנחות עבודה'!$B$69:$B$89)),0,(VLOOKUP($F25,'התפלגות ייצור וסל דלקים'!$B$64:$BV$84,BP$2-$E$2,FALSE))*$D$9*$D$8*(HLOOKUP(BP$23,$G$18:$R$19,2,FALSE)*(1-$D$12)^($F25-'הנחות עבודה'!$C$5)/$D$11)/$D$11)</f>
        <v>0</v>
      </c>
      <c r="BQ25" s="127">
        <f ca="1">IF(OR($F25&gt;$D$5,$F25&gt;MAX('הנחות עבודה'!$B$69:$B$89)),0,(VLOOKUP($F25,'התפלגות ייצור וסל דלקים'!$B$64:$BV$84,BQ$2-$E$2,FALSE))*$D$9*$D$8*(HLOOKUP(BQ$23,$G$18:$R$19,2,FALSE)*(1-$D$12)^($F25-'הנחות עבודה'!$C$5)/$D$11)/$D$11)</f>
        <v>0</v>
      </c>
      <c r="BR25" s="127">
        <f ca="1">IF(OR($F25&gt;$D$5,$F25&gt;MAX('הנחות עבודה'!$B$69:$B$89)),0,(VLOOKUP($F25,'התפלגות ייצור וסל דלקים'!$B$64:$BV$84,BR$2-$E$2,FALSE))*$D$9*$D$8*(HLOOKUP(BR$23,$G$18:$R$19,2,FALSE)*(1-$D$12)^($F25-'הנחות עבודה'!$C$5)/$D$11)/$D$11)</f>
        <v>0</v>
      </c>
      <c r="BS25" s="127">
        <f ca="1">IF(OR($F25&gt;$D$5,$F25&gt;MAX('הנחות עבודה'!$B$69:$B$89)),0,(VLOOKUP($F25,'התפלגות ייצור וסל דלקים'!$B$64:$BV$84,BS$2-$E$2,FALSE))*$D$9*$D$8*(HLOOKUP(BS$23,$G$18:$R$19,2,FALSE)*(1-$D$12)^($F25-'הנחות עבודה'!$C$5)/$D$11)/$D$11)</f>
        <v>0</v>
      </c>
      <c r="BT25" s="127">
        <f ca="1">IF(OR($F25&gt;$D$5,$F25&gt;MAX('הנחות עבודה'!$B$69:$B$89)),0,(VLOOKUP($F25,'התפלגות ייצור וסל דלקים'!$B$64:$BV$84,BT$2-$E$2,FALSE))*$D$9*$D$8*(HLOOKUP(BT$23,$G$18:$R$19,2,FALSE)*(1-$D$12)^($F25-'הנחות עבודה'!$C$5)/$D$11)/$D$11)</f>
        <v>0</v>
      </c>
      <c r="BU25" s="52">
        <f ca="1">IF(OR($F25&gt;$D$5,$F25&gt;MAX('הנחות עבודה'!$B$69:$B$89)),0,(VLOOKUP($F25,'התפלגות ייצור וסל דלקים'!$B$64:$BV$84,BU$2-$E$2,FALSE))*$D$9*$D$8*(HLOOKUP(BU$23,$G$18:$R$19,2,FALSE)*(1-$D$12)^($F25-'הנחות עבודה'!$C$5)/$D$11)/$D$11)</f>
        <v>0</v>
      </c>
      <c r="BV25" s="52">
        <f ca="1">IF(OR($F25&gt;$D$5,$F25&gt;MAX('הנחות עבודה'!$B$69:$B$89)),0,(VLOOKUP($F25,'התפלגות ייצור וסל דלקים'!$B$64:$BV$84,BV$2-$E$2,FALSE))*$D$9*$D$8*(HLOOKUP(BV$23,$G$18:$R$19,2,FALSE)*(1-$D$12)^($F25-'הנחות עבודה'!$C$5)/$D$11)/$D$11)</f>
        <v>7.8975056895999943E-3</v>
      </c>
      <c r="BW25" s="52">
        <f ca="1">IF(OR($F25&gt;$D$5,$F25&gt;MAX('הנחות עבודה'!$B$69:$B$89)),0,(VLOOKUP($F25,'התפלגות ייצור וסל דלקים'!$B$64:$BV$84,BW$2-$E$2,FALSE))*$D$9*$D$8*(HLOOKUP(BW$23,$G$18:$R$19,2,FALSE)*(1-$D$12)^($F25-'הנחות עבודה'!$C$5)/$D$11)/$D$11)</f>
        <v>0</v>
      </c>
      <c r="BX25" s="52">
        <f ca="1">IF(OR($F25&gt;$D$5,$F25&gt;MAX('הנחות עבודה'!$B$69:$B$89)),0,(VLOOKUP($F25,'התפלגות ייצור וסל דלקים'!$B$64:$BV$84,BX$2-$E$2,FALSE))*$D$9*$D$8*(HLOOKUP(BX$23,$G$18:$R$19,2,FALSE)*(1-$D$12)^($F25-'הנחות עבודה'!$C$5)/$D$11)/$D$11)</f>
        <v>0</v>
      </c>
      <c r="BY25" s="52">
        <f ca="1">IF(OR($F25&gt;$D$5,$F25&gt;MAX('הנחות עבודה'!$B$69:$B$89)),0,(VLOOKUP($F25,'התפלגות ייצור וסל דלקים'!$B$64:$BV$84,BY$2-$E$2,FALSE))*$D$9*$D$8*(HLOOKUP(BY$23,$G$18:$R$19,2,FALSE)*(1-$D$12)^($F25-'הנחות עבודה'!$C$5)/$D$11)/$D$11)</f>
        <v>6.7350715599999991E-3</v>
      </c>
      <c r="BZ25" s="52">
        <f ca="1">IF(OR($F25&gt;$D$5,$F25&gt;MAX('הנחות עבודה'!$B$69:$B$89)),0,(VLOOKUP($F25,'התפלגות ייצור וסל דלקים'!$B$64:$BV$84,BZ$2-$E$2,FALSE))*$D$9*$D$8*(HLOOKUP(BZ$23,$G$18:$R$19,2,FALSE)*(1-$D$12)^($F25-'הנחות עבודה'!$C$5)/$D$11)/$D$11)</f>
        <v>0</v>
      </c>
    </row>
    <row r="26" spans="6:78" ht="15.75">
      <c r="F26" s="10">
        <f t="shared" ref="F26:F44" si="110">F25+1</f>
        <v>2022</v>
      </c>
      <c r="G26" s="42">
        <f ca="1">IF(OR($F26&gt;$D$5,$F26&gt;MAX('הנחות עבודה'!$B$69:$B$89)),0,(VLOOKUP($F26,'התפלגות ייצור וסל דלקים'!$B$64:$BV$84,G$2-$E$2,FALSE))*$D$9*$D$8*(HLOOKUP(G$23,$G$18:$R$19,2,FALSE)*(1-$D$12)^($F26-'הנחות עבודה'!$C$5)/$D$11)/$D$11)</f>
        <v>0</v>
      </c>
      <c r="H26" s="44">
        <f ca="1">IF(OR($F26&gt;$D$5,$F26&gt;MAX('הנחות עבודה'!$B$69:$B$89)),0,(VLOOKUP($F26,'התפלגות ייצור וסל דלקים'!$B$64:$BV$84,H$2-$E$2,FALSE))*$D$9*$D$8*(HLOOKUP(H$23,$G$18:$R$19,2,FALSE)*(1-$D$12)^($F26-'הנחות עבודה'!$C$5)/$D$11)/$D$11)</f>
        <v>0</v>
      </c>
      <c r="I26" s="44">
        <f ca="1">IF(OR($F26&gt;$D$5,$F26&gt;MAX('הנחות עבודה'!$B$69:$B$89)),0,(VLOOKUP($F26,'התפלגות ייצור וסל דלקים'!$B$64:$BV$84,I$2-$E$2,FALSE))*$D$9*$D$8*(HLOOKUP(I$23,$G$18:$R$19,2,FALSE)*(1-$D$12)^($F26-'הנחות עבודה'!$C$5)/$D$11)/$D$11)</f>
        <v>0</v>
      </c>
      <c r="J26" s="44">
        <f ca="1">IF(OR($F26&gt;$D$5,$F26&gt;MAX('הנחות עבודה'!$B$69:$B$89)),0,(VLOOKUP($F26,'התפלגות ייצור וסל דלקים'!$B$64:$BV$84,J$2-$E$2,FALSE))*$D$9*$D$8*(HLOOKUP(J$23,$G$18:$R$19,2,FALSE)*(1-$D$12)^($F26-'הנחות עבודה'!$C$5)/$D$11)/$D$11)</f>
        <v>0</v>
      </c>
      <c r="K26" s="44">
        <f ca="1">IF(OR($F26&gt;$D$5,$F26&gt;MAX('הנחות עבודה'!$B$69:$B$89)),0,(VLOOKUP($F26,'התפלגות ייצור וסל דלקים'!$B$64:$BV$84,K$2-$E$2,FALSE))*$D$9*$D$8*(HLOOKUP(K$23,$G$18:$R$19,2,FALSE)*(1-$D$12)^($F26-'הנחות עבודה'!$C$5)/$D$11)/$D$11)</f>
        <v>0</v>
      </c>
      <c r="L26" s="44">
        <f ca="1">IF(OR($F26&gt;$D$5,$F26&gt;MAX('הנחות עבודה'!$B$69:$B$89)),0,(VLOOKUP($F26,'התפלגות ייצור וסל דלקים'!$B$64:$BV$84,L$2-$E$2,FALSE))*$D$9*$D$8*(HLOOKUP(L$23,$G$18:$R$19,2,FALSE)*(1-$D$12)^($F26-'הנחות עבודה'!$C$5)/$D$11)/$D$11)</f>
        <v>0</v>
      </c>
      <c r="M26" s="42">
        <f ca="1">IF(OR($F26&gt;$D$5,$F26&gt;MAX('הנחות עבודה'!$B$69:$B$89)),0,(VLOOKUP($F26,'התפלגות ייצור וסל דלקים'!$B$64:$BV$84,M$2-$E$2,FALSE))*$D$9*$D$8*(HLOOKUP(M$23,$G$18:$R$19,2,FALSE)*(1-$D$12)^($F26-'הנחות עבודה'!$C$5)/$D$11)/$D$11)</f>
        <v>3.1338239999999994E-4</v>
      </c>
      <c r="N26" s="42">
        <f ca="1">IF(OR($F26&gt;$D$5,$F26&gt;MAX('הנחות עבודה'!$B$69:$B$89)),0,(VLOOKUP($F26,'התפלגות ייצור וסל דלקים'!$B$64:$BV$84,N$2-$E$2,FALSE))*$D$9*$D$8*(HLOOKUP(N$23,$G$18:$R$19,2,FALSE)*(1-$D$12)^($F26-'הנחות עבודה'!$C$5)/$D$11)/$D$11)</f>
        <v>8.2537054169599996E-3</v>
      </c>
      <c r="O26" s="42">
        <f ca="1">IF(OR($F26&gt;$D$5,$F26&gt;MAX('הנחות עבודה'!$B$69:$B$89)),0,(VLOOKUP($F26,'התפלגות ייצור וסל דלקים'!$B$64:$BV$84,O$2-$E$2,FALSE))*$D$9*$D$8*(HLOOKUP(O$23,$G$18:$R$19,2,FALSE)*(1-$D$12)^($F26-'הנחות עבודה'!$C$5)/$D$11)/$D$11)</f>
        <v>0</v>
      </c>
      <c r="P26" s="42">
        <f ca="1">IF(OR($F26&gt;$D$5,$F26&gt;MAX('הנחות עבודה'!$B$69:$B$89)),0,(VLOOKUP($F26,'התפלגות ייצור וסל דלקים'!$B$64:$BV$84,P$2-$E$2,FALSE))*$D$9*$D$8*(HLOOKUP(P$23,$G$18:$R$19,2,FALSE)*(1-$D$12)^($F26-'הנחות עבודה'!$C$5)/$D$11)/$D$11)</f>
        <v>0</v>
      </c>
      <c r="Q26" s="42">
        <f ca="1">IF(OR($F26&gt;$D$5,$F26&gt;MAX('הנחות עבודה'!$B$69:$B$89)),0,(VLOOKUP($F26,'התפלגות ייצור וסל דלקים'!$B$64:$BV$84,Q$2-$E$2,FALSE))*$D$9*$D$8*(HLOOKUP(Q$23,$G$18:$R$19,2,FALSE)*(1-$D$12)^($F26-'הנחות עבודה'!$C$5)/$D$11)/$D$11)</f>
        <v>6.2502725324999992E-3</v>
      </c>
      <c r="R26" s="42">
        <f ca="1">IF(OR($F26&gt;$D$5,$F26&gt;MAX('הנחות עבודה'!$B$69:$B$89)),0,(VLOOKUP($F26,'התפלגות ייצור וסל דלקים'!$B$64:$BV$84,R$2-$E$2,FALSE))*$D$9*$D$8*(HLOOKUP(R$23,$G$18:$R$19,2,FALSE)*(1-$D$12)^($F26-'הנחות עבודה'!$C$5)/$D$11)/$D$11)</f>
        <v>0</v>
      </c>
      <c r="S26" s="52">
        <f ca="1">IF(OR($F26&gt;$D$5,$F26&gt;MAX('הנחות עבודה'!$B$69:$B$89)),0,(VLOOKUP($F26,'התפלגות ייצור וסל דלקים'!$B$64:$BV$84,S$2-$E$2,FALSE))*$D$9*$D$8*(HLOOKUP(S$23,$G$18:$R$19,2,FALSE)*(1-$D$12)^($F26-'הנחות עבודה'!$C$5)/$D$11)/$D$11)</f>
        <v>0</v>
      </c>
      <c r="T26" s="127">
        <f ca="1">IF(OR($F26&gt;$D$5,$F26&gt;MAX('הנחות עבודה'!$B$69:$B$89)),0,(VLOOKUP($F26,'התפלגות ייצור וסל דלקים'!$B$64:$BV$84,T$2-$E$2,FALSE))*$D$9*$D$8*(HLOOKUP(T$23,$G$18:$R$19,2,FALSE)*(1-$D$12)^($F26-'הנחות עבודה'!$C$5)/$D$11)/$D$11)</f>
        <v>0</v>
      </c>
      <c r="U26" s="127">
        <f ca="1">IF(OR($F26&gt;$D$5,$F26&gt;MAX('הנחות עבודה'!$B$69:$B$89)),0,(VLOOKUP($F26,'התפלגות ייצור וסל דלקים'!$B$64:$BV$84,U$2-$E$2,FALSE))*$D$9*$D$8*(HLOOKUP(U$23,$G$18:$R$19,2,FALSE)*(1-$D$12)^($F26-'הנחות עבודה'!$C$5)/$D$11)/$D$11)</f>
        <v>0</v>
      </c>
      <c r="V26" s="127">
        <f ca="1">IF(OR($F26&gt;$D$5,$F26&gt;MAX('הנחות עבודה'!$B$69:$B$89)),0,(VLOOKUP($F26,'התפלגות ייצור וסל דלקים'!$B$64:$BV$84,V$2-$E$2,FALSE))*$D$9*$D$8*(HLOOKUP(V$23,$G$18:$R$19,2,FALSE)*(1-$D$12)^($F26-'הנחות עבודה'!$C$5)/$D$11)/$D$11)</f>
        <v>0</v>
      </c>
      <c r="W26" s="127">
        <f ca="1">IF(OR($F26&gt;$D$5,$F26&gt;MAX('הנחות עבודה'!$B$69:$B$89)),0,(VLOOKUP($F26,'התפלגות ייצור וסל דלקים'!$B$64:$BV$84,W$2-$E$2,FALSE))*$D$9*$D$8*(HLOOKUP(W$23,$G$18:$R$19,2,FALSE)*(1-$D$12)^($F26-'הנחות עבודה'!$C$5)/$D$11)/$D$11)</f>
        <v>0</v>
      </c>
      <c r="X26" s="127">
        <f ca="1">IF(OR($F26&gt;$D$5,$F26&gt;MAX('הנחות עבודה'!$B$69:$B$89)),0,(VLOOKUP($F26,'התפלגות ייצור וסל דלקים'!$B$64:$BV$84,X$2-$E$2,FALSE))*$D$9*$D$8*(HLOOKUP(X$23,$G$18:$R$19,2,FALSE)*(1-$D$12)^($F26-'הנחות עבודה'!$C$5)/$D$11)/$D$11)</f>
        <v>0</v>
      </c>
      <c r="Y26" s="52">
        <f ca="1">IF(OR($F26&gt;$D$5,$F26&gt;MAX('הנחות עבודה'!$B$69:$B$89)),0,(VLOOKUP($F26,'התפלגות ייצור וסל דלקים'!$B$64:$BV$84,Y$2-$E$2,FALSE))*$D$9*$D$8*(HLOOKUP(Y$23,$G$18:$R$19,2,FALSE)*(1-$D$12)^($F26-'הנחות עבודה'!$C$5)/$D$11)/$D$11)</f>
        <v>3.1338239999999994E-4</v>
      </c>
      <c r="Z26" s="52">
        <f ca="1">IF(OR($F26&gt;$D$5,$F26&gt;MAX('הנחות עבודה'!$B$69:$B$89)),0,(VLOOKUP($F26,'התפלגות ייצור וסל דלקים'!$B$64:$BV$84,Z$2-$E$2,FALSE))*$D$9*$D$8*(HLOOKUP(Z$23,$G$18:$R$19,2,FALSE)*(1-$D$12)^($F26-'הנחות עבודה'!$C$5)/$D$11)/$D$11)</f>
        <v>8.2537054169599996E-3</v>
      </c>
      <c r="AA26" s="52">
        <f ca="1">IF(OR($F26&gt;$D$5,$F26&gt;MAX('הנחות עבודה'!$B$69:$B$89)),0,(VLOOKUP($F26,'התפלגות ייצור וסל דלקים'!$B$64:$BV$84,AA$2-$E$2,FALSE))*$D$9*$D$8*(HLOOKUP(AA$23,$G$18:$R$19,2,FALSE)*(1-$D$12)^($F26-'הנחות עבודה'!$C$5)/$D$11)/$D$11)</f>
        <v>0</v>
      </c>
      <c r="AB26" s="52">
        <f ca="1">IF(OR($F26&gt;$D$5,$F26&gt;MAX('הנחות עבודה'!$B$69:$B$89)),0,(VLOOKUP($F26,'התפלגות ייצור וסל דלקים'!$B$64:$BV$84,AB$2-$E$2,FALSE))*$D$9*$D$8*(HLOOKUP(AB$23,$G$18:$R$19,2,FALSE)*(1-$D$12)^($F26-'הנחות עבודה'!$C$5)/$D$11)/$D$11)</f>
        <v>0</v>
      </c>
      <c r="AC26" s="52">
        <f ca="1">IF(OR($F26&gt;$D$5,$F26&gt;MAX('הנחות עבודה'!$B$69:$B$89)),0,(VLOOKUP($F26,'התפלגות ייצור וסל דלקים'!$B$64:$BV$84,AC$2-$E$2,FALSE))*$D$9*$D$8*(HLOOKUP(AC$23,$G$18:$R$19,2,FALSE)*(1-$D$12)^($F26-'הנחות עבודה'!$C$5)/$D$11)/$D$11)</f>
        <v>6.2502725324999992E-3</v>
      </c>
      <c r="AD26" s="52">
        <f ca="1">IF(OR($F26&gt;$D$5,$F26&gt;MAX('הנחות עבודה'!$B$69:$B$89)),0,(VLOOKUP($F26,'התפלגות ייצור וסל דלקים'!$B$64:$BV$84,AD$2-$E$2,FALSE))*$D$9*$D$8*(HLOOKUP(AD$23,$G$18:$R$19,2,FALSE)*(1-$D$12)^($F26-'הנחות עבודה'!$C$5)/$D$11)/$D$11)</f>
        <v>0</v>
      </c>
      <c r="AE26" s="42">
        <f ca="1">IF(OR($F26&gt;$D$5,$F26&gt;MAX('הנחות עבודה'!$B$69:$B$89)),0,(VLOOKUP($F26,'התפלגות ייצור וסל דלקים'!$B$64:$BV$84,AE$2-$E$2,FALSE))*$D$9*$D$8*(HLOOKUP(AE$23,$G$18:$R$19,2,FALSE)*(1-$D$12)^($F26-'הנחות עבודה'!$C$5)/$D$11)/$D$11)</f>
        <v>0</v>
      </c>
      <c r="AF26" s="44">
        <f ca="1">IF(OR($F26&gt;$D$5,$F26&gt;MAX('הנחות עבודה'!$B$69:$B$89)),0,(VLOOKUP($F26,'התפלגות ייצור וסל דלקים'!$B$64:$BV$84,AF$2-$E$2,FALSE))*$D$9*$D$8*(HLOOKUP(AF$23,$G$18:$R$19,2,FALSE)*(1-$D$12)^($F26-'הנחות עבודה'!$C$5)/$D$11)/$D$11)</f>
        <v>0</v>
      </c>
      <c r="AG26" s="44">
        <f ca="1">IF(OR($F26&gt;$D$5,$F26&gt;MAX('הנחות עבודה'!$B$69:$B$89)),0,(VLOOKUP($F26,'התפלגות ייצור וסל דלקים'!$B$64:$BV$84,AG$2-$E$2,FALSE))*$D$9*$D$8*(HLOOKUP(AG$23,$G$18:$R$19,2,FALSE)*(1-$D$12)^($F26-'הנחות עבודה'!$C$5)/$D$11)/$D$11)</f>
        <v>0</v>
      </c>
      <c r="AH26" s="44">
        <f ca="1">IF(OR($F26&gt;$D$5,$F26&gt;MAX('הנחות עבודה'!$B$69:$B$89)),0,(VLOOKUP($F26,'התפלגות ייצור וסל דלקים'!$B$64:$BV$84,AH$2-$E$2,FALSE))*$D$9*$D$8*(HLOOKUP(AH$23,$G$18:$R$19,2,FALSE)*(1-$D$12)^($F26-'הנחות עבודה'!$C$5)/$D$11)/$D$11)</f>
        <v>0</v>
      </c>
      <c r="AI26" s="44">
        <f ca="1">IF(OR($F26&gt;$D$5,$F26&gt;MAX('הנחות עבודה'!$B$69:$B$89)),0,(VLOOKUP($F26,'התפלגות ייצור וסל דלקים'!$B$64:$BV$84,AI$2-$E$2,FALSE))*$D$9*$D$8*(HLOOKUP(AI$23,$G$18:$R$19,2,FALSE)*(1-$D$12)^($F26-'הנחות עבודה'!$C$5)/$D$11)/$D$11)</f>
        <v>0</v>
      </c>
      <c r="AJ26" s="44">
        <f ca="1">IF(OR($F26&gt;$D$5,$F26&gt;MAX('הנחות עבודה'!$B$69:$B$89)),0,(VLOOKUP($F26,'התפלגות ייצור וסל דלקים'!$B$64:$BV$84,AJ$2-$E$2,FALSE))*$D$9*$D$8*(HLOOKUP(AJ$23,$G$18:$R$19,2,FALSE)*(1-$D$12)^($F26-'הנחות עבודה'!$C$5)/$D$11)/$D$11)</f>
        <v>0</v>
      </c>
      <c r="AK26" s="42">
        <f ca="1">IF(OR($F26&gt;$D$5,$F26&gt;MAX('הנחות עבודה'!$B$69:$B$89)),0,(VLOOKUP($F26,'התפלגות ייצור וסל דלקים'!$B$64:$BV$84,AK$2-$E$2,FALSE))*$D$9*$D$8*(HLOOKUP(AK$23,$G$18:$R$19,2,FALSE)*(1-$D$12)^($F26-'הנחות עבודה'!$C$5)/$D$11)/$D$11)</f>
        <v>3.0470159999999998E-4</v>
      </c>
      <c r="AL26" s="42">
        <f ca="1">IF(OR($F26&gt;$D$5,$F26&gt;MAX('הנחות עבודה'!$B$69:$B$89)),0,(VLOOKUP($F26,'התפלגות ייצור וסל דלקים'!$B$64:$BV$84,AL$2-$E$2,FALSE))*$D$9*$D$8*(HLOOKUP(AL$23,$G$18:$R$19,2,FALSE)*(1-$D$12)^($F26-'הנחות עבודה'!$C$5)/$D$11)/$D$11)</f>
        <v>8.0342839503999997E-3</v>
      </c>
      <c r="AM26" s="42">
        <f ca="1">IF(OR($F26&gt;$D$5,$F26&gt;MAX('הנחות עבודה'!$B$69:$B$89)),0,(VLOOKUP($F26,'התפלגות ייצור וסל דלקים'!$B$64:$BV$84,AM$2-$E$2,FALSE))*$D$9*$D$8*(HLOOKUP(AM$23,$G$18:$R$19,2,FALSE)*(1-$D$12)^($F26-'הנחות עבודה'!$C$5)/$D$11)/$D$11)</f>
        <v>0</v>
      </c>
      <c r="AN26" s="42">
        <f ca="1">IF(OR($F26&gt;$D$5,$F26&gt;MAX('הנחות עבודה'!$B$69:$B$89)),0,(VLOOKUP($F26,'התפלגות ייצור וסל דלקים'!$B$64:$BV$84,AN$2-$E$2,FALSE))*$D$9*$D$8*(HLOOKUP(AN$23,$G$18:$R$19,2,FALSE)*(1-$D$12)^($F26-'הנחות עבודה'!$C$5)/$D$11)/$D$11)</f>
        <v>0</v>
      </c>
      <c r="AO26" s="42">
        <f ca="1">IF(OR($F26&gt;$D$5,$F26&gt;MAX('הנחות עבודה'!$B$69:$B$89)),0,(VLOOKUP($F26,'התפלגות ייצור וסל דלקים'!$B$64:$BV$84,AO$2-$E$2,FALSE))*$D$9*$D$8*(HLOOKUP(AO$23,$G$18:$R$19,2,FALSE)*(1-$D$12)^($F26-'הנחות עבודה'!$C$5)/$D$11)/$D$11)</f>
        <v>6.2504962674999991E-3</v>
      </c>
      <c r="AP26" s="42">
        <f ca="1">IF(OR($F26&gt;$D$5,$F26&gt;MAX('הנחות עבודה'!$B$69:$B$89)),0,(VLOOKUP($F26,'התפלגות ייצור וסל דלקים'!$B$64:$BV$84,AP$2-$E$2,FALSE))*$D$9*$D$8*(HLOOKUP(AP$23,$G$18:$R$19,2,FALSE)*(1-$D$12)^($F26-'הנחות עבודה'!$C$5)/$D$11)/$D$11)</f>
        <v>0</v>
      </c>
      <c r="AQ26" s="52">
        <f ca="1">IF(OR($F26&gt;$D$5,$F26&gt;MAX('הנחות עבודה'!$B$69:$B$89)),0,(VLOOKUP($F26,'התפלגות ייצור וסל דלקים'!$B$64:$BV$84,AQ$2-$E$2,FALSE))*$D$9*$D$8*(HLOOKUP(AQ$23,$G$18:$R$19,2,FALSE)*(1-$D$12)^($F26-'הנחות עבודה'!$C$5)/$D$11)/$D$11)</f>
        <v>0</v>
      </c>
      <c r="AR26" s="127">
        <f ca="1">IF(OR($F26&gt;$D$5,$F26&gt;MAX('הנחות עבודה'!$B$69:$B$89)),0,(VLOOKUP($F26,'התפלגות ייצור וסל דלקים'!$B$64:$BV$84,AR$2-$E$2,FALSE))*$D$9*$D$8*(HLOOKUP(AR$23,$G$18:$R$19,2,FALSE)*(1-$D$12)^($F26-'הנחות עבודה'!$C$5)/$D$11)/$D$11)</f>
        <v>0</v>
      </c>
      <c r="AS26" s="127">
        <f ca="1">IF(OR($F26&gt;$D$5,$F26&gt;MAX('הנחות עבודה'!$B$69:$B$89)),0,(VLOOKUP($F26,'התפלגות ייצור וסל דלקים'!$B$64:$BV$84,AS$2-$E$2,FALSE))*$D$9*$D$8*(HLOOKUP(AS$23,$G$18:$R$19,2,FALSE)*(1-$D$12)^($F26-'הנחות עבודה'!$C$5)/$D$11)/$D$11)</f>
        <v>0</v>
      </c>
      <c r="AT26" s="127">
        <f ca="1">IF(OR($F26&gt;$D$5,$F26&gt;MAX('הנחות עבודה'!$B$69:$B$89)),0,(VLOOKUP($F26,'התפלגות ייצור וסל דלקים'!$B$64:$BV$84,AT$2-$E$2,FALSE))*$D$9*$D$8*(HLOOKUP(AT$23,$G$18:$R$19,2,FALSE)*(1-$D$12)^($F26-'הנחות עבודה'!$C$5)/$D$11)/$D$11)</f>
        <v>0</v>
      </c>
      <c r="AU26" s="127">
        <f ca="1">IF(OR($F26&gt;$D$5,$F26&gt;MAX('הנחות עבודה'!$B$69:$B$89)),0,(VLOOKUP($F26,'התפלגות ייצור וסל דלקים'!$B$64:$BV$84,AU$2-$E$2,FALSE))*$D$9*$D$8*(HLOOKUP(AU$23,$G$18:$R$19,2,FALSE)*(1-$D$12)^($F26-'הנחות עבודה'!$C$5)/$D$11)/$D$11)</f>
        <v>0</v>
      </c>
      <c r="AV26" s="127">
        <f ca="1">IF(OR($F26&gt;$D$5,$F26&gt;MAX('הנחות עבודה'!$B$69:$B$89)),0,(VLOOKUP($F26,'התפלגות ייצור וסל דלקים'!$B$64:$BV$84,AV$2-$E$2,FALSE))*$D$9*$D$8*(HLOOKUP(AV$23,$G$18:$R$19,2,FALSE)*(1-$D$12)^($F26-'הנחות עבודה'!$C$5)/$D$11)/$D$11)</f>
        <v>0</v>
      </c>
      <c r="AW26" s="52">
        <f ca="1">IF(OR($F26&gt;$D$5,$F26&gt;MAX('הנחות עבודה'!$B$69:$B$89)),0,(VLOOKUP($F26,'התפלגות ייצור וסל דלקים'!$B$64:$BV$84,AW$2-$E$2,FALSE))*$D$9*$D$8*(HLOOKUP(AW$23,$G$18:$R$19,2,FALSE)*(1-$D$12)^($F26-'הנחות עבודה'!$C$5)/$D$11)/$D$11)</f>
        <v>3.0470159999999998E-4</v>
      </c>
      <c r="AX26" s="52">
        <f ca="1">IF(OR($F26&gt;$D$5,$F26&gt;MAX('הנחות עבודה'!$B$69:$B$89)),0,(VLOOKUP($F26,'התפלגות ייצור וסל דלקים'!$B$64:$BV$84,AX$2-$E$2,FALSE))*$D$9*$D$8*(HLOOKUP(AX$23,$G$18:$R$19,2,FALSE)*(1-$D$12)^($F26-'הנחות עבודה'!$C$5)/$D$11)/$D$11)</f>
        <v>8.0342839503999997E-3</v>
      </c>
      <c r="AY26" s="52">
        <f ca="1">IF(OR($F26&gt;$D$5,$F26&gt;MAX('הנחות עבודה'!$B$69:$B$89)),0,(VLOOKUP($F26,'התפלגות ייצור וסל דלקים'!$B$64:$BV$84,AY$2-$E$2,FALSE))*$D$9*$D$8*(HLOOKUP(AY$23,$G$18:$R$19,2,FALSE)*(1-$D$12)^($F26-'הנחות עבודה'!$C$5)/$D$11)/$D$11)</f>
        <v>0</v>
      </c>
      <c r="AZ26" s="52">
        <f ca="1">IF(OR($F26&gt;$D$5,$F26&gt;MAX('הנחות עבודה'!$B$69:$B$89)),0,(VLOOKUP($F26,'התפלגות ייצור וסל דלקים'!$B$64:$BV$84,AZ$2-$E$2,FALSE))*$D$9*$D$8*(HLOOKUP(AZ$23,$G$18:$R$19,2,FALSE)*(1-$D$12)^($F26-'הנחות עבודה'!$C$5)/$D$11)/$D$11)</f>
        <v>0</v>
      </c>
      <c r="BA26" s="52">
        <f ca="1">IF(OR($F26&gt;$D$5,$F26&gt;MAX('הנחות עבודה'!$B$69:$B$89)),0,(VLOOKUP($F26,'התפלגות ייצור וסל דלקים'!$B$64:$BV$84,BA$2-$E$2,FALSE))*$D$9*$D$8*(HLOOKUP(BA$23,$G$18:$R$19,2,FALSE)*(1-$D$12)^($F26-'הנחות עבודה'!$C$5)/$D$11)/$D$11)</f>
        <v>6.2504962674999991E-3</v>
      </c>
      <c r="BB26" s="52">
        <f ca="1">IF(OR($F26&gt;$D$5,$F26&gt;MAX('הנחות עבודה'!$B$69:$B$89)),0,(VLOOKUP($F26,'התפלגות ייצור וסל דלקים'!$B$64:$BV$84,BB$2-$E$2,FALSE))*$D$9*$D$8*(HLOOKUP(BB$23,$G$18:$R$19,2,FALSE)*(1-$D$12)^($F26-'הנחות עבודה'!$C$5)/$D$11)/$D$11)</f>
        <v>0</v>
      </c>
      <c r="BC26" s="42">
        <f ca="1">IF(OR($F26&gt;$D$5,$F26&gt;MAX('הנחות עבודה'!$B$69:$B$89)),0,(VLOOKUP($F26,'התפלגות ייצור וסל דלקים'!$B$64:$BV$84,BC$2-$E$2,FALSE))*$D$9*$D$8*(HLOOKUP(BC$23,$G$18:$R$19,2,FALSE)*(1-$D$12)^($F26-'הנחות עבודה'!$C$5)/$D$11)/$D$11)</f>
        <v>0</v>
      </c>
      <c r="BD26" s="44">
        <f ca="1">IF(OR($F26&gt;$D$5,$F26&gt;MAX('הנחות עבודה'!$B$69:$B$89)),0,(VLOOKUP($F26,'התפלגות ייצור וסל דלקים'!$B$64:$BV$84,BD$2-$E$2,FALSE))*$D$9*$D$8*(HLOOKUP(BD$23,$G$18:$R$19,2,FALSE)*(1-$D$12)^($F26-'הנחות עבודה'!$C$5)/$D$11)/$D$11)</f>
        <v>0</v>
      </c>
      <c r="BE26" s="44">
        <f ca="1">IF(OR($F26&gt;$D$5,$F26&gt;MAX('הנחות עבודה'!$B$69:$B$89)),0,(VLOOKUP($F26,'התפלגות ייצור וסל דלקים'!$B$64:$BV$84,BE$2-$E$2,FALSE))*$D$9*$D$8*(HLOOKUP(BE$23,$G$18:$R$19,2,FALSE)*(1-$D$12)^($F26-'הנחות עבודה'!$C$5)/$D$11)/$D$11)</f>
        <v>0</v>
      </c>
      <c r="BF26" s="44">
        <f ca="1">IF(OR($F26&gt;$D$5,$F26&gt;MAX('הנחות עבודה'!$B$69:$B$89)),0,(VLOOKUP($F26,'התפלגות ייצור וסל דלקים'!$B$64:$BV$84,BF$2-$E$2,FALSE))*$D$9*$D$8*(HLOOKUP(BF$23,$G$18:$R$19,2,FALSE)*(1-$D$12)^($F26-'הנחות עבודה'!$C$5)/$D$11)/$D$11)</f>
        <v>0</v>
      </c>
      <c r="BG26" s="44">
        <f ca="1">IF(OR($F26&gt;$D$5,$F26&gt;MAX('הנחות עבודה'!$B$69:$B$89)),0,(VLOOKUP($F26,'התפלגות ייצור וסל דלקים'!$B$64:$BV$84,BG$2-$E$2,FALSE))*$D$9*$D$8*(HLOOKUP(BG$23,$G$18:$R$19,2,FALSE)*(1-$D$12)^($F26-'הנחות עבודה'!$C$5)/$D$11)/$D$11)</f>
        <v>0</v>
      </c>
      <c r="BH26" s="44">
        <f ca="1">IF(OR($F26&gt;$D$5,$F26&gt;MAX('הנחות עבודה'!$B$69:$B$89)),0,(VLOOKUP($F26,'התפלגות ייצור וסל דלקים'!$B$64:$BV$84,BH$2-$E$2,FALSE))*$D$9*$D$8*(HLOOKUP(BH$23,$G$18:$R$19,2,FALSE)*(1-$D$12)^($F26-'הנחות עבודה'!$C$5)/$D$11)/$D$11)</f>
        <v>0</v>
      </c>
      <c r="BI26" s="42">
        <f ca="1">IF(OR($F26&gt;$D$5,$F26&gt;MAX('הנחות עבודה'!$B$69:$B$89)),0,(VLOOKUP($F26,'התפלגות ייצור וסל דלקים'!$B$64:$BV$84,BI$2-$E$2,FALSE))*$D$9*$D$8*(HLOOKUP(BI$23,$G$18:$R$19,2,FALSE)*(1-$D$12)^($F26-'הנחות עבודה'!$C$5)/$D$11)/$D$11)</f>
        <v>3.0162959999999997E-4</v>
      </c>
      <c r="BJ26" s="42">
        <f ca="1">IF(OR($F26&gt;$D$5,$F26&gt;MAX('הנחות עבודה'!$B$69:$B$89)),0,(VLOOKUP($F26,'התפלגות ייצור וסל דלקים'!$B$64:$BV$84,BJ$2-$E$2,FALSE))*$D$9*$D$8*(HLOOKUP(BJ$23,$G$18:$R$19,2,FALSE)*(1-$D$12)^($F26-'הנחות עבודה'!$C$5)/$D$11)/$D$11)</f>
        <v>7.9162170911999986E-3</v>
      </c>
      <c r="BK26" s="42">
        <f ca="1">IF(OR($F26&gt;$D$5,$F26&gt;MAX('הנחות עבודה'!$B$69:$B$89)),0,(VLOOKUP($F26,'התפלגות ייצור וסל דלקים'!$B$64:$BV$84,BK$2-$E$2,FALSE))*$D$9*$D$8*(HLOOKUP(BK$23,$G$18:$R$19,2,FALSE)*(1-$D$12)^($F26-'הנחות עבודה'!$C$5)/$D$11)/$D$11)</f>
        <v>0</v>
      </c>
      <c r="BL26" s="42">
        <f ca="1">IF(OR($F26&gt;$D$5,$F26&gt;MAX('הנחות עבודה'!$B$69:$B$89)),0,(VLOOKUP($F26,'התפלגות ייצור וסל דלקים'!$B$64:$BV$84,BL$2-$E$2,FALSE))*$D$9*$D$8*(HLOOKUP(BL$23,$G$18:$R$19,2,FALSE)*(1-$D$12)^($F26-'הנחות עבודה'!$C$5)/$D$11)/$D$11)</f>
        <v>0</v>
      </c>
      <c r="BM26" s="42">
        <f ca="1">IF(OR($F26&gt;$D$5,$F26&gt;MAX('הנחות עבודה'!$B$69:$B$89)),0,(VLOOKUP($F26,'התפלגות ייצור וסל דלקים'!$B$64:$BV$84,BM$2-$E$2,FALSE))*$D$9*$D$8*(HLOOKUP(BM$23,$G$18:$R$19,2,FALSE)*(1-$D$12)^($F26-'הנחות עבודה'!$C$5)/$D$11)/$D$11)</f>
        <v>6.2502648174999993E-3</v>
      </c>
      <c r="BN26" s="42">
        <f ca="1">IF(OR($F26&gt;$D$5,$F26&gt;MAX('הנחות עבודה'!$B$69:$B$89)),0,(VLOOKUP($F26,'התפלגות ייצור וסל דלקים'!$B$64:$BV$84,BN$2-$E$2,FALSE))*$D$9*$D$8*(HLOOKUP(BN$23,$G$18:$R$19,2,FALSE)*(1-$D$12)^($F26-'הנחות עבודה'!$C$5)/$D$11)/$D$11)</f>
        <v>0</v>
      </c>
      <c r="BO26" s="52">
        <f ca="1">IF(OR($F26&gt;$D$5,$F26&gt;MAX('הנחות עבודה'!$B$69:$B$89)),0,(VLOOKUP($F26,'התפלגות ייצור וסל דלקים'!$B$64:$BV$84,BO$2-$E$2,FALSE))*$D$9*$D$8*(HLOOKUP(BO$23,$G$18:$R$19,2,FALSE)*(1-$D$12)^($F26-'הנחות עבודה'!$C$5)/$D$11)/$D$11)</f>
        <v>0</v>
      </c>
      <c r="BP26" s="127">
        <f ca="1">IF(OR($F26&gt;$D$5,$F26&gt;MAX('הנחות עבודה'!$B$69:$B$89)),0,(VLOOKUP($F26,'התפלגות ייצור וסל דלקים'!$B$64:$BV$84,BP$2-$E$2,FALSE))*$D$9*$D$8*(HLOOKUP(BP$23,$G$18:$R$19,2,FALSE)*(1-$D$12)^($F26-'הנחות עבודה'!$C$5)/$D$11)/$D$11)</f>
        <v>0</v>
      </c>
      <c r="BQ26" s="127">
        <f ca="1">IF(OR($F26&gt;$D$5,$F26&gt;MAX('הנחות עבודה'!$B$69:$B$89)),0,(VLOOKUP($F26,'התפלגות ייצור וסל דלקים'!$B$64:$BV$84,BQ$2-$E$2,FALSE))*$D$9*$D$8*(HLOOKUP(BQ$23,$G$18:$R$19,2,FALSE)*(1-$D$12)^($F26-'הנחות עבודה'!$C$5)/$D$11)/$D$11)</f>
        <v>0</v>
      </c>
      <c r="BR26" s="127">
        <f ca="1">IF(OR($F26&gt;$D$5,$F26&gt;MAX('הנחות עבודה'!$B$69:$B$89)),0,(VLOOKUP($F26,'התפלגות ייצור וסל דלקים'!$B$64:$BV$84,BR$2-$E$2,FALSE))*$D$9*$D$8*(HLOOKUP(BR$23,$G$18:$R$19,2,FALSE)*(1-$D$12)^($F26-'הנחות עבודה'!$C$5)/$D$11)/$D$11)</f>
        <v>0</v>
      </c>
      <c r="BS26" s="127">
        <f ca="1">IF(OR($F26&gt;$D$5,$F26&gt;MAX('הנחות עבודה'!$B$69:$B$89)),0,(VLOOKUP($F26,'התפלגות ייצור וסל דלקים'!$B$64:$BV$84,BS$2-$E$2,FALSE))*$D$9*$D$8*(HLOOKUP(BS$23,$G$18:$R$19,2,FALSE)*(1-$D$12)^($F26-'הנחות עבודה'!$C$5)/$D$11)/$D$11)</f>
        <v>0</v>
      </c>
      <c r="BT26" s="127">
        <f ca="1">IF(OR($F26&gt;$D$5,$F26&gt;MAX('הנחות עבודה'!$B$69:$B$89)),0,(VLOOKUP($F26,'התפלגות ייצור וסל דלקים'!$B$64:$BV$84,BT$2-$E$2,FALSE))*$D$9*$D$8*(HLOOKUP(BT$23,$G$18:$R$19,2,FALSE)*(1-$D$12)^($F26-'הנחות עבודה'!$C$5)/$D$11)/$D$11)</f>
        <v>0</v>
      </c>
      <c r="BU26" s="52">
        <f ca="1">IF(OR($F26&gt;$D$5,$F26&gt;MAX('הנחות עבודה'!$B$69:$B$89)),0,(VLOOKUP($F26,'התפלגות ייצור וסל דלקים'!$B$64:$BV$84,BU$2-$E$2,FALSE))*$D$9*$D$8*(HLOOKUP(BU$23,$G$18:$R$19,2,FALSE)*(1-$D$12)^($F26-'הנחות עבודה'!$C$5)/$D$11)/$D$11)</f>
        <v>3.0162959999999997E-4</v>
      </c>
      <c r="BV26" s="52">
        <f ca="1">IF(OR($F26&gt;$D$5,$F26&gt;MAX('הנחות עבודה'!$B$69:$B$89)),0,(VLOOKUP($F26,'התפלגות ייצור וסל דלקים'!$B$64:$BV$84,BV$2-$E$2,FALSE))*$D$9*$D$8*(HLOOKUP(BV$23,$G$18:$R$19,2,FALSE)*(1-$D$12)^($F26-'הנחות עבודה'!$C$5)/$D$11)/$D$11)</f>
        <v>7.9162170911999986E-3</v>
      </c>
      <c r="BW26" s="52">
        <f ca="1">IF(OR($F26&gt;$D$5,$F26&gt;MAX('הנחות עבודה'!$B$69:$B$89)),0,(VLOOKUP($F26,'התפלגות ייצור וסל דלקים'!$B$64:$BV$84,BW$2-$E$2,FALSE))*$D$9*$D$8*(HLOOKUP(BW$23,$G$18:$R$19,2,FALSE)*(1-$D$12)^($F26-'הנחות עבודה'!$C$5)/$D$11)/$D$11)</f>
        <v>0</v>
      </c>
      <c r="BX26" s="52">
        <f ca="1">IF(OR($F26&gt;$D$5,$F26&gt;MAX('הנחות עבודה'!$B$69:$B$89)),0,(VLOOKUP($F26,'התפלגות ייצור וסל דלקים'!$B$64:$BV$84,BX$2-$E$2,FALSE))*$D$9*$D$8*(HLOOKUP(BX$23,$G$18:$R$19,2,FALSE)*(1-$D$12)^($F26-'הנחות עבודה'!$C$5)/$D$11)/$D$11)</f>
        <v>0</v>
      </c>
      <c r="BY26" s="52">
        <f ca="1">IF(OR($F26&gt;$D$5,$F26&gt;MAX('הנחות עבודה'!$B$69:$B$89)),0,(VLOOKUP($F26,'התפלגות ייצור וסל דלקים'!$B$64:$BV$84,BY$2-$E$2,FALSE))*$D$9*$D$8*(HLOOKUP(BY$23,$G$18:$R$19,2,FALSE)*(1-$D$12)^($F26-'הנחות עבודה'!$C$5)/$D$11)/$D$11)</f>
        <v>6.2502648174999993E-3</v>
      </c>
      <c r="BZ26" s="52">
        <f ca="1">IF(OR($F26&gt;$D$5,$F26&gt;MAX('הנחות עבודה'!$B$69:$B$89)),0,(VLOOKUP($F26,'התפלגות ייצור וסל דלקים'!$B$64:$BV$84,BZ$2-$E$2,FALSE))*$D$9*$D$8*(HLOOKUP(BZ$23,$G$18:$R$19,2,FALSE)*(1-$D$12)^($F26-'הנחות עבודה'!$C$5)/$D$11)/$D$11)</f>
        <v>0</v>
      </c>
    </row>
    <row r="27" spans="6:78" ht="15.75">
      <c r="F27" s="10">
        <f t="shared" si="110"/>
        <v>2023</v>
      </c>
      <c r="G27" s="42">
        <f ca="1">IF(OR($F27&gt;$D$5,$F27&gt;MAX('הנחות עבודה'!$B$69:$B$89)),0,(VLOOKUP($F27,'התפלגות ייצור וסל דלקים'!$B$64:$BV$84,G$2-$E$2,FALSE))*$D$9*$D$8*(HLOOKUP(G$23,$G$18:$R$19,2,FALSE)*(1-$D$12)^($F27-'הנחות עבודה'!$C$5)/$D$11)/$D$11)</f>
        <v>0</v>
      </c>
      <c r="H27" s="44">
        <f ca="1">IF(OR($F27&gt;$D$5,$F27&gt;MAX('הנחות עבודה'!$B$69:$B$89)),0,(VLOOKUP($F27,'התפלגות ייצור וסל דלקים'!$B$64:$BV$84,H$2-$E$2,FALSE))*$D$9*$D$8*(HLOOKUP(H$23,$G$18:$R$19,2,FALSE)*(1-$D$12)^($F27-'הנחות עבודה'!$C$5)/$D$11)/$D$11)</f>
        <v>0</v>
      </c>
      <c r="I27" s="44">
        <f ca="1">IF(OR($F27&gt;$D$5,$F27&gt;MAX('הנחות עבודה'!$B$69:$B$89)),0,(VLOOKUP($F27,'התפלגות ייצור וסל דלקים'!$B$64:$BV$84,I$2-$E$2,FALSE))*$D$9*$D$8*(HLOOKUP(I$23,$G$18:$R$19,2,FALSE)*(1-$D$12)^($F27-'הנחות עבודה'!$C$5)/$D$11)/$D$11)</f>
        <v>0</v>
      </c>
      <c r="J27" s="44">
        <f ca="1">IF(OR($F27&gt;$D$5,$F27&gt;MAX('הנחות עבודה'!$B$69:$B$89)),0,(VLOOKUP($F27,'התפלגות ייצור וסל דלקים'!$B$64:$BV$84,J$2-$E$2,FALSE))*$D$9*$D$8*(HLOOKUP(J$23,$G$18:$R$19,2,FALSE)*(1-$D$12)^($F27-'הנחות עבודה'!$C$5)/$D$11)/$D$11)</f>
        <v>0</v>
      </c>
      <c r="K27" s="44">
        <f ca="1">IF(OR($F27&gt;$D$5,$F27&gt;MAX('הנחות עבודה'!$B$69:$B$89)),0,(VLOOKUP($F27,'התפלגות ייצור וסל דלקים'!$B$64:$BV$84,K$2-$E$2,FALSE))*$D$9*$D$8*(HLOOKUP(K$23,$G$18:$R$19,2,FALSE)*(1-$D$12)^($F27-'הנחות עבודה'!$C$5)/$D$11)/$D$11)</f>
        <v>0</v>
      </c>
      <c r="L27" s="44">
        <f ca="1">IF(OR($F27&gt;$D$5,$F27&gt;MAX('הנחות עבודה'!$B$69:$B$89)),0,(VLOOKUP($F27,'התפלגות ייצור וסל דלקים'!$B$64:$BV$84,L$2-$E$2,FALSE))*$D$9*$D$8*(HLOOKUP(L$23,$G$18:$R$19,2,FALSE)*(1-$D$12)^($F27-'הנחות עבודה'!$C$5)/$D$11)/$D$11)</f>
        <v>0</v>
      </c>
      <c r="M27" s="42">
        <f ca="1">IF(OR($F27&gt;$D$5,$F27&gt;MAX('הנחות עבודה'!$B$69:$B$89)),0,(VLOOKUP($F27,'התפלגות ייצור וסל דלקים'!$B$64:$BV$84,M$2-$E$2,FALSE))*$D$9*$D$8*(HLOOKUP(M$23,$G$18:$R$19,2,FALSE)*(1-$D$12)^($F27-'הנחות עבודה'!$C$5)/$D$11)/$D$11)</f>
        <v>4.8116399999999985E-4</v>
      </c>
      <c r="N27" s="42">
        <f ca="1">IF(OR($F27&gt;$D$5,$F27&gt;MAX('הנחות עבודה'!$B$69:$B$89)),0,(VLOOKUP($F27,'התפלגות ייצור וסל דלקים'!$B$64:$BV$84,N$2-$E$2,FALSE))*$D$9*$D$8*(HLOOKUP(N$23,$G$18:$R$19,2,FALSE)*(1-$D$12)^($F27-'הנחות עבודה'!$C$5)/$D$11)/$D$11)</f>
        <v>9.1608128355199995E-3</v>
      </c>
      <c r="O27" s="42">
        <f ca="1">IF(OR($F27&gt;$D$5,$F27&gt;MAX('הנחות עבודה'!$B$69:$B$89)),0,(VLOOKUP($F27,'התפלגות ייצור וסל דלקים'!$B$64:$BV$84,O$2-$E$2,FALSE))*$D$9*$D$8*(HLOOKUP(O$23,$G$18:$R$19,2,FALSE)*(1-$D$12)^($F27-'הנחות עבודה'!$C$5)/$D$11)/$D$11)</f>
        <v>0</v>
      </c>
      <c r="P27" s="42">
        <f ca="1">IF(OR($F27&gt;$D$5,$F27&gt;MAX('הנחות עבודה'!$B$69:$B$89)),0,(VLOOKUP($F27,'התפלגות ייצור וסל דלקים'!$B$64:$BV$84,P$2-$E$2,FALSE))*$D$9*$D$8*(HLOOKUP(P$23,$G$18:$R$19,2,FALSE)*(1-$D$12)^($F27-'הנחות עבודה'!$C$5)/$D$11)/$D$11)</f>
        <v>0</v>
      </c>
      <c r="Q27" s="42">
        <f ca="1">IF(OR($F27&gt;$D$5,$F27&gt;MAX('הנחות עבודה'!$B$69:$B$89)),0,(VLOOKUP($F27,'התפלגות ייצור וסל דלקים'!$B$64:$BV$84,Q$2-$E$2,FALSE))*$D$9*$D$8*(HLOOKUP(Q$23,$G$18:$R$19,2,FALSE)*(1-$D$12)^($F27-'הנחות עבודה'!$C$5)/$D$11)/$D$11)</f>
        <v>4.3438304549999994E-3</v>
      </c>
      <c r="R27" s="42">
        <f ca="1">IF(OR($F27&gt;$D$5,$F27&gt;MAX('הנחות עבודה'!$B$69:$B$89)),0,(VLOOKUP($F27,'התפלגות ייצור וסל דלקים'!$B$64:$BV$84,R$2-$E$2,FALSE))*$D$9*$D$8*(HLOOKUP(R$23,$G$18:$R$19,2,FALSE)*(1-$D$12)^($F27-'הנחות עבודה'!$C$5)/$D$11)/$D$11)</f>
        <v>0</v>
      </c>
      <c r="S27" s="52">
        <f ca="1">IF(OR($F27&gt;$D$5,$F27&gt;MAX('הנחות עבודה'!$B$69:$B$89)),0,(VLOOKUP($F27,'התפלגות ייצור וסל דלקים'!$B$64:$BV$84,S$2-$E$2,FALSE))*$D$9*$D$8*(HLOOKUP(S$23,$G$18:$R$19,2,FALSE)*(1-$D$12)^($F27-'הנחות עבודה'!$C$5)/$D$11)/$D$11)</f>
        <v>0</v>
      </c>
      <c r="T27" s="127">
        <f ca="1">IF(OR($F27&gt;$D$5,$F27&gt;MAX('הנחות עבודה'!$B$69:$B$89)),0,(VLOOKUP($F27,'התפלגות ייצור וסל דלקים'!$B$64:$BV$84,T$2-$E$2,FALSE))*$D$9*$D$8*(HLOOKUP(T$23,$G$18:$R$19,2,FALSE)*(1-$D$12)^($F27-'הנחות עבודה'!$C$5)/$D$11)/$D$11)</f>
        <v>0</v>
      </c>
      <c r="U27" s="127">
        <f ca="1">IF(OR($F27&gt;$D$5,$F27&gt;MAX('הנחות עבודה'!$B$69:$B$89)),0,(VLOOKUP($F27,'התפלגות ייצור וסל דלקים'!$B$64:$BV$84,U$2-$E$2,FALSE))*$D$9*$D$8*(HLOOKUP(U$23,$G$18:$R$19,2,FALSE)*(1-$D$12)^($F27-'הנחות עבודה'!$C$5)/$D$11)/$D$11)</f>
        <v>0</v>
      </c>
      <c r="V27" s="127">
        <f ca="1">IF(OR($F27&gt;$D$5,$F27&gt;MAX('הנחות עבודה'!$B$69:$B$89)),0,(VLOOKUP($F27,'התפלגות ייצור וסל דלקים'!$B$64:$BV$84,V$2-$E$2,FALSE))*$D$9*$D$8*(HLOOKUP(V$23,$G$18:$R$19,2,FALSE)*(1-$D$12)^($F27-'הנחות עבודה'!$C$5)/$D$11)/$D$11)</f>
        <v>0</v>
      </c>
      <c r="W27" s="127">
        <f ca="1">IF(OR($F27&gt;$D$5,$F27&gt;MAX('הנחות עבודה'!$B$69:$B$89)),0,(VLOOKUP($F27,'התפלגות ייצור וסל דלקים'!$B$64:$BV$84,W$2-$E$2,FALSE))*$D$9*$D$8*(HLOOKUP(W$23,$G$18:$R$19,2,FALSE)*(1-$D$12)^($F27-'הנחות עבודה'!$C$5)/$D$11)/$D$11)</f>
        <v>0</v>
      </c>
      <c r="X27" s="127">
        <f ca="1">IF(OR($F27&gt;$D$5,$F27&gt;MAX('הנחות עבודה'!$B$69:$B$89)),0,(VLOOKUP($F27,'התפלגות ייצור וסל דלקים'!$B$64:$BV$84,X$2-$E$2,FALSE))*$D$9*$D$8*(HLOOKUP(X$23,$G$18:$R$19,2,FALSE)*(1-$D$12)^($F27-'הנחות עבודה'!$C$5)/$D$11)/$D$11)</f>
        <v>0</v>
      </c>
      <c r="Y27" s="52">
        <f ca="1">IF(OR($F27&gt;$D$5,$F27&gt;MAX('הנחות עבודה'!$B$69:$B$89)),0,(VLOOKUP($F27,'התפלגות ייצור וסל דלקים'!$B$64:$BV$84,Y$2-$E$2,FALSE))*$D$9*$D$8*(HLOOKUP(Y$23,$G$18:$R$19,2,FALSE)*(1-$D$12)^($F27-'הנחות עבודה'!$C$5)/$D$11)/$D$11)</f>
        <v>4.8116399999999985E-4</v>
      </c>
      <c r="Z27" s="52">
        <f ca="1">IF(OR($F27&gt;$D$5,$F27&gt;MAX('הנחות עבודה'!$B$69:$B$89)),0,(VLOOKUP($F27,'התפלגות ייצור וסל דלקים'!$B$64:$BV$84,Z$2-$E$2,FALSE))*$D$9*$D$8*(HLOOKUP(Z$23,$G$18:$R$19,2,FALSE)*(1-$D$12)^($F27-'הנחות עבודה'!$C$5)/$D$11)/$D$11)</f>
        <v>9.1608128355199995E-3</v>
      </c>
      <c r="AA27" s="52">
        <f ca="1">IF(OR($F27&gt;$D$5,$F27&gt;MAX('הנחות עבודה'!$B$69:$B$89)),0,(VLOOKUP($F27,'התפלגות ייצור וסל דלקים'!$B$64:$BV$84,AA$2-$E$2,FALSE))*$D$9*$D$8*(HLOOKUP(AA$23,$G$18:$R$19,2,FALSE)*(1-$D$12)^($F27-'הנחות עבודה'!$C$5)/$D$11)/$D$11)</f>
        <v>0</v>
      </c>
      <c r="AB27" s="52">
        <f ca="1">IF(OR($F27&gt;$D$5,$F27&gt;MAX('הנחות עבודה'!$B$69:$B$89)),0,(VLOOKUP($F27,'התפלגות ייצור וסל דלקים'!$B$64:$BV$84,AB$2-$E$2,FALSE))*$D$9*$D$8*(HLOOKUP(AB$23,$G$18:$R$19,2,FALSE)*(1-$D$12)^($F27-'הנחות עבודה'!$C$5)/$D$11)/$D$11)</f>
        <v>0</v>
      </c>
      <c r="AC27" s="52">
        <f ca="1">IF(OR($F27&gt;$D$5,$F27&gt;MAX('הנחות עבודה'!$B$69:$B$89)),0,(VLOOKUP($F27,'התפלגות ייצור וסל דלקים'!$B$64:$BV$84,AC$2-$E$2,FALSE))*$D$9*$D$8*(HLOOKUP(AC$23,$G$18:$R$19,2,FALSE)*(1-$D$12)^($F27-'הנחות עבודה'!$C$5)/$D$11)/$D$11)</f>
        <v>4.3438304549999994E-3</v>
      </c>
      <c r="AD27" s="52">
        <f ca="1">IF(OR($F27&gt;$D$5,$F27&gt;MAX('הנחות עבודה'!$B$69:$B$89)),0,(VLOOKUP($F27,'התפלגות ייצור וסל דלקים'!$B$64:$BV$84,AD$2-$E$2,FALSE))*$D$9*$D$8*(HLOOKUP(AD$23,$G$18:$R$19,2,FALSE)*(1-$D$12)^($F27-'הנחות עבודה'!$C$5)/$D$11)/$D$11)</f>
        <v>0</v>
      </c>
      <c r="AE27" s="42">
        <f ca="1">IF(OR($F27&gt;$D$5,$F27&gt;MAX('הנחות עבודה'!$B$69:$B$89)),0,(VLOOKUP($F27,'התפלגות ייצור וסל דלקים'!$B$64:$BV$84,AE$2-$E$2,FALSE))*$D$9*$D$8*(HLOOKUP(AE$23,$G$18:$R$19,2,FALSE)*(1-$D$12)^($F27-'הנחות עבודה'!$C$5)/$D$11)/$D$11)</f>
        <v>0</v>
      </c>
      <c r="AF27" s="44">
        <f ca="1">IF(OR($F27&gt;$D$5,$F27&gt;MAX('הנחות עבודה'!$B$69:$B$89)),0,(VLOOKUP($F27,'התפלגות ייצור וסל דלקים'!$B$64:$BV$84,AF$2-$E$2,FALSE))*$D$9*$D$8*(HLOOKUP(AF$23,$G$18:$R$19,2,FALSE)*(1-$D$12)^($F27-'הנחות עבודה'!$C$5)/$D$11)/$D$11)</f>
        <v>0</v>
      </c>
      <c r="AG27" s="44">
        <f ca="1">IF(OR($F27&gt;$D$5,$F27&gt;MAX('הנחות עבודה'!$B$69:$B$89)),0,(VLOOKUP($F27,'התפלגות ייצור וסל דלקים'!$B$64:$BV$84,AG$2-$E$2,FALSE))*$D$9*$D$8*(HLOOKUP(AG$23,$G$18:$R$19,2,FALSE)*(1-$D$12)^($F27-'הנחות עבודה'!$C$5)/$D$11)/$D$11)</f>
        <v>0</v>
      </c>
      <c r="AH27" s="44">
        <f ca="1">IF(OR($F27&gt;$D$5,$F27&gt;MAX('הנחות עבודה'!$B$69:$B$89)),0,(VLOOKUP($F27,'התפלגות ייצור וסל דלקים'!$B$64:$BV$84,AH$2-$E$2,FALSE))*$D$9*$D$8*(HLOOKUP(AH$23,$G$18:$R$19,2,FALSE)*(1-$D$12)^($F27-'הנחות עבודה'!$C$5)/$D$11)/$D$11)</f>
        <v>0</v>
      </c>
      <c r="AI27" s="44">
        <f ca="1">IF(OR($F27&gt;$D$5,$F27&gt;MAX('הנחות עבודה'!$B$69:$B$89)),0,(VLOOKUP($F27,'התפלגות ייצור וסל דלקים'!$B$64:$BV$84,AI$2-$E$2,FALSE))*$D$9*$D$8*(HLOOKUP(AI$23,$G$18:$R$19,2,FALSE)*(1-$D$12)^($F27-'הנחות עבודה'!$C$5)/$D$11)/$D$11)</f>
        <v>0</v>
      </c>
      <c r="AJ27" s="44">
        <f ca="1">IF(OR($F27&gt;$D$5,$F27&gt;MAX('הנחות עבודה'!$B$69:$B$89)),0,(VLOOKUP($F27,'התפלגות ייצור וסל דלקים'!$B$64:$BV$84,AJ$2-$E$2,FALSE))*$D$9*$D$8*(HLOOKUP(AJ$23,$G$18:$R$19,2,FALSE)*(1-$D$12)^($F27-'הנחות עבודה'!$C$5)/$D$11)/$D$11)</f>
        <v>0</v>
      </c>
      <c r="AK27" s="42">
        <f ca="1">IF(OR($F27&gt;$D$5,$F27&gt;MAX('הנחות עבודה'!$B$69:$B$89)),0,(VLOOKUP($F27,'התפלגות ייצור וסל דלקים'!$B$64:$BV$84,AK$2-$E$2,FALSE))*$D$9*$D$8*(HLOOKUP(AK$23,$G$18:$R$19,2,FALSE)*(1-$D$12)^($F27-'הנחות עבודה'!$C$5)/$D$11)/$D$11)</f>
        <v>4.6973279999999994E-4</v>
      </c>
      <c r="AL27" s="42">
        <f ca="1">IF(OR($F27&gt;$D$5,$F27&gt;MAX('הנחות עבודה'!$B$69:$B$89)),0,(VLOOKUP($F27,'התפלגות ייצור וסל דלקים'!$B$64:$BV$84,AL$2-$E$2,FALSE))*$D$9*$D$8*(HLOOKUP(AL$23,$G$18:$R$19,2,FALSE)*(1-$D$12)^($F27-'הנחות עבודה'!$C$5)/$D$11)/$D$11)</f>
        <v>8.8219199527999996E-3</v>
      </c>
      <c r="AM27" s="42">
        <f ca="1">IF(OR($F27&gt;$D$5,$F27&gt;MAX('הנחות עבודה'!$B$69:$B$89)),0,(VLOOKUP($F27,'התפלגות ייצור וסל דלקים'!$B$64:$BV$84,AM$2-$E$2,FALSE))*$D$9*$D$8*(HLOOKUP(AM$23,$G$18:$R$19,2,FALSE)*(1-$D$12)^($F27-'הנחות עבודה'!$C$5)/$D$11)/$D$11)</f>
        <v>0</v>
      </c>
      <c r="AN27" s="42">
        <f ca="1">IF(OR($F27&gt;$D$5,$F27&gt;MAX('הנחות עבודה'!$B$69:$B$89)),0,(VLOOKUP($F27,'התפלגות ייצור וסל דלקים'!$B$64:$BV$84,AN$2-$E$2,FALSE))*$D$9*$D$8*(HLOOKUP(AN$23,$G$18:$R$19,2,FALSE)*(1-$D$12)^($F27-'הנחות עבודה'!$C$5)/$D$11)/$D$11)</f>
        <v>0</v>
      </c>
      <c r="AO27" s="42">
        <f ca="1">IF(OR($F27&gt;$D$5,$F27&gt;MAX('הנחות עבודה'!$B$69:$B$89)),0,(VLOOKUP($F27,'התפלגות ייצור וסל דלקים'!$B$64:$BV$84,AO$2-$E$2,FALSE))*$D$9*$D$8*(HLOOKUP(AO$23,$G$18:$R$19,2,FALSE)*(1-$D$12)^($F27-'הנחות עבודה'!$C$5)/$D$11)/$D$11)</f>
        <v>4.3423723199999993E-3</v>
      </c>
      <c r="AP27" s="42">
        <f ca="1">IF(OR($F27&gt;$D$5,$F27&gt;MAX('הנחות עבודה'!$B$69:$B$89)),0,(VLOOKUP($F27,'התפלגות ייצור וסל דלקים'!$B$64:$BV$84,AP$2-$E$2,FALSE))*$D$9*$D$8*(HLOOKUP(AP$23,$G$18:$R$19,2,FALSE)*(1-$D$12)^($F27-'הנחות עבודה'!$C$5)/$D$11)/$D$11)</f>
        <v>0</v>
      </c>
      <c r="AQ27" s="52">
        <f ca="1">IF(OR($F27&gt;$D$5,$F27&gt;MAX('הנחות עבודה'!$B$69:$B$89)),0,(VLOOKUP($F27,'התפלגות ייצור וסל דלקים'!$B$64:$BV$84,AQ$2-$E$2,FALSE))*$D$9*$D$8*(HLOOKUP(AQ$23,$G$18:$R$19,2,FALSE)*(1-$D$12)^($F27-'הנחות עבודה'!$C$5)/$D$11)/$D$11)</f>
        <v>0</v>
      </c>
      <c r="AR27" s="127">
        <f ca="1">IF(OR($F27&gt;$D$5,$F27&gt;MAX('הנחות עבודה'!$B$69:$B$89)),0,(VLOOKUP($F27,'התפלגות ייצור וסל דלקים'!$B$64:$BV$84,AR$2-$E$2,FALSE))*$D$9*$D$8*(HLOOKUP(AR$23,$G$18:$R$19,2,FALSE)*(1-$D$12)^($F27-'הנחות עבודה'!$C$5)/$D$11)/$D$11)</f>
        <v>0</v>
      </c>
      <c r="AS27" s="127">
        <f ca="1">IF(OR($F27&gt;$D$5,$F27&gt;MAX('הנחות עבודה'!$B$69:$B$89)),0,(VLOOKUP($F27,'התפלגות ייצור וסל דלקים'!$B$64:$BV$84,AS$2-$E$2,FALSE))*$D$9*$D$8*(HLOOKUP(AS$23,$G$18:$R$19,2,FALSE)*(1-$D$12)^($F27-'הנחות עבודה'!$C$5)/$D$11)/$D$11)</f>
        <v>0</v>
      </c>
      <c r="AT27" s="127">
        <f ca="1">IF(OR($F27&gt;$D$5,$F27&gt;MAX('הנחות עבודה'!$B$69:$B$89)),0,(VLOOKUP($F27,'התפלגות ייצור וסל דלקים'!$B$64:$BV$84,AT$2-$E$2,FALSE))*$D$9*$D$8*(HLOOKUP(AT$23,$G$18:$R$19,2,FALSE)*(1-$D$12)^($F27-'הנחות עבודה'!$C$5)/$D$11)/$D$11)</f>
        <v>0</v>
      </c>
      <c r="AU27" s="127">
        <f ca="1">IF(OR($F27&gt;$D$5,$F27&gt;MAX('הנחות עבודה'!$B$69:$B$89)),0,(VLOOKUP($F27,'התפלגות ייצור וסל דלקים'!$B$64:$BV$84,AU$2-$E$2,FALSE))*$D$9*$D$8*(HLOOKUP(AU$23,$G$18:$R$19,2,FALSE)*(1-$D$12)^($F27-'הנחות עבודה'!$C$5)/$D$11)/$D$11)</f>
        <v>0</v>
      </c>
      <c r="AV27" s="127">
        <f ca="1">IF(OR($F27&gt;$D$5,$F27&gt;MAX('הנחות עבודה'!$B$69:$B$89)),0,(VLOOKUP($F27,'התפלגות ייצור וסל דלקים'!$B$64:$BV$84,AV$2-$E$2,FALSE))*$D$9*$D$8*(HLOOKUP(AV$23,$G$18:$R$19,2,FALSE)*(1-$D$12)^($F27-'הנחות עבודה'!$C$5)/$D$11)/$D$11)</f>
        <v>0</v>
      </c>
      <c r="AW27" s="52">
        <f ca="1">IF(OR($F27&gt;$D$5,$F27&gt;MAX('הנחות עבודה'!$B$69:$B$89)),0,(VLOOKUP($F27,'התפלגות ייצור וסל דלקים'!$B$64:$BV$84,AW$2-$E$2,FALSE))*$D$9*$D$8*(HLOOKUP(AW$23,$G$18:$R$19,2,FALSE)*(1-$D$12)^($F27-'הנחות עבודה'!$C$5)/$D$11)/$D$11)</f>
        <v>4.6973279999999994E-4</v>
      </c>
      <c r="AX27" s="52">
        <f ca="1">IF(OR($F27&gt;$D$5,$F27&gt;MAX('הנחות עבודה'!$B$69:$B$89)),0,(VLOOKUP($F27,'התפלגות ייצור וסל דלקים'!$B$64:$BV$84,AX$2-$E$2,FALSE))*$D$9*$D$8*(HLOOKUP(AX$23,$G$18:$R$19,2,FALSE)*(1-$D$12)^($F27-'הנחות עבודה'!$C$5)/$D$11)/$D$11)</f>
        <v>8.8219199527999996E-3</v>
      </c>
      <c r="AY27" s="52">
        <f ca="1">IF(OR($F27&gt;$D$5,$F27&gt;MAX('הנחות עבודה'!$B$69:$B$89)),0,(VLOOKUP($F27,'התפלגות ייצור וסל דלקים'!$B$64:$BV$84,AY$2-$E$2,FALSE))*$D$9*$D$8*(HLOOKUP(AY$23,$G$18:$R$19,2,FALSE)*(1-$D$12)^($F27-'הנחות עבודה'!$C$5)/$D$11)/$D$11)</f>
        <v>0</v>
      </c>
      <c r="AZ27" s="52">
        <f ca="1">IF(OR($F27&gt;$D$5,$F27&gt;MAX('הנחות עבודה'!$B$69:$B$89)),0,(VLOOKUP($F27,'התפלגות ייצור וסל דלקים'!$B$64:$BV$84,AZ$2-$E$2,FALSE))*$D$9*$D$8*(HLOOKUP(AZ$23,$G$18:$R$19,2,FALSE)*(1-$D$12)^($F27-'הנחות עבודה'!$C$5)/$D$11)/$D$11)</f>
        <v>0</v>
      </c>
      <c r="BA27" s="52">
        <f ca="1">IF(OR($F27&gt;$D$5,$F27&gt;MAX('הנחות עבודה'!$B$69:$B$89)),0,(VLOOKUP($F27,'התפלגות ייצור וסל דלקים'!$B$64:$BV$84,BA$2-$E$2,FALSE))*$D$9*$D$8*(HLOOKUP(BA$23,$G$18:$R$19,2,FALSE)*(1-$D$12)^($F27-'הנחות עבודה'!$C$5)/$D$11)/$D$11)</f>
        <v>4.3423723199999993E-3</v>
      </c>
      <c r="BB27" s="52">
        <f ca="1">IF(OR($F27&gt;$D$5,$F27&gt;MAX('הנחות עבודה'!$B$69:$B$89)),0,(VLOOKUP($F27,'התפלגות ייצור וסל דלקים'!$B$64:$BV$84,BB$2-$E$2,FALSE))*$D$9*$D$8*(HLOOKUP(BB$23,$G$18:$R$19,2,FALSE)*(1-$D$12)^($F27-'הנחות עבודה'!$C$5)/$D$11)/$D$11)</f>
        <v>0</v>
      </c>
      <c r="BC27" s="42">
        <f ca="1">IF(OR($F27&gt;$D$5,$F27&gt;MAX('הנחות עבודה'!$B$69:$B$89)),0,(VLOOKUP($F27,'התפלגות ייצור וסל דלקים'!$B$64:$BV$84,BC$2-$E$2,FALSE))*$D$9*$D$8*(HLOOKUP(BC$23,$G$18:$R$19,2,FALSE)*(1-$D$12)^($F27-'הנחות עבודה'!$C$5)/$D$11)/$D$11)</f>
        <v>0</v>
      </c>
      <c r="BD27" s="44">
        <f ca="1">IF(OR($F27&gt;$D$5,$F27&gt;MAX('הנחות עבודה'!$B$69:$B$89)),0,(VLOOKUP($F27,'התפלגות ייצור וסל דלקים'!$B$64:$BV$84,BD$2-$E$2,FALSE))*$D$9*$D$8*(HLOOKUP(BD$23,$G$18:$R$19,2,FALSE)*(1-$D$12)^($F27-'הנחות עבודה'!$C$5)/$D$11)/$D$11)</f>
        <v>0</v>
      </c>
      <c r="BE27" s="44">
        <f ca="1">IF(OR($F27&gt;$D$5,$F27&gt;MAX('הנחות עבודה'!$B$69:$B$89)),0,(VLOOKUP($F27,'התפלגות ייצור וסל דלקים'!$B$64:$BV$84,BE$2-$E$2,FALSE))*$D$9*$D$8*(HLOOKUP(BE$23,$G$18:$R$19,2,FALSE)*(1-$D$12)^($F27-'הנחות עבודה'!$C$5)/$D$11)/$D$11)</f>
        <v>0</v>
      </c>
      <c r="BF27" s="44">
        <f ca="1">IF(OR($F27&gt;$D$5,$F27&gt;MAX('הנחות עבודה'!$B$69:$B$89)),0,(VLOOKUP($F27,'התפלגות ייצור וסל דלקים'!$B$64:$BV$84,BF$2-$E$2,FALSE))*$D$9*$D$8*(HLOOKUP(BF$23,$G$18:$R$19,2,FALSE)*(1-$D$12)^($F27-'הנחות עבודה'!$C$5)/$D$11)/$D$11)</f>
        <v>0</v>
      </c>
      <c r="BG27" s="44">
        <f ca="1">IF(OR($F27&gt;$D$5,$F27&gt;MAX('הנחות עבודה'!$B$69:$B$89)),0,(VLOOKUP($F27,'התפלגות ייצור וסל דלקים'!$B$64:$BV$84,BG$2-$E$2,FALSE))*$D$9*$D$8*(HLOOKUP(BG$23,$G$18:$R$19,2,FALSE)*(1-$D$12)^($F27-'הנחות עבודה'!$C$5)/$D$11)/$D$11)</f>
        <v>0</v>
      </c>
      <c r="BH27" s="44">
        <f ca="1">IF(OR($F27&gt;$D$5,$F27&gt;MAX('הנחות עבודה'!$B$69:$B$89)),0,(VLOOKUP($F27,'התפלגות ייצור וסל דלקים'!$B$64:$BV$84,BH$2-$E$2,FALSE))*$D$9*$D$8*(HLOOKUP(BH$23,$G$18:$R$19,2,FALSE)*(1-$D$12)^($F27-'הנחות עבודה'!$C$5)/$D$11)/$D$11)</f>
        <v>0</v>
      </c>
      <c r="BI27" s="42">
        <f ca="1">IF(OR($F27&gt;$D$5,$F27&gt;MAX('הנחות עבודה'!$B$69:$B$89)),0,(VLOOKUP($F27,'התפלגות ייצור וסל דלקים'!$B$64:$BV$84,BI$2-$E$2,FALSE))*$D$9*$D$8*(HLOOKUP(BI$23,$G$18:$R$19,2,FALSE)*(1-$D$12)^($F27-'הנחות עבודה'!$C$5)/$D$11)/$D$11)</f>
        <v>4.6661519999999999E-4</v>
      </c>
      <c r="BJ27" s="42">
        <f ca="1">IF(OR($F27&gt;$D$5,$F27&gt;MAX('הנחות עבודה'!$B$69:$B$89)),0,(VLOOKUP($F27,'התפלגות ייצור וסל דלקים'!$B$64:$BV$84,BJ$2-$E$2,FALSE))*$D$9*$D$8*(HLOOKUP(BJ$23,$G$18:$R$19,2,FALSE)*(1-$D$12)^($F27-'הנחות עבודה'!$C$5)/$D$11)/$D$11)</f>
        <v>8.6360962623999987E-3</v>
      </c>
      <c r="BK27" s="42">
        <f ca="1">IF(OR($F27&gt;$D$5,$F27&gt;MAX('הנחות עבודה'!$B$69:$B$89)),0,(VLOOKUP($F27,'התפלגות ייצור וסל דלקים'!$B$64:$BV$84,BK$2-$E$2,FALSE))*$D$9*$D$8*(HLOOKUP(BK$23,$G$18:$R$19,2,FALSE)*(1-$D$12)^($F27-'הנחות עבודה'!$C$5)/$D$11)/$D$11)</f>
        <v>0</v>
      </c>
      <c r="BL27" s="42">
        <f ca="1">IF(OR($F27&gt;$D$5,$F27&gt;MAX('הנחות עבודה'!$B$69:$B$89)),0,(VLOOKUP($F27,'התפלגות ייצור וסל דלקים'!$B$64:$BV$84,BL$2-$E$2,FALSE))*$D$9*$D$8*(HLOOKUP(BL$23,$G$18:$R$19,2,FALSE)*(1-$D$12)^($F27-'הנחות עבודה'!$C$5)/$D$11)/$D$11)</f>
        <v>0</v>
      </c>
      <c r="BM27" s="42">
        <f ca="1">IF(OR($F27&gt;$D$5,$F27&gt;MAX('הנחות עבודה'!$B$69:$B$89)),0,(VLOOKUP($F27,'התפלגות ייצור וסל דלקים'!$B$64:$BV$84,BM$2-$E$2,FALSE))*$D$9*$D$8*(HLOOKUP(BM$23,$G$18:$R$19,2,FALSE)*(1-$D$12)^($F27-'הנחות עבודה'!$C$5)/$D$11)/$D$11)</f>
        <v>4.3424649000000006E-3</v>
      </c>
      <c r="BN27" s="42">
        <f ca="1">IF(OR($F27&gt;$D$5,$F27&gt;MAX('הנחות עבודה'!$B$69:$B$89)),0,(VLOOKUP($F27,'התפלגות ייצור וסל דלקים'!$B$64:$BV$84,BN$2-$E$2,FALSE))*$D$9*$D$8*(HLOOKUP(BN$23,$G$18:$R$19,2,FALSE)*(1-$D$12)^($F27-'הנחות עבודה'!$C$5)/$D$11)/$D$11)</f>
        <v>0</v>
      </c>
      <c r="BO27" s="52">
        <f ca="1">IF(OR($F27&gt;$D$5,$F27&gt;MAX('הנחות עבודה'!$B$69:$B$89)),0,(VLOOKUP($F27,'התפלגות ייצור וסל דלקים'!$B$64:$BV$84,BO$2-$E$2,FALSE))*$D$9*$D$8*(HLOOKUP(BO$23,$G$18:$R$19,2,FALSE)*(1-$D$12)^($F27-'הנחות עבודה'!$C$5)/$D$11)/$D$11)</f>
        <v>0</v>
      </c>
      <c r="BP27" s="127">
        <f ca="1">IF(OR($F27&gt;$D$5,$F27&gt;MAX('הנחות עבודה'!$B$69:$B$89)),0,(VLOOKUP($F27,'התפלגות ייצור וסל דלקים'!$B$64:$BV$84,BP$2-$E$2,FALSE))*$D$9*$D$8*(HLOOKUP(BP$23,$G$18:$R$19,2,FALSE)*(1-$D$12)^($F27-'הנחות עבודה'!$C$5)/$D$11)/$D$11)</f>
        <v>0</v>
      </c>
      <c r="BQ27" s="127">
        <f ca="1">IF(OR($F27&gt;$D$5,$F27&gt;MAX('הנחות עבודה'!$B$69:$B$89)),0,(VLOOKUP($F27,'התפלגות ייצור וסל דלקים'!$B$64:$BV$84,BQ$2-$E$2,FALSE))*$D$9*$D$8*(HLOOKUP(BQ$23,$G$18:$R$19,2,FALSE)*(1-$D$12)^($F27-'הנחות עבודה'!$C$5)/$D$11)/$D$11)</f>
        <v>0</v>
      </c>
      <c r="BR27" s="127">
        <f ca="1">IF(OR($F27&gt;$D$5,$F27&gt;MAX('הנחות עבודה'!$B$69:$B$89)),0,(VLOOKUP($F27,'התפלגות ייצור וסל דלקים'!$B$64:$BV$84,BR$2-$E$2,FALSE))*$D$9*$D$8*(HLOOKUP(BR$23,$G$18:$R$19,2,FALSE)*(1-$D$12)^($F27-'הנחות עבודה'!$C$5)/$D$11)/$D$11)</f>
        <v>0</v>
      </c>
      <c r="BS27" s="127">
        <f ca="1">IF(OR($F27&gt;$D$5,$F27&gt;MAX('הנחות עבודה'!$B$69:$B$89)),0,(VLOOKUP($F27,'התפלגות ייצור וסל דלקים'!$B$64:$BV$84,BS$2-$E$2,FALSE))*$D$9*$D$8*(HLOOKUP(BS$23,$G$18:$R$19,2,FALSE)*(1-$D$12)^($F27-'הנחות עבודה'!$C$5)/$D$11)/$D$11)</f>
        <v>0</v>
      </c>
      <c r="BT27" s="127">
        <f ca="1">IF(OR($F27&gt;$D$5,$F27&gt;MAX('הנחות עבודה'!$B$69:$B$89)),0,(VLOOKUP($F27,'התפלגות ייצור וסל דלקים'!$B$64:$BV$84,BT$2-$E$2,FALSE))*$D$9*$D$8*(HLOOKUP(BT$23,$G$18:$R$19,2,FALSE)*(1-$D$12)^($F27-'הנחות עבודה'!$C$5)/$D$11)/$D$11)</f>
        <v>0</v>
      </c>
      <c r="BU27" s="52">
        <f ca="1">IF(OR($F27&gt;$D$5,$F27&gt;MAX('הנחות עבודה'!$B$69:$B$89)),0,(VLOOKUP($F27,'התפלגות ייצור וסל דלקים'!$B$64:$BV$84,BU$2-$E$2,FALSE))*$D$9*$D$8*(HLOOKUP(BU$23,$G$18:$R$19,2,FALSE)*(1-$D$12)^($F27-'הנחות עבודה'!$C$5)/$D$11)/$D$11)</f>
        <v>4.6661519999999999E-4</v>
      </c>
      <c r="BV27" s="52">
        <f ca="1">IF(OR($F27&gt;$D$5,$F27&gt;MAX('הנחות עבודה'!$B$69:$B$89)),0,(VLOOKUP($F27,'התפלגות ייצור וסל דלקים'!$B$64:$BV$84,BV$2-$E$2,FALSE))*$D$9*$D$8*(HLOOKUP(BV$23,$G$18:$R$19,2,FALSE)*(1-$D$12)^($F27-'הנחות עבודה'!$C$5)/$D$11)/$D$11)</f>
        <v>8.6360962623999987E-3</v>
      </c>
      <c r="BW27" s="52">
        <f ca="1">IF(OR($F27&gt;$D$5,$F27&gt;MAX('הנחות עבודה'!$B$69:$B$89)),0,(VLOOKUP($F27,'התפלגות ייצור וסל דלקים'!$B$64:$BV$84,BW$2-$E$2,FALSE))*$D$9*$D$8*(HLOOKUP(BW$23,$G$18:$R$19,2,FALSE)*(1-$D$12)^($F27-'הנחות עבודה'!$C$5)/$D$11)/$D$11)</f>
        <v>0</v>
      </c>
      <c r="BX27" s="52">
        <f ca="1">IF(OR($F27&gt;$D$5,$F27&gt;MAX('הנחות עבודה'!$B$69:$B$89)),0,(VLOOKUP($F27,'התפלגות ייצור וסל דלקים'!$B$64:$BV$84,BX$2-$E$2,FALSE))*$D$9*$D$8*(HLOOKUP(BX$23,$G$18:$R$19,2,FALSE)*(1-$D$12)^($F27-'הנחות עבודה'!$C$5)/$D$11)/$D$11)</f>
        <v>0</v>
      </c>
      <c r="BY27" s="52">
        <f ca="1">IF(OR($F27&gt;$D$5,$F27&gt;MAX('הנחות עבודה'!$B$69:$B$89)),0,(VLOOKUP($F27,'התפלגות ייצור וסל דלקים'!$B$64:$BV$84,BY$2-$E$2,FALSE))*$D$9*$D$8*(HLOOKUP(BY$23,$G$18:$R$19,2,FALSE)*(1-$D$12)^($F27-'הנחות עבודה'!$C$5)/$D$11)/$D$11)</f>
        <v>4.3424649000000006E-3</v>
      </c>
      <c r="BZ27" s="52">
        <f ca="1">IF(OR($F27&gt;$D$5,$F27&gt;MAX('הנחות עבודה'!$B$69:$B$89)),0,(VLOOKUP($F27,'התפלגות ייצור וסל דלקים'!$B$64:$BV$84,BZ$2-$E$2,FALSE))*$D$9*$D$8*(HLOOKUP(BZ$23,$G$18:$R$19,2,FALSE)*(1-$D$12)^($F27-'הנחות עבודה'!$C$5)/$D$11)/$D$11)</f>
        <v>0</v>
      </c>
    </row>
    <row r="28" spans="6:78" ht="15.75">
      <c r="F28" s="10">
        <f t="shared" si="110"/>
        <v>2024</v>
      </c>
      <c r="G28" s="42">
        <f ca="1">IF(OR($F28&gt;$D$5,$F28&gt;MAX('הנחות עבודה'!$B$69:$B$89)),0,(VLOOKUP($F28,'התפלגות ייצור וסל דלקים'!$B$64:$BV$84,G$2-$E$2,FALSE))*$D$9*$D$8*(HLOOKUP(G$23,$G$18:$R$19,2,FALSE)*(1-$D$12)^($F28-'הנחות עבודה'!$C$5)/$D$11)/$D$11)</f>
        <v>0</v>
      </c>
      <c r="H28" s="44">
        <f ca="1">IF(OR($F28&gt;$D$5,$F28&gt;MAX('הנחות עבודה'!$B$69:$B$89)),0,(VLOOKUP($F28,'התפלגות ייצור וסל דלקים'!$B$64:$BV$84,H$2-$E$2,FALSE))*$D$9*$D$8*(HLOOKUP(H$23,$G$18:$R$19,2,FALSE)*(1-$D$12)^($F28-'הנחות עבודה'!$C$5)/$D$11)/$D$11)</f>
        <v>0</v>
      </c>
      <c r="I28" s="44">
        <f ca="1">IF(OR($F28&gt;$D$5,$F28&gt;MAX('הנחות עבודה'!$B$69:$B$89)),0,(VLOOKUP($F28,'התפלגות ייצור וסל דלקים'!$B$64:$BV$84,I$2-$E$2,FALSE))*$D$9*$D$8*(HLOOKUP(I$23,$G$18:$R$19,2,FALSE)*(1-$D$12)^($F28-'הנחות עבודה'!$C$5)/$D$11)/$D$11)</f>
        <v>0</v>
      </c>
      <c r="J28" s="44">
        <f ca="1">IF(OR($F28&gt;$D$5,$F28&gt;MAX('הנחות עבודה'!$B$69:$B$89)),0,(VLOOKUP($F28,'התפלגות ייצור וסל דלקים'!$B$64:$BV$84,J$2-$E$2,FALSE))*$D$9*$D$8*(HLOOKUP(J$23,$G$18:$R$19,2,FALSE)*(1-$D$12)^($F28-'הנחות עבודה'!$C$5)/$D$11)/$D$11)</f>
        <v>0</v>
      </c>
      <c r="K28" s="44">
        <f ca="1">IF(OR($F28&gt;$D$5,$F28&gt;MAX('הנחות עבודה'!$B$69:$B$89)),0,(VLOOKUP($F28,'התפלגות ייצור וסל דלקים'!$B$64:$BV$84,K$2-$E$2,FALSE))*$D$9*$D$8*(HLOOKUP(K$23,$G$18:$R$19,2,FALSE)*(1-$D$12)^($F28-'הנחות עבודה'!$C$5)/$D$11)/$D$11)</f>
        <v>0</v>
      </c>
      <c r="L28" s="44">
        <f ca="1">IF(OR($F28&gt;$D$5,$F28&gt;MAX('הנחות עבודה'!$B$69:$B$89)),0,(VLOOKUP($F28,'התפלגות ייצור וסל דלקים'!$B$64:$BV$84,L$2-$E$2,FALSE))*$D$9*$D$8*(HLOOKUP(L$23,$G$18:$R$19,2,FALSE)*(1-$D$12)^($F28-'הנחות עבודה'!$C$5)/$D$11)/$D$11)</f>
        <v>0</v>
      </c>
      <c r="M28" s="42">
        <f ca="1">IF(OR($F28&gt;$D$5,$F28&gt;MAX('הנחות עבודה'!$B$69:$B$89)),0,(VLOOKUP($F28,'התפלגות ייצור וסל דלקים'!$B$64:$BV$84,M$2-$E$2,FALSE))*$D$9*$D$8*(HLOOKUP(M$23,$G$18:$R$19,2,FALSE)*(1-$D$12)^($F28-'הנחות עבודה'!$C$5)/$D$11)/$D$11)</f>
        <v>6.3374159999999994E-4</v>
      </c>
      <c r="N28" s="42">
        <f ca="1">IF(OR($F28&gt;$D$5,$F28&gt;MAX('הנחות עבודה'!$B$69:$B$89)),0,(VLOOKUP($F28,'התפלגות ייצור וסל דלקים'!$B$64:$BV$84,N$2-$E$2,FALSE))*$D$9*$D$8*(HLOOKUP(N$23,$G$18:$R$19,2,FALSE)*(1-$D$12)^($F28-'הנחות עבודה'!$C$5)/$D$11)/$D$11)</f>
        <v>9.5326274406399986E-3</v>
      </c>
      <c r="O28" s="42">
        <f ca="1">IF(OR($F28&gt;$D$5,$F28&gt;MAX('הנחות עבודה'!$B$69:$B$89)),0,(VLOOKUP($F28,'התפלגות ייצור וסל דלקים'!$B$64:$BV$84,O$2-$E$2,FALSE))*$D$9*$D$8*(HLOOKUP(O$23,$G$18:$R$19,2,FALSE)*(1-$D$12)^($F28-'הנחות עבודה'!$C$5)/$D$11)/$D$11)</f>
        <v>0</v>
      </c>
      <c r="P28" s="42">
        <f ca="1">IF(OR($F28&gt;$D$5,$F28&gt;MAX('הנחות עבודה'!$B$69:$B$89)),0,(VLOOKUP($F28,'התפלגות ייצור וסל דלקים'!$B$64:$BV$84,P$2-$E$2,FALSE))*$D$9*$D$8*(HLOOKUP(P$23,$G$18:$R$19,2,FALSE)*(1-$D$12)^($F28-'הנחות עבודה'!$C$5)/$D$11)/$D$11)</f>
        <v>0</v>
      </c>
      <c r="Q28" s="42">
        <f ca="1">IF(OR($F28&gt;$D$5,$F28&gt;MAX('הנחות עבודה'!$B$69:$B$89)),0,(VLOOKUP($F28,'התפלגות ייצור וסל דלקים'!$B$64:$BV$84,Q$2-$E$2,FALSE))*$D$9*$D$8*(HLOOKUP(Q$23,$G$18:$R$19,2,FALSE)*(1-$D$12)^($F28-'הנחות עבודה'!$C$5)/$D$11)/$D$11)</f>
        <v>3.6859376874999999E-3</v>
      </c>
      <c r="R28" s="42">
        <f ca="1">IF(OR($F28&gt;$D$5,$F28&gt;MAX('הנחות עבודה'!$B$69:$B$89)),0,(VLOOKUP($F28,'התפלגות ייצור וסל דלקים'!$B$64:$BV$84,R$2-$E$2,FALSE))*$D$9*$D$8*(HLOOKUP(R$23,$G$18:$R$19,2,FALSE)*(1-$D$12)^($F28-'הנחות עבודה'!$C$5)/$D$11)/$D$11)</f>
        <v>0</v>
      </c>
      <c r="S28" s="52">
        <f ca="1">IF(OR($F28&gt;$D$5,$F28&gt;MAX('הנחות עבודה'!$B$69:$B$89)),0,(VLOOKUP($F28,'התפלגות ייצור וסל דלקים'!$B$64:$BV$84,S$2-$E$2,FALSE))*$D$9*$D$8*(HLOOKUP(S$23,$G$18:$R$19,2,FALSE)*(1-$D$12)^($F28-'הנחות עבודה'!$C$5)/$D$11)/$D$11)</f>
        <v>0</v>
      </c>
      <c r="T28" s="127">
        <f ca="1">IF(OR($F28&gt;$D$5,$F28&gt;MAX('הנחות עבודה'!$B$69:$B$89)),0,(VLOOKUP($F28,'התפלגות ייצור וסל דלקים'!$B$64:$BV$84,T$2-$E$2,FALSE))*$D$9*$D$8*(HLOOKUP(T$23,$G$18:$R$19,2,FALSE)*(1-$D$12)^($F28-'הנחות עבודה'!$C$5)/$D$11)/$D$11)</f>
        <v>0</v>
      </c>
      <c r="U28" s="127">
        <f ca="1">IF(OR($F28&gt;$D$5,$F28&gt;MAX('הנחות עבודה'!$B$69:$B$89)),0,(VLOOKUP($F28,'התפלגות ייצור וסל דלקים'!$B$64:$BV$84,U$2-$E$2,FALSE))*$D$9*$D$8*(HLOOKUP(U$23,$G$18:$R$19,2,FALSE)*(1-$D$12)^($F28-'הנחות עבודה'!$C$5)/$D$11)/$D$11)</f>
        <v>0</v>
      </c>
      <c r="V28" s="127">
        <f ca="1">IF(OR($F28&gt;$D$5,$F28&gt;MAX('הנחות עבודה'!$B$69:$B$89)),0,(VLOOKUP($F28,'התפלגות ייצור וסל דלקים'!$B$64:$BV$84,V$2-$E$2,FALSE))*$D$9*$D$8*(HLOOKUP(V$23,$G$18:$R$19,2,FALSE)*(1-$D$12)^($F28-'הנחות עבודה'!$C$5)/$D$11)/$D$11)</f>
        <v>0</v>
      </c>
      <c r="W28" s="127">
        <f ca="1">IF(OR($F28&gt;$D$5,$F28&gt;MAX('הנחות עבודה'!$B$69:$B$89)),0,(VLOOKUP($F28,'התפלגות ייצור וסל דלקים'!$B$64:$BV$84,W$2-$E$2,FALSE))*$D$9*$D$8*(HLOOKUP(W$23,$G$18:$R$19,2,FALSE)*(1-$D$12)^($F28-'הנחות עבודה'!$C$5)/$D$11)/$D$11)</f>
        <v>0</v>
      </c>
      <c r="X28" s="127">
        <f ca="1">IF(OR($F28&gt;$D$5,$F28&gt;MAX('הנחות עבודה'!$B$69:$B$89)),0,(VLOOKUP($F28,'התפלגות ייצור וסל דלקים'!$B$64:$BV$84,X$2-$E$2,FALSE))*$D$9*$D$8*(HLOOKUP(X$23,$G$18:$R$19,2,FALSE)*(1-$D$12)^($F28-'הנחות עבודה'!$C$5)/$D$11)/$D$11)</f>
        <v>0</v>
      </c>
      <c r="Y28" s="52">
        <f ca="1">IF(OR($F28&gt;$D$5,$F28&gt;MAX('הנחות עבודה'!$B$69:$B$89)),0,(VLOOKUP($F28,'התפלגות ייצור וסל דלקים'!$B$64:$BV$84,Y$2-$E$2,FALSE))*$D$9*$D$8*(HLOOKUP(Y$23,$G$18:$R$19,2,FALSE)*(1-$D$12)^($F28-'הנחות עבודה'!$C$5)/$D$11)/$D$11)</f>
        <v>6.3374159999999994E-4</v>
      </c>
      <c r="Z28" s="52">
        <f ca="1">IF(OR($F28&gt;$D$5,$F28&gt;MAX('הנחות עבודה'!$B$69:$B$89)),0,(VLOOKUP($F28,'התפלגות ייצור וסל דלקים'!$B$64:$BV$84,Z$2-$E$2,FALSE))*$D$9*$D$8*(HLOOKUP(Z$23,$G$18:$R$19,2,FALSE)*(1-$D$12)^($F28-'הנחות עבודה'!$C$5)/$D$11)/$D$11)</f>
        <v>9.5326274406399986E-3</v>
      </c>
      <c r="AA28" s="52">
        <f ca="1">IF(OR($F28&gt;$D$5,$F28&gt;MAX('הנחות עבודה'!$B$69:$B$89)),0,(VLOOKUP($F28,'התפלגות ייצור וסל דלקים'!$B$64:$BV$84,AA$2-$E$2,FALSE))*$D$9*$D$8*(HLOOKUP(AA$23,$G$18:$R$19,2,FALSE)*(1-$D$12)^($F28-'הנחות עבודה'!$C$5)/$D$11)/$D$11)</f>
        <v>0</v>
      </c>
      <c r="AB28" s="52">
        <f ca="1">IF(OR($F28&gt;$D$5,$F28&gt;MAX('הנחות עבודה'!$B$69:$B$89)),0,(VLOOKUP($F28,'התפלגות ייצור וסל דלקים'!$B$64:$BV$84,AB$2-$E$2,FALSE))*$D$9*$D$8*(HLOOKUP(AB$23,$G$18:$R$19,2,FALSE)*(1-$D$12)^($F28-'הנחות עבודה'!$C$5)/$D$11)/$D$11)</f>
        <v>0</v>
      </c>
      <c r="AC28" s="52">
        <f ca="1">IF(OR($F28&gt;$D$5,$F28&gt;MAX('הנחות עבודה'!$B$69:$B$89)),0,(VLOOKUP($F28,'התפלגות ייצור וסל דלקים'!$B$64:$BV$84,AC$2-$E$2,FALSE))*$D$9*$D$8*(HLOOKUP(AC$23,$G$18:$R$19,2,FALSE)*(1-$D$12)^($F28-'הנחות עבודה'!$C$5)/$D$11)/$D$11)</f>
        <v>3.6859376874999999E-3</v>
      </c>
      <c r="AD28" s="52">
        <f ca="1">IF(OR($F28&gt;$D$5,$F28&gt;MAX('הנחות עבודה'!$B$69:$B$89)),0,(VLOOKUP($F28,'התפלגות ייצור וסל דלקים'!$B$64:$BV$84,AD$2-$E$2,FALSE))*$D$9*$D$8*(HLOOKUP(AD$23,$G$18:$R$19,2,FALSE)*(1-$D$12)^($F28-'הנחות עבודה'!$C$5)/$D$11)/$D$11)</f>
        <v>0</v>
      </c>
      <c r="AE28" s="42">
        <f ca="1">IF(OR($F28&gt;$D$5,$F28&gt;MAX('הנחות עבודה'!$B$69:$B$89)),0,(VLOOKUP($F28,'התפלגות ייצור וסל דלקים'!$B$64:$BV$84,AE$2-$E$2,FALSE))*$D$9*$D$8*(HLOOKUP(AE$23,$G$18:$R$19,2,FALSE)*(1-$D$12)^($F28-'הנחות עבודה'!$C$5)/$D$11)/$D$11)</f>
        <v>0</v>
      </c>
      <c r="AF28" s="44">
        <f ca="1">IF(OR($F28&gt;$D$5,$F28&gt;MAX('הנחות עבודה'!$B$69:$B$89)),0,(VLOOKUP($F28,'התפלגות ייצור וסל דלקים'!$B$64:$BV$84,AF$2-$E$2,FALSE))*$D$9*$D$8*(HLOOKUP(AF$23,$G$18:$R$19,2,FALSE)*(1-$D$12)^($F28-'הנחות עבודה'!$C$5)/$D$11)/$D$11)</f>
        <v>0</v>
      </c>
      <c r="AG28" s="44">
        <f ca="1">IF(OR($F28&gt;$D$5,$F28&gt;MAX('הנחות עבודה'!$B$69:$B$89)),0,(VLOOKUP($F28,'התפלגות ייצור וסל דלקים'!$B$64:$BV$84,AG$2-$E$2,FALSE))*$D$9*$D$8*(HLOOKUP(AG$23,$G$18:$R$19,2,FALSE)*(1-$D$12)^($F28-'הנחות עבודה'!$C$5)/$D$11)/$D$11)</f>
        <v>0</v>
      </c>
      <c r="AH28" s="44">
        <f ca="1">IF(OR($F28&gt;$D$5,$F28&gt;MAX('הנחות עבודה'!$B$69:$B$89)),0,(VLOOKUP($F28,'התפלגות ייצור וסל דלקים'!$B$64:$BV$84,AH$2-$E$2,FALSE))*$D$9*$D$8*(HLOOKUP(AH$23,$G$18:$R$19,2,FALSE)*(1-$D$12)^($F28-'הנחות עבודה'!$C$5)/$D$11)/$D$11)</f>
        <v>0</v>
      </c>
      <c r="AI28" s="44">
        <f ca="1">IF(OR($F28&gt;$D$5,$F28&gt;MAX('הנחות עבודה'!$B$69:$B$89)),0,(VLOOKUP($F28,'התפלגות ייצור וסל דלקים'!$B$64:$BV$84,AI$2-$E$2,FALSE))*$D$9*$D$8*(HLOOKUP(AI$23,$G$18:$R$19,2,FALSE)*(1-$D$12)^($F28-'הנחות עבודה'!$C$5)/$D$11)/$D$11)</f>
        <v>0</v>
      </c>
      <c r="AJ28" s="44">
        <f ca="1">IF(OR($F28&gt;$D$5,$F28&gt;MAX('הנחות עבודה'!$B$69:$B$89)),0,(VLOOKUP($F28,'התפלגות ייצור וסל דלקים'!$B$64:$BV$84,AJ$2-$E$2,FALSE))*$D$9*$D$8*(HLOOKUP(AJ$23,$G$18:$R$19,2,FALSE)*(1-$D$12)^($F28-'הנחות עבודה'!$C$5)/$D$11)/$D$11)</f>
        <v>0</v>
      </c>
      <c r="AK28" s="42">
        <f ca="1">IF(OR($F28&gt;$D$5,$F28&gt;MAX('הנחות עבודה'!$B$69:$B$89)),0,(VLOOKUP($F28,'התפלגות ייצור וסל דלקים'!$B$64:$BV$84,AK$2-$E$2,FALSE))*$D$9*$D$8*(HLOOKUP(AK$23,$G$18:$R$19,2,FALSE)*(1-$D$12)^($F28-'הנחות עבודה'!$C$5)/$D$11)/$D$11)</f>
        <v>6.1862879999999992E-4</v>
      </c>
      <c r="AL28" s="42">
        <f ca="1">IF(OR($F28&gt;$D$5,$F28&gt;MAX('הנחות עבודה'!$B$69:$B$89)),0,(VLOOKUP($F28,'התפלגות ייצור וסל דלקים'!$B$64:$BV$84,AL$2-$E$2,FALSE))*$D$9*$D$8*(HLOOKUP(AL$23,$G$18:$R$19,2,FALSE)*(1-$D$12)^($F28-'הנחות עבודה'!$C$5)/$D$11)/$D$11)</f>
        <v>9.0721477376000028E-3</v>
      </c>
      <c r="AM28" s="42">
        <f ca="1">IF(OR($F28&gt;$D$5,$F28&gt;MAX('הנחות עבודה'!$B$69:$B$89)),0,(VLOOKUP($F28,'התפלגות ייצור וסל דלקים'!$B$64:$BV$84,AM$2-$E$2,FALSE))*$D$9*$D$8*(HLOOKUP(AM$23,$G$18:$R$19,2,FALSE)*(1-$D$12)^($F28-'הנחות עבודה'!$C$5)/$D$11)/$D$11)</f>
        <v>0</v>
      </c>
      <c r="AN28" s="42">
        <f ca="1">IF(OR($F28&gt;$D$5,$F28&gt;MAX('הנחות עבודה'!$B$69:$B$89)),0,(VLOOKUP($F28,'התפלגות ייצור וסל דלקים'!$B$64:$BV$84,AN$2-$E$2,FALSE))*$D$9*$D$8*(HLOOKUP(AN$23,$G$18:$R$19,2,FALSE)*(1-$D$12)^($F28-'הנחות עבודה'!$C$5)/$D$11)/$D$11)</f>
        <v>0</v>
      </c>
      <c r="AO28" s="42">
        <f ca="1">IF(OR($F28&gt;$D$5,$F28&gt;MAX('הנחות עבודה'!$B$69:$B$89)),0,(VLOOKUP($F28,'התפלגות ייצור וסל דלקים'!$B$64:$BV$84,AO$2-$E$2,FALSE))*$D$9*$D$8*(HLOOKUP(AO$23,$G$18:$R$19,2,FALSE)*(1-$D$12)^($F28-'הנחות עבודה'!$C$5)/$D$11)/$D$11)</f>
        <v>3.6773123174999997E-3</v>
      </c>
      <c r="AP28" s="42">
        <f ca="1">IF(OR($F28&gt;$D$5,$F28&gt;MAX('הנחות עבודה'!$B$69:$B$89)),0,(VLOOKUP($F28,'התפלגות ייצור וסל דלקים'!$B$64:$BV$84,AP$2-$E$2,FALSE))*$D$9*$D$8*(HLOOKUP(AP$23,$G$18:$R$19,2,FALSE)*(1-$D$12)^($F28-'הנחות עבודה'!$C$5)/$D$11)/$D$11)</f>
        <v>0</v>
      </c>
      <c r="AQ28" s="52">
        <f ca="1">IF(OR($F28&gt;$D$5,$F28&gt;MAX('הנחות עבודה'!$B$69:$B$89)),0,(VLOOKUP($F28,'התפלגות ייצור וסל דלקים'!$B$64:$BV$84,AQ$2-$E$2,FALSE))*$D$9*$D$8*(HLOOKUP(AQ$23,$G$18:$R$19,2,FALSE)*(1-$D$12)^($F28-'הנחות עבודה'!$C$5)/$D$11)/$D$11)</f>
        <v>0</v>
      </c>
      <c r="AR28" s="127">
        <f ca="1">IF(OR($F28&gt;$D$5,$F28&gt;MAX('הנחות עבודה'!$B$69:$B$89)),0,(VLOOKUP($F28,'התפלגות ייצור וסל דלקים'!$B$64:$BV$84,AR$2-$E$2,FALSE))*$D$9*$D$8*(HLOOKUP(AR$23,$G$18:$R$19,2,FALSE)*(1-$D$12)^($F28-'הנחות עבודה'!$C$5)/$D$11)/$D$11)</f>
        <v>0</v>
      </c>
      <c r="AS28" s="127">
        <f ca="1">IF(OR($F28&gt;$D$5,$F28&gt;MAX('הנחות עבודה'!$B$69:$B$89)),0,(VLOOKUP($F28,'התפלגות ייצור וסל דלקים'!$B$64:$BV$84,AS$2-$E$2,FALSE))*$D$9*$D$8*(HLOOKUP(AS$23,$G$18:$R$19,2,FALSE)*(1-$D$12)^($F28-'הנחות עבודה'!$C$5)/$D$11)/$D$11)</f>
        <v>0</v>
      </c>
      <c r="AT28" s="127">
        <f ca="1">IF(OR($F28&gt;$D$5,$F28&gt;MAX('הנחות עבודה'!$B$69:$B$89)),0,(VLOOKUP($F28,'התפלגות ייצור וסל דלקים'!$B$64:$BV$84,AT$2-$E$2,FALSE))*$D$9*$D$8*(HLOOKUP(AT$23,$G$18:$R$19,2,FALSE)*(1-$D$12)^($F28-'הנחות עבודה'!$C$5)/$D$11)/$D$11)</f>
        <v>0</v>
      </c>
      <c r="AU28" s="127">
        <f ca="1">IF(OR($F28&gt;$D$5,$F28&gt;MAX('הנחות עבודה'!$B$69:$B$89)),0,(VLOOKUP($F28,'התפלגות ייצור וסל דלקים'!$B$64:$BV$84,AU$2-$E$2,FALSE))*$D$9*$D$8*(HLOOKUP(AU$23,$G$18:$R$19,2,FALSE)*(1-$D$12)^($F28-'הנחות עבודה'!$C$5)/$D$11)/$D$11)</f>
        <v>0</v>
      </c>
      <c r="AV28" s="127">
        <f ca="1">IF(OR($F28&gt;$D$5,$F28&gt;MAX('הנחות עבודה'!$B$69:$B$89)),0,(VLOOKUP($F28,'התפלגות ייצור וסל דלקים'!$B$64:$BV$84,AV$2-$E$2,FALSE))*$D$9*$D$8*(HLOOKUP(AV$23,$G$18:$R$19,2,FALSE)*(1-$D$12)^($F28-'הנחות עבודה'!$C$5)/$D$11)/$D$11)</f>
        <v>0</v>
      </c>
      <c r="AW28" s="52">
        <f ca="1">IF(OR($F28&gt;$D$5,$F28&gt;MAX('הנחות עבודה'!$B$69:$B$89)),0,(VLOOKUP($F28,'התפלגות ייצור וסל דלקים'!$B$64:$BV$84,AW$2-$E$2,FALSE))*$D$9*$D$8*(HLOOKUP(AW$23,$G$18:$R$19,2,FALSE)*(1-$D$12)^($F28-'הנחות עבודה'!$C$5)/$D$11)/$D$11)</f>
        <v>6.1862879999999992E-4</v>
      </c>
      <c r="AX28" s="52">
        <f ca="1">IF(OR($F28&gt;$D$5,$F28&gt;MAX('הנחות עבודה'!$B$69:$B$89)),0,(VLOOKUP($F28,'התפלגות ייצור וסל דלקים'!$B$64:$BV$84,AX$2-$E$2,FALSE))*$D$9*$D$8*(HLOOKUP(AX$23,$G$18:$R$19,2,FALSE)*(1-$D$12)^($F28-'הנחות עבודה'!$C$5)/$D$11)/$D$11)</f>
        <v>9.0721477376000028E-3</v>
      </c>
      <c r="AY28" s="52">
        <f ca="1">IF(OR($F28&gt;$D$5,$F28&gt;MAX('הנחות עבודה'!$B$69:$B$89)),0,(VLOOKUP($F28,'התפלגות ייצור וסל דלקים'!$B$64:$BV$84,AY$2-$E$2,FALSE))*$D$9*$D$8*(HLOOKUP(AY$23,$G$18:$R$19,2,FALSE)*(1-$D$12)^($F28-'הנחות עבודה'!$C$5)/$D$11)/$D$11)</f>
        <v>0</v>
      </c>
      <c r="AZ28" s="52">
        <f ca="1">IF(OR($F28&gt;$D$5,$F28&gt;MAX('הנחות עבודה'!$B$69:$B$89)),0,(VLOOKUP($F28,'התפלגות ייצור וסל דלקים'!$B$64:$BV$84,AZ$2-$E$2,FALSE))*$D$9*$D$8*(HLOOKUP(AZ$23,$G$18:$R$19,2,FALSE)*(1-$D$12)^($F28-'הנחות עבודה'!$C$5)/$D$11)/$D$11)</f>
        <v>0</v>
      </c>
      <c r="BA28" s="52">
        <f ca="1">IF(OR($F28&gt;$D$5,$F28&gt;MAX('הנחות עבודה'!$B$69:$B$89)),0,(VLOOKUP($F28,'התפלגות ייצור וסל דלקים'!$B$64:$BV$84,BA$2-$E$2,FALSE))*$D$9*$D$8*(HLOOKUP(BA$23,$G$18:$R$19,2,FALSE)*(1-$D$12)^($F28-'הנחות עבודה'!$C$5)/$D$11)/$D$11)</f>
        <v>3.6773123174999997E-3</v>
      </c>
      <c r="BB28" s="52">
        <f ca="1">IF(OR($F28&gt;$D$5,$F28&gt;MAX('הנחות עבודה'!$B$69:$B$89)),0,(VLOOKUP($F28,'התפלגות ייצור וסל דלקים'!$B$64:$BV$84,BB$2-$E$2,FALSE))*$D$9*$D$8*(HLOOKUP(BB$23,$G$18:$R$19,2,FALSE)*(1-$D$12)^($F28-'הנחות עבודה'!$C$5)/$D$11)/$D$11)</f>
        <v>0</v>
      </c>
      <c r="BC28" s="42">
        <f ca="1">IF(OR($F28&gt;$D$5,$F28&gt;MAX('הנחות עבודה'!$B$69:$B$89)),0,(VLOOKUP($F28,'התפלגות ייצור וסל דלקים'!$B$64:$BV$84,BC$2-$E$2,FALSE))*$D$9*$D$8*(HLOOKUP(BC$23,$G$18:$R$19,2,FALSE)*(1-$D$12)^($F28-'הנחות עבודה'!$C$5)/$D$11)/$D$11)</f>
        <v>0</v>
      </c>
      <c r="BD28" s="44">
        <f ca="1">IF(OR($F28&gt;$D$5,$F28&gt;MAX('הנחות עבודה'!$B$69:$B$89)),0,(VLOOKUP($F28,'התפלגות ייצור וסל דלקים'!$B$64:$BV$84,BD$2-$E$2,FALSE))*$D$9*$D$8*(HLOOKUP(BD$23,$G$18:$R$19,2,FALSE)*(1-$D$12)^($F28-'הנחות עבודה'!$C$5)/$D$11)/$D$11)</f>
        <v>0</v>
      </c>
      <c r="BE28" s="44">
        <f ca="1">IF(OR($F28&gt;$D$5,$F28&gt;MAX('הנחות עבודה'!$B$69:$B$89)),0,(VLOOKUP($F28,'התפלגות ייצור וסל דלקים'!$B$64:$BV$84,BE$2-$E$2,FALSE))*$D$9*$D$8*(HLOOKUP(BE$23,$G$18:$R$19,2,FALSE)*(1-$D$12)^($F28-'הנחות עבודה'!$C$5)/$D$11)/$D$11)</f>
        <v>0</v>
      </c>
      <c r="BF28" s="44">
        <f ca="1">IF(OR($F28&gt;$D$5,$F28&gt;MAX('הנחות עבודה'!$B$69:$B$89)),0,(VLOOKUP($F28,'התפלגות ייצור וסל דלקים'!$B$64:$BV$84,BF$2-$E$2,FALSE))*$D$9*$D$8*(HLOOKUP(BF$23,$G$18:$R$19,2,FALSE)*(1-$D$12)^($F28-'הנחות עבודה'!$C$5)/$D$11)/$D$11)</f>
        <v>0</v>
      </c>
      <c r="BG28" s="44">
        <f ca="1">IF(OR($F28&gt;$D$5,$F28&gt;MAX('הנחות עבודה'!$B$69:$B$89)),0,(VLOOKUP($F28,'התפלגות ייצור וסל דלקים'!$B$64:$BV$84,BG$2-$E$2,FALSE))*$D$9*$D$8*(HLOOKUP(BG$23,$G$18:$R$19,2,FALSE)*(1-$D$12)^($F28-'הנחות עבודה'!$C$5)/$D$11)/$D$11)</f>
        <v>0</v>
      </c>
      <c r="BH28" s="44">
        <f ca="1">IF(OR($F28&gt;$D$5,$F28&gt;MAX('הנחות עבודה'!$B$69:$B$89)),0,(VLOOKUP($F28,'התפלגות ייצור וסל דלקים'!$B$64:$BV$84,BH$2-$E$2,FALSE))*$D$9*$D$8*(HLOOKUP(BH$23,$G$18:$R$19,2,FALSE)*(1-$D$12)^($F28-'הנחות עבודה'!$C$5)/$D$11)/$D$11)</f>
        <v>0</v>
      </c>
      <c r="BI28" s="42">
        <f ca="1">IF(OR($F28&gt;$D$5,$F28&gt;MAX('הנחות עבודה'!$B$69:$B$89)),0,(VLOOKUP($F28,'התפלגות ייצור וסל דלקים'!$B$64:$BV$84,BI$2-$E$2,FALSE))*$D$9*$D$8*(HLOOKUP(BI$23,$G$18:$R$19,2,FALSE)*(1-$D$12)^($F28-'הנחות עבודה'!$C$5)/$D$11)/$D$11)</f>
        <v>6.1534799999999983E-4</v>
      </c>
      <c r="BJ28" s="42">
        <f ca="1">IF(OR($F28&gt;$D$5,$F28&gt;MAX('הנחות עבודה'!$B$69:$B$89)),0,(VLOOKUP($F28,'התפלגות ייצור וסל דלקים'!$B$64:$BV$84,BJ$2-$E$2,FALSE))*$D$9*$D$8*(HLOOKUP(BJ$23,$G$18:$R$19,2,FALSE)*(1-$D$12)^($F28-'הנחות עבודה'!$C$5)/$D$11)/$D$11)</f>
        <v>8.8166165247999997E-3</v>
      </c>
      <c r="BK28" s="42">
        <f ca="1">IF(OR($F28&gt;$D$5,$F28&gt;MAX('הנחות עבודה'!$B$69:$B$89)),0,(VLOOKUP($F28,'התפלגות ייצור וסל דלקים'!$B$64:$BV$84,BK$2-$E$2,FALSE))*$D$9*$D$8*(HLOOKUP(BK$23,$G$18:$R$19,2,FALSE)*(1-$D$12)^($F28-'הנחות עבודה'!$C$5)/$D$11)/$D$11)</f>
        <v>0</v>
      </c>
      <c r="BL28" s="42">
        <f ca="1">IF(OR($F28&gt;$D$5,$F28&gt;MAX('הנחות עבודה'!$B$69:$B$89)),0,(VLOOKUP($F28,'התפלגות ייצור וסל דלקים'!$B$64:$BV$84,BL$2-$E$2,FALSE))*$D$9*$D$8*(HLOOKUP(BL$23,$G$18:$R$19,2,FALSE)*(1-$D$12)^($F28-'הנחות עבודה'!$C$5)/$D$11)/$D$11)</f>
        <v>0</v>
      </c>
      <c r="BM28" s="42">
        <f ca="1">IF(OR($F28&gt;$D$5,$F28&gt;MAX('הנחות עבודה'!$B$69:$B$89)),0,(VLOOKUP($F28,'התפלגות ייצור וסל דלקים'!$B$64:$BV$84,BM$2-$E$2,FALSE))*$D$9*$D$8*(HLOOKUP(BM$23,$G$18:$R$19,2,FALSE)*(1-$D$12)^($F28-'הנחות עבודה'!$C$5)/$D$11)/$D$11)</f>
        <v>3.6754182849999999E-3</v>
      </c>
      <c r="BN28" s="42">
        <f ca="1">IF(OR($F28&gt;$D$5,$F28&gt;MAX('הנחות עבודה'!$B$69:$B$89)),0,(VLOOKUP($F28,'התפלגות ייצור וסל דלקים'!$B$64:$BV$84,BN$2-$E$2,FALSE))*$D$9*$D$8*(HLOOKUP(BN$23,$G$18:$R$19,2,FALSE)*(1-$D$12)^($F28-'הנחות עבודה'!$C$5)/$D$11)/$D$11)</f>
        <v>0</v>
      </c>
      <c r="BO28" s="52">
        <f ca="1">IF(OR($F28&gt;$D$5,$F28&gt;MAX('הנחות עבודה'!$B$69:$B$89)),0,(VLOOKUP($F28,'התפלגות ייצור וסל דלקים'!$B$64:$BV$84,BO$2-$E$2,FALSE))*$D$9*$D$8*(HLOOKUP(BO$23,$G$18:$R$19,2,FALSE)*(1-$D$12)^($F28-'הנחות עבודה'!$C$5)/$D$11)/$D$11)</f>
        <v>0</v>
      </c>
      <c r="BP28" s="127">
        <f ca="1">IF(OR($F28&gt;$D$5,$F28&gt;MAX('הנחות עבודה'!$B$69:$B$89)),0,(VLOOKUP($F28,'התפלגות ייצור וסל דלקים'!$B$64:$BV$84,BP$2-$E$2,FALSE))*$D$9*$D$8*(HLOOKUP(BP$23,$G$18:$R$19,2,FALSE)*(1-$D$12)^($F28-'הנחות עבודה'!$C$5)/$D$11)/$D$11)</f>
        <v>0</v>
      </c>
      <c r="BQ28" s="127">
        <f ca="1">IF(OR($F28&gt;$D$5,$F28&gt;MAX('הנחות עבודה'!$B$69:$B$89)),0,(VLOOKUP($F28,'התפלגות ייצור וסל דלקים'!$B$64:$BV$84,BQ$2-$E$2,FALSE))*$D$9*$D$8*(HLOOKUP(BQ$23,$G$18:$R$19,2,FALSE)*(1-$D$12)^($F28-'הנחות עבודה'!$C$5)/$D$11)/$D$11)</f>
        <v>0</v>
      </c>
      <c r="BR28" s="127">
        <f ca="1">IF(OR($F28&gt;$D$5,$F28&gt;MAX('הנחות עבודה'!$B$69:$B$89)),0,(VLOOKUP($F28,'התפלגות ייצור וסל דלקים'!$B$64:$BV$84,BR$2-$E$2,FALSE))*$D$9*$D$8*(HLOOKUP(BR$23,$G$18:$R$19,2,FALSE)*(1-$D$12)^($F28-'הנחות עבודה'!$C$5)/$D$11)/$D$11)</f>
        <v>0</v>
      </c>
      <c r="BS28" s="127">
        <f ca="1">IF(OR($F28&gt;$D$5,$F28&gt;MAX('הנחות עבודה'!$B$69:$B$89)),0,(VLOOKUP($F28,'התפלגות ייצור וסל דלקים'!$B$64:$BV$84,BS$2-$E$2,FALSE))*$D$9*$D$8*(HLOOKUP(BS$23,$G$18:$R$19,2,FALSE)*(1-$D$12)^($F28-'הנחות עבודה'!$C$5)/$D$11)/$D$11)</f>
        <v>0</v>
      </c>
      <c r="BT28" s="127">
        <f ca="1">IF(OR($F28&gt;$D$5,$F28&gt;MAX('הנחות עבודה'!$B$69:$B$89)),0,(VLOOKUP($F28,'התפלגות ייצור וסל דלקים'!$B$64:$BV$84,BT$2-$E$2,FALSE))*$D$9*$D$8*(HLOOKUP(BT$23,$G$18:$R$19,2,FALSE)*(1-$D$12)^($F28-'הנחות עבודה'!$C$5)/$D$11)/$D$11)</f>
        <v>0</v>
      </c>
      <c r="BU28" s="52">
        <f ca="1">IF(OR($F28&gt;$D$5,$F28&gt;MAX('הנחות עבודה'!$B$69:$B$89)),0,(VLOOKUP($F28,'התפלגות ייצור וסל דלקים'!$B$64:$BV$84,BU$2-$E$2,FALSE))*$D$9*$D$8*(HLOOKUP(BU$23,$G$18:$R$19,2,FALSE)*(1-$D$12)^($F28-'הנחות עבודה'!$C$5)/$D$11)/$D$11)</f>
        <v>6.1534799999999983E-4</v>
      </c>
      <c r="BV28" s="52">
        <f ca="1">IF(OR($F28&gt;$D$5,$F28&gt;MAX('הנחות עבודה'!$B$69:$B$89)),0,(VLOOKUP($F28,'התפלגות ייצור וסל דלקים'!$B$64:$BV$84,BV$2-$E$2,FALSE))*$D$9*$D$8*(HLOOKUP(BV$23,$G$18:$R$19,2,FALSE)*(1-$D$12)^($F28-'הנחות עבודה'!$C$5)/$D$11)/$D$11)</f>
        <v>8.8166165247999997E-3</v>
      </c>
      <c r="BW28" s="52">
        <f ca="1">IF(OR($F28&gt;$D$5,$F28&gt;MAX('הנחות עבודה'!$B$69:$B$89)),0,(VLOOKUP($F28,'התפלגות ייצור וסל דלקים'!$B$64:$BV$84,BW$2-$E$2,FALSE))*$D$9*$D$8*(HLOOKUP(BW$23,$G$18:$R$19,2,FALSE)*(1-$D$12)^($F28-'הנחות עבודה'!$C$5)/$D$11)/$D$11)</f>
        <v>0</v>
      </c>
      <c r="BX28" s="52">
        <f ca="1">IF(OR($F28&gt;$D$5,$F28&gt;MAX('הנחות עבודה'!$B$69:$B$89)),0,(VLOOKUP($F28,'התפלגות ייצור וסל דלקים'!$B$64:$BV$84,BX$2-$E$2,FALSE))*$D$9*$D$8*(HLOOKUP(BX$23,$G$18:$R$19,2,FALSE)*(1-$D$12)^($F28-'הנחות עבודה'!$C$5)/$D$11)/$D$11)</f>
        <v>0</v>
      </c>
      <c r="BY28" s="52">
        <f ca="1">IF(OR($F28&gt;$D$5,$F28&gt;MAX('הנחות עבודה'!$B$69:$B$89)),0,(VLOOKUP($F28,'התפלגות ייצור וסל דלקים'!$B$64:$BV$84,BY$2-$E$2,FALSE))*$D$9*$D$8*(HLOOKUP(BY$23,$G$18:$R$19,2,FALSE)*(1-$D$12)^($F28-'הנחות עבודה'!$C$5)/$D$11)/$D$11)</f>
        <v>3.6754182849999999E-3</v>
      </c>
      <c r="BZ28" s="52">
        <f ca="1">IF(OR($F28&gt;$D$5,$F28&gt;MAX('הנחות עבודה'!$B$69:$B$89)),0,(VLOOKUP($F28,'התפלגות ייצור וסל דלקים'!$B$64:$BV$84,BZ$2-$E$2,FALSE))*$D$9*$D$8*(HLOOKUP(BZ$23,$G$18:$R$19,2,FALSE)*(1-$D$12)^($F28-'הנחות עבודה'!$C$5)/$D$11)/$D$11)</f>
        <v>0</v>
      </c>
    </row>
    <row r="29" spans="6:78" ht="15.75">
      <c r="F29" s="10">
        <f t="shared" si="110"/>
        <v>2025</v>
      </c>
      <c r="G29" s="42">
        <f ca="1">IF(OR($F29&gt;$D$5,$F29&gt;MAX('הנחות עבודה'!$B$69:$B$89)),0,(VLOOKUP($F29,'התפלגות ייצור וסל דלקים'!$B$64:$BV$84,G$2-$E$2,FALSE))*$D$9*$D$8*(HLOOKUP(G$23,$G$18:$R$19,2,FALSE)*(1-$D$12)^($F29-'הנחות עבודה'!$C$5)/$D$11)/$D$11)</f>
        <v>0</v>
      </c>
      <c r="H29" s="44">
        <f ca="1">IF(OR($F29&gt;$D$5,$F29&gt;MAX('הנחות עבודה'!$B$69:$B$89)),0,(VLOOKUP($F29,'התפלגות ייצור וסל דלקים'!$B$64:$BV$84,H$2-$E$2,FALSE))*$D$9*$D$8*(HLOOKUP(H$23,$G$18:$R$19,2,FALSE)*(1-$D$12)^($F29-'הנחות עבודה'!$C$5)/$D$11)/$D$11)</f>
        <v>0</v>
      </c>
      <c r="I29" s="44">
        <f ca="1">IF(OR($F29&gt;$D$5,$F29&gt;MAX('הנחות עבודה'!$B$69:$B$89)),0,(VLOOKUP($F29,'התפלגות ייצור וסל דלקים'!$B$64:$BV$84,I$2-$E$2,FALSE))*$D$9*$D$8*(HLOOKUP(I$23,$G$18:$R$19,2,FALSE)*(1-$D$12)^($F29-'הנחות עבודה'!$C$5)/$D$11)/$D$11)</f>
        <v>0</v>
      </c>
      <c r="J29" s="44">
        <f ca="1">IF(OR($F29&gt;$D$5,$F29&gt;MAX('הנחות עבודה'!$B$69:$B$89)),0,(VLOOKUP($F29,'התפלגות ייצור וסל דלקים'!$B$64:$BV$84,J$2-$E$2,FALSE))*$D$9*$D$8*(HLOOKUP(J$23,$G$18:$R$19,2,FALSE)*(1-$D$12)^($F29-'הנחות עבודה'!$C$5)/$D$11)/$D$11)</f>
        <v>0</v>
      </c>
      <c r="K29" s="44">
        <f ca="1">IF(OR($F29&gt;$D$5,$F29&gt;MAX('הנחות עבודה'!$B$69:$B$89)),0,(VLOOKUP($F29,'התפלגות ייצור וסל דלקים'!$B$64:$BV$84,K$2-$E$2,FALSE))*$D$9*$D$8*(HLOOKUP(K$23,$G$18:$R$19,2,FALSE)*(1-$D$12)^($F29-'הנחות עבודה'!$C$5)/$D$11)/$D$11)</f>
        <v>0</v>
      </c>
      <c r="L29" s="44">
        <f ca="1">IF(OR($F29&gt;$D$5,$F29&gt;MAX('הנחות עבודה'!$B$69:$B$89)),0,(VLOOKUP($F29,'התפלגות ייצור וסל דלקים'!$B$64:$BV$84,L$2-$E$2,FALSE))*$D$9*$D$8*(HLOOKUP(L$23,$G$18:$R$19,2,FALSE)*(1-$D$12)^($F29-'הנחות עבודה'!$C$5)/$D$11)/$D$11)</f>
        <v>0</v>
      </c>
      <c r="M29" s="42">
        <f ca="1">IF(OR($F29&gt;$D$5,$F29&gt;MAX('הנחות עבודה'!$B$69:$B$89)),0,(VLOOKUP($F29,'התפלגות ייצור וסל דלקים'!$B$64:$BV$84,M$2-$E$2,FALSE))*$D$9*$D$8*(HLOOKUP(M$23,$G$18:$R$19,2,FALSE)*(1-$D$12)^($F29-'הנחות עבודה'!$C$5)/$D$11)/$D$11)</f>
        <v>2.2197575999999999E-3</v>
      </c>
      <c r="N29" s="42">
        <f ca="1">IF(OR($F29&gt;$D$5,$F29&gt;MAX('הנחות עבודה'!$B$69:$B$89)),0,(VLOOKUP($F29,'התפלגות ייצור וסל דלקים'!$B$64:$BV$84,N$2-$E$2,FALSE))*$D$9*$D$8*(HLOOKUP(N$23,$G$18:$R$19,2,FALSE)*(1-$D$12)^($F29-'הנחות עבודה'!$C$5)/$D$11)/$D$11)</f>
        <v>9.8271189376000021E-3</v>
      </c>
      <c r="O29" s="42">
        <f ca="1">IF(OR($F29&gt;$D$5,$F29&gt;MAX('הנחות עבודה'!$B$69:$B$89)),0,(VLOOKUP($F29,'התפלגות ייצור וסל דלקים'!$B$64:$BV$84,O$2-$E$2,FALSE))*$D$9*$D$8*(HLOOKUP(O$23,$G$18:$R$19,2,FALSE)*(1-$D$12)^($F29-'הנחות עבודה'!$C$5)/$D$11)/$D$11)</f>
        <v>0</v>
      </c>
      <c r="P29" s="42">
        <f ca="1">IF(OR($F29&gt;$D$5,$F29&gt;MAX('הנחות עבודה'!$B$69:$B$89)),0,(VLOOKUP($F29,'התפלגות ייצור וסל דלקים'!$B$64:$BV$84,P$2-$E$2,FALSE))*$D$9*$D$8*(HLOOKUP(P$23,$G$18:$R$19,2,FALSE)*(1-$D$12)^($F29-'הנחות עבודה'!$C$5)/$D$11)/$D$11)</f>
        <v>0</v>
      </c>
      <c r="Q29" s="42">
        <f ca="1">IF(OR($F29&gt;$D$5,$F29&gt;MAX('הנחות עבודה'!$B$69:$B$89)),0,(VLOOKUP($F29,'התפלגות ייצור וסל דלקים'!$B$64:$BV$84,Q$2-$E$2,FALSE))*$D$9*$D$8*(HLOOKUP(Q$23,$G$18:$R$19,2,FALSE)*(1-$D$12)^($F29-'הנחות עבודה'!$C$5)/$D$11)/$D$11)</f>
        <v>1.0685352149999998E-3</v>
      </c>
      <c r="R29" s="42">
        <f ca="1">IF(OR($F29&gt;$D$5,$F29&gt;MAX('הנחות עבודה'!$B$69:$B$89)),0,(VLOOKUP($F29,'התפלגות ייצור וסל דלקים'!$B$64:$BV$84,R$2-$E$2,FALSE))*$D$9*$D$8*(HLOOKUP(R$23,$G$18:$R$19,2,FALSE)*(1-$D$12)^($F29-'הנחות עבודה'!$C$5)/$D$11)/$D$11)</f>
        <v>0</v>
      </c>
      <c r="S29" s="52">
        <f ca="1">IF(OR($F29&gt;$D$5,$F29&gt;MAX('הנחות עבודה'!$B$69:$B$89)),0,(VLOOKUP($F29,'התפלגות ייצור וסל דלקים'!$B$64:$BV$84,S$2-$E$2,FALSE))*$D$9*$D$8*(HLOOKUP(S$23,$G$18:$R$19,2,FALSE)*(1-$D$12)^($F29-'הנחות עבודה'!$C$5)/$D$11)/$D$11)</f>
        <v>0</v>
      </c>
      <c r="T29" s="127">
        <f ca="1">IF(OR($F29&gt;$D$5,$F29&gt;MAX('הנחות עבודה'!$B$69:$B$89)),0,(VLOOKUP($F29,'התפלגות ייצור וסל דלקים'!$B$64:$BV$84,T$2-$E$2,FALSE))*$D$9*$D$8*(HLOOKUP(T$23,$G$18:$R$19,2,FALSE)*(1-$D$12)^($F29-'הנחות עבודה'!$C$5)/$D$11)/$D$11)</f>
        <v>0</v>
      </c>
      <c r="U29" s="127">
        <f ca="1">IF(OR($F29&gt;$D$5,$F29&gt;MAX('הנחות עבודה'!$B$69:$B$89)),0,(VLOOKUP($F29,'התפלגות ייצור וסל דלקים'!$B$64:$BV$84,U$2-$E$2,FALSE))*$D$9*$D$8*(HLOOKUP(U$23,$G$18:$R$19,2,FALSE)*(1-$D$12)^($F29-'הנחות עבודה'!$C$5)/$D$11)/$D$11)</f>
        <v>0</v>
      </c>
      <c r="V29" s="127">
        <f ca="1">IF(OR($F29&gt;$D$5,$F29&gt;MAX('הנחות עבודה'!$B$69:$B$89)),0,(VLOOKUP($F29,'התפלגות ייצור וסל דלקים'!$B$64:$BV$84,V$2-$E$2,FALSE))*$D$9*$D$8*(HLOOKUP(V$23,$G$18:$R$19,2,FALSE)*(1-$D$12)^($F29-'הנחות עבודה'!$C$5)/$D$11)/$D$11)</f>
        <v>0</v>
      </c>
      <c r="W29" s="127">
        <f ca="1">IF(OR($F29&gt;$D$5,$F29&gt;MAX('הנחות עבודה'!$B$69:$B$89)),0,(VLOOKUP($F29,'התפלגות ייצור וסל דלקים'!$B$64:$BV$84,W$2-$E$2,FALSE))*$D$9*$D$8*(HLOOKUP(W$23,$G$18:$R$19,2,FALSE)*(1-$D$12)^($F29-'הנחות עבודה'!$C$5)/$D$11)/$D$11)</f>
        <v>0</v>
      </c>
      <c r="X29" s="127">
        <f ca="1">IF(OR($F29&gt;$D$5,$F29&gt;MAX('הנחות עבודה'!$B$69:$B$89)),0,(VLOOKUP($F29,'התפלגות ייצור וסל דלקים'!$B$64:$BV$84,X$2-$E$2,FALSE))*$D$9*$D$8*(HLOOKUP(X$23,$G$18:$R$19,2,FALSE)*(1-$D$12)^($F29-'הנחות עבודה'!$C$5)/$D$11)/$D$11)</f>
        <v>0</v>
      </c>
      <c r="Y29" s="52">
        <f ca="1">IF(OR($F29&gt;$D$5,$F29&gt;MAX('הנחות עבודה'!$B$69:$B$89)),0,(VLOOKUP($F29,'התפלגות ייצור וסל דלקים'!$B$64:$BV$84,Y$2-$E$2,FALSE))*$D$9*$D$8*(HLOOKUP(Y$23,$G$18:$R$19,2,FALSE)*(1-$D$12)^($F29-'הנחות עבודה'!$C$5)/$D$11)/$D$11)</f>
        <v>2.2197575999999999E-3</v>
      </c>
      <c r="Z29" s="52">
        <f ca="1">IF(OR($F29&gt;$D$5,$F29&gt;MAX('הנחות עבודה'!$B$69:$B$89)),0,(VLOOKUP($F29,'התפלגות ייצור וסל דלקים'!$B$64:$BV$84,Z$2-$E$2,FALSE))*$D$9*$D$8*(HLOOKUP(Z$23,$G$18:$R$19,2,FALSE)*(1-$D$12)^($F29-'הנחות עבודה'!$C$5)/$D$11)/$D$11)</f>
        <v>9.8271189376000021E-3</v>
      </c>
      <c r="AA29" s="52">
        <f ca="1">IF(OR($F29&gt;$D$5,$F29&gt;MAX('הנחות עבודה'!$B$69:$B$89)),0,(VLOOKUP($F29,'התפלגות ייצור וסל דלקים'!$B$64:$BV$84,AA$2-$E$2,FALSE))*$D$9*$D$8*(HLOOKUP(AA$23,$G$18:$R$19,2,FALSE)*(1-$D$12)^($F29-'הנחות עבודה'!$C$5)/$D$11)/$D$11)</f>
        <v>0</v>
      </c>
      <c r="AB29" s="52">
        <f ca="1">IF(OR($F29&gt;$D$5,$F29&gt;MAX('הנחות עבודה'!$B$69:$B$89)),0,(VLOOKUP($F29,'התפלגות ייצור וסל דלקים'!$B$64:$BV$84,AB$2-$E$2,FALSE))*$D$9*$D$8*(HLOOKUP(AB$23,$G$18:$R$19,2,FALSE)*(1-$D$12)^($F29-'הנחות עבודה'!$C$5)/$D$11)/$D$11)</f>
        <v>0</v>
      </c>
      <c r="AC29" s="52">
        <f ca="1">IF(OR($F29&gt;$D$5,$F29&gt;MAX('הנחות עבודה'!$B$69:$B$89)),0,(VLOOKUP($F29,'התפלגות ייצור וסל דלקים'!$B$64:$BV$84,AC$2-$E$2,FALSE))*$D$9*$D$8*(HLOOKUP(AC$23,$G$18:$R$19,2,FALSE)*(1-$D$12)^($F29-'הנחות עבודה'!$C$5)/$D$11)/$D$11)</f>
        <v>1.0685352149999998E-3</v>
      </c>
      <c r="AD29" s="52">
        <f ca="1">IF(OR($F29&gt;$D$5,$F29&gt;MAX('הנחות עבודה'!$B$69:$B$89)),0,(VLOOKUP($F29,'התפלגות ייצור וסל דלקים'!$B$64:$BV$84,AD$2-$E$2,FALSE))*$D$9*$D$8*(HLOOKUP(AD$23,$G$18:$R$19,2,FALSE)*(1-$D$12)^($F29-'הנחות עבודה'!$C$5)/$D$11)/$D$11)</f>
        <v>0</v>
      </c>
      <c r="AE29" s="42">
        <f ca="1">IF(OR($F29&gt;$D$5,$F29&gt;MAX('הנחות עבודה'!$B$69:$B$89)),0,(VLOOKUP($F29,'התפלגות ייצור וסל דלקים'!$B$64:$BV$84,AE$2-$E$2,FALSE))*$D$9*$D$8*(HLOOKUP(AE$23,$G$18:$R$19,2,FALSE)*(1-$D$12)^($F29-'הנחות עבודה'!$C$5)/$D$11)/$D$11)</f>
        <v>0</v>
      </c>
      <c r="AF29" s="44">
        <f ca="1">IF(OR($F29&gt;$D$5,$F29&gt;MAX('הנחות עבודה'!$B$69:$B$89)),0,(VLOOKUP($F29,'התפלגות ייצור וסל דלקים'!$B$64:$BV$84,AF$2-$E$2,FALSE))*$D$9*$D$8*(HLOOKUP(AF$23,$G$18:$R$19,2,FALSE)*(1-$D$12)^($F29-'הנחות עבודה'!$C$5)/$D$11)/$D$11)</f>
        <v>0</v>
      </c>
      <c r="AG29" s="44">
        <f ca="1">IF(OR($F29&gt;$D$5,$F29&gt;MAX('הנחות עבודה'!$B$69:$B$89)),0,(VLOOKUP($F29,'התפלגות ייצור וסל דלקים'!$B$64:$BV$84,AG$2-$E$2,FALSE))*$D$9*$D$8*(HLOOKUP(AG$23,$G$18:$R$19,2,FALSE)*(1-$D$12)^($F29-'הנחות עבודה'!$C$5)/$D$11)/$D$11)</f>
        <v>0</v>
      </c>
      <c r="AH29" s="44">
        <f ca="1">IF(OR($F29&gt;$D$5,$F29&gt;MAX('הנחות עבודה'!$B$69:$B$89)),0,(VLOOKUP($F29,'התפלגות ייצור וסל דלקים'!$B$64:$BV$84,AH$2-$E$2,FALSE))*$D$9*$D$8*(HLOOKUP(AH$23,$G$18:$R$19,2,FALSE)*(1-$D$12)^($F29-'הנחות עבודה'!$C$5)/$D$11)/$D$11)</f>
        <v>0</v>
      </c>
      <c r="AI29" s="44">
        <f ca="1">IF(OR($F29&gt;$D$5,$F29&gt;MAX('הנחות עבודה'!$B$69:$B$89)),0,(VLOOKUP($F29,'התפלגות ייצור וסל דלקים'!$B$64:$BV$84,AI$2-$E$2,FALSE))*$D$9*$D$8*(HLOOKUP(AI$23,$G$18:$R$19,2,FALSE)*(1-$D$12)^($F29-'הנחות עבודה'!$C$5)/$D$11)/$D$11)</f>
        <v>0</v>
      </c>
      <c r="AJ29" s="44">
        <f ca="1">IF(OR($F29&gt;$D$5,$F29&gt;MAX('הנחות עבודה'!$B$69:$B$89)),0,(VLOOKUP($F29,'התפלגות ייצור וסל דלקים'!$B$64:$BV$84,AJ$2-$E$2,FALSE))*$D$9*$D$8*(HLOOKUP(AJ$23,$G$18:$R$19,2,FALSE)*(1-$D$12)^($F29-'הנחות עבודה'!$C$5)/$D$11)/$D$11)</f>
        <v>0</v>
      </c>
      <c r="AK29" s="42">
        <f ca="1">IF(OR($F29&gt;$D$5,$F29&gt;MAX('הנחות עבודה'!$B$69:$B$89)),0,(VLOOKUP($F29,'התפלגות ייצור וסל דלקים'!$B$64:$BV$84,AK$2-$E$2,FALSE))*$D$9*$D$8*(HLOOKUP(AK$23,$G$18:$R$19,2,FALSE)*(1-$D$12)^($F29-'הנחות עבודה'!$C$5)/$D$11)/$D$11)</f>
        <v>2.1392087999999995E-3</v>
      </c>
      <c r="AL29" s="42">
        <f ca="1">IF(OR($F29&gt;$D$5,$F29&gt;MAX('הנחות עבודה'!$B$69:$B$89)),0,(VLOOKUP($F29,'התפלגות ייצור וסל דלקים'!$B$64:$BV$84,AL$2-$E$2,FALSE))*$D$9*$D$8*(HLOOKUP(AL$23,$G$18:$R$19,2,FALSE)*(1-$D$12)^($F29-'הנחות עבודה'!$C$5)/$D$11)/$D$11)</f>
        <v>9.2712712960000034E-3</v>
      </c>
      <c r="AM29" s="42">
        <f ca="1">IF(OR($F29&gt;$D$5,$F29&gt;MAX('הנחות עבודה'!$B$69:$B$89)),0,(VLOOKUP($F29,'התפלגות ייצור וסל דלקים'!$B$64:$BV$84,AM$2-$E$2,FALSE))*$D$9*$D$8*(HLOOKUP(AM$23,$G$18:$R$19,2,FALSE)*(1-$D$12)^($F29-'הנחות עבודה'!$C$5)/$D$11)/$D$11)</f>
        <v>0</v>
      </c>
      <c r="AN29" s="42">
        <f ca="1">IF(OR($F29&gt;$D$5,$F29&gt;MAX('הנחות עבודה'!$B$69:$B$89)),0,(VLOOKUP($F29,'התפלגות ייצור וסל דלקים'!$B$64:$BV$84,AN$2-$E$2,FALSE))*$D$9*$D$8*(HLOOKUP(AN$23,$G$18:$R$19,2,FALSE)*(1-$D$12)^($F29-'הנחות עבודה'!$C$5)/$D$11)/$D$11)</f>
        <v>0</v>
      </c>
      <c r="AO29" s="42">
        <f ca="1">IF(OR($F29&gt;$D$5,$F29&gt;MAX('הנחות עבודה'!$B$69:$B$89)),0,(VLOOKUP($F29,'התפלגות ייצור וסל דלקים'!$B$64:$BV$84,AO$2-$E$2,FALSE))*$D$9*$D$8*(HLOOKUP(AO$23,$G$18:$R$19,2,FALSE)*(1-$D$12)^($F29-'הנחות עבודה'!$C$5)/$D$11)/$D$11)</f>
        <v>1.0669189225E-3</v>
      </c>
      <c r="AP29" s="42">
        <f ca="1">IF(OR($F29&gt;$D$5,$F29&gt;MAX('הנחות עבודה'!$B$69:$B$89)),0,(VLOOKUP($F29,'התפלגות ייצור וסל דלקים'!$B$64:$BV$84,AP$2-$E$2,FALSE))*$D$9*$D$8*(HLOOKUP(AP$23,$G$18:$R$19,2,FALSE)*(1-$D$12)^($F29-'הנחות עבודה'!$C$5)/$D$11)/$D$11)</f>
        <v>0</v>
      </c>
      <c r="AQ29" s="52">
        <f ca="1">IF(OR($F29&gt;$D$5,$F29&gt;MAX('הנחות עבודה'!$B$69:$B$89)),0,(VLOOKUP($F29,'התפלגות ייצור וסל דלקים'!$B$64:$BV$84,AQ$2-$E$2,FALSE))*$D$9*$D$8*(HLOOKUP(AQ$23,$G$18:$R$19,2,FALSE)*(1-$D$12)^($F29-'הנחות עבודה'!$C$5)/$D$11)/$D$11)</f>
        <v>0</v>
      </c>
      <c r="AR29" s="127">
        <f ca="1">IF(OR($F29&gt;$D$5,$F29&gt;MAX('הנחות עבודה'!$B$69:$B$89)),0,(VLOOKUP($F29,'התפלגות ייצור וסל דלקים'!$B$64:$BV$84,AR$2-$E$2,FALSE))*$D$9*$D$8*(HLOOKUP(AR$23,$G$18:$R$19,2,FALSE)*(1-$D$12)^($F29-'הנחות עבודה'!$C$5)/$D$11)/$D$11)</f>
        <v>0</v>
      </c>
      <c r="AS29" s="127">
        <f ca="1">IF(OR($F29&gt;$D$5,$F29&gt;MAX('הנחות עבודה'!$B$69:$B$89)),0,(VLOOKUP($F29,'התפלגות ייצור וסל דלקים'!$B$64:$BV$84,AS$2-$E$2,FALSE))*$D$9*$D$8*(HLOOKUP(AS$23,$G$18:$R$19,2,FALSE)*(1-$D$12)^($F29-'הנחות עבודה'!$C$5)/$D$11)/$D$11)</f>
        <v>0</v>
      </c>
      <c r="AT29" s="127">
        <f ca="1">IF(OR($F29&gt;$D$5,$F29&gt;MAX('הנחות עבודה'!$B$69:$B$89)),0,(VLOOKUP($F29,'התפלגות ייצור וסל דלקים'!$B$64:$BV$84,AT$2-$E$2,FALSE))*$D$9*$D$8*(HLOOKUP(AT$23,$G$18:$R$19,2,FALSE)*(1-$D$12)^($F29-'הנחות עבודה'!$C$5)/$D$11)/$D$11)</f>
        <v>0</v>
      </c>
      <c r="AU29" s="127">
        <f ca="1">IF(OR($F29&gt;$D$5,$F29&gt;MAX('הנחות עבודה'!$B$69:$B$89)),0,(VLOOKUP($F29,'התפלגות ייצור וסל דלקים'!$B$64:$BV$84,AU$2-$E$2,FALSE))*$D$9*$D$8*(HLOOKUP(AU$23,$G$18:$R$19,2,FALSE)*(1-$D$12)^($F29-'הנחות עבודה'!$C$5)/$D$11)/$D$11)</f>
        <v>0</v>
      </c>
      <c r="AV29" s="127">
        <f ca="1">IF(OR($F29&gt;$D$5,$F29&gt;MAX('הנחות עבודה'!$B$69:$B$89)),0,(VLOOKUP($F29,'התפלגות ייצור וסל דלקים'!$B$64:$BV$84,AV$2-$E$2,FALSE))*$D$9*$D$8*(HLOOKUP(AV$23,$G$18:$R$19,2,FALSE)*(1-$D$12)^($F29-'הנחות עבודה'!$C$5)/$D$11)/$D$11)</f>
        <v>0</v>
      </c>
      <c r="AW29" s="52">
        <f ca="1">IF(OR($F29&gt;$D$5,$F29&gt;MAX('הנחות עבודה'!$B$69:$B$89)),0,(VLOOKUP($F29,'התפלגות ייצור וסל דלקים'!$B$64:$BV$84,AW$2-$E$2,FALSE))*$D$9*$D$8*(HLOOKUP(AW$23,$G$18:$R$19,2,FALSE)*(1-$D$12)^($F29-'הנחות עבודה'!$C$5)/$D$11)/$D$11)</f>
        <v>2.1392087999999995E-3</v>
      </c>
      <c r="AX29" s="52">
        <f ca="1">IF(OR($F29&gt;$D$5,$F29&gt;MAX('הנחות עבודה'!$B$69:$B$89)),0,(VLOOKUP($F29,'התפלגות ייצור וסל דלקים'!$B$64:$BV$84,AX$2-$E$2,FALSE))*$D$9*$D$8*(HLOOKUP(AX$23,$G$18:$R$19,2,FALSE)*(1-$D$12)^($F29-'הנחות עבודה'!$C$5)/$D$11)/$D$11)</f>
        <v>9.2712712960000034E-3</v>
      </c>
      <c r="AY29" s="52">
        <f ca="1">IF(OR($F29&gt;$D$5,$F29&gt;MAX('הנחות עבודה'!$B$69:$B$89)),0,(VLOOKUP($F29,'התפלגות ייצור וסל דלקים'!$B$64:$BV$84,AY$2-$E$2,FALSE))*$D$9*$D$8*(HLOOKUP(AY$23,$G$18:$R$19,2,FALSE)*(1-$D$12)^($F29-'הנחות עבודה'!$C$5)/$D$11)/$D$11)</f>
        <v>0</v>
      </c>
      <c r="AZ29" s="52">
        <f ca="1">IF(OR($F29&gt;$D$5,$F29&gt;MAX('הנחות עבודה'!$B$69:$B$89)),0,(VLOOKUP($F29,'התפלגות ייצור וסל דלקים'!$B$64:$BV$84,AZ$2-$E$2,FALSE))*$D$9*$D$8*(HLOOKUP(AZ$23,$G$18:$R$19,2,FALSE)*(1-$D$12)^($F29-'הנחות עבודה'!$C$5)/$D$11)/$D$11)</f>
        <v>0</v>
      </c>
      <c r="BA29" s="52">
        <f ca="1">IF(OR($F29&gt;$D$5,$F29&gt;MAX('הנחות עבודה'!$B$69:$B$89)),0,(VLOOKUP($F29,'התפלגות ייצור וסל דלקים'!$B$64:$BV$84,BA$2-$E$2,FALSE))*$D$9*$D$8*(HLOOKUP(BA$23,$G$18:$R$19,2,FALSE)*(1-$D$12)^($F29-'הנחות עבודה'!$C$5)/$D$11)/$D$11)</f>
        <v>1.0669189225E-3</v>
      </c>
      <c r="BB29" s="52">
        <f ca="1">IF(OR($F29&gt;$D$5,$F29&gt;MAX('הנחות עבודה'!$B$69:$B$89)),0,(VLOOKUP($F29,'התפלגות ייצור וסל דלקים'!$B$64:$BV$84,BB$2-$E$2,FALSE))*$D$9*$D$8*(HLOOKUP(BB$23,$G$18:$R$19,2,FALSE)*(1-$D$12)^($F29-'הנחות עבודה'!$C$5)/$D$11)/$D$11)</f>
        <v>0</v>
      </c>
      <c r="BC29" s="42">
        <f ca="1">IF(OR($F29&gt;$D$5,$F29&gt;MAX('הנחות עבודה'!$B$69:$B$89)),0,(VLOOKUP($F29,'התפלגות ייצור וסל דלקים'!$B$64:$BV$84,BC$2-$E$2,FALSE))*$D$9*$D$8*(HLOOKUP(BC$23,$G$18:$R$19,2,FALSE)*(1-$D$12)^($F29-'הנחות עבודה'!$C$5)/$D$11)/$D$11)</f>
        <v>0</v>
      </c>
      <c r="BD29" s="44">
        <f ca="1">IF(OR($F29&gt;$D$5,$F29&gt;MAX('הנחות עבודה'!$B$69:$B$89)),0,(VLOOKUP($F29,'התפלגות ייצור וסל דלקים'!$B$64:$BV$84,BD$2-$E$2,FALSE))*$D$9*$D$8*(HLOOKUP(BD$23,$G$18:$R$19,2,FALSE)*(1-$D$12)^($F29-'הנחות עבודה'!$C$5)/$D$11)/$D$11)</f>
        <v>0</v>
      </c>
      <c r="BE29" s="44">
        <f ca="1">IF(OR($F29&gt;$D$5,$F29&gt;MAX('הנחות עבודה'!$B$69:$B$89)),0,(VLOOKUP($F29,'התפלגות ייצור וסל דלקים'!$B$64:$BV$84,BE$2-$E$2,FALSE))*$D$9*$D$8*(HLOOKUP(BE$23,$G$18:$R$19,2,FALSE)*(1-$D$12)^($F29-'הנחות עבודה'!$C$5)/$D$11)/$D$11)</f>
        <v>0</v>
      </c>
      <c r="BF29" s="44">
        <f ca="1">IF(OR($F29&gt;$D$5,$F29&gt;MAX('הנחות עבודה'!$B$69:$B$89)),0,(VLOOKUP($F29,'התפלגות ייצור וסל דלקים'!$B$64:$BV$84,BF$2-$E$2,FALSE))*$D$9*$D$8*(HLOOKUP(BF$23,$G$18:$R$19,2,FALSE)*(1-$D$12)^($F29-'הנחות עבודה'!$C$5)/$D$11)/$D$11)</f>
        <v>0</v>
      </c>
      <c r="BG29" s="44">
        <f ca="1">IF(OR($F29&gt;$D$5,$F29&gt;MAX('הנחות עבודה'!$B$69:$B$89)),0,(VLOOKUP($F29,'התפלגות ייצור וסל דלקים'!$B$64:$BV$84,BG$2-$E$2,FALSE))*$D$9*$D$8*(HLOOKUP(BG$23,$G$18:$R$19,2,FALSE)*(1-$D$12)^($F29-'הנחות עבודה'!$C$5)/$D$11)/$D$11)</f>
        <v>0</v>
      </c>
      <c r="BH29" s="44">
        <f ca="1">IF(OR($F29&gt;$D$5,$F29&gt;MAX('הנחות עבודה'!$B$69:$B$89)),0,(VLOOKUP($F29,'התפלגות ייצור וסל דלקים'!$B$64:$BV$84,BH$2-$E$2,FALSE))*$D$9*$D$8*(HLOOKUP(BH$23,$G$18:$R$19,2,FALSE)*(1-$D$12)^($F29-'הנחות עבודה'!$C$5)/$D$11)/$D$11)</f>
        <v>0</v>
      </c>
      <c r="BI29" s="42">
        <f ca="1">IF(OR($F29&gt;$D$5,$F29&gt;MAX('הנחות עבודה'!$B$69:$B$89)),0,(VLOOKUP($F29,'התפלגות ייצור וסל דלקים'!$B$64:$BV$84,BI$2-$E$2,FALSE))*$D$9*$D$8*(HLOOKUP(BI$23,$G$18:$R$19,2,FALSE)*(1-$D$12)^($F29-'הנחות עבודה'!$C$5)/$D$11)/$D$11)</f>
        <v>2.1464975999999996E-3</v>
      </c>
      <c r="BJ29" s="42">
        <f ca="1">IF(OR($F29&gt;$D$5,$F29&gt;MAX('הנחות עבודה'!$B$69:$B$89)),0,(VLOOKUP($F29,'התפלגות ייצור וסל דלקים'!$B$64:$BV$84,BJ$2-$E$2,FALSE))*$D$9*$D$8*(HLOOKUP(BJ$23,$G$18:$R$19,2,FALSE)*(1-$D$12)^($F29-'הנחות עבודה'!$C$5)/$D$11)/$D$11)</f>
        <v>8.9329523839999994E-3</v>
      </c>
      <c r="BK29" s="42">
        <f ca="1">IF(OR($F29&gt;$D$5,$F29&gt;MAX('הנחות עבודה'!$B$69:$B$89)),0,(VLOOKUP($F29,'התפלגות ייצור וסל דלקים'!$B$64:$BV$84,BK$2-$E$2,FALSE))*$D$9*$D$8*(HLOOKUP(BK$23,$G$18:$R$19,2,FALSE)*(1-$D$12)^($F29-'הנחות עבודה'!$C$5)/$D$11)/$D$11)</f>
        <v>0</v>
      </c>
      <c r="BL29" s="42">
        <f ca="1">IF(OR($F29&gt;$D$5,$F29&gt;MAX('הנחות עבודה'!$B$69:$B$89)),0,(VLOOKUP($F29,'התפלגות ייצור וסל דלקים'!$B$64:$BV$84,BL$2-$E$2,FALSE))*$D$9*$D$8*(HLOOKUP(BL$23,$G$18:$R$19,2,FALSE)*(1-$D$12)^($F29-'הנחות עבודה'!$C$5)/$D$11)/$D$11)</f>
        <v>0</v>
      </c>
      <c r="BM29" s="42">
        <f ca="1">IF(OR($F29&gt;$D$5,$F29&gt;MAX('הנחות עבודה'!$B$69:$B$89)),0,(VLOOKUP($F29,'התפלגות ייצור וסל דלקים'!$B$64:$BV$84,BM$2-$E$2,FALSE))*$D$9*$D$8*(HLOOKUP(BM$23,$G$18:$R$19,2,FALSE)*(1-$D$12)^($F29-'הנחות עבודה'!$C$5)/$D$11)/$D$11)</f>
        <v>1.0650171749999999E-3</v>
      </c>
      <c r="BN29" s="42">
        <f ca="1">IF(OR($F29&gt;$D$5,$F29&gt;MAX('הנחות עבודה'!$B$69:$B$89)),0,(VLOOKUP($F29,'התפלגות ייצור וסל דלקים'!$B$64:$BV$84,BN$2-$E$2,FALSE))*$D$9*$D$8*(HLOOKUP(BN$23,$G$18:$R$19,2,FALSE)*(1-$D$12)^($F29-'הנחות עבודה'!$C$5)/$D$11)/$D$11)</f>
        <v>0</v>
      </c>
      <c r="BO29" s="52">
        <f ca="1">IF(OR($F29&gt;$D$5,$F29&gt;MAX('הנחות עבודה'!$B$69:$B$89)),0,(VLOOKUP($F29,'התפלגות ייצור וסל דלקים'!$B$64:$BV$84,BO$2-$E$2,FALSE))*$D$9*$D$8*(HLOOKUP(BO$23,$G$18:$R$19,2,FALSE)*(1-$D$12)^($F29-'הנחות עבודה'!$C$5)/$D$11)/$D$11)</f>
        <v>0</v>
      </c>
      <c r="BP29" s="127">
        <f ca="1">IF(OR($F29&gt;$D$5,$F29&gt;MAX('הנחות עבודה'!$B$69:$B$89)),0,(VLOOKUP($F29,'התפלגות ייצור וסל דלקים'!$B$64:$BV$84,BP$2-$E$2,FALSE))*$D$9*$D$8*(HLOOKUP(BP$23,$G$18:$R$19,2,FALSE)*(1-$D$12)^($F29-'הנחות עבודה'!$C$5)/$D$11)/$D$11)</f>
        <v>0</v>
      </c>
      <c r="BQ29" s="127">
        <f ca="1">IF(OR($F29&gt;$D$5,$F29&gt;MAX('הנחות עבודה'!$B$69:$B$89)),0,(VLOOKUP($F29,'התפלגות ייצור וסל דלקים'!$B$64:$BV$84,BQ$2-$E$2,FALSE))*$D$9*$D$8*(HLOOKUP(BQ$23,$G$18:$R$19,2,FALSE)*(1-$D$12)^($F29-'הנחות עבודה'!$C$5)/$D$11)/$D$11)</f>
        <v>0</v>
      </c>
      <c r="BR29" s="127">
        <f ca="1">IF(OR($F29&gt;$D$5,$F29&gt;MAX('הנחות עבודה'!$B$69:$B$89)),0,(VLOOKUP($F29,'התפלגות ייצור וסל דלקים'!$B$64:$BV$84,BR$2-$E$2,FALSE))*$D$9*$D$8*(HLOOKUP(BR$23,$G$18:$R$19,2,FALSE)*(1-$D$12)^($F29-'הנחות עבודה'!$C$5)/$D$11)/$D$11)</f>
        <v>0</v>
      </c>
      <c r="BS29" s="127">
        <f ca="1">IF(OR($F29&gt;$D$5,$F29&gt;MAX('הנחות עבודה'!$B$69:$B$89)),0,(VLOOKUP($F29,'התפלגות ייצור וסל דלקים'!$B$64:$BV$84,BS$2-$E$2,FALSE))*$D$9*$D$8*(HLOOKUP(BS$23,$G$18:$R$19,2,FALSE)*(1-$D$12)^($F29-'הנחות עבודה'!$C$5)/$D$11)/$D$11)</f>
        <v>0</v>
      </c>
      <c r="BT29" s="127">
        <f ca="1">IF(OR($F29&gt;$D$5,$F29&gt;MAX('הנחות עבודה'!$B$69:$B$89)),0,(VLOOKUP($F29,'התפלגות ייצור וסל דלקים'!$B$64:$BV$84,BT$2-$E$2,FALSE))*$D$9*$D$8*(HLOOKUP(BT$23,$G$18:$R$19,2,FALSE)*(1-$D$12)^($F29-'הנחות עבודה'!$C$5)/$D$11)/$D$11)</f>
        <v>0</v>
      </c>
      <c r="BU29" s="52">
        <f ca="1">IF(OR($F29&gt;$D$5,$F29&gt;MAX('הנחות עבודה'!$B$69:$B$89)),0,(VLOOKUP($F29,'התפלגות ייצור וסל דלקים'!$B$64:$BV$84,BU$2-$E$2,FALSE))*$D$9*$D$8*(HLOOKUP(BU$23,$G$18:$R$19,2,FALSE)*(1-$D$12)^($F29-'הנחות עבודה'!$C$5)/$D$11)/$D$11)</f>
        <v>2.1464975999999996E-3</v>
      </c>
      <c r="BV29" s="52">
        <f ca="1">IF(OR($F29&gt;$D$5,$F29&gt;MAX('הנחות עבודה'!$B$69:$B$89)),0,(VLOOKUP($F29,'התפלגות ייצור וסל דלקים'!$B$64:$BV$84,BV$2-$E$2,FALSE))*$D$9*$D$8*(HLOOKUP(BV$23,$G$18:$R$19,2,FALSE)*(1-$D$12)^($F29-'הנחות עבודה'!$C$5)/$D$11)/$D$11)</f>
        <v>8.9329523839999994E-3</v>
      </c>
      <c r="BW29" s="52">
        <f ca="1">IF(OR($F29&gt;$D$5,$F29&gt;MAX('הנחות עבודה'!$B$69:$B$89)),0,(VLOOKUP($F29,'התפלגות ייצור וסל דלקים'!$B$64:$BV$84,BW$2-$E$2,FALSE))*$D$9*$D$8*(HLOOKUP(BW$23,$G$18:$R$19,2,FALSE)*(1-$D$12)^($F29-'הנחות עבודה'!$C$5)/$D$11)/$D$11)</f>
        <v>0</v>
      </c>
      <c r="BX29" s="52">
        <f ca="1">IF(OR($F29&gt;$D$5,$F29&gt;MAX('הנחות עבודה'!$B$69:$B$89)),0,(VLOOKUP($F29,'התפלגות ייצור וסל דלקים'!$B$64:$BV$84,BX$2-$E$2,FALSE))*$D$9*$D$8*(HLOOKUP(BX$23,$G$18:$R$19,2,FALSE)*(1-$D$12)^($F29-'הנחות עבודה'!$C$5)/$D$11)/$D$11)</f>
        <v>0</v>
      </c>
      <c r="BY29" s="52">
        <f ca="1">IF(OR($F29&gt;$D$5,$F29&gt;MAX('הנחות עבודה'!$B$69:$B$89)),0,(VLOOKUP($F29,'התפלגות ייצור וסל דלקים'!$B$64:$BV$84,BY$2-$E$2,FALSE))*$D$9*$D$8*(HLOOKUP(BY$23,$G$18:$R$19,2,FALSE)*(1-$D$12)^($F29-'הנחות עבודה'!$C$5)/$D$11)/$D$11)</f>
        <v>1.0650171749999999E-3</v>
      </c>
      <c r="BZ29" s="52">
        <f ca="1">IF(OR($F29&gt;$D$5,$F29&gt;MAX('הנחות עבודה'!$B$69:$B$89)),0,(VLOOKUP($F29,'התפלגות ייצור וסל דלקים'!$B$64:$BV$84,BZ$2-$E$2,FALSE))*$D$9*$D$8*(HLOOKUP(BZ$23,$G$18:$R$19,2,FALSE)*(1-$D$12)^($F29-'הנחות עבודה'!$C$5)/$D$11)/$D$11)</f>
        <v>0</v>
      </c>
    </row>
    <row r="30" spans="6:78" ht="15.75">
      <c r="F30" s="10">
        <f t="shared" si="110"/>
        <v>2026</v>
      </c>
      <c r="G30" s="42">
        <f ca="1">IF(OR($F30&gt;$D$5,$F30&gt;MAX('הנחות עבודה'!$B$69:$B$89)),0,(VLOOKUP($F30,'התפלגות ייצור וסל דלקים'!$B$64:$BV$84,G$2-$E$2,FALSE))*$D$9*$D$8*(HLOOKUP(G$23,$G$18:$R$19,2,FALSE)*(1-$D$12)^($F30-'הנחות עבודה'!$C$5)/$D$11)/$D$11)</f>
        <v>0</v>
      </c>
      <c r="H30" s="44">
        <f ca="1">IF(OR($F30&gt;$D$5,$F30&gt;MAX('הנחות עבודה'!$B$69:$B$89)),0,(VLOOKUP($F30,'התפלגות ייצור וסל דלקים'!$B$64:$BV$84,H$2-$E$2,FALSE))*$D$9*$D$8*(HLOOKUP(H$23,$G$18:$R$19,2,FALSE)*(1-$D$12)^($F30-'הנחות עבודה'!$C$5)/$D$11)/$D$11)</f>
        <v>0</v>
      </c>
      <c r="I30" s="44">
        <f ca="1">IF(OR($F30&gt;$D$5,$F30&gt;MAX('הנחות עבודה'!$B$69:$B$89)),0,(VLOOKUP($F30,'התפלגות ייצור וסל דלקים'!$B$64:$BV$84,I$2-$E$2,FALSE))*$D$9*$D$8*(HLOOKUP(I$23,$G$18:$R$19,2,FALSE)*(1-$D$12)^($F30-'הנחות עבודה'!$C$5)/$D$11)/$D$11)</f>
        <v>0</v>
      </c>
      <c r="J30" s="44">
        <f ca="1">IF(OR($F30&gt;$D$5,$F30&gt;MAX('הנחות עבודה'!$B$69:$B$89)),0,(VLOOKUP($F30,'התפלגות ייצור וסל דלקים'!$B$64:$BV$84,J$2-$E$2,FALSE))*$D$9*$D$8*(HLOOKUP(J$23,$G$18:$R$19,2,FALSE)*(1-$D$12)^($F30-'הנחות עבודה'!$C$5)/$D$11)/$D$11)</f>
        <v>0</v>
      </c>
      <c r="K30" s="44">
        <f ca="1">IF(OR($F30&gt;$D$5,$F30&gt;MAX('הנחות עבודה'!$B$69:$B$89)),0,(VLOOKUP($F30,'התפלגות ייצור וסל דלקים'!$B$64:$BV$84,K$2-$E$2,FALSE))*$D$9*$D$8*(HLOOKUP(K$23,$G$18:$R$19,2,FALSE)*(1-$D$12)^($F30-'הנחות עבודה'!$C$5)/$D$11)/$D$11)</f>
        <v>0</v>
      </c>
      <c r="L30" s="44">
        <f ca="1">IF(OR($F30&gt;$D$5,$F30&gt;MAX('הנחות עבודה'!$B$69:$B$89)),0,(VLOOKUP($F30,'התפלגות ייצור וסל דלקים'!$B$64:$BV$84,L$2-$E$2,FALSE))*$D$9*$D$8*(HLOOKUP(L$23,$G$18:$R$19,2,FALSE)*(1-$D$12)^($F30-'הנחות עבודה'!$C$5)/$D$11)/$D$11)</f>
        <v>0</v>
      </c>
      <c r="M30" s="42">
        <f ca="1">IF(OR($F30&gt;$D$5,$F30&gt;MAX('הנחות עבודה'!$B$69:$B$89)),0,(VLOOKUP($F30,'התפלגות ייצור וסל דלקים'!$B$64:$BV$84,M$2-$E$2,FALSE))*$D$9*$D$8*(HLOOKUP(M$23,$G$18:$R$19,2,FALSE)*(1-$D$12)^($F30-'הנחות עבודה'!$C$5)/$D$11)/$D$11)</f>
        <v>3.6723312000000001E-3</v>
      </c>
      <c r="N30" s="42">
        <f ca="1">IF(OR($F30&gt;$D$5,$F30&gt;MAX('הנחות עבודה'!$B$69:$B$89)),0,(VLOOKUP($F30,'התפלגות ייצור וסל דלקים'!$B$64:$BV$84,N$2-$E$2,FALSE))*$D$9*$D$8*(HLOOKUP(N$23,$G$18:$R$19,2,FALSE)*(1-$D$12)^($F30-'הנחות עבודה'!$C$5)/$D$11)/$D$11)</f>
        <v>9.5162942207999996E-3</v>
      </c>
      <c r="O30" s="42">
        <f ca="1">IF(OR($F30&gt;$D$5,$F30&gt;MAX('הנחות עבודה'!$B$69:$B$89)),0,(VLOOKUP($F30,'התפלגות ייצור וסל דלקים'!$B$64:$BV$84,O$2-$E$2,FALSE))*$D$9*$D$8*(HLOOKUP(O$23,$G$18:$R$19,2,FALSE)*(1-$D$12)^($F30-'הנחות עבודה'!$C$5)/$D$11)/$D$11)</f>
        <v>0</v>
      </c>
      <c r="P30" s="42">
        <f ca="1">IF(OR($F30&gt;$D$5,$F30&gt;MAX('הנחות עבודה'!$B$69:$B$89)),0,(VLOOKUP($F30,'התפלגות ייצור וסל דלקים'!$B$64:$BV$84,P$2-$E$2,FALSE))*$D$9*$D$8*(HLOOKUP(P$23,$G$18:$R$19,2,FALSE)*(1-$D$12)^($F30-'הנחות עבודה'!$C$5)/$D$11)/$D$11)</f>
        <v>0</v>
      </c>
      <c r="Q30" s="42">
        <f ca="1">IF(OR($F30&gt;$D$5,$F30&gt;MAX('הנחות עבודה'!$B$69:$B$89)),0,(VLOOKUP($F30,'התפלגות ייצור וסל דלקים'!$B$64:$BV$84,Q$2-$E$2,FALSE))*$D$9*$D$8*(HLOOKUP(Q$23,$G$18:$R$19,2,FALSE)*(1-$D$12)^($F30-'הנחות עבודה'!$C$5)/$D$11)/$D$11)</f>
        <v>0</v>
      </c>
      <c r="R30" s="42">
        <f ca="1">IF(OR($F30&gt;$D$5,$F30&gt;MAX('הנחות עבודה'!$B$69:$B$89)),0,(VLOOKUP($F30,'התפלגות ייצור וסל דלקים'!$B$64:$BV$84,R$2-$E$2,FALSE))*$D$9*$D$8*(HLOOKUP(R$23,$G$18:$R$19,2,FALSE)*(1-$D$12)^($F30-'הנחות עבודה'!$C$5)/$D$11)/$D$11)</f>
        <v>0</v>
      </c>
      <c r="S30" s="52">
        <f ca="1">IF(OR($F30&gt;$D$5,$F30&gt;MAX('הנחות עבודה'!$B$69:$B$89)),0,(VLOOKUP($F30,'התפלגות ייצור וסל דלקים'!$B$64:$BV$84,S$2-$E$2,FALSE))*$D$9*$D$8*(HLOOKUP(S$23,$G$18:$R$19,2,FALSE)*(1-$D$12)^($F30-'הנחות עבודה'!$C$5)/$D$11)/$D$11)</f>
        <v>0</v>
      </c>
      <c r="T30" s="127">
        <f ca="1">IF(OR($F30&gt;$D$5,$F30&gt;MAX('הנחות עבודה'!$B$69:$B$89)),0,(VLOOKUP($F30,'התפלגות ייצור וסל דלקים'!$B$64:$BV$84,T$2-$E$2,FALSE))*$D$9*$D$8*(HLOOKUP(T$23,$G$18:$R$19,2,FALSE)*(1-$D$12)^($F30-'הנחות עבודה'!$C$5)/$D$11)/$D$11)</f>
        <v>0</v>
      </c>
      <c r="U30" s="127">
        <f ca="1">IF(OR($F30&gt;$D$5,$F30&gt;MAX('הנחות עבודה'!$B$69:$B$89)),0,(VLOOKUP($F30,'התפלגות ייצור וסל דלקים'!$B$64:$BV$84,U$2-$E$2,FALSE))*$D$9*$D$8*(HLOOKUP(U$23,$G$18:$R$19,2,FALSE)*(1-$D$12)^($F30-'הנחות עבודה'!$C$5)/$D$11)/$D$11)</f>
        <v>0</v>
      </c>
      <c r="V30" s="127">
        <f ca="1">IF(OR($F30&gt;$D$5,$F30&gt;MAX('הנחות עבודה'!$B$69:$B$89)),0,(VLOOKUP($F30,'התפלגות ייצור וסל דלקים'!$B$64:$BV$84,V$2-$E$2,FALSE))*$D$9*$D$8*(HLOOKUP(V$23,$G$18:$R$19,2,FALSE)*(1-$D$12)^($F30-'הנחות עבודה'!$C$5)/$D$11)/$D$11)</f>
        <v>0</v>
      </c>
      <c r="W30" s="127">
        <f ca="1">IF(OR($F30&gt;$D$5,$F30&gt;MAX('הנחות עבודה'!$B$69:$B$89)),0,(VLOOKUP($F30,'התפלגות ייצור וסל דלקים'!$B$64:$BV$84,W$2-$E$2,FALSE))*$D$9*$D$8*(HLOOKUP(W$23,$G$18:$R$19,2,FALSE)*(1-$D$12)^($F30-'הנחות עבודה'!$C$5)/$D$11)/$D$11)</f>
        <v>0</v>
      </c>
      <c r="X30" s="127">
        <f ca="1">IF(OR($F30&gt;$D$5,$F30&gt;MAX('הנחות עבודה'!$B$69:$B$89)),0,(VLOOKUP($F30,'התפלגות ייצור וסל דלקים'!$B$64:$BV$84,X$2-$E$2,FALSE))*$D$9*$D$8*(HLOOKUP(X$23,$G$18:$R$19,2,FALSE)*(1-$D$12)^($F30-'הנחות עבודה'!$C$5)/$D$11)/$D$11)</f>
        <v>0</v>
      </c>
      <c r="Y30" s="52">
        <f ca="1">IF(OR($F30&gt;$D$5,$F30&gt;MAX('הנחות עבודה'!$B$69:$B$89)),0,(VLOOKUP($F30,'התפלגות ייצור וסל דלקים'!$B$64:$BV$84,Y$2-$E$2,FALSE))*$D$9*$D$8*(HLOOKUP(Y$23,$G$18:$R$19,2,FALSE)*(1-$D$12)^($F30-'הנחות עבודה'!$C$5)/$D$11)/$D$11)</f>
        <v>3.6723312000000001E-3</v>
      </c>
      <c r="Z30" s="52">
        <f ca="1">IF(OR($F30&gt;$D$5,$F30&gt;MAX('הנחות עבודה'!$B$69:$B$89)),0,(VLOOKUP($F30,'התפלגות ייצור וסל דלקים'!$B$64:$BV$84,Z$2-$E$2,FALSE))*$D$9*$D$8*(HLOOKUP(Z$23,$G$18:$R$19,2,FALSE)*(1-$D$12)^($F30-'הנחות עבודה'!$C$5)/$D$11)/$D$11)</f>
        <v>9.5162942207999996E-3</v>
      </c>
      <c r="AA30" s="52">
        <f ca="1">IF(OR($F30&gt;$D$5,$F30&gt;MAX('הנחות עבודה'!$B$69:$B$89)),0,(VLOOKUP($F30,'התפלגות ייצור וסל דלקים'!$B$64:$BV$84,AA$2-$E$2,FALSE))*$D$9*$D$8*(HLOOKUP(AA$23,$G$18:$R$19,2,FALSE)*(1-$D$12)^($F30-'הנחות עבודה'!$C$5)/$D$11)/$D$11)</f>
        <v>0</v>
      </c>
      <c r="AB30" s="52">
        <f ca="1">IF(OR($F30&gt;$D$5,$F30&gt;MAX('הנחות עבודה'!$B$69:$B$89)),0,(VLOOKUP($F30,'התפלגות ייצור וסל דלקים'!$B$64:$BV$84,AB$2-$E$2,FALSE))*$D$9*$D$8*(HLOOKUP(AB$23,$G$18:$R$19,2,FALSE)*(1-$D$12)^($F30-'הנחות עבודה'!$C$5)/$D$11)/$D$11)</f>
        <v>0</v>
      </c>
      <c r="AC30" s="52">
        <f ca="1">IF(OR($F30&gt;$D$5,$F30&gt;MAX('הנחות עבודה'!$B$69:$B$89)),0,(VLOOKUP($F30,'התפלגות ייצור וסל דלקים'!$B$64:$BV$84,AC$2-$E$2,FALSE))*$D$9*$D$8*(HLOOKUP(AC$23,$G$18:$R$19,2,FALSE)*(1-$D$12)^($F30-'הנחות עבודה'!$C$5)/$D$11)/$D$11)</f>
        <v>0</v>
      </c>
      <c r="AD30" s="52">
        <f ca="1">IF(OR($F30&gt;$D$5,$F30&gt;MAX('הנחות עבודה'!$B$69:$B$89)),0,(VLOOKUP($F30,'התפלגות ייצור וסל דלקים'!$B$64:$BV$84,AD$2-$E$2,FALSE))*$D$9*$D$8*(HLOOKUP(AD$23,$G$18:$R$19,2,FALSE)*(1-$D$12)^($F30-'הנחות עבודה'!$C$5)/$D$11)/$D$11)</f>
        <v>0</v>
      </c>
      <c r="AE30" s="42">
        <f ca="1">IF(OR($F30&gt;$D$5,$F30&gt;MAX('הנחות עבודה'!$B$69:$B$89)),0,(VLOOKUP($F30,'התפלגות ייצור וסל דלקים'!$B$64:$BV$84,AE$2-$E$2,FALSE))*$D$9*$D$8*(HLOOKUP(AE$23,$G$18:$R$19,2,FALSE)*(1-$D$12)^($F30-'הנחות עבודה'!$C$5)/$D$11)/$D$11)</f>
        <v>0</v>
      </c>
      <c r="AF30" s="44">
        <f ca="1">IF(OR($F30&gt;$D$5,$F30&gt;MAX('הנחות עבודה'!$B$69:$B$89)),0,(VLOOKUP($F30,'התפלגות ייצור וסל דלקים'!$B$64:$BV$84,AF$2-$E$2,FALSE))*$D$9*$D$8*(HLOOKUP(AF$23,$G$18:$R$19,2,FALSE)*(1-$D$12)^($F30-'הנחות עבודה'!$C$5)/$D$11)/$D$11)</f>
        <v>0</v>
      </c>
      <c r="AG30" s="44">
        <f ca="1">IF(OR($F30&gt;$D$5,$F30&gt;MAX('הנחות עבודה'!$B$69:$B$89)),0,(VLOOKUP($F30,'התפלגות ייצור וסל דלקים'!$B$64:$BV$84,AG$2-$E$2,FALSE))*$D$9*$D$8*(HLOOKUP(AG$23,$G$18:$R$19,2,FALSE)*(1-$D$12)^($F30-'הנחות עבודה'!$C$5)/$D$11)/$D$11)</f>
        <v>0</v>
      </c>
      <c r="AH30" s="44">
        <f ca="1">IF(OR($F30&gt;$D$5,$F30&gt;MAX('הנחות עבודה'!$B$69:$B$89)),0,(VLOOKUP($F30,'התפלגות ייצור וסל דלקים'!$B$64:$BV$84,AH$2-$E$2,FALSE))*$D$9*$D$8*(HLOOKUP(AH$23,$G$18:$R$19,2,FALSE)*(1-$D$12)^($F30-'הנחות עבודה'!$C$5)/$D$11)/$D$11)</f>
        <v>0</v>
      </c>
      <c r="AI30" s="44">
        <f ca="1">IF(OR($F30&gt;$D$5,$F30&gt;MAX('הנחות עבודה'!$B$69:$B$89)),0,(VLOOKUP($F30,'התפלגות ייצור וסל דלקים'!$B$64:$BV$84,AI$2-$E$2,FALSE))*$D$9*$D$8*(HLOOKUP(AI$23,$G$18:$R$19,2,FALSE)*(1-$D$12)^($F30-'הנחות עבודה'!$C$5)/$D$11)/$D$11)</f>
        <v>0</v>
      </c>
      <c r="AJ30" s="44">
        <f ca="1">IF(OR($F30&gt;$D$5,$F30&gt;MAX('הנחות עבודה'!$B$69:$B$89)),0,(VLOOKUP($F30,'התפלגות ייצור וסל דלקים'!$B$64:$BV$84,AJ$2-$E$2,FALSE))*$D$9*$D$8*(HLOOKUP(AJ$23,$G$18:$R$19,2,FALSE)*(1-$D$12)^($F30-'הנחות עבודה'!$C$5)/$D$11)/$D$11)</f>
        <v>0</v>
      </c>
      <c r="AK30" s="42">
        <f ca="1">IF(OR($F30&gt;$D$5,$F30&gt;MAX('הנחות עבודה'!$B$69:$B$89)),0,(VLOOKUP($F30,'התפלגות ייצור וסל דלקים'!$B$64:$BV$84,AK$2-$E$2,FALSE))*$D$9*$D$8*(HLOOKUP(AK$23,$G$18:$R$19,2,FALSE)*(1-$D$12)^($F30-'הנחות עבודה'!$C$5)/$D$11)/$D$11)</f>
        <v>3.5909592000000004E-3</v>
      </c>
      <c r="AL30" s="42">
        <f ca="1">IF(OR($F30&gt;$D$5,$F30&gt;MAX('הנחות עבודה'!$B$69:$B$89)),0,(VLOOKUP($F30,'התפלגות ייצור וסל דלקים'!$B$64:$BV$84,AL$2-$E$2,FALSE))*$D$9*$D$8*(HLOOKUP(AL$23,$G$18:$R$19,2,FALSE)*(1-$D$12)^($F30-'הנחות עבודה'!$C$5)/$D$11)/$D$11)</f>
        <v>8.8458119040000002E-3</v>
      </c>
      <c r="AM30" s="42">
        <f ca="1">IF(OR($F30&gt;$D$5,$F30&gt;MAX('הנחות עבודה'!$B$69:$B$89)),0,(VLOOKUP($F30,'התפלגות ייצור וסל דלקים'!$B$64:$BV$84,AM$2-$E$2,FALSE))*$D$9*$D$8*(HLOOKUP(AM$23,$G$18:$R$19,2,FALSE)*(1-$D$12)^($F30-'הנחות עבודה'!$C$5)/$D$11)/$D$11)</f>
        <v>0</v>
      </c>
      <c r="AN30" s="42">
        <f ca="1">IF(OR($F30&gt;$D$5,$F30&gt;MAX('הנחות עבודה'!$B$69:$B$89)),0,(VLOOKUP($F30,'התפלגות ייצור וסל דלקים'!$B$64:$BV$84,AN$2-$E$2,FALSE))*$D$9*$D$8*(HLOOKUP(AN$23,$G$18:$R$19,2,FALSE)*(1-$D$12)^($F30-'הנחות עבודה'!$C$5)/$D$11)/$D$11)</f>
        <v>0</v>
      </c>
      <c r="AO30" s="42">
        <f ca="1">IF(OR($F30&gt;$D$5,$F30&gt;MAX('הנחות עבודה'!$B$69:$B$89)),0,(VLOOKUP($F30,'התפלגות ייצור וסל דלקים'!$B$64:$BV$84,AO$2-$E$2,FALSE))*$D$9*$D$8*(HLOOKUP(AO$23,$G$18:$R$19,2,FALSE)*(1-$D$12)^($F30-'הנחות עבודה'!$C$5)/$D$11)/$D$11)</f>
        <v>0</v>
      </c>
      <c r="AP30" s="42">
        <f ca="1">IF(OR($F30&gt;$D$5,$F30&gt;MAX('הנחות עבודה'!$B$69:$B$89)),0,(VLOOKUP($F30,'התפלגות ייצור וסל דלקים'!$B$64:$BV$84,AP$2-$E$2,FALSE))*$D$9*$D$8*(HLOOKUP(AP$23,$G$18:$R$19,2,FALSE)*(1-$D$12)^($F30-'הנחות עבודה'!$C$5)/$D$11)/$D$11)</f>
        <v>0</v>
      </c>
      <c r="AQ30" s="52">
        <f ca="1">IF(OR($F30&gt;$D$5,$F30&gt;MAX('הנחות עבודה'!$B$69:$B$89)),0,(VLOOKUP($F30,'התפלגות ייצור וסל דלקים'!$B$64:$BV$84,AQ$2-$E$2,FALSE))*$D$9*$D$8*(HLOOKUP(AQ$23,$G$18:$R$19,2,FALSE)*(1-$D$12)^($F30-'הנחות עבודה'!$C$5)/$D$11)/$D$11)</f>
        <v>0</v>
      </c>
      <c r="AR30" s="127">
        <f ca="1">IF(OR($F30&gt;$D$5,$F30&gt;MAX('הנחות עבודה'!$B$69:$B$89)),0,(VLOOKUP($F30,'התפלגות ייצור וסל דלקים'!$B$64:$BV$84,AR$2-$E$2,FALSE))*$D$9*$D$8*(HLOOKUP(AR$23,$G$18:$R$19,2,FALSE)*(1-$D$12)^($F30-'הנחות עבודה'!$C$5)/$D$11)/$D$11)</f>
        <v>0</v>
      </c>
      <c r="AS30" s="127">
        <f ca="1">IF(OR($F30&gt;$D$5,$F30&gt;MAX('הנחות עבודה'!$B$69:$B$89)),0,(VLOOKUP($F30,'התפלגות ייצור וסל דלקים'!$B$64:$BV$84,AS$2-$E$2,FALSE))*$D$9*$D$8*(HLOOKUP(AS$23,$G$18:$R$19,2,FALSE)*(1-$D$12)^($F30-'הנחות עבודה'!$C$5)/$D$11)/$D$11)</f>
        <v>0</v>
      </c>
      <c r="AT30" s="127">
        <f ca="1">IF(OR($F30&gt;$D$5,$F30&gt;MAX('הנחות עבודה'!$B$69:$B$89)),0,(VLOOKUP($F30,'התפלגות ייצור וסל דלקים'!$B$64:$BV$84,AT$2-$E$2,FALSE))*$D$9*$D$8*(HLOOKUP(AT$23,$G$18:$R$19,2,FALSE)*(1-$D$12)^($F30-'הנחות עבודה'!$C$5)/$D$11)/$D$11)</f>
        <v>0</v>
      </c>
      <c r="AU30" s="127">
        <f ca="1">IF(OR($F30&gt;$D$5,$F30&gt;MAX('הנחות עבודה'!$B$69:$B$89)),0,(VLOOKUP($F30,'התפלגות ייצור וסל דלקים'!$B$64:$BV$84,AU$2-$E$2,FALSE))*$D$9*$D$8*(HLOOKUP(AU$23,$G$18:$R$19,2,FALSE)*(1-$D$12)^($F30-'הנחות עבודה'!$C$5)/$D$11)/$D$11)</f>
        <v>0</v>
      </c>
      <c r="AV30" s="127">
        <f ca="1">IF(OR($F30&gt;$D$5,$F30&gt;MAX('הנחות עבודה'!$B$69:$B$89)),0,(VLOOKUP($F30,'התפלגות ייצור וסל דלקים'!$B$64:$BV$84,AV$2-$E$2,FALSE))*$D$9*$D$8*(HLOOKUP(AV$23,$G$18:$R$19,2,FALSE)*(1-$D$12)^($F30-'הנחות עבודה'!$C$5)/$D$11)/$D$11)</f>
        <v>0</v>
      </c>
      <c r="AW30" s="52">
        <f ca="1">IF(OR($F30&gt;$D$5,$F30&gt;MAX('הנחות עבודה'!$B$69:$B$89)),0,(VLOOKUP($F30,'התפלגות ייצור וסל דלקים'!$B$64:$BV$84,AW$2-$E$2,FALSE))*$D$9*$D$8*(HLOOKUP(AW$23,$G$18:$R$19,2,FALSE)*(1-$D$12)^($F30-'הנחות עבודה'!$C$5)/$D$11)/$D$11)</f>
        <v>3.5909592000000004E-3</v>
      </c>
      <c r="AX30" s="52">
        <f ca="1">IF(OR($F30&gt;$D$5,$F30&gt;MAX('הנחות עבודה'!$B$69:$B$89)),0,(VLOOKUP($F30,'התפלגות ייצור וסל דלקים'!$B$64:$BV$84,AX$2-$E$2,FALSE))*$D$9*$D$8*(HLOOKUP(AX$23,$G$18:$R$19,2,FALSE)*(1-$D$12)^($F30-'הנחות עבודה'!$C$5)/$D$11)/$D$11)</f>
        <v>8.8458119040000002E-3</v>
      </c>
      <c r="AY30" s="52">
        <f ca="1">IF(OR($F30&gt;$D$5,$F30&gt;MAX('הנחות עבודה'!$B$69:$B$89)),0,(VLOOKUP($F30,'התפלגות ייצור וסל דלקים'!$B$64:$BV$84,AY$2-$E$2,FALSE))*$D$9*$D$8*(HLOOKUP(AY$23,$G$18:$R$19,2,FALSE)*(1-$D$12)^($F30-'הנחות עבודה'!$C$5)/$D$11)/$D$11)</f>
        <v>0</v>
      </c>
      <c r="AZ30" s="52">
        <f ca="1">IF(OR($F30&gt;$D$5,$F30&gt;MAX('הנחות עבודה'!$B$69:$B$89)),0,(VLOOKUP($F30,'התפלגות ייצור וסל דלקים'!$B$64:$BV$84,AZ$2-$E$2,FALSE))*$D$9*$D$8*(HLOOKUP(AZ$23,$G$18:$R$19,2,FALSE)*(1-$D$12)^($F30-'הנחות עבודה'!$C$5)/$D$11)/$D$11)</f>
        <v>0</v>
      </c>
      <c r="BA30" s="52">
        <f ca="1">IF(OR($F30&gt;$D$5,$F30&gt;MAX('הנחות עבודה'!$B$69:$B$89)),0,(VLOOKUP($F30,'התפלגות ייצור וסל דלקים'!$B$64:$BV$84,BA$2-$E$2,FALSE))*$D$9*$D$8*(HLOOKUP(BA$23,$G$18:$R$19,2,FALSE)*(1-$D$12)^($F30-'הנחות עבודה'!$C$5)/$D$11)/$D$11)</f>
        <v>0</v>
      </c>
      <c r="BB30" s="52">
        <f ca="1">IF(OR($F30&gt;$D$5,$F30&gt;MAX('הנחות עבודה'!$B$69:$B$89)),0,(VLOOKUP($F30,'התפלגות ייצור וסל דלקים'!$B$64:$BV$84,BB$2-$E$2,FALSE))*$D$9*$D$8*(HLOOKUP(BB$23,$G$18:$R$19,2,FALSE)*(1-$D$12)^($F30-'הנחות עבודה'!$C$5)/$D$11)/$D$11)</f>
        <v>0</v>
      </c>
      <c r="BC30" s="42">
        <f ca="1">IF(OR($F30&gt;$D$5,$F30&gt;MAX('הנחות עבודה'!$B$69:$B$89)),0,(VLOOKUP($F30,'התפלגות ייצור וסל דלקים'!$B$64:$BV$84,BC$2-$E$2,FALSE))*$D$9*$D$8*(HLOOKUP(BC$23,$G$18:$R$19,2,FALSE)*(1-$D$12)^($F30-'הנחות עבודה'!$C$5)/$D$11)/$D$11)</f>
        <v>0</v>
      </c>
      <c r="BD30" s="44">
        <f ca="1">IF(OR($F30&gt;$D$5,$F30&gt;MAX('הנחות עבודה'!$B$69:$B$89)),0,(VLOOKUP($F30,'התפלגות ייצור וסל דלקים'!$B$64:$BV$84,BD$2-$E$2,FALSE))*$D$9*$D$8*(HLOOKUP(BD$23,$G$18:$R$19,2,FALSE)*(1-$D$12)^($F30-'הנחות עבודה'!$C$5)/$D$11)/$D$11)</f>
        <v>0</v>
      </c>
      <c r="BE30" s="44">
        <f ca="1">IF(OR($F30&gt;$D$5,$F30&gt;MAX('הנחות עבודה'!$B$69:$B$89)),0,(VLOOKUP($F30,'התפלגות ייצור וסל דלקים'!$B$64:$BV$84,BE$2-$E$2,FALSE))*$D$9*$D$8*(HLOOKUP(BE$23,$G$18:$R$19,2,FALSE)*(1-$D$12)^($F30-'הנחות עבודה'!$C$5)/$D$11)/$D$11)</f>
        <v>0</v>
      </c>
      <c r="BF30" s="44">
        <f ca="1">IF(OR($F30&gt;$D$5,$F30&gt;MAX('הנחות עבודה'!$B$69:$B$89)),0,(VLOOKUP($F30,'התפלגות ייצור וסל דלקים'!$B$64:$BV$84,BF$2-$E$2,FALSE))*$D$9*$D$8*(HLOOKUP(BF$23,$G$18:$R$19,2,FALSE)*(1-$D$12)^($F30-'הנחות עבודה'!$C$5)/$D$11)/$D$11)</f>
        <v>0</v>
      </c>
      <c r="BG30" s="44">
        <f ca="1">IF(OR($F30&gt;$D$5,$F30&gt;MAX('הנחות עבודה'!$B$69:$B$89)),0,(VLOOKUP($F30,'התפלגות ייצור וסל דלקים'!$B$64:$BV$84,BG$2-$E$2,FALSE))*$D$9*$D$8*(HLOOKUP(BG$23,$G$18:$R$19,2,FALSE)*(1-$D$12)^($F30-'הנחות עבודה'!$C$5)/$D$11)/$D$11)</f>
        <v>0</v>
      </c>
      <c r="BH30" s="44">
        <f ca="1">IF(OR($F30&gt;$D$5,$F30&gt;MAX('הנחות עבודה'!$B$69:$B$89)),0,(VLOOKUP($F30,'התפלגות ייצור וסל דלקים'!$B$64:$BV$84,BH$2-$E$2,FALSE))*$D$9*$D$8*(HLOOKUP(BH$23,$G$18:$R$19,2,FALSE)*(1-$D$12)^($F30-'הנחות עבודה'!$C$5)/$D$11)/$D$11)</f>
        <v>0</v>
      </c>
      <c r="BI30" s="42">
        <f ca="1">IF(OR($F30&gt;$D$5,$F30&gt;MAX('הנחות עבודה'!$B$69:$B$89)),0,(VLOOKUP($F30,'התפלגות ייצור וסל דלקים'!$B$64:$BV$84,BI$2-$E$2,FALSE))*$D$9*$D$8*(HLOOKUP(BI$23,$G$18:$R$19,2,FALSE)*(1-$D$12)^($F30-'הנחות עבודה'!$C$5)/$D$11)/$D$11)</f>
        <v>3.6196799999999997E-3</v>
      </c>
      <c r="BJ30" s="42">
        <f ca="1">IF(OR($F30&gt;$D$5,$F30&gt;MAX('הנחות עבודה'!$B$69:$B$89)),0,(VLOOKUP($F30,'התפלגות ייצור וסל דלקים'!$B$64:$BV$84,BJ$2-$E$2,FALSE))*$D$9*$D$8*(HLOOKUP(BJ$23,$G$18:$R$19,2,FALSE)*(1-$D$12)^($F30-'הנחות עבודה'!$C$5)/$D$11)/$D$11)</f>
        <v>8.4132843520000004E-3</v>
      </c>
      <c r="BK30" s="42">
        <f ca="1">IF(OR($F30&gt;$D$5,$F30&gt;MAX('הנחות עבודה'!$B$69:$B$89)),0,(VLOOKUP($F30,'התפלגות ייצור וסל דלקים'!$B$64:$BV$84,BK$2-$E$2,FALSE))*$D$9*$D$8*(HLOOKUP(BK$23,$G$18:$R$19,2,FALSE)*(1-$D$12)^($F30-'הנחות עבודה'!$C$5)/$D$11)/$D$11)</f>
        <v>0</v>
      </c>
      <c r="BL30" s="42">
        <f ca="1">IF(OR($F30&gt;$D$5,$F30&gt;MAX('הנחות עבודה'!$B$69:$B$89)),0,(VLOOKUP($F30,'התפלגות ייצור וסל דלקים'!$B$64:$BV$84,BL$2-$E$2,FALSE))*$D$9*$D$8*(HLOOKUP(BL$23,$G$18:$R$19,2,FALSE)*(1-$D$12)^($F30-'הנחות עבודה'!$C$5)/$D$11)/$D$11)</f>
        <v>0</v>
      </c>
      <c r="BM30" s="42">
        <f ca="1">IF(OR($F30&gt;$D$5,$F30&gt;MAX('הנחות עבודה'!$B$69:$B$89)),0,(VLOOKUP($F30,'התפלגות ייצור וסל דלקים'!$B$64:$BV$84,BM$2-$E$2,FALSE))*$D$9*$D$8*(HLOOKUP(BM$23,$G$18:$R$19,2,FALSE)*(1-$D$12)^($F30-'הנחות עבודה'!$C$5)/$D$11)/$D$11)</f>
        <v>0</v>
      </c>
      <c r="BN30" s="42">
        <f ca="1">IF(OR($F30&gt;$D$5,$F30&gt;MAX('הנחות עבודה'!$B$69:$B$89)),0,(VLOOKUP($F30,'התפלגות ייצור וסל דלקים'!$B$64:$BV$84,BN$2-$E$2,FALSE))*$D$9*$D$8*(HLOOKUP(BN$23,$G$18:$R$19,2,FALSE)*(1-$D$12)^($F30-'הנחות עבודה'!$C$5)/$D$11)/$D$11)</f>
        <v>0</v>
      </c>
      <c r="BO30" s="52">
        <f ca="1">IF(OR($F30&gt;$D$5,$F30&gt;MAX('הנחות עבודה'!$B$69:$B$89)),0,(VLOOKUP($F30,'התפלגות ייצור וסל דלקים'!$B$64:$BV$84,BO$2-$E$2,FALSE))*$D$9*$D$8*(HLOOKUP(BO$23,$G$18:$R$19,2,FALSE)*(1-$D$12)^($F30-'הנחות עבודה'!$C$5)/$D$11)/$D$11)</f>
        <v>0</v>
      </c>
      <c r="BP30" s="127">
        <f ca="1">IF(OR($F30&gt;$D$5,$F30&gt;MAX('הנחות עבודה'!$B$69:$B$89)),0,(VLOOKUP($F30,'התפלגות ייצור וסל דלקים'!$B$64:$BV$84,BP$2-$E$2,FALSE))*$D$9*$D$8*(HLOOKUP(BP$23,$G$18:$R$19,2,FALSE)*(1-$D$12)^($F30-'הנחות עבודה'!$C$5)/$D$11)/$D$11)</f>
        <v>0</v>
      </c>
      <c r="BQ30" s="127">
        <f ca="1">IF(OR($F30&gt;$D$5,$F30&gt;MAX('הנחות עבודה'!$B$69:$B$89)),0,(VLOOKUP($F30,'התפלגות ייצור וסל דלקים'!$B$64:$BV$84,BQ$2-$E$2,FALSE))*$D$9*$D$8*(HLOOKUP(BQ$23,$G$18:$R$19,2,FALSE)*(1-$D$12)^($F30-'הנחות עבודה'!$C$5)/$D$11)/$D$11)</f>
        <v>0</v>
      </c>
      <c r="BR30" s="127">
        <f ca="1">IF(OR($F30&gt;$D$5,$F30&gt;MAX('הנחות עבודה'!$B$69:$B$89)),0,(VLOOKUP($F30,'התפלגות ייצור וסל דלקים'!$B$64:$BV$84,BR$2-$E$2,FALSE))*$D$9*$D$8*(HLOOKUP(BR$23,$G$18:$R$19,2,FALSE)*(1-$D$12)^($F30-'הנחות עבודה'!$C$5)/$D$11)/$D$11)</f>
        <v>0</v>
      </c>
      <c r="BS30" s="127">
        <f ca="1">IF(OR($F30&gt;$D$5,$F30&gt;MAX('הנחות עבודה'!$B$69:$B$89)),0,(VLOOKUP($F30,'התפלגות ייצור וסל דלקים'!$B$64:$BV$84,BS$2-$E$2,FALSE))*$D$9*$D$8*(HLOOKUP(BS$23,$G$18:$R$19,2,FALSE)*(1-$D$12)^($F30-'הנחות עבודה'!$C$5)/$D$11)/$D$11)</f>
        <v>0</v>
      </c>
      <c r="BT30" s="127">
        <f ca="1">IF(OR($F30&gt;$D$5,$F30&gt;MAX('הנחות עבודה'!$B$69:$B$89)),0,(VLOOKUP($F30,'התפלגות ייצור וסל דלקים'!$B$64:$BV$84,BT$2-$E$2,FALSE))*$D$9*$D$8*(HLOOKUP(BT$23,$G$18:$R$19,2,FALSE)*(1-$D$12)^($F30-'הנחות עבודה'!$C$5)/$D$11)/$D$11)</f>
        <v>0</v>
      </c>
      <c r="BU30" s="52">
        <f ca="1">IF(OR($F30&gt;$D$5,$F30&gt;MAX('הנחות עבודה'!$B$69:$B$89)),0,(VLOOKUP($F30,'התפלגות ייצור וסל דלקים'!$B$64:$BV$84,BU$2-$E$2,FALSE))*$D$9*$D$8*(HLOOKUP(BU$23,$G$18:$R$19,2,FALSE)*(1-$D$12)^($F30-'הנחות עבודה'!$C$5)/$D$11)/$D$11)</f>
        <v>3.6196799999999997E-3</v>
      </c>
      <c r="BV30" s="52">
        <f ca="1">IF(OR($F30&gt;$D$5,$F30&gt;MAX('הנחות עבודה'!$B$69:$B$89)),0,(VLOOKUP($F30,'התפלגות ייצור וסל דלקים'!$B$64:$BV$84,BV$2-$E$2,FALSE))*$D$9*$D$8*(HLOOKUP(BV$23,$G$18:$R$19,2,FALSE)*(1-$D$12)^($F30-'הנחות עבודה'!$C$5)/$D$11)/$D$11)</f>
        <v>8.4132843520000004E-3</v>
      </c>
      <c r="BW30" s="52">
        <f ca="1">IF(OR($F30&gt;$D$5,$F30&gt;MAX('הנחות עבודה'!$B$69:$B$89)),0,(VLOOKUP($F30,'התפלגות ייצור וסל דלקים'!$B$64:$BV$84,BW$2-$E$2,FALSE))*$D$9*$D$8*(HLOOKUP(BW$23,$G$18:$R$19,2,FALSE)*(1-$D$12)^($F30-'הנחות עבודה'!$C$5)/$D$11)/$D$11)</f>
        <v>0</v>
      </c>
      <c r="BX30" s="52">
        <f ca="1">IF(OR($F30&gt;$D$5,$F30&gt;MAX('הנחות עבודה'!$B$69:$B$89)),0,(VLOOKUP($F30,'התפלגות ייצור וסל דלקים'!$B$64:$BV$84,BX$2-$E$2,FALSE))*$D$9*$D$8*(HLOOKUP(BX$23,$G$18:$R$19,2,FALSE)*(1-$D$12)^($F30-'הנחות עבודה'!$C$5)/$D$11)/$D$11)</f>
        <v>0</v>
      </c>
      <c r="BY30" s="52">
        <f ca="1">IF(OR($F30&gt;$D$5,$F30&gt;MAX('הנחות עבודה'!$B$69:$B$89)),0,(VLOOKUP($F30,'התפלגות ייצור וסל דלקים'!$B$64:$BV$84,BY$2-$E$2,FALSE))*$D$9*$D$8*(HLOOKUP(BY$23,$G$18:$R$19,2,FALSE)*(1-$D$12)^($F30-'הנחות עבודה'!$C$5)/$D$11)/$D$11)</f>
        <v>0</v>
      </c>
      <c r="BZ30" s="52">
        <f ca="1">IF(OR($F30&gt;$D$5,$F30&gt;MAX('הנחות עבודה'!$B$69:$B$89)),0,(VLOOKUP($F30,'התפלגות ייצור וסל דלקים'!$B$64:$BV$84,BZ$2-$E$2,FALSE))*$D$9*$D$8*(HLOOKUP(BZ$23,$G$18:$R$19,2,FALSE)*(1-$D$12)^($F30-'הנחות עבודה'!$C$5)/$D$11)/$D$11)</f>
        <v>0</v>
      </c>
    </row>
    <row r="31" spans="6:78" ht="15.75">
      <c r="F31" s="10">
        <f t="shared" si="110"/>
        <v>2027</v>
      </c>
      <c r="G31" s="42">
        <f ca="1">IF(OR($F31&gt;$D$5,$F31&gt;MAX('הנחות עבודה'!$B$69:$B$89)),0,(VLOOKUP($F31,'התפלגות ייצור וסל דלקים'!$B$64:$BV$84,G$2-$E$2,FALSE))*$D$9*$D$8*(HLOOKUP(G$23,$G$18:$R$19,2,FALSE)*(1-$D$12)^($F31-'הנחות עבודה'!$C$5)/$D$11)/$D$11)</f>
        <v>0</v>
      </c>
      <c r="H31" s="44">
        <f ca="1">IF(OR($F31&gt;$D$5,$F31&gt;MAX('הנחות עבודה'!$B$69:$B$89)),0,(VLOOKUP($F31,'התפלגות ייצור וסל דלקים'!$B$64:$BV$84,H$2-$E$2,FALSE))*$D$9*$D$8*(HLOOKUP(H$23,$G$18:$R$19,2,FALSE)*(1-$D$12)^($F31-'הנחות עבודה'!$C$5)/$D$11)/$D$11)</f>
        <v>0</v>
      </c>
      <c r="I31" s="44">
        <f ca="1">IF(OR($F31&gt;$D$5,$F31&gt;MAX('הנחות עבודה'!$B$69:$B$89)),0,(VLOOKUP($F31,'התפלגות ייצור וסל דלקים'!$B$64:$BV$84,I$2-$E$2,FALSE))*$D$9*$D$8*(HLOOKUP(I$23,$G$18:$R$19,2,FALSE)*(1-$D$12)^($F31-'הנחות עבודה'!$C$5)/$D$11)/$D$11)</f>
        <v>0</v>
      </c>
      <c r="J31" s="44">
        <f ca="1">IF(OR($F31&gt;$D$5,$F31&gt;MAX('הנחות עבודה'!$B$69:$B$89)),0,(VLOOKUP($F31,'התפלגות ייצור וסל דלקים'!$B$64:$BV$84,J$2-$E$2,FALSE))*$D$9*$D$8*(HLOOKUP(J$23,$G$18:$R$19,2,FALSE)*(1-$D$12)^($F31-'הנחות עבודה'!$C$5)/$D$11)/$D$11)</f>
        <v>0</v>
      </c>
      <c r="K31" s="44">
        <f ca="1">IF(OR($F31&gt;$D$5,$F31&gt;MAX('הנחות עבודה'!$B$69:$B$89)),0,(VLOOKUP($F31,'התפלגות ייצור וסל דלקים'!$B$64:$BV$84,K$2-$E$2,FALSE))*$D$9*$D$8*(HLOOKUP(K$23,$G$18:$R$19,2,FALSE)*(1-$D$12)^($F31-'הנחות עבודה'!$C$5)/$D$11)/$D$11)</f>
        <v>0</v>
      </c>
      <c r="L31" s="44">
        <f ca="1">IF(OR($F31&gt;$D$5,$F31&gt;MAX('הנחות עבודה'!$B$69:$B$89)),0,(VLOOKUP($F31,'התפלגות ייצור וסל דלקים'!$B$64:$BV$84,L$2-$E$2,FALSE))*$D$9*$D$8*(HLOOKUP(L$23,$G$18:$R$19,2,FALSE)*(1-$D$12)^($F31-'הנחות עבודה'!$C$5)/$D$11)/$D$11)</f>
        <v>0</v>
      </c>
      <c r="M31" s="42">
        <f ca="1">IF(OR($F31&gt;$D$5,$F31&gt;MAX('הנחות עבודה'!$B$69:$B$89)),0,(VLOOKUP($F31,'התפלגות ייצור וסל דלקים'!$B$64:$BV$84,M$2-$E$2,FALSE))*$D$9*$D$8*(HLOOKUP(M$23,$G$18:$R$19,2,FALSE)*(1-$D$12)^($F31-'הנחות עבודה'!$C$5)/$D$11)/$D$11)</f>
        <v>3.5869559999999992E-3</v>
      </c>
      <c r="N31" s="42">
        <f ca="1">IF(OR($F31&gt;$D$5,$F31&gt;MAX('הנחות עבודה'!$B$69:$B$89)),0,(VLOOKUP($F31,'התפלגות ייצור וסל דלקים'!$B$64:$BV$84,N$2-$E$2,FALSE))*$D$9*$D$8*(HLOOKUP(N$23,$G$18:$R$19,2,FALSE)*(1-$D$12)^($F31-'הנחות עבודה'!$C$5)/$D$11)/$D$11)</f>
        <v>9.7923241724800006E-3</v>
      </c>
      <c r="O31" s="42">
        <f ca="1">IF(OR($F31&gt;$D$5,$F31&gt;MAX('הנחות עבודה'!$B$69:$B$89)),0,(VLOOKUP($F31,'התפלגות ייצור וסל דלקים'!$B$64:$BV$84,O$2-$E$2,FALSE))*$D$9*$D$8*(HLOOKUP(O$23,$G$18:$R$19,2,FALSE)*(1-$D$12)^($F31-'הנחות עבודה'!$C$5)/$D$11)/$D$11)</f>
        <v>0</v>
      </c>
      <c r="P31" s="42">
        <f ca="1">IF(OR($F31&gt;$D$5,$F31&gt;MAX('הנחות עבודה'!$B$69:$B$89)),0,(VLOOKUP($F31,'התפלגות ייצור וסל דלקים'!$B$64:$BV$84,P$2-$E$2,FALSE))*$D$9*$D$8*(HLOOKUP(P$23,$G$18:$R$19,2,FALSE)*(1-$D$12)^($F31-'הנחות עבודה'!$C$5)/$D$11)/$D$11)</f>
        <v>0</v>
      </c>
      <c r="Q31" s="42">
        <f ca="1">IF(OR($F31&gt;$D$5,$F31&gt;MAX('הנחות עבודה'!$B$69:$B$89)),0,(VLOOKUP($F31,'התפלגות ייצור וסל דלקים'!$B$64:$BV$84,Q$2-$E$2,FALSE))*$D$9*$D$8*(HLOOKUP(Q$23,$G$18:$R$19,2,FALSE)*(1-$D$12)^($F31-'הנחות עבודה'!$C$5)/$D$11)/$D$11)</f>
        <v>0</v>
      </c>
      <c r="R31" s="42">
        <f ca="1">IF(OR($F31&gt;$D$5,$F31&gt;MAX('הנחות עבודה'!$B$69:$B$89)),0,(VLOOKUP($F31,'התפלגות ייצור וסל דלקים'!$B$64:$BV$84,R$2-$E$2,FALSE))*$D$9*$D$8*(HLOOKUP(R$23,$G$18:$R$19,2,FALSE)*(1-$D$12)^($F31-'הנחות עבודה'!$C$5)/$D$11)/$D$11)</f>
        <v>0</v>
      </c>
      <c r="S31" s="52">
        <f ca="1">IF(OR($F31&gt;$D$5,$F31&gt;MAX('הנחות עבודה'!$B$69:$B$89)),0,(VLOOKUP($F31,'התפלגות ייצור וסל דלקים'!$B$64:$BV$84,S$2-$E$2,FALSE))*$D$9*$D$8*(HLOOKUP(S$23,$G$18:$R$19,2,FALSE)*(1-$D$12)^($F31-'הנחות עבודה'!$C$5)/$D$11)/$D$11)</f>
        <v>0</v>
      </c>
      <c r="T31" s="127">
        <f ca="1">IF(OR($F31&gt;$D$5,$F31&gt;MAX('הנחות עבודה'!$B$69:$B$89)),0,(VLOOKUP($F31,'התפלגות ייצור וסל דלקים'!$B$64:$BV$84,T$2-$E$2,FALSE))*$D$9*$D$8*(HLOOKUP(T$23,$G$18:$R$19,2,FALSE)*(1-$D$12)^($F31-'הנחות עבודה'!$C$5)/$D$11)/$D$11)</f>
        <v>0</v>
      </c>
      <c r="U31" s="127">
        <f ca="1">IF(OR($F31&gt;$D$5,$F31&gt;MAX('הנחות עבודה'!$B$69:$B$89)),0,(VLOOKUP($F31,'התפלגות ייצור וסל דלקים'!$B$64:$BV$84,U$2-$E$2,FALSE))*$D$9*$D$8*(HLOOKUP(U$23,$G$18:$R$19,2,FALSE)*(1-$D$12)^($F31-'הנחות עבודה'!$C$5)/$D$11)/$D$11)</f>
        <v>0</v>
      </c>
      <c r="V31" s="127">
        <f ca="1">IF(OR($F31&gt;$D$5,$F31&gt;MAX('הנחות עבודה'!$B$69:$B$89)),0,(VLOOKUP($F31,'התפלגות ייצור וסל דלקים'!$B$64:$BV$84,V$2-$E$2,FALSE))*$D$9*$D$8*(HLOOKUP(V$23,$G$18:$R$19,2,FALSE)*(1-$D$12)^($F31-'הנחות עבודה'!$C$5)/$D$11)/$D$11)</f>
        <v>0</v>
      </c>
      <c r="W31" s="127">
        <f ca="1">IF(OR($F31&gt;$D$5,$F31&gt;MAX('הנחות עבודה'!$B$69:$B$89)),0,(VLOOKUP($F31,'התפלגות ייצור וסל דלקים'!$B$64:$BV$84,W$2-$E$2,FALSE))*$D$9*$D$8*(HLOOKUP(W$23,$G$18:$R$19,2,FALSE)*(1-$D$12)^($F31-'הנחות עבודה'!$C$5)/$D$11)/$D$11)</f>
        <v>0</v>
      </c>
      <c r="X31" s="127">
        <f ca="1">IF(OR($F31&gt;$D$5,$F31&gt;MAX('הנחות עבודה'!$B$69:$B$89)),0,(VLOOKUP($F31,'התפלגות ייצור וסל דלקים'!$B$64:$BV$84,X$2-$E$2,FALSE))*$D$9*$D$8*(HLOOKUP(X$23,$G$18:$R$19,2,FALSE)*(1-$D$12)^($F31-'הנחות עבודה'!$C$5)/$D$11)/$D$11)</f>
        <v>0</v>
      </c>
      <c r="Y31" s="52">
        <f ca="1">IF(OR($F31&gt;$D$5,$F31&gt;MAX('הנחות עבודה'!$B$69:$B$89)),0,(VLOOKUP($F31,'התפלגות ייצור וסל דלקים'!$B$64:$BV$84,Y$2-$E$2,FALSE))*$D$9*$D$8*(HLOOKUP(Y$23,$G$18:$R$19,2,FALSE)*(1-$D$12)^($F31-'הנחות עבודה'!$C$5)/$D$11)/$D$11)</f>
        <v>3.5869559999999992E-3</v>
      </c>
      <c r="Z31" s="52">
        <f ca="1">IF(OR($F31&gt;$D$5,$F31&gt;MAX('הנחות עבודה'!$B$69:$B$89)),0,(VLOOKUP($F31,'התפלגות ייצור וסל דלקים'!$B$64:$BV$84,Z$2-$E$2,FALSE))*$D$9*$D$8*(HLOOKUP(Z$23,$G$18:$R$19,2,FALSE)*(1-$D$12)^($F31-'הנחות עבודה'!$C$5)/$D$11)/$D$11)</f>
        <v>9.7923241724800006E-3</v>
      </c>
      <c r="AA31" s="52">
        <f ca="1">IF(OR($F31&gt;$D$5,$F31&gt;MAX('הנחות עבודה'!$B$69:$B$89)),0,(VLOOKUP($F31,'התפלגות ייצור וסל דלקים'!$B$64:$BV$84,AA$2-$E$2,FALSE))*$D$9*$D$8*(HLOOKUP(AA$23,$G$18:$R$19,2,FALSE)*(1-$D$12)^($F31-'הנחות עבודה'!$C$5)/$D$11)/$D$11)</f>
        <v>0</v>
      </c>
      <c r="AB31" s="52">
        <f ca="1">IF(OR($F31&gt;$D$5,$F31&gt;MAX('הנחות עבודה'!$B$69:$B$89)),0,(VLOOKUP($F31,'התפלגות ייצור וסל דלקים'!$B$64:$BV$84,AB$2-$E$2,FALSE))*$D$9*$D$8*(HLOOKUP(AB$23,$G$18:$R$19,2,FALSE)*(1-$D$12)^($F31-'הנחות עבודה'!$C$5)/$D$11)/$D$11)</f>
        <v>0</v>
      </c>
      <c r="AC31" s="52">
        <f ca="1">IF(OR($F31&gt;$D$5,$F31&gt;MAX('הנחות עבודה'!$B$69:$B$89)),0,(VLOOKUP($F31,'התפלגות ייצור וסל דלקים'!$B$64:$BV$84,AC$2-$E$2,FALSE))*$D$9*$D$8*(HLOOKUP(AC$23,$G$18:$R$19,2,FALSE)*(1-$D$12)^($F31-'הנחות עבודה'!$C$5)/$D$11)/$D$11)</f>
        <v>0</v>
      </c>
      <c r="AD31" s="52">
        <f ca="1">IF(OR($F31&gt;$D$5,$F31&gt;MAX('הנחות עבודה'!$B$69:$B$89)),0,(VLOOKUP($F31,'התפלגות ייצור וסל דלקים'!$B$64:$BV$84,AD$2-$E$2,FALSE))*$D$9*$D$8*(HLOOKUP(AD$23,$G$18:$R$19,2,FALSE)*(1-$D$12)^($F31-'הנחות עבודה'!$C$5)/$D$11)/$D$11)</f>
        <v>0</v>
      </c>
      <c r="AE31" s="42">
        <f ca="1">IF(OR($F31&gt;$D$5,$F31&gt;MAX('הנחות עבודה'!$B$69:$B$89)),0,(VLOOKUP($F31,'התפלגות ייצור וסל דלקים'!$B$64:$BV$84,AE$2-$E$2,FALSE))*$D$9*$D$8*(HLOOKUP(AE$23,$G$18:$R$19,2,FALSE)*(1-$D$12)^($F31-'הנחות עבודה'!$C$5)/$D$11)/$D$11)</f>
        <v>0</v>
      </c>
      <c r="AF31" s="44">
        <f ca="1">IF(OR($F31&gt;$D$5,$F31&gt;MAX('הנחות עבודה'!$B$69:$B$89)),0,(VLOOKUP($F31,'התפלגות ייצור וסל דלקים'!$B$64:$BV$84,AF$2-$E$2,FALSE))*$D$9*$D$8*(HLOOKUP(AF$23,$G$18:$R$19,2,FALSE)*(1-$D$12)^($F31-'הנחות עבודה'!$C$5)/$D$11)/$D$11)</f>
        <v>0</v>
      </c>
      <c r="AG31" s="44">
        <f ca="1">IF(OR($F31&gt;$D$5,$F31&gt;MAX('הנחות עבודה'!$B$69:$B$89)),0,(VLOOKUP($F31,'התפלגות ייצור וסל דלקים'!$B$64:$BV$84,AG$2-$E$2,FALSE))*$D$9*$D$8*(HLOOKUP(AG$23,$G$18:$R$19,2,FALSE)*(1-$D$12)^($F31-'הנחות עבודה'!$C$5)/$D$11)/$D$11)</f>
        <v>0</v>
      </c>
      <c r="AH31" s="44">
        <f ca="1">IF(OR($F31&gt;$D$5,$F31&gt;MAX('הנחות עבודה'!$B$69:$B$89)),0,(VLOOKUP($F31,'התפלגות ייצור וסל דלקים'!$B$64:$BV$84,AH$2-$E$2,FALSE))*$D$9*$D$8*(HLOOKUP(AH$23,$G$18:$R$19,2,FALSE)*(1-$D$12)^($F31-'הנחות עבודה'!$C$5)/$D$11)/$D$11)</f>
        <v>0</v>
      </c>
      <c r="AI31" s="44">
        <f ca="1">IF(OR($F31&gt;$D$5,$F31&gt;MAX('הנחות עבודה'!$B$69:$B$89)),0,(VLOOKUP($F31,'התפלגות ייצור וסל דלקים'!$B$64:$BV$84,AI$2-$E$2,FALSE))*$D$9*$D$8*(HLOOKUP(AI$23,$G$18:$R$19,2,FALSE)*(1-$D$12)^($F31-'הנחות עבודה'!$C$5)/$D$11)/$D$11)</f>
        <v>0</v>
      </c>
      <c r="AJ31" s="44">
        <f ca="1">IF(OR($F31&gt;$D$5,$F31&gt;MAX('הנחות עבודה'!$B$69:$B$89)),0,(VLOOKUP($F31,'התפלגות ייצור וסל דלקים'!$B$64:$BV$84,AJ$2-$E$2,FALSE))*$D$9*$D$8*(HLOOKUP(AJ$23,$G$18:$R$19,2,FALSE)*(1-$D$12)^($F31-'הנחות עבודה'!$C$5)/$D$11)/$D$11)</f>
        <v>0</v>
      </c>
      <c r="AK31" s="42">
        <f ca="1">IF(OR($F31&gt;$D$5,$F31&gt;MAX('הנחות עבודה'!$B$69:$B$89)),0,(VLOOKUP($F31,'התפלגות ייצור וסל דלקים'!$B$64:$BV$84,AK$2-$E$2,FALSE))*$D$9*$D$8*(HLOOKUP(AK$23,$G$18:$R$19,2,FALSE)*(1-$D$12)^($F31-'הנחות עבודה'!$C$5)/$D$11)/$D$11)</f>
        <v>3.5589336000000004E-3</v>
      </c>
      <c r="AL31" s="42">
        <f ca="1">IF(OR($F31&gt;$D$5,$F31&gt;MAX('הנחות עבודה'!$B$69:$B$89)),0,(VLOOKUP($F31,'התפלגות ייצור וסל דלקים'!$B$64:$BV$84,AL$2-$E$2,FALSE))*$D$9*$D$8*(HLOOKUP(AL$23,$G$18:$R$19,2,FALSE)*(1-$D$12)^($F31-'הנחות עבודה'!$C$5)/$D$11)/$D$11)</f>
        <v>8.965619970400001E-3</v>
      </c>
      <c r="AM31" s="42">
        <f ca="1">IF(OR($F31&gt;$D$5,$F31&gt;MAX('הנחות עבודה'!$B$69:$B$89)),0,(VLOOKUP($F31,'התפלגות ייצור וסל דלקים'!$B$64:$BV$84,AM$2-$E$2,FALSE))*$D$9*$D$8*(HLOOKUP(AM$23,$G$18:$R$19,2,FALSE)*(1-$D$12)^($F31-'הנחות עבודה'!$C$5)/$D$11)/$D$11)</f>
        <v>0</v>
      </c>
      <c r="AN31" s="42">
        <f ca="1">IF(OR($F31&gt;$D$5,$F31&gt;MAX('הנחות עבודה'!$B$69:$B$89)),0,(VLOOKUP($F31,'התפלגות ייצור וסל דלקים'!$B$64:$BV$84,AN$2-$E$2,FALSE))*$D$9*$D$8*(HLOOKUP(AN$23,$G$18:$R$19,2,FALSE)*(1-$D$12)^($F31-'הנחות עבודה'!$C$5)/$D$11)/$D$11)</f>
        <v>0</v>
      </c>
      <c r="AO31" s="42">
        <f ca="1">IF(OR($F31&gt;$D$5,$F31&gt;MAX('הנחות עבודה'!$B$69:$B$89)),0,(VLOOKUP($F31,'התפלגות ייצור וסל דלקים'!$B$64:$BV$84,AO$2-$E$2,FALSE))*$D$9*$D$8*(HLOOKUP(AO$23,$G$18:$R$19,2,FALSE)*(1-$D$12)^($F31-'הנחות עבודה'!$C$5)/$D$11)/$D$11)</f>
        <v>0</v>
      </c>
      <c r="AP31" s="42">
        <f ca="1">IF(OR($F31&gt;$D$5,$F31&gt;MAX('הנחות עבודה'!$B$69:$B$89)),0,(VLOOKUP($F31,'התפלגות ייצור וסל דלקים'!$B$64:$BV$84,AP$2-$E$2,FALSE))*$D$9*$D$8*(HLOOKUP(AP$23,$G$18:$R$19,2,FALSE)*(1-$D$12)^($F31-'הנחות עבודה'!$C$5)/$D$11)/$D$11)</f>
        <v>0</v>
      </c>
      <c r="AQ31" s="52">
        <f ca="1">IF(OR($F31&gt;$D$5,$F31&gt;MAX('הנחות עבודה'!$B$69:$B$89)),0,(VLOOKUP($F31,'התפלגות ייצור וסל דלקים'!$B$64:$BV$84,AQ$2-$E$2,FALSE))*$D$9*$D$8*(HLOOKUP(AQ$23,$G$18:$R$19,2,FALSE)*(1-$D$12)^($F31-'הנחות עבודה'!$C$5)/$D$11)/$D$11)</f>
        <v>0</v>
      </c>
      <c r="AR31" s="127">
        <f ca="1">IF(OR($F31&gt;$D$5,$F31&gt;MAX('הנחות עבודה'!$B$69:$B$89)),0,(VLOOKUP($F31,'התפלגות ייצור וסל דלקים'!$B$64:$BV$84,AR$2-$E$2,FALSE))*$D$9*$D$8*(HLOOKUP(AR$23,$G$18:$R$19,2,FALSE)*(1-$D$12)^($F31-'הנחות עבודה'!$C$5)/$D$11)/$D$11)</f>
        <v>0</v>
      </c>
      <c r="AS31" s="127">
        <f ca="1">IF(OR($F31&gt;$D$5,$F31&gt;MAX('הנחות עבודה'!$B$69:$B$89)),0,(VLOOKUP($F31,'התפלגות ייצור וסל דלקים'!$B$64:$BV$84,AS$2-$E$2,FALSE))*$D$9*$D$8*(HLOOKUP(AS$23,$G$18:$R$19,2,FALSE)*(1-$D$12)^($F31-'הנחות עבודה'!$C$5)/$D$11)/$D$11)</f>
        <v>0</v>
      </c>
      <c r="AT31" s="127">
        <f ca="1">IF(OR($F31&gt;$D$5,$F31&gt;MAX('הנחות עבודה'!$B$69:$B$89)),0,(VLOOKUP($F31,'התפלגות ייצור וסל דלקים'!$B$64:$BV$84,AT$2-$E$2,FALSE))*$D$9*$D$8*(HLOOKUP(AT$23,$G$18:$R$19,2,FALSE)*(1-$D$12)^($F31-'הנחות עבודה'!$C$5)/$D$11)/$D$11)</f>
        <v>0</v>
      </c>
      <c r="AU31" s="127">
        <f ca="1">IF(OR($F31&gt;$D$5,$F31&gt;MAX('הנחות עבודה'!$B$69:$B$89)),0,(VLOOKUP($F31,'התפלגות ייצור וסל דלקים'!$B$64:$BV$84,AU$2-$E$2,FALSE))*$D$9*$D$8*(HLOOKUP(AU$23,$G$18:$R$19,2,FALSE)*(1-$D$12)^($F31-'הנחות עבודה'!$C$5)/$D$11)/$D$11)</f>
        <v>0</v>
      </c>
      <c r="AV31" s="127">
        <f ca="1">IF(OR($F31&gt;$D$5,$F31&gt;MAX('הנחות עבודה'!$B$69:$B$89)),0,(VLOOKUP($F31,'התפלגות ייצור וסל דלקים'!$B$64:$BV$84,AV$2-$E$2,FALSE))*$D$9*$D$8*(HLOOKUP(AV$23,$G$18:$R$19,2,FALSE)*(1-$D$12)^($F31-'הנחות עבודה'!$C$5)/$D$11)/$D$11)</f>
        <v>0</v>
      </c>
      <c r="AW31" s="52">
        <f ca="1">IF(OR($F31&gt;$D$5,$F31&gt;MAX('הנחות עבודה'!$B$69:$B$89)),0,(VLOOKUP($F31,'התפלגות ייצור וסל דלקים'!$B$64:$BV$84,AW$2-$E$2,FALSE))*$D$9*$D$8*(HLOOKUP(AW$23,$G$18:$R$19,2,FALSE)*(1-$D$12)^($F31-'הנחות עבודה'!$C$5)/$D$11)/$D$11)</f>
        <v>3.5589336000000004E-3</v>
      </c>
      <c r="AX31" s="52">
        <f ca="1">IF(OR($F31&gt;$D$5,$F31&gt;MAX('הנחות עבודה'!$B$69:$B$89)),0,(VLOOKUP($F31,'התפלגות ייצור וסל דלקים'!$B$64:$BV$84,AX$2-$E$2,FALSE))*$D$9*$D$8*(HLOOKUP(AX$23,$G$18:$R$19,2,FALSE)*(1-$D$12)^($F31-'הנחות עבודה'!$C$5)/$D$11)/$D$11)</f>
        <v>8.965619970400001E-3</v>
      </c>
      <c r="AY31" s="52">
        <f ca="1">IF(OR($F31&gt;$D$5,$F31&gt;MAX('הנחות עבודה'!$B$69:$B$89)),0,(VLOOKUP($F31,'התפלגות ייצור וסל דלקים'!$B$64:$BV$84,AY$2-$E$2,FALSE))*$D$9*$D$8*(HLOOKUP(AY$23,$G$18:$R$19,2,FALSE)*(1-$D$12)^($F31-'הנחות עבודה'!$C$5)/$D$11)/$D$11)</f>
        <v>0</v>
      </c>
      <c r="AZ31" s="52">
        <f ca="1">IF(OR($F31&gt;$D$5,$F31&gt;MAX('הנחות עבודה'!$B$69:$B$89)),0,(VLOOKUP($F31,'התפלגות ייצור וסל דלקים'!$B$64:$BV$84,AZ$2-$E$2,FALSE))*$D$9*$D$8*(HLOOKUP(AZ$23,$G$18:$R$19,2,FALSE)*(1-$D$12)^($F31-'הנחות עבודה'!$C$5)/$D$11)/$D$11)</f>
        <v>0</v>
      </c>
      <c r="BA31" s="52">
        <f ca="1">IF(OR($F31&gt;$D$5,$F31&gt;MAX('הנחות עבודה'!$B$69:$B$89)),0,(VLOOKUP($F31,'התפלגות ייצור וסל דלקים'!$B$64:$BV$84,BA$2-$E$2,FALSE))*$D$9*$D$8*(HLOOKUP(BA$23,$G$18:$R$19,2,FALSE)*(1-$D$12)^($F31-'הנחות עבודה'!$C$5)/$D$11)/$D$11)</f>
        <v>0</v>
      </c>
      <c r="BB31" s="52">
        <f ca="1">IF(OR($F31&gt;$D$5,$F31&gt;MAX('הנחות עבודה'!$B$69:$B$89)),0,(VLOOKUP($F31,'התפלגות ייצור וסל דלקים'!$B$64:$BV$84,BB$2-$E$2,FALSE))*$D$9*$D$8*(HLOOKUP(BB$23,$G$18:$R$19,2,FALSE)*(1-$D$12)^($F31-'הנחות עבודה'!$C$5)/$D$11)/$D$11)</f>
        <v>0</v>
      </c>
      <c r="BC31" s="42">
        <f ca="1">IF(OR($F31&gt;$D$5,$F31&gt;MAX('הנחות עבודה'!$B$69:$B$89)),0,(VLOOKUP($F31,'התפלגות ייצור וסל דלקים'!$B$64:$BV$84,BC$2-$E$2,FALSE))*$D$9*$D$8*(HLOOKUP(BC$23,$G$18:$R$19,2,FALSE)*(1-$D$12)^($F31-'הנחות עבודה'!$C$5)/$D$11)/$D$11)</f>
        <v>0</v>
      </c>
      <c r="BD31" s="44">
        <f ca="1">IF(OR($F31&gt;$D$5,$F31&gt;MAX('הנחות עבודה'!$B$69:$B$89)),0,(VLOOKUP($F31,'התפלגות ייצור וסל דלקים'!$B$64:$BV$84,BD$2-$E$2,FALSE))*$D$9*$D$8*(HLOOKUP(BD$23,$G$18:$R$19,2,FALSE)*(1-$D$12)^($F31-'הנחות עבודה'!$C$5)/$D$11)/$D$11)</f>
        <v>0</v>
      </c>
      <c r="BE31" s="44">
        <f ca="1">IF(OR($F31&gt;$D$5,$F31&gt;MAX('הנחות עבודה'!$B$69:$B$89)),0,(VLOOKUP($F31,'התפלגות ייצור וסל דלקים'!$B$64:$BV$84,BE$2-$E$2,FALSE))*$D$9*$D$8*(HLOOKUP(BE$23,$G$18:$R$19,2,FALSE)*(1-$D$12)^($F31-'הנחות עבודה'!$C$5)/$D$11)/$D$11)</f>
        <v>0</v>
      </c>
      <c r="BF31" s="44">
        <f ca="1">IF(OR($F31&gt;$D$5,$F31&gt;MAX('הנחות עבודה'!$B$69:$B$89)),0,(VLOOKUP($F31,'התפלגות ייצור וסל דלקים'!$B$64:$BV$84,BF$2-$E$2,FALSE))*$D$9*$D$8*(HLOOKUP(BF$23,$G$18:$R$19,2,FALSE)*(1-$D$12)^($F31-'הנחות עבודה'!$C$5)/$D$11)/$D$11)</f>
        <v>0</v>
      </c>
      <c r="BG31" s="44">
        <f ca="1">IF(OR($F31&gt;$D$5,$F31&gt;MAX('הנחות עבודה'!$B$69:$B$89)),0,(VLOOKUP($F31,'התפלגות ייצור וסל דלקים'!$B$64:$BV$84,BG$2-$E$2,FALSE))*$D$9*$D$8*(HLOOKUP(BG$23,$G$18:$R$19,2,FALSE)*(1-$D$12)^($F31-'הנחות עבודה'!$C$5)/$D$11)/$D$11)</f>
        <v>0</v>
      </c>
      <c r="BH31" s="44">
        <f ca="1">IF(OR($F31&gt;$D$5,$F31&gt;MAX('הנחות עבודה'!$B$69:$B$89)),0,(VLOOKUP($F31,'התפלגות ייצור וסל דלקים'!$B$64:$BV$84,BH$2-$E$2,FALSE))*$D$9*$D$8*(HLOOKUP(BH$23,$G$18:$R$19,2,FALSE)*(1-$D$12)^($F31-'הנחות עבודה'!$C$5)/$D$11)/$D$11)</f>
        <v>0</v>
      </c>
      <c r="BI31" s="42">
        <f ca="1">IF(OR($F31&gt;$D$5,$F31&gt;MAX('הנחות עבודה'!$B$69:$B$89)),0,(VLOOKUP($F31,'התפלגות ייצור וסל דלקים'!$B$64:$BV$84,BI$2-$E$2,FALSE))*$D$9*$D$8*(HLOOKUP(BI$23,$G$18:$R$19,2,FALSE)*(1-$D$12)^($F31-'הנחות עבודה'!$C$5)/$D$11)/$D$11)</f>
        <v>3.6093599999999998E-3</v>
      </c>
      <c r="BJ31" s="42">
        <f ca="1">IF(OR($F31&gt;$D$5,$F31&gt;MAX('הנחות עבודה'!$B$69:$B$89)),0,(VLOOKUP($F31,'התפלגות ייצור וסל דלקים'!$B$64:$BV$84,BJ$2-$E$2,FALSE))*$D$9*$D$8*(HLOOKUP(BJ$23,$G$18:$R$19,2,FALSE)*(1-$D$12)^($F31-'הנחות עבודה'!$C$5)/$D$11)/$D$11)</f>
        <v>8.4353854912000009E-3</v>
      </c>
      <c r="BK31" s="42">
        <f ca="1">IF(OR($F31&gt;$D$5,$F31&gt;MAX('הנחות עבודה'!$B$69:$B$89)),0,(VLOOKUP($F31,'התפלגות ייצור וסל דלקים'!$B$64:$BV$84,BK$2-$E$2,FALSE))*$D$9*$D$8*(HLOOKUP(BK$23,$G$18:$R$19,2,FALSE)*(1-$D$12)^($F31-'הנחות עבודה'!$C$5)/$D$11)/$D$11)</f>
        <v>0</v>
      </c>
      <c r="BL31" s="42">
        <f ca="1">IF(OR($F31&gt;$D$5,$F31&gt;MAX('הנחות עבודה'!$B$69:$B$89)),0,(VLOOKUP($F31,'התפלגות ייצור וסל דלקים'!$B$64:$BV$84,BL$2-$E$2,FALSE))*$D$9*$D$8*(HLOOKUP(BL$23,$G$18:$R$19,2,FALSE)*(1-$D$12)^($F31-'הנחות עבודה'!$C$5)/$D$11)/$D$11)</f>
        <v>0</v>
      </c>
      <c r="BM31" s="42">
        <f ca="1">IF(OR($F31&gt;$D$5,$F31&gt;MAX('הנחות עבודה'!$B$69:$B$89)),0,(VLOOKUP($F31,'התפלגות ייצור וסל דלקים'!$B$64:$BV$84,BM$2-$E$2,FALSE))*$D$9*$D$8*(HLOOKUP(BM$23,$G$18:$R$19,2,FALSE)*(1-$D$12)^($F31-'הנחות עבודה'!$C$5)/$D$11)/$D$11)</f>
        <v>0</v>
      </c>
      <c r="BN31" s="42">
        <f ca="1">IF(OR($F31&gt;$D$5,$F31&gt;MAX('הנחות עבודה'!$B$69:$B$89)),0,(VLOOKUP($F31,'התפלגות ייצור וסל דלקים'!$B$64:$BV$84,BN$2-$E$2,FALSE))*$D$9*$D$8*(HLOOKUP(BN$23,$G$18:$R$19,2,FALSE)*(1-$D$12)^($F31-'הנחות עבודה'!$C$5)/$D$11)/$D$11)</f>
        <v>0</v>
      </c>
      <c r="BO31" s="52">
        <f ca="1">IF(OR($F31&gt;$D$5,$F31&gt;MAX('הנחות עבודה'!$B$69:$B$89)),0,(VLOOKUP($F31,'התפלגות ייצור וסל דלקים'!$B$64:$BV$84,BO$2-$E$2,FALSE))*$D$9*$D$8*(HLOOKUP(BO$23,$G$18:$R$19,2,FALSE)*(1-$D$12)^($F31-'הנחות עבודה'!$C$5)/$D$11)/$D$11)</f>
        <v>0</v>
      </c>
      <c r="BP31" s="127">
        <f ca="1">IF(OR($F31&gt;$D$5,$F31&gt;MAX('הנחות עבודה'!$B$69:$B$89)),0,(VLOOKUP($F31,'התפלגות ייצור וסל דלקים'!$B$64:$BV$84,BP$2-$E$2,FALSE))*$D$9*$D$8*(HLOOKUP(BP$23,$G$18:$R$19,2,FALSE)*(1-$D$12)^($F31-'הנחות עבודה'!$C$5)/$D$11)/$D$11)</f>
        <v>0</v>
      </c>
      <c r="BQ31" s="127">
        <f ca="1">IF(OR($F31&gt;$D$5,$F31&gt;MAX('הנחות עבודה'!$B$69:$B$89)),0,(VLOOKUP($F31,'התפלגות ייצור וסל דלקים'!$B$64:$BV$84,BQ$2-$E$2,FALSE))*$D$9*$D$8*(HLOOKUP(BQ$23,$G$18:$R$19,2,FALSE)*(1-$D$12)^($F31-'הנחות עבודה'!$C$5)/$D$11)/$D$11)</f>
        <v>0</v>
      </c>
      <c r="BR31" s="127">
        <f ca="1">IF(OR($F31&gt;$D$5,$F31&gt;MAX('הנחות עבודה'!$B$69:$B$89)),0,(VLOOKUP($F31,'התפלגות ייצור וסל דלקים'!$B$64:$BV$84,BR$2-$E$2,FALSE))*$D$9*$D$8*(HLOOKUP(BR$23,$G$18:$R$19,2,FALSE)*(1-$D$12)^($F31-'הנחות עבודה'!$C$5)/$D$11)/$D$11)</f>
        <v>0</v>
      </c>
      <c r="BS31" s="127">
        <f ca="1">IF(OR($F31&gt;$D$5,$F31&gt;MAX('הנחות עבודה'!$B$69:$B$89)),0,(VLOOKUP($F31,'התפלגות ייצור וסל דלקים'!$B$64:$BV$84,BS$2-$E$2,FALSE))*$D$9*$D$8*(HLOOKUP(BS$23,$G$18:$R$19,2,FALSE)*(1-$D$12)^($F31-'הנחות עבודה'!$C$5)/$D$11)/$D$11)</f>
        <v>0</v>
      </c>
      <c r="BT31" s="127">
        <f ca="1">IF(OR($F31&gt;$D$5,$F31&gt;MAX('הנחות עבודה'!$B$69:$B$89)),0,(VLOOKUP($F31,'התפלגות ייצור וסל דלקים'!$B$64:$BV$84,BT$2-$E$2,FALSE))*$D$9*$D$8*(HLOOKUP(BT$23,$G$18:$R$19,2,FALSE)*(1-$D$12)^($F31-'הנחות עבודה'!$C$5)/$D$11)/$D$11)</f>
        <v>0</v>
      </c>
      <c r="BU31" s="52">
        <f ca="1">IF(OR($F31&gt;$D$5,$F31&gt;MAX('הנחות עבודה'!$B$69:$B$89)),0,(VLOOKUP($F31,'התפלגות ייצור וסל דלקים'!$B$64:$BV$84,BU$2-$E$2,FALSE))*$D$9*$D$8*(HLOOKUP(BU$23,$G$18:$R$19,2,FALSE)*(1-$D$12)^($F31-'הנחות עבודה'!$C$5)/$D$11)/$D$11)</f>
        <v>3.6093599999999998E-3</v>
      </c>
      <c r="BV31" s="52">
        <f ca="1">IF(OR($F31&gt;$D$5,$F31&gt;MAX('הנחות עבודה'!$B$69:$B$89)),0,(VLOOKUP($F31,'התפלגות ייצור וסל דלקים'!$B$64:$BV$84,BV$2-$E$2,FALSE))*$D$9*$D$8*(HLOOKUP(BV$23,$G$18:$R$19,2,FALSE)*(1-$D$12)^($F31-'הנחות עבודה'!$C$5)/$D$11)/$D$11)</f>
        <v>8.4353854912000009E-3</v>
      </c>
      <c r="BW31" s="52">
        <f ca="1">IF(OR($F31&gt;$D$5,$F31&gt;MAX('הנחות עבודה'!$B$69:$B$89)),0,(VLOOKUP($F31,'התפלגות ייצור וסל דלקים'!$B$64:$BV$84,BW$2-$E$2,FALSE))*$D$9*$D$8*(HLOOKUP(BW$23,$G$18:$R$19,2,FALSE)*(1-$D$12)^($F31-'הנחות עבודה'!$C$5)/$D$11)/$D$11)</f>
        <v>0</v>
      </c>
      <c r="BX31" s="52">
        <f ca="1">IF(OR($F31&gt;$D$5,$F31&gt;MAX('הנחות עבודה'!$B$69:$B$89)),0,(VLOOKUP($F31,'התפלגות ייצור וסל דלקים'!$B$64:$BV$84,BX$2-$E$2,FALSE))*$D$9*$D$8*(HLOOKUP(BX$23,$G$18:$R$19,2,FALSE)*(1-$D$12)^($F31-'הנחות עבודה'!$C$5)/$D$11)/$D$11)</f>
        <v>0</v>
      </c>
      <c r="BY31" s="52">
        <f ca="1">IF(OR($F31&gt;$D$5,$F31&gt;MAX('הנחות עבודה'!$B$69:$B$89)),0,(VLOOKUP($F31,'התפלגות ייצור וסל דלקים'!$B$64:$BV$84,BY$2-$E$2,FALSE))*$D$9*$D$8*(HLOOKUP(BY$23,$G$18:$R$19,2,FALSE)*(1-$D$12)^($F31-'הנחות עבודה'!$C$5)/$D$11)/$D$11)</f>
        <v>0</v>
      </c>
      <c r="BZ31" s="52">
        <f ca="1">IF(OR($F31&gt;$D$5,$F31&gt;MAX('הנחות עבודה'!$B$69:$B$89)),0,(VLOOKUP($F31,'התפלגות ייצור וסל דלקים'!$B$64:$BV$84,BZ$2-$E$2,FALSE))*$D$9*$D$8*(HLOOKUP(BZ$23,$G$18:$R$19,2,FALSE)*(1-$D$12)^($F31-'הנחות עבודה'!$C$5)/$D$11)/$D$11)</f>
        <v>0</v>
      </c>
    </row>
    <row r="32" spans="6:78" ht="15.75">
      <c r="F32" s="10">
        <f t="shared" si="110"/>
        <v>2028</v>
      </c>
      <c r="G32" s="42">
        <f ca="1">IF(OR($F32&gt;$D$5,$F32&gt;MAX('הנחות עבודה'!$B$69:$B$89)),0,(VLOOKUP($F32,'התפלגות ייצור וסל דלקים'!$B$64:$BV$84,G$2-$E$2,FALSE))*$D$9*$D$8*(HLOOKUP(G$23,$G$18:$R$19,2,FALSE)*(1-$D$12)^($F32-'הנחות עבודה'!$C$5)/$D$11)/$D$11)</f>
        <v>0</v>
      </c>
      <c r="H32" s="44">
        <f ca="1">IF(OR($F32&gt;$D$5,$F32&gt;MAX('הנחות עבודה'!$B$69:$B$89)),0,(VLOOKUP($F32,'התפלגות ייצור וסל דלקים'!$B$64:$BV$84,H$2-$E$2,FALSE))*$D$9*$D$8*(HLOOKUP(H$23,$G$18:$R$19,2,FALSE)*(1-$D$12)^($F32-'הנחות עבודה'!$C$5)/$D$11)/$D$11)</f>
        <v>0</v>
      </c>
      <c r="I32" s="44">
        <f ca="1">IF(OR($F32&gt;$D$5,$F32&gt;MAX('הנחות עבודה'!$B$69:$B$89)),0,(VLOOKUP($F32,'התפלגות ייצור וסל דלקים'!$B$64:$BV$84,I$2-$E$2,FALSE))*$D$9*$D$8*(HLOOKUP(I$23,$G$18:$R$19,2,FALSE)*(1-$D$12)^($F32-'הנחות עבודה'!$C$5)/$D$11)/$D$11)</f>
        <v>0</v>
      </c>
      <c r="J32" s="44">
        <f ca="1">IF(OR($F32&gt;$D$5,$F32&gt;MAX('הנחות עבודה'!$B$69:$B$89)),0,(VLOOKUP($F32,'התפלגות ייצור וסל דלקים'!$B$64:$BV$84,J$2-$E$2,FALSE))*$D$9*$D$8*(HLOOKUP(J$23,$G$18:$R$19,2,FALSE)*(1-$D$12)^($F32-'הנחות עבודה'!$C$5)/$D$11)/$D$11)</f>
        <v>0</v>
      </c>
      <c r="K32" s="44">
        <f ca="1">IF(OR($F32&gt;$D$5,$F32&gt;MAX('הנחות עבודה'!$B$69:$B$89)),0,(VLOOKUP($F32,'התפלגות ייצור וסל דלקים'!$B$64:$BV$84,K$2-$E$2,FALSE))*$D$9*$D$8*(HLOOKUP(K$23,$G$18:$R$19,2,FALSE)*(1-$D$12)^($F32-'הנחות עבודה'!$C$5)/$D$11)/$D$11)</f>
        <v>0</v>
      </c>
      <c r="L32" s="44">
        <f ca="1">IF(OR($F32&gt;$D$5,$F32&gt;MAX('הנחות עבודה'!$B$69:$B$89)),0,(VLOOKUP($F32,'התפלגות ייצור וסל דלקים'!$B$64:$BV$84,L$2-$E$2,FALSE))*$D$9*$D$8*(HLOOKUP(L$23,$G$18:$R$19,2,FALSE)*(1-$D$12)^($F32-'הנחות עבודה'!$C$5)/$D$11)/$D$11)</f>
        <v>0</v>
      </c>
      <c r="M32" s="42">
        <f ca="1">IF(OR($F32&gt;$D$5,$F32&gt;MAX('הנחות עבודה'!$B$69:$B$89)),0,(VLOOKUP($F32,'התפלגות ייצור וסל דלקים'!$B$64:$BV$84,M$2-$E$2,FALSE))*$D$9*$D$8*(HLOOKUP(M$23,$G$18:$R$19,2,FALSE)*(1-$D$12)^($F32-'הנחות עבודה'!$C$5)/$D$11)/$D$11)</f>
        <v>3.5128703999999997E-3</v>
      </c>
      <c r="N32" s="42">
        <f ca="1">IF(OR($F32&gt;$D$5,$F32&gt;MAX('הנחות עבודה'!$B$69:$B$89)),0,(VLOOKUP($F32,'התפלגות ייצור וסל דלקים'!$B$64:$BV$84,N$2-$E$2,FALSE))*$D$9*$D$8*(HLOOKUP(N$23,$G$18:$R$19,2,FALSE)*(1-$D$12)^($F32-'הנחות עבודה'!$C$5)/$D$11)/$D$11)</f>
        <v>1.0029406624959998E-2</v>
      </c>
      <c r="O32" s="42">
        <f ca="1">IF(OR($F32&gt;$D$5,$F32&gt;MAX('הנחות עבודה'!$B$69:$B$89)),0,(VLOOKUP($F32,'התפלגות ייצור וסל דלקים'!$B$64:$BV$84,O$2-$E$2,FALSE))*$D$9*$D$8*(HLOOKUP(O$23,$G$18:$R$19,2,FALSE)*(1-$D$12)^($F32-'הנחות עבודה'!$C$5)/$D$11)/$D$11)</f>
        <v>0</v>
      </c>
      <c r="P32" s="42">
        <f ca="1">IF(OR($F32&gt;$D$5,$F32&gt;MAX('הנחות עבודה'!$B$69:$B$89)),0,(VLOOKUP($F32,'התפלגות ייצור וסל דלקים'!$B$64:$BV$84,P$2-$E$2,FALSE))*$D$9*$D$8*(HLOOKUP(P$23,$G$18:$R$19,2,FALSE)*(1-$D$12)^($F32-'הנחות עבודה'!$C$5)/$D$11)/$D$11)</f>
        <v>0</v>
      </c>
      <c r="Q32" s="42">
        <f ca="1">IF(OR($F32&gt;$D$5,$F32&gt;MAX('הנחות עבודה'!$B$69:$B$89)),0,(VLOOKUP($F32,'התפלגות ייצור וסל דלקים'!$B$64:$BV$84,Q$2-$E$2,FALSE))*$D$9*$D$8*(HLOOKUP(Q$23,$G$18:$R$19,2,FALSE)*(1-$D$12)^($F32-'הנחות עבודה'!$C$5)/$D$11)/$D$11)</f>
        <v>0</v>
      </c>
      <c r="R32" s="42">
        <f ca="1">IF(OR($F32&gt;$D$5,$F32&gt;MAX('הנחות עבודה'!$B$69:$B$89)),0,(VLOOKUP($F32,'התפלגות ייצור וסל דלקים'!$B$64:$BV$84,R$2-$E$2,FALSE))*$D$9*$D$8*(HLOOKUP(R$23,$G$18:$R$19,2,FALSE)*(1-$D$12)^($F32-'הנחות עבודה'!$C$5)/$D$11)/$D$11)</f>
        <v>0</v>
      </c>
      <c r="S32" s="52">
        <f ca="1">IF(OR($F32&gt;$D$5,$F32&gt;MAX('הנחות עבודה'!$B$69:$B$89)),0,(VLOOKUP($F32,'התפלגות ייצור וסל דלקים'!$B$64:$BV$84,S$2-$E$2,FALSE))*$D$9*$D$8*(HLOOKUP(S$23,$G$18:$R$19,2,FALSE)*(1-$D$12)^($F32-'הנחות עבודה'!$C$5)/$D$11)/$D$11)</f>
        <v>0</v>
      </c>
      <c r="T32" s="127">
        <f ca="1">IF(OR($F32&gt;$D$5,$F32&gt;MAX('הנחות עבודה'!$B$69:$B$89)),0,(VLOOKUP($F32,'התפלגות ייצור וסל דלקים'!$B$64:$BV$84,T$2-$E$2,FALSE))*$D$9*$D$8*(HLOOKUP(T$23,$G$18:$R$19,2,FALSE)*(1-$D$12)^($F32-'הנחות עבודה'!$C$5)/$D$11)/$D$11)</f>
        <v>0</v>
      </c>
      <c r="U32" s="127">
        <f ca="1">IF(OR($F32&gt;$D$5,$F32&gt;MAX('הנחות עבודה'!$B$69:$B$89)),0,(VLOOKUP($F32,'התפלגות ייצור וסל דלקים'!$B$64:$BV$84,U$2-$E$2,FALSE))*$D$9*$D$8*(HLOOKUP(U$23,$G$18:$R$19,2,FALSE)*(1-$D$12)^($F32-'הנחות עבודה'!$C$5)/$D$11)/$D$11)</f>
        <v>0</v>
      </c>
      <c r="V32" s="127">
        <f ca="1">IF(OR($F32&gt;$D$5,$F32&gt;MAX('הנחות עבודה'!$B$69:$B$89)),0,(VLOOKUP($F32,'התפלגות ייצור וסל דלקים'!$B$64:$BV$84,V$2-$E$2,FALSE))*$D$9*$D$8*(HLOOKUP(V$23,$G$18:$R$19,2,FALSE)*(1-$D$12)^($F32-'הנחות עבודה'!$C$5)/$D$11)/$D$11)</f>
        <v>0</v>
      </c>
      <c r="W32" s="127">
        <f ca="1">IF(OR($F32&gt;$D$5,$F32&gt;MAX('הנחות עבודה'!$B$69:$B$89)),0,(VLOOKUP($F32,'התפלגות ייצור וסל דלקים'!$B$64:$BV$84,W$2-$E$2,FALSE))*$D$9*$D$8*(HLOOKUP(W$23,$G$18:$R$19,2,FALSE)*(1-$D$12)^($F32-'הנחות עבודה'!$C$5)/$D$11)/$D$11)</f>
        <v>0</v>
      </c>
      <c r="X32" s="127">
        <f ca="1">IF(OR($F32&gt;$D$5,$F32&gt;MAX('הנחות עבודה'!$B$69:$B$89)),0,(VLOOKUP($F32,'התפלגות ייצור וסל דלקים'!$B$64:$BV$84,X$2-$E$2,FALSE))*$D$9*$D$8*(HLOOKUP(X$23,$G$18:$R$19,2,FALSE)*(1-$D$12)^($F32-'הנחות עבודה'!$C$5)/$D$11)/$D$11)</f>
        <v>0</v>
      </c>
      <c r="Y32" s="52">
        <f ca="1">IF(OR($F32&gt;$D$5,$F32&gt;MAX('הנחות עבודה'!$B$69:$B$89)),0,(VLOOKUP($F32,'התפלגות ייצור וסל דלקים'!$B$64:$BV$84,Y$2-$E$2,FALSE))*$D$9*$D$8*(HLOOKUP(Y$23,$G$18:$R$19,2,FALSE)*(1-$D$12)^($F32-'הנחות עבודה'!$C$5)/$D$11)/$D$11)</f>
        <v>3.5128703999999997E-3</v>
      </c>
      <c r="Z32" s="52">
        <f ca="1">IF(OR($F32&gt;$D$5,$F32&gt;MAX('הנחות עבודה'!$B$69:$B$89)),0,(VLOOKUP($F32,'התפלגות ייצור וסל דלקים'!$B$64:$BV$84,Z$2-$E$2,FALSE))*$D$9*$D$8*(HLOOKUP(Z$23,$G$18:$R$19,2,FALSE)*(1-$D$12)^($F32-'הנחות עבודה'!$C$5)/$D$11)/$D$11)</f>
        <v>1.0029406624959998E-2</v>
      </c>
      <c r="AA32" s="52">
        <f ca="1">IF(OR($F32&gt;$D$5,$F32&gt;MAX('הנחות עבודה'!$B$69:$B$89)),0,(VLOOKUP($F32,'התפלגות ייצור וסל דלקים'!$B$64:$BV$84,AA$2-$E$2,FALSE))*$D$9*$D$8*(HLOOKUP(AA$23,$G$18:$R$19,2,FALSE)*(1-$D$12)^($F32-'הנחות עבודה'!$C$5)/$D$11)/$D$11)</f>
        <v>0</v>
      </c>
      <c r="AB32" s="52">
        <f ca="1">IF(OR($F32&gt;$D$5,$F32&gt;MAX('הנחות עבודה'!$B$69:$B$89)),0,(VLOOKUP($F32,'התפלגות ייצור וסל דלקים'!$B$64:$BV$84,AB$2-$E$2,FALSE))*$D$9*$D$8*(HLOOKUP(AB$23,$G$18:$R$19,2,FALSE)*(1-$D$12)^($F32-'הנחות עבודה'!$C$5)/$D$11)/$D$11)</f>
        <v>0</v>
      </c>
      <c r="AC32" s="52">
        <f ca="1">IF(OR($F32&gt;$D$5,$F32&gt;MAX('הנחות עבודה'!$B$69:$B$89)),0,(VLOOKUP($F32,'התפלגות ייצור וסל דלקים'!$B$64:$BV$84,AC$2-$E$2,FALSE))*$D$9*$D$8*(HLOOKUP(AC$23,$G$18:$R$19,2,FALSE)*(1-$D$12)^($F32-'הנחות עבודה'!$C$5)/$D$11)/$D$11)</f>
        <v>0</v>
      </c>
      <c r="AD32" s="52">
        <f ca="1">IF(OR($F32&gt;$D$5,$F32&gt;MAX('הנחות עבודה'!$B$69:$B$89)),0,(VLOOKUP($F32,'התפלגות ייצור וסל דלקים'!$B$64:$BV$84,AD$2-$E$2,FALSE))*$D$9*$D$8*(HLOOKUP(AD$23,$G$18:$R$19,2,FALSE)*(1-$D$12)^($F32-'הנחות עבודה'!$C$5)/$D$11)/$D$11)</f>
        <v>0</v>
      </c>
      <c r="AE32" s="42">
        <f ca="1">IF(OR($F32&gt;$D$5,$F32&gt;MAX('הנחות עבודה'!$B$69:$B$89)),0,(VLOOKUP($F32,'התפלגות ייצור וסל דלקים'!$B$64:$BV$84,AE$2-$E$2,FALSE))*$D$9*$D$8*(HLOOKUP(AE$23,$G$18:$R$19,2,FALSE)*(1-$D$12)^($F32-'הנחות עבודה'!$C$5)/$D$11)/$D$11)</f>
        <v>0</v>
      </c>
      <c r="AF32" s="44">
        <f ca="1">IF(OR($F32&gt;$D$5,$F32&gt;MAX('הנחות עבודה'!$B$69:$B$89)),0,(VLOOKUP($F32,'התפלגות ייצור וסל דלקים'!$B$64:$BV$84,AF$2-$E$2,FALSE))*$D$9*$D$8*(HLOOKUP(AF$23,$G$18:$R$19,2,FALSE)*(1-$D$12)^($F32-'הנחות עבודה'!$C$5)/$D$11)/$D$11)</f>
        <v>0</v>
      </c>
      <c r="AG32" s="44">
        <f ca="1">IF(OR($F32&gt;$D$5,$F32&gt;MAX('הנחות עבודה'!$B$69:$B$89)),0,(VLOOKUP($F32,'התפלגות ייצור וסל דלקים'!$B$64:$BV$84,AG$2-$E$2,FALSE))*$D$9*$D$8*(HLOOKUP(AG$23,$G$18:$R$19,2,FALSE)*(1-$D$12)^($F32-'הנחות עבודה'!$C$5)/$D$11)/$D$11)</f>
        <v>0</v>
      </c>
      <c r="AH32" s="44">
        <f ca="1">IF(OR($F32&gt;$D$5,$F32&gt;MAX('הנחות עבודה'!$B$69:$B$89)),0,(VLOOKUP($F32,'התפלגות ייצור וסל דלקים'!$B$64:$BV$84,AH$2-$E$2,FALSE))*$D$9*$D$8*(HLOOKUP(AH$23,$G$18:$R$19,2,FALSE)*(1-$D$12)^($F32-'הנחות עבודה'!$C$5)/$D$11)/$D$11)</f>
        <v>0</v>
      </c>
      <c r="AI32" s="44">
        <f ca="1">IF(OR($F32&gt;$D$5,$F32&gt;MAX('הנחות עבודה'!$B$69:$B$89)),0,(VLOOKUP($F32,'התפלגות ייצור וסל דלקים'!$B$64:$BV$84,AI$2-$E$2,FALSE))*$D$9*$D$8*(HLOOKUP(AI$23,$G$18:$R$19,2,FALSE)*(1-$D$12)^($F32-'הנחות עבודה'!$C$5)/$D$11)/$D$11)</f>
        <v>0</v>
      </c>
      <c r="AJ32" s="44">
        <f ca="1">IF(OR($F32&gt;$D$5,$F32&gt;MAX('הנחות עבודה'!$B$69:$B$89)),0,(VLOOKUP($F32,'התפלגות ייצור וסל דלקים'!$B$64:$BV$84,AJ$2-$E$2,FALSE))*$D$9*$D$8*(HLOOKUP(AJ$23,$G$18:$R$19,2,FALSE)*(1-$D$12)^($F32-'הנחות עבודה'!$C$5)/$D$11)/$D$11)</f>
        <v>0</v>
      </c>
      <c r="AK32" s="42">
        <f ca="1">IF(OR($F32&gt;$D$5,$F32&gt;MAX('הנחות עבודה'!$B$69:$B$89)),0,(VLOOKUP($F32,'התפלגות ייצור וסל דלקים'!$B$64:$BV$84,AK$2-$E$2,FALSE))*$D$9*$D$8*(HLOOKUP(AK$23,$G$18:$R$19,2,FALSE)*(1-$D$12)^($F32-'הנחות עבודה'!$C$5)/$D$11)/$D$11)</f>
        <v>3.5883935999999998E-3</v>
      </c>
      <c r="AL32" s="42">
        <f ca="1">IF(OR($F32&gt;$D$5,$F32&gt;MAX('הנחות עבודה'!$B$69:$B$89)),0,(VLOOKUP($F32,'התפלגות ייצור וסל דלקים'!$B$64:$BV$84,AL$2-$E$2,FALSE))*$D$9*$D$8*(HLOOKUP(AL$23,$G$18:$R$19,2,FALSE)*(1-$D$12)^($F32-'הנחות עבודה'!$C$5)/$D$11)/$D$11)</f>
        <v>9.0092194527999995E-3</v>
      </c>
      <c r="AM32" s="42">
        <f ca="1">IF(OR($F32&gt;$D$5,$F32&gt;MAX('הנחות עבודה'!$B$69:$B$89)),0,(VLOOKUP($F32,'התפלגות ייצור וסל דלקים'!$B$64:$BV$84,AM$2-$E$2,FALSE))*$D$9*$D$8*(HLOOKUP(AM$23,$G$18:$R$19,2,FALSE)*(1-$D$12)^($F32-'הנחות עבודה'!$C$5)/$D$11)/$D$11)</f>
        <v>0</v>
      </c>
      <c r="AN32" s="42">
        <f ca="1">IF(OR($F32&gt;$D$5,$F32&gt;MAX('הנחות עבודה'!$B$69:$B$89)),0,(VLOOKUP($F32,'התפלגות ייצור וסל דלקים'!$B$64:$BV$84,AN$2-$E$2,FALSE))*$D$9*$D$8*(HLOOKUP(AN$23,$G$18:$R$19,2,FALSE)*(1-$D$12)^($F32-'הנחות עבודה'!$C$5)/$D$11)/$D$11)</f>
        <v>0</v>
      </c>
      <c r="AO32" s="42">
        <f ca="1">IF(OR($F32&gt;$D$5,$F32&gt;MAX('הנחות עבודה'!$B$69:$B$89)),0,(VLOOKUP($F32,'התפלגות ייצור וסל דלקים'!$B$64:$BV$84,AO$2-$E$2,FALSE))*$D$9*$D$8*(HLOOKUP(AO$23,$G$18:$R$19,2,FALSE)*(1-$D$12)^($F32-'הנחות עבודה'!$C$5)/$D$11)/$D$11)</f>
        <v>0</v>
      </c>
      <c r="AP32" s="42">
        <f ca="1">IF(OR($F32&gt;$D$5,$F32&gt;MAX('הנחות עבודה'!$B$69:$B$89)),0,(VLOOKUP($F32,'התפלגות ייצור וסל דלקים'!$B$64:$BV$84,AP$2-$E$2,FALSE))*$D$9*$D$8*(HLOOKUP(AP$23,$G$18:$R$19,2,FALSE)*(1-$D$12)^($F32-'הנחות עבודה'!$C$5)/$D$11)/$D$11)</f>
        <v>0</v>
      </c>
      <c r="AQ32" s="52">
        <f ca="1">IF(OR($F32&gt;$D$5,$F32&gt;MAX('הנחות עבודה'!$B$69:$B$89)),0,(VLOOKUP($F32,'התפלגות ייצור וסל דלקים'!$B$64:$BV$84,AQ$2-$E$2,FALSE))*$D$9*$D$8*(HLOOKUP(AQ$23,$G$18:$R$19,2,FALSE)*(1-$D$12)^($F32-'הנחות עבודה'!$C$5)/$D$11)/$D$11)</f>
        <v>0</v>
      </c>
      <c r="AR32" s="127">
        <f ca="1">IF(OR($F32&gt;$D$5,$F32&gt;MAX('הנחות עבודה'!$B$69:$B$89)),0,(VLOOKUP($F32,'התפלגות ייצור וסל דלקים'!$B$64:$BV$84,AR$2-$E$2,FALSE))*$D$9*$D$8*(HLOOKUP(AR$23,$G$18:$R$19,2,FALSE)*(1-$D$12)^($F32-'הנחות עבודה'!$C$5)/$D$11)/$D$11)</f>
        <v>0</v>
      </c>
      <c r="AS32" s="127">
        <f ca="1">IF(OR($F32&gt;$D$5,$F32&gt;MAX('הנחות עבודה'!$B$69:$B$89)),0,(VLOOKUP($F32,'התפלגות ייצור וסל דלקים'!$B$64:$BV$84,AS$2-$E$2,FALSE))*$D$9*$D$8*(HLOOKUP(AS$23,$G$18:$R$19,2,FALSE)*(1-$D$12)^($F32-'הנחות עבודה'!$C$5)/$D$11)/$D$11)</f>
        <v>0</v>
      </c>
      <c r="AT32" s="127">
        <f ca="1">IF(OR($F32&gt;$D$5,$F32&gt;MAX('הנחות עבודה'!$B$69:$B$89)),0,(VLOOKUP($F32,'התפלגות ייצור וסל דלקים'!$B$64:$BV$84,AT$2-$E$2,FALSE))*$D$9*$D$8*(HLOOKUP(AT$23,$G$18:$R$19,2,FALSE)*(1-$D$12)^($F32-'הנחות עבודה'!$C$5)/$D$11)/$D$11)</f>
        <v>0</v>
      </c>
      <c r="AU32" s="127">
        <f ca="1">IF(OR($F32&gt;$D$5,$F32&gt;MAX('הנחות עבודה'!$B$69:$B$89)),0,(VLOOKUP($F32,'התפלגות ייצור וסל דלקים'!$B$64:$BV$84,AU$2-$E$2,FALSE))*$D$9*$D$8*(HLOOKUP(AU$23,$G$18:$R$19,2,FALSE)*(1-$D$12)^($F32-'הנחות עבודה'!$C$5)/$D$11)/$D$11)</f>
        <v>0</v>
      </c>
      <c r="AV32" s="127">
        <f ca="1">IF(OR($F32&gt;$D$5,$F32&gt;MAX('הנחות עבודה'!$B$69:$B$89)),0,(VLOOKUP($F32,'התפלגות ייצור וסל דלקים'!$B$64:$BV$84,AV$2-$E$2,FALSE))*$D$9*$D$8*(HLOOKUP(AV$23,$G$18:$R$19,2,FALSE)*(1-$D$12)^($F32-'הנחות עבודה'!$C$5)/$D$11)/$D$11)</f>
        <v>0</v>
      </c>
      <c r="AW32" s="52">
        <f ca="1">IF(OR($F32&gt;$D$5,$F32&gt;MAX('הנחות עבודה'!$B$69:$B$89)),0,(VLOOKUP($F32,'התפלגות ייצור וסל דלקים'!$B$64:$BV$84,AW$2-$E$2,FALSE))*$D$9*$D$8*(HLOOKUP(AW$23,$G$18:$R$19,2,FALSE)*(1-$D$12)^($F32-'הנחות עבודה'!$C$5)/$D$11)/$D$11)</f>
        <v>3.5883935999999998E-3</v>
      </c>
      <c r="AX32" s="52">
        <f ca="1">IF(OR($F32&gt;$D$5,$F32&gt;MAX('הנחות עבודה'!$B$69:$B$89)),0,(VLOOKUP($F32,'התפלגות ייצור וסל דלקים'!$B$64:$BV$84,AX$2-$E$2,FALSE))*$D$9*$D$8*(HLOOKUP(AX$23,$G$18:$R$19,2,FALSE)*(1-$D$12)^($F32-'הנחות עבודה'!$C$5)/$D$11)/$D$11)</f>
        <v>9.0092194527999995E-3</v>
      </c>
      <c r="AY32" s="52">
        <f ca="1">IF(OR($F32&gt;$D$5,$F32&gt;MAX('הנחות עבודה'!$B$69:$B$89)),0,(VLOOKUP($F32,'התפלגות ייצור וסל דלקים'!$B$64:$BV$84,AY$2-$E$2,FALSE))*$D$9*$D$8*(HLOOKUP(AY$23,$G$18:$R$19,2,FALSE)*(1-$D$12)^($F32-'הנחות עבודה'!$C$5)/$D$11)/$D$11)</f>
        <v>0</v>
      </c>
      <c r="AZ32" s="52">
        <f ca="1">IF(OR($F32&gt;$D$5,$F32&gt;MAX('הנחות עבודה'!$B$69:$B$89)),0,(VLOOKUP($F32,'התפלגות ייצור וסל דלקים'!$B$64:$BV$84,AZ$2-$E$2,FALSE))*$D$9*$D$8*(HLOOKUP(AZ$23,$G$18:$R$19,2,FALSE)*(1-$D$12)^($F32-'הנחות עבודה'!$C$5)/$D$11)/$D$11)</f>
        <v>0</v>
      </c>
      <c r="BA32" s="52">
        <f ca="1">IF(OR($F32&gt;$D$5,$F32&gt;MAX('הנחות עבודה'!$B$69:$B$89)),0,(VLOOKUP($F32,'התפלגות ייצור וסל דלקים'!$B$64:$BV$84,BA$2-$E$2,FALSE))*$D$9*$D$8*(HLOOKUP(BA$23,$G$18:$R$19,2,FALSE)*(1-$D$12)^($F32-'הנחות עבודה'!$C$5)/$D$11)/$D$11)</f>
        <v>0</v>
      </c>
      <c r="BB32" s="52">
        <f ca="1">IF(OR($F32&gt;$D$5,$F32&gt;MAX('הנחות עבודה'!$B$69:$B$89)),0,(VLOOKUP($F32,'התפלגות ייצור וסל דלקים'!$B$64:$BV$84,BB$2-$E$2,FALSE))*$D$9*$D$8*(HLOOKUP(BB$23,$G$18:$R$19,2,FALSE)*(1-$D$12)^($F32-'הנחות עבודה'!$C$5)/$D$11)/$D$11)</f>
        <v>0</v>
      </c>
      <c r="BC32" s="42">
        <f ca="1">IF(OR($F32&gt;$D$5,$F32&gt;MAX('הנחות עבודה'!$B$69:$B$89)),0,(VLOOKUP($F32,'התפלגות ייצור וסל דלקים'!$B$64:$BV$84,BC$2-$E$2,FALSE))*$D$9*$D$8*(HLOOKUP(BC$23,$G$18:$R$19,2,FALSE)*(1-$D$12)^($F32-'הנחות עבודה'!$C$5)/$D$11)/$D$11)</f>
        <v>0</v>
      </c>
      <c r="BD32" s="44">
        <f ca="1">IF(OR($F32&gt;$D$5,$F32&gt;MAX('הנחות עבודה'!$B$69:$B$89)),0,(VLOOKUP($F32,'התפלגות ייצור וסל דלקים'!$B$64:$BV$84,BD$2-$E$2,FALSE))*$D$9*$D$8*(HLOOKUP(BD$23,$G$18:$R$19,2,FALSE)*(1-$D$12)^($F32-'הנחות עבודה'!$C$5)/$D$11)/$D$11)</f>
        <v>0</v>
      </c>
      <c r="BE32" s="44">
        <f ca="1">IF(OR($F32&gt;$D$5,$F32&gt;MAX('הנחות עבודה'!$B$69:$B$89)),0,(VLOOKUP($F32,'התפלגות ייצור וסל דלקים'!$B$64:$BV$84,BE$2-$E$2,FALSE))*$D$9*$D$8*(HLOOKUP(BE$23,$G$18:$R$19,2,FALSE)*(1-$D$12)^($F32-'הנחות עבודה'!$C$5)/$D$11)/$D$11)</f>
        <v>0</v>
      </c>
      <c r="BF32" s="44">
        <f ca="1">IF(OR($F32&gt;$D$5,$F32&gt;MAX('הנחות עבודה'!$B$69:$B$89)),0,(VLOOKUP($F32,'התפלגות ייצור וסל דלקים'!$B$64:$BV$84,BF$2-$E$2,FALSE))*$D$9*$D$8*(HLOOKUP(BF$23,$G$18:$R$19,2,FALSE)*(1-$D$12)^($F32-'הנחות עבודה'!$C$5)/$D$11)/$D$11)</f>
        <v>0</v>
      </c>
      <c r="BG32" s="44">
        <f ca="1">IF(OR($F32&gt;$D$5,$F32&gt;MAX('הנחות עבודה'!$B$69:$B$89)),0,(VLOOKUP($F32,'התפלגות ייצור וסל דלקים'!$B$64:$BV$84,BG$2-$E$2,FALSE))*$D$9*$D$8*(HLOOKUP(BG$23,$G$18:$R$19,2,FALSE)*(1-$D$12)^($F32-'הנחות עבודה'!$C$5)/$D$11)/$D$11)</f>
        <v>0</v>
      </c>
      <c r="BH32" s="44">
        <f ca="1">IF(OR($F32&gt;$D$5,$F32&gt;MAX('הנחות עבודה'!$B$69:$B$89)),0,(VLOOKUP($F32,'התפלגות ייצור וסל דלקים'!$B$64:$BV$84,BH$2-$E$2,FALSE))*$D$9*$D$8*(HLOOKUP(BH$23,$G$18:$R$19,2,FALSE)*(1-$D$12)^($F32-'הנחות עבודה'!$C$5)/$D$11)/$D$11)</f>
        <v>0</v>
      </c>
      <c r="BI32" s="42">
        <f ca="1">IF(OR($F32&gt;$D$5,$F32&gt;MAX('הנחות עבודה'!$B$69:$B$89)),0,(VLOOKUP($F32,'התפלגות ייצור וסל דלקים'!$B$64:$BV$84,BI$2-$E$2,FALSE))*$D$9*$D$8*(HLOOKUP(BI$23,$G$18:$R$19,2,FALSE)*(1-$D$12)^($F32-'הנחות עבודה'!$C$5)/$D$11)/$D$11)</f>
        <v>3.6691200000000001E-3</v>
      </c>
      <c r="BJ32" s="42">
        <f ca="1">IF(OR($F32&gt;$D$5,$F32&gt;MAX('הנחות עבודה'!$B$69:$B$89)),0,(VLOOKUP($F32,'התפלגות ייצור וסל דלקים'!$B$64:$BV$84,BJ$2-$E$2,FALSE))*$D$9*$D$8*(HLOOKUP(BJ$23,$G$18:$R$19,2,FALSE)*(1-$D$12)^($F32-'הנחות עבודה'!$C$5)/$D$11)/$D$11)</f>
        <v>8.3725867424000004E-3</v>
      </c>
      <c r="BK32" s="42">
        <f ca="1">IF(OR($F32&gt;$D$5,$F32&gt;MAX('הנחות עבודה'!$B$69:$B$89)),0,(VLOOKUP($F32,'התפלגות ייצור וסל דלקים'!$B$64:$BV$84,BK$2-$E$2,FALSE))*$D$9*$D$8*(HLOOKUP(BK$23,$G$18:$R$19,2,FALSE)*(1-$D$12)^($F32-'הנחות עבודה'!$C$5)/$D$11)/$D$11)</f>
        <v>0</v>
      </c>
      <c r="BL32" s="42">
        <f ca="1">IF(OR($F32&gt;$D$5,$F32&gt;MAX('הנחות עבודה'!$B$69:$B$89)),0,(VLOOKUP($F32,'התפלגות ייצור וסל דלקים'!$B$64:$BV$84,BL$2-$E$2,FALSE))*$D$9*$D$8*(HLOOKUP(BL$23,$G$18:$R$19,2,FALSE)*(1-$D$12)^($F32-'הנחות עבודה'!$C$5)/$D$11)/$D$11)</f>
        <v>0</v>
      </c>
      <c r="BM32" s="42">
        <f ca="1">IF(OR($F32&gt;$D$5,$F32&gt;MAX('הנחות עבודה'!$B$69:$B$89)),0,(VLOOKUP($F32,'התפלגות ייצור וסל דלקים'!$B$64:$BV$84,BM$2-$E$2,FALSE))*$D$9*$D$8*(HLOOKUP(BM$23,$G$18:$R$19,2,FALSE)*(1-$D$12)^($F32-'הנחות עבודה'!$C$5)/$D$11)/$D$11)</f>
        <v>0</v>
      </c>
      <c r="BN32" s="42">
        <f ca="1">IF(OR($F32&gt;$D$5,$F32&gt;MAX('הנחות עבודה'!$B$69:$B$89)),0,(VLOOKUP($F32,'התפלגות ייצור וסל דלקים'!$B$64:$BV$84,BN$2-$E$2,FALSE))*$D$9*$D$8*(HLOOKUP(BN$23,$G$18:$R$19,2,FALSE)*(1-$D$12)^($F32-'הנחות עבודה'!$C$5)/$D$11)/$D$11)</f>
        <v>0</v>
      </c>
      <c r="BO32" s="52">
        <f ca="1">IF(OR($F32&gt;$D$5,$F32&gt;MAX('הנחות עבודה'!$B$69:$B$89)),0,(VLOOKUP($F32,'התפלגות ייצור וסל דלקים'!$B$64:$BV$84,BO$2-$E$2,FALSE))*$D$9*$D$8*(HLOOKUP(BO$23,$G$18:$R$19,2,FALSE)*(1-$D$12)^($F32-'הנחות עבודה'!$C$5)/$D$11)/$D$11)</f>
        <v>0</v>
      </c>
      <c r="BP32" s="127">
        <f ca="1">IF(OR($F32&gt;$D$5,$F32&gt;MAX('הנחות עבודה'!$B$69:$B$89)),0,(VLOOKUP($F32,'התפלגות ייצור וסל דלקים'!$B$64:$BV$84,BP$2-$E$2,FALSE))*$D$9*$D$8*(HLOOKUP(BP$23,$G$18:$R$19,2,FALSE)*(1-$D$12)^($F32-'הנחות עבודה'!$C$5)/$D$11)/$D$11)</f>
        <v>0</v>
      </c>
      <c r="BQ32" s="127">
        <f ca="1">IF(OR($F32&gt;$D$5,$F32&gt;MAX('הנחות עבודה'!$B$69:$B$89)),0,(VLOOKUP($F32,'התפלגות ייצור וסל דלקים'!$B$64:$BV$84,BQ$2-$E$2,FALSE))*$D$9*$D$8*(HLOOKUP(BQ$23,$G$18:$R$19,2,FALSE)*(1-$D$12)^($F32-'הנחות עבודה'!$C$5)/$D$11)/$D$11)</f>
        <v>0</v>
      </c>
      <c r="BR32" s="127">
        <f ca="1">IF(OR($F32&gt;$D$5,$F32&gt;MAX('הנחות עבודה'!$B$69:$B$89)),0,(VLOOKUP($F32,'התפלגות ייצור וסל דלקים'!$B$64:$BV$84,BR$2-$E$2,FALSE))*$D$9*$D$8*(HLOOKUP(BR$23,$G$18:$R$19,2,FALSE)*(1-$D$12)^($F32-'הנחות עבודה'!$C$5)/$D$11)/$D$11)</f>
        <v>0</v>
      </c>
      <c r="BS32" s="127">
        <f ca="1">IF(OR($F32&gt;$D$5,$F32&gt;MAX('הנחות עבודה'!$B$69:$B$89)),0,(VLOOKUP($F32,'התפלגות ייצור וסל דלקים'!$B$64:$BV$84,BS$2-$E$2,FALSE))*$D$9*$D$8*(HLOOKUP(BS$23,$G$18:$R$19,2,FALSE)*(1-$D$12)^($F32-'הנחות עבודה'!$C$5)/$D$11)/$D$11)</f>
        <v>0</v>
      </c>
      <c r="BT32" s="127">
        <f ca="1">IF(OR($F32&gt;$D$5,$F32&gt;MAX('הנחות עבודה'!$B$69:$B$89)),0,(VLOOKUP($F32,'התפלגות ייצור וסל דלקים'!$B$64:$BV$84,BT$2-$E$2,FALSE))*$D$9*$D$8*(HLOOKUP(BT$23,$G$18:$R$19,2,FALSE)*(1-$D$12)^($F32-'הנחות עבודה'!$C$5)/$D$11)/$D$11)</f>
        <v>0</v>
      </c>
      <c r="BU32" s="52">
        <f ca="1">IF(OR($F32&gt;$D$5,$F32&gt;MAX('הנחות עבודה'!$B$69:$B$89)),0,(VLOOKUP($F32,'התפלגות ייצור וסל דלקים'!$B$64:$BV$84,BU$2-$E$2,FALSE))*$D$9*$D$8*(HLOOKUP(BU$23,$G$18:$R$19,2,FALSE)*(1-$D$12)^($F32-'הנחות עבודה'!$C$5)/$D$11)/$D$11)</f>
        <v>3.6691200000000001E-3</v>
      </c>
      <c r="BV32" s="52">
        <f ca="1">IF(OR($F32&gt;$D$5,$F32&gt;MAX('הנחות עבודה'!$B$69:$B$89)),0,(VLOOKUP($F32,'התפלגות ייצור וסל דלקים'!$B$64:$BV$84,BV$2-$E$2,FALSE))*$D$9*$D$8*(HLOOKUP(BV$23,$G$18:$R$19,2,FALSE)*(1-$D$12)^($F32-'הנחות עבודה'!$C$5)/$D$11)/$D$11)</f>
        <v>8.3725867424000004E-3</v>
      </c>
      <c r="BW32" s="52">
        <f ca="1">IF(OR($F32&gt;$D$5,$F32&gt;MAX('הנחות עבודה'!$B$69:$B$89)),0,(VLOOKUP($F32,'התפלגות ייצור וסל דלקים'!$B$64:$BV$84,BW$2-$E$2,FALSE))*$D$9*$D$8*(HLOOKUP(BW$23,$G$18:$R$19,2,FALSE)*(1-$D$12)^($F32-'הנחות עבודה'!$C$5)/$D$11)/$D$11)</f>
        <v>0</v>
      </c>
      <c r="BX32" s="52">
        <f ca="1">IF(OR($F32&gt;$D$5,$F32&gt;MAX('הנחות עבודה'!$B$69:$B$89)),0,(VLOOKUP($F32,'התפלגות ייצור וסל דלקים'!$B$64:$BV$84,BX$2-$E$2,FALSE))*$D$9*$D$8*(HLOOKUP(BX$23,$G$18:$R$19,2,FALSE)*(1-$D$12)^($F32-'הנחות עבודה'!$C$5)/$D$11)/$D$11)</f>
        <v>0</v>
      </c>
      <c r="BY32" s="52">
        <f ca="1">IF(OR($F32&gt;$D$5,$F32&gt;MAX('הנחות עבודה'!$B$69:$B$89)),0,(VLOOKUP($F32,'התפלגות ייצור וסל דלקים'!$B$64:$BV$84,BY$2-$E$2,FALSE))*$D$9*$D$8*(HLOOKUP(BY$23,$G$18:$R$19,2,FALSE)*(1-$D$12)^($F32-'הנחות עבודה'!$C$5)/$D$11)/$D$11)</f>
        <v>0</v>
      </c>
      <c r="BZ32" s="52">
        <f ca="1">IF(OR($F32&gt;$D$5,$F32&gt;MAX('הנחות עבודה'!$B$69:$B$89)),0,(VLOOKUP($F32,'התפלגות ייצור וסל דלקים'!$B$64:$BV$84,BZ$2-$E$2,FALSE))*$D$9*$D$8*(HLOOKUP(BZ$23,$G$18:$R$19,2,FALSE)*(1-$D$12)^($F32-'הנחות עבודה'!$C$5)/$D$11)/$D$11)</f>
        <v>0</v>
      </c>
    </row>
    <row r="33" spans="6:78" ht="15.75">
      <c r="F33" s="10">
        <f t="shared" si="110"/>
        <v>2029</v>
      </c>
      <c r="G33" s="42">
        <f ca="1">IF(OR($F33&gt;$D$5,$F33&gt;MAX('הנחות עבודה'!$B$69:$B$89)),0,(VLOOKUP($F33,'התפלגות ייצור וסל דלקים'!$B$64:$BV$84,G$2-$E$2,FALSE))*$D$9*$D$8*(HLOOKUP(G$23,$G$18:$R$19,2,FALSE)*(1-$D$12)^($F33-'הנחות עבודה'!$C$5)/$D$11)/$D$11)</f>
        <v>0</v>
      </c>
      <c r="H33" s="44">
        <f ca="1">IF(OR($F33&gt;$D$5,$F33&gt;MAX('הנחות עבודה'!$B$69:$B$89)),0,(VLOOKUP($F33,'התפלגות ייצור וסל דלקים'!$B$64:$BV$84,H$2-$E$2,FALSE))*$D$9*$D$8*(HLOOKUP(H$23,$G$18:$R$19,2,FALSE)*(1-$D$12)^($F33-'הנחות עבודה'!$C$5)/$D$11)/$D$11)</f>
        <v>0</v>
      </c>
      <c r="I33" s="44">
        <f ca="1">IF(OR($F33&gt;$D$5,$F33&gt;MAX('הנחות עבודה'!$B$69:$B$89)),0,(VLOOKUP($F33,'התפלגות ייצור וסל דלקים'!$B$64:$BV$84,I$2-$E$2,FALSE))*$D$9*$D$8*(HLOOKUP(I$23,$G$18:$R$19,2,FALSE)*(1-$D$12)^($F33-'הנחות עבודה'!$C$5)/$D$11)/$D$11)</f>
        <v>0</v>
      </c>
      <c r="J33" s="44">
        <f ca="1">IF(OR($F33&gt;$D$5,$F33&gt;MAX('הנחות עבודה'!$B$69:$B$89)),0,(VLOOKUP($F33,'התפלגות ייצור וסל דלקים'!$B$64:$BV$84,J$2-$E$2,FALSE))*$D$9*$D$8*(HLOOKUP(J$23,$G$18:$R$19,2,FALSE)*(1-$D$12)^($F33-'הנחות עבודה'!$C$5)/$D$11)/$D$11)</f>
        <v>0</v>
      </c>
      <c r="K33" s="44">
        <f ca="1">IF(OR($F33&gt;$D$5,$F33&gt;MAX('הנחות עבודה'!$B$69:$B$89)),0,(VLOOKUP($F33,'התפלגות ייצור וסל דלקים'!$B$64:$BV$84,K$2-$E$2,FALSE))*$D$9*$D$8*(HLOOKUP(K$23,$G$18:$R$19,2,FALSE)*(1-$D$12)^($F33-'הנחות עבודה'!$C$5)/$D$11)/$D$11)</f>
        <v>0</v>
      </c>
      <c r="L33" s="44">
        <f ca="1">IF(OR($F33&gt;$D$5,$F33&gt;MAX('הנחות עבודה'!$B$69:$B$89)),0,(VLOOKUP($F33,'התפלגות ייצור וסל דלקים'!$B$64:$BV$84,L$2-$E$2,FALSE))*$D$9*$D$8*(HLOOKUP(L$23,$G$18:$R$19,2,FALSE)*(1-$D$12)^($F33-'הנחות עבודה'!$C$5)/$D$11)/$D$11)</f>
        <v>0</v>
      </c>
      <c r="M33" s="42">
        <f ca="1">IF(OR($F33&gt;$D$5,$F33&gt;MAX('הנחות עבודה'!$B$69:$B$89)),0,(VLOOKUP($F33,'התפלגות ייצור וסל דלקים'!$B$64:$BV$84,M$2-$E$2,FALSE))*$D$9*$D$8*(HLOOKUP(M$23,$G$18:$R$19,2,FALSE)*(1-$D$12)^($F33-'הנחות עבודה'!$C$5)/$D$11)/$D$11)</f>
        <v>3.5270615999999995E-3</v>
      </c>
      <c r="N33" s="42">
        <f ca="1">IF(OR($F33&gt;$D$5,$F33&gt;MAX('הנחות עבודה'!$B$69:$B$89)),0,(VLOOKUP($F33,'התפלגות ייצור וסל דלקים'!$B$64:$BV$84,N$2-$E$2,FALSE))*$D$9*$D$8*(HLOOKUP(N$23,$G$18:$R$19,2,FALSE)*(1-$D$12)^($F33-'הנחות עבודה'!$C$5)/$D$11)/$D$11)</f>
        <v>1.02779280896E-2</v>
      </c>
      <c r="O33" s="42">
        <f ca="1">IF(OR($F33&gt;$D$5,$F33&gt;MAX('הנחות עבודה'!$B$69:$B$89)),0,(VLOOKUP($F33,'התפלגות ייצור וסל דלקים'!$B$64:$BV$84,O$2-$E$2,FALSE))*$D$9*$D$8*(HLOOKUP(O$23,$G$18:$R$19,2,FALSE)*(1-$D$12)^($F33-'הנחות עבודה'!$C$5)/$D$11)/$D$11)</f>
        <v>0</v>
      </c>
      <c r="P33" s="42">
        <f ca="1">IF(OR($F33&gt;$D$5,$F33&gt;MAX('הנחות עבודה'!$B$69:$B$89)),0,(VLOOKUP($F33,'התפלגות ייצור וסל דלקים'!$B$64:$BV$84,P$2-$E$2,FALSE))*$D$9*$D$8*(HLOOKUP(P$23,$G$18:$R$19,2,FALSE)*(1-$D$12)^($F33-'הנחות עבודה'!$C$5)/$D$11)/$D$11)</f>
        <v>0</v>
      </c>
      <c r="Q33" s="42">
        <f ca="1">IF(OR($F33&gt;$D$5,$F33&gt;MAX('הנחות עבודה'!$B$69:$B$89)),0,(VLOOKUP($F33,'התפלגות ייצור וסל דלקים'!$B$64:$BV$84,Q$2-$E$2,FALSE))*$D$9*$D$8*(HLOOKUP(Q$23,$G$18:$R$19,2,FALSE)*(1-$D$12)^($F33-'הנחות עבודה'!$C$5)/$D$11)/$D$11)</f>
        <v>0</v>
      </c>
      <c r="R33" s="42">
        <f ca="1">IF(OR($F33&gt;$D$5,$F33&gt;MAX('הנחות עבודה'!$B$69:$B$89)),0,(VLOOKUP($F33,'התפלגות ייצור וסל דלקים'!$B$64:$BV$84,R$2-$E$2,FALSE))*$D$9*$D$8*(HLOOKUP(R$23,$G$18:$R$19,2,FALSE)*(1-$D$12)^($F33-'הנחות עבודה'!$C$5)/$D$11)/$D$11)</f>
        <v>0</v>
      </c>
      <c r="S33" s="52">
        <f ca="1">IF(OR($F33&gt;$D$5,$F33&gt;MAX('הנחות עבודה'!$B$69:$B$89)),0,(VLOOKUP($F33,'התפלגות ייצור וסל דלקים'!$B$64:$BV$84,S$2-$E$2,FALSE))*$D$9*$D$8*(HLOOKUP(S$23,$G$18:$R$19,2,FALSE)*(1-$D$12)^($F33-'הנחות עבודה'!$C$5)/$D$11)/$D$11)</f>
        <v>0</v>
      </c>
      <c r="T33" s="127">
        <f ca="1">IF(OR($F33&gt;$D$5,$F33&gt;MAX('הנחות עבודה'!$B$69:$B$89)),0,(VLOOKUP($F33,'התפלגות ייצור וסל דלקים'!$B$64:$BV$84,T$2-$E$2,FALSE))*$D$9*$D$8*(HLOOKUP(T$23,$G$18:$R$19,2,FALSE)*(1-$D$12)^($F33-'הנחות עבודה'!$C$5)/$D$11)/$D$11)</f>
        <v>0</v>
      </c>
      <c r="U33" s="127">
        <f ca="1">IF(OR($F33&gt;$D$5,$F33&gt;MAX('הנחות עבודה'!$B$69:$B$89)),0,(VLOOKUP($F33,'התפלגות ייצור וסל דלקים'!$B$64:$BV$84,U$2-$E$2,FALSE))*$D$9*$D$8*(HLOOKUP(U$23,$G$18:$R$19,2,FALSE)*(1-$D$12)^($F33-'הנחות עבודה'!$C$5)/$D$11)/$D$11)</f>
        <v>0</v>
      </c>
      <c r="V33" s="127">
        <f ca="1">IF(OR($F33&gt;$D$5,$F33&gt;MAX('הנחות עבודה'!$B$69:$B$89)),0,(VLOOKUP($F33,'התפלגות ייצור וסל דלקים'!$B$64:$BV$84,V$2-$E$2,FALSE))*$D$9*$D$8*(HLOOKUP(V$23,$G$18:$R$19,2,FALSE)*(1-$D$12)^($F33-'הנחות עבודה'!$C$5)/$D$11)/$D$11)</f>
        <v>0</v>
      </c>
      <c r="W33" s="127">
        <f ca="1">IF(OR($F33&gt;$D$5,$F33&gt;MAX('הנחות עבודה'!$B$69:$B$89)),0,(VLOOKUP($F33,'התפלגות ייצור וסל דלקים'!$B$64:$BV$84,W$2-$E$2,FALSE))*$D$9*$D$8*(HLOOKUP(W$23,$G$18:$R$19,2,FALSE)*(1-$D$12)^($F33-'הנחות עבודה'!$C$5)/$D$11)/$D$11)</f>
        <v>0</v>
      </c>
      <c r="X33" s="127">
        <f ca="1">IF(OR($F33&gt;$D$5,$F33&gt;MAX('הנחות עבודה'!$B$69:$B$89)),0,(VLOOKUP($F33,'התפלגות ייצור וסל דלקים'!$B$64:$BV$84,X$2-$E$2,FALSE))*$D$9*$D$8*(HLOOKUP(X$23,$G$18:$R$19,2,FALSE)*(1-$D$12)^($F33-'הנחות עבודה'!$C$5)/$D$11)/$D$11)</f>
        <v>0</v>
      </c>
      <c r="Y33" s="52">
        <f ca="1">IF(OR($F33&gt;$D$5,$F33&gt;MAX('הנחות עבודה'!$B$69:$B$89)),0,(VLOOKUP($F33,'התפלגות ייצור וסל דלקים'!$B$64:$BV$84,Y$2-$E$2,FALSE))*$D$9*$D$8*(HLOOKUP(Y$23,$G$18:$R$19,2,FALSE)*(1-$D$12)^($F33-'הנחות עבודה'!$C$5)/$D$11)/$D$11)</f>
        <v>3.5270615999999995E-3</v>
      </c>
      <c r="Z33" s="52">
        <f ca="1">IF(OR($F33&gt;$D$5,$F33&gt;MAX('הנחות עבודה'!$B$69:$B$89)),0,(VLOOKUP($F33,'התפלגות ייצור וסל דלקים'!$B$64:$BV$84,Z$2-$E$2,FALSE))*$D$9*$D$8*(HLOOKUP(Z$23,$G$18:$R$19,2,FALSE)*(1-$D$12)^($F33-'הנחות עבודה'!$C$5)/$D$11)/$D$11)</f>
        <v>1.02779280896E-2</v>
      </c>
      <c r="AA33" s="52">
        <f ca="1">IF(OR($F33&gt;$D$5,$F33&gt;MAX('הנחות עבודה'!$B$69:$B$89)),0,(VLOOKUP($F33,'התפלגות ייצור וסל דלקים'!$B$64:$BV$84,AA$2-$E$2,FALSE))*$D$9*$D$8*(HLOOKUP(AA$23,$G$18:$R$19,2,FALSE)*(1-$D$12)^($F33-'הנחות עבודה'!$C$5)/$D$11)/$D$11)</f>
        <v>0</v>
      </c>
      <c r="AB33" s="52">
        <f ca="1">IF(OR($F33&gt;$D$5,$F33&gt;MAX('הנחות עבודה'!$B$69:$B$89)),0,(VLOOKUP($F33,'התפלגות ייצור וסל דלקים'!$B$64:$BV$84,AB$2-$E$2,FALSE))*$D$9*$D$8*(HLOOKUP(AB$23,$G$18:$R$19,2,FALSE)*(1-$D$12)^($F33-'הנחות עבודה'!$C$5)/$D$11)/$D$11)</f>
        <v>0</v>
      </c>
      <c r="AC33" s="52">
        <f ca="1">IF(OR($F33&gt;$D$5,$F33&gt;MAX('הנחות עבודה'!$B$69:$B$89)),0,(VLOOKUP($F33,'התפלגות ייצור וסל דלקים'!$B$64:$BV$84,AC$2-$E$2,FALSE))*$D$9*$D$8*(HLOOKUP(AC$23,$G$18:$R$19,2,FALSE)*(1-$D$12)^($F33-'הנחות עבודה'!$C$5)/$D$11)/$D$11)</f>
        <v>0</v>
      </c>
      <c r="AD33" s="52">
        <f ca="1">IF(OR($F33&gt;$D$5,$F33&gt;MAX('הנחות עבודה'!$B$69:$B$89)),0,(VLOOKUP($F33,'התפלגות ייצור וסל דלקים'!$B$64:$BV$84,AD$2-$E$2,FALSE))*$D$9*$D$8*(HLOOKUP(AD$23,$G$18:$R$19,2,FALSE)*(1-$D$12)^($F33-'הנחות עבודה'!$C$5)/$D$11)/$D$11)</f>
        <v>0</v>
      </c>
      <c r="AE33" s="42">
        <f ca="1">IF(OR($F33&gt;$D$5,$F33&gt;MAX('הנחות עבודה'!$B$69:$B$89)),0,(VLOOKUP($F33,'התפלגות ייצור וסל דלקים'!$B$64:$BV$84,AE$2-$E$2,FALSE))*$D$9*$D$8*(HLOOKUP(AE$23,$G$18:$R$19,2,FALSE)*(1-$D$12)^($F33-'הנחות עבודה'!$C$5)/$D$11)/$D$11)</f>
        <v>0</v>
      </c>
      <c r="AF33" s="44">
        <f ca="1">IF(OR($F33&gt;$D$5,$F33&gt;MAX('הנחות עבודה'!$B$69:$B$89)),0,(VLOOKUP($F33,'התפלגות ייצור וסל דלקים'!$B$64:$BV$84,AF$2-$E$2,FALSE))*$D$9*$D$8*(HLOOKUP(AF$23,$G$18:$R$19,2,FALSE)*(1-$D$12)^($F33-'הנחות עבודה'!$C$5)/$D$11)/$D$11)</f>
        <v>0</v>
      </c>
      <c r="AG33" s="44">
        <f ca="1">IF(OR($F33&gt;$D$5,$F33&gt;MAX('הנחות עבודה'!$B$69:$B$89)),0,(VLOOKUP($F33,'התפלגות ייצור וסל דלקים'!$B$64:$BV$84,AG$2-$E$2,FALSE))*$D$9*$D$8*(HLOOKUP(AG$23,$G$18:$R$19,2,FALSE)*(1-$D$12)^($F33-'הנחות עבודה'!$C$5)/$D$11)/$D$11)</f>
        <v>0</v>
      </c>
      <c r="AH33" s="44">
        <f ca="1">IF(OR($F33&gt;$D$5,$F33&gt;MAX('הנחות עבודה'!$B$69:$B$89)),0,(VLOOKUP($F33,'התפלגות ייצור וסל דלקים'!$B$64:$BV$84,AH$2-$E$2,FALSE))*$D$9*$D$8*(HLOOKUP(AH$23,$G$18:$R$19,2,FALSE)*(1-$D$12)^($F33-'הנחות עבודה'!$C$5)/$D$11)/$D$11)</f>
        <v>0</v>
      </c>
      <c r="AI33" s="44">
        <f ca="1">IF(OR($F33&gt;$D$5,$F33&gt;MAX('הנחות עבודה'!$B$69:$B$89)),0,(VLOOKUP($F33,'התפלגות ייצור וסל דלקים'!$B$64:$BV$84,AI$2-$E$2,FALSE))*$D$9*$D$8*(HLOOKUP(AI$23,$G$18:$R$19,2,FALSE)*(1-$D$12)^($F33-'הנחות עבודה'!$C$5)/$D$11)/$D$11)</f>
        <v>0</v>
      </c>
      <c r="AJ33" s="44">
        <f ca="1">IF(OR($F33&gt;$D$5,$F33&gt;MAX('הנחות עבודה'!$B$69:$B$89)),0,(VLOOKUP($F33,'התפלגות ייצור וסל דלקים'!$B$64:$BV$84,AJ$2-$E$2,FALSE))*$D$9*$D$8*(HLOOKUP(AJ$23,$G$18:$R$19,2,FALSE)*(1-$D$12)^($F33-'הנחות עבודה'!$C$5)/$D$11)/$D$11)</f>
        <v>0</v>
      </c>
      <c r="AK33" s="42">
        <f ca="1">IF(OR($F33&gt;$D$5,$F33&gt;MAX('הנחות עבודה'!$B$69:$B$89)),0,(VLOOKUP($F33,'התפלגות ייצור וסל דלקים'!$B$64:$BV$84,AK$2-$E$2,FALSE))*$D$9*$D$8*(HLOOKUP(AK$23,$G$18:$R$19,2,FALSE)*(1-$D$12)^($F33-'הנחות עבודה'!$C$5)/$D$11)/$D$11)</f>
        <v>3.6516264E-3</v>
      </c>
      <c r="AL33" s="42">
        <f ca="1">IF(OR($F33&gt;$D$5,$F33&gt;MAX('הנחות עבודה'!$B$69:$B$89)),0,(VLOOKUP($F33,'התפלגות ייצור וסל דלקים'!$B$64:$BV$84,AL$2-$E$2,FALSE))*$D$9*$D$8*(HLOOKUP(AL$23,$G$18:$R$19,2,FALSE)*(1-$D$12)^($F33-'הנחות עבודה'!$C$5)/$D$11)/$D$11)</f>
        <v>9.0895426879999998E-3</v>
      </c>
      <c r="AM33" s="42">
        <f ca="1">IF(OR($F33&gt;$D$5,$F33&gt;MAX('הנחות עבודה'!$B$69:$B$89)),0,(VLOOKUP($F33,'התפלגות ייצור וסל דלקים'!$B$64:$BV$84,AM$2-$E$2,FALSE))*$D$9*$D$8*(HLOOKUP(AM$23,$G$18:$R$19,2,FALSE)*(1-$D$12)^($F33-'הנחות עבודה'!$C$5)/$D$11)/$D$11)</f>
        <v>0</v>
      </c>
      <c r="AN33" s="42">
        <f ca="1">IF(OR($F33&gt;$D$5,$F33&gt;MAX('הנחות עבודה'!$B$69:$B$89)),0,(VLOOKUP($F33,'התפלגות ייצור וסל דלקים'!$B$64:$BV$84,AN$2-$E$2,FALSE))*$D$9*$D$8*(HLOOKUP(AN$23,$G$18:$R$19,2,FALSE)*(1-$D$12)^($F33-'הנחות עבודה'!$C$5)/$D$11)/$D$11)</f>
        <v>0</v>
      </c>
      <c r="AO33" s="42">
        <f ca="1">IF(OR($F33&gt;$D$5,$F33&gt;MAX('הנחות עבודה'!$B$69:$B$89)),0,(VLOOKUP($F33,'התפלגות ייצור וסל דלקים'!$B$64:$BV$84,AO$2-$E$2,FALSE))*$D$9*$D$8*(HLOOKUP(AO$23,$G$18:$R$19,2,FALSE)*(1-$D$12)^($F33-'הנחות עבודה'!$C$5)/$D$11)/$D$11)</f>
        <v>0</v>
      </c>
      <c r="AP33" s="42">
        <f ca="1">IF(OR($F33&gt;$D$5,$F33&gt;MAX('הנחות עבודה'!$B$69:$B$89)),0,(VLOOKUP($F33,'התפלגות ייצור וסל דלקים'!$B$64:$BV$84,AP$2-$E$2,FALSE))*$D$9*$D$8*(HLOOKUP(AP$23,$G$18:$R$19,2,FALSE)*(1-$D$12)^($F33-'הנחות עבודה'!$C$5)/$D$11)/$D$11)</f>
        <v>0</v>
      </c>
      <c r="AQ33" s="52">
        <f ca="1">IF(OR($F33&gt;$D$5,$F33&gt;MAX('הנחות עבודה'!$B$69:$B$89)),0,(VLOOKUP($F33,'התפלגות ייצור וסל דלקים'!$B$64:$BV$84,AQ$2-$E$2,FALSE))*$D$9*$D$8*(HLOOKUP(AQ$23,$G$18:$R$19,2,FALSE)*(1-$D$12)^($F33-'הנחות עבודה'!$C$5)/$D$11)/$D$11)</f>
        <v>0</v>
      </c>
      <c r="AR33" s="127">
        <f ca="1">IF(OR($F33&gt;$D$5,$F33&gt;MAX('הנחות עבודה'!$B$69:$B$89)),0,(VLOOKUP($F33,'התפלגות ייצור וסל דלקים'!$B$64:$BV$84,AR$2-$E$2,FALSE))*$D$9*$D$8*(HLOOKUP(AR$23,$G$18:$R$19,2,FALSE)*(1-$D$12)^($F33-'הנחות עבודה'!$C$5)/$D$11)/$D$11)</f>
        <v>0</v>
      </c>
      <c r="AS33" s="127">
        <f ca="1">IF(OR($F33&gt;$D$5,$F33&gt;MAX('הנחות עבודה'!$B$69:$B$89)),0,(VLOOKUP($F33,'התפלגות ייצור וסל דלקים'!$B$64:$BV$84,AS$2-$E$2,FALSE))*$D$9*$D$8*(HLOOKUP(AS$23,$G$18:$R$19,2,FALSE)*(1-$D$12)^($F33-'הנחות עבודה'!$C$5)/$D$11)/$D$11)</f>
        <v>0</v>
      </c>
      <c r="AT33" s="127">
        <f ca="1">IF(OR($F33&gt;$D$5,$F33&gt;MAX('הנחות עבודה'!$B$69:$B$89)),0,(VLOOKUP($F33,'התפלגות ייצור וסל דלקים'!$B$64:$BV$84,AT$2-$E$2,FALSE))*$D$9*$D$8*(HLOOKUP(AT$23,$G$18:$R$19,2,FALSE)*(1-$D$12)^($F33-'הנחות עבודה'!$C$5)/$D$11)/$D$11)</f>
        <v>0</v>
      </c>
      <c r="AU33" s="127">
        <f ca="1">IF(OR($F33&gt;$D$5,$F33&gt;MAX('הנחות עבודה'!$B$69:$B$89)),0,(VLOOKUP($F33,'התפלגות ייצור וסל דלקים'!$B$64:$BV$84,AU$2-$E$2,FALSE))*$D$9*$D$8*(HLOOKUP(AU$23,$G$18:$R$19,2,FALSE)*(1-$D$12)^($F33-'הנחות עבודה'!$C$5)/$D$11)/$D$11)</f>
        <v>0</v>
      </c>
      <c r="AV33" s="127">
        <f ca="1">IF(OR($F33&gt;$D$5,$F33&gt;MAX('הנחות עבודה'!$B$69:$B$89)),0,(VLOOKUP($F33,'התפלגות ייצור וסל דלקים'!$B$64:$BV$84,AV$2-$E$2,FALSE))*$D$9*$D$8*(HLOOKUP(AV$23,$G$18:$R$19,2,FALSE)*(1-$D$12)^($F33-'הנחות עבודה'!$C$5)/$D$11)/$D$11)</f>
        <v>0</v>
      </c>
      <c r="AW33" s="52">
        <f ca="1">IF(OR($F33&gt;$D$5,$F33&gt;MAX('הנחות עבודה'!$B$69:$B$89)),0,(VLOOKUP($F33,'התפלגות ייצור וסל דלקים'!$B$64:$BV$84,AW$2-$E$2,FALSE))*$D$9*$D$8*(HLOOKUP(AW$23,$G$18:$R$19,2,FALSE)*(1-$D$12)^($F33-'הנחות עבודה'!$C$5)/$D$11)/$D$11)</f>
        <v>3.6516264E-3</v>
      </c>
      <c r="AX33" s="52">
        <f ca="1">IF(OR($F33&gt;$D$5,$F33&gt;MAX('הנחות עבודה'!$B$69:$B$89)),0,(VLOOKUP($F33,'התפלגות ייצור וסל דלקים'!$B$64:$BV$84,AX$2-$E$2,FALSE))*$D$9*$D$8*(HLOOKUP(AX$23,$G$18:$R$19,2,FALSE)*(1-$D$12)^($F33-'הנחות עבודה'!$C$5)/$D$11)/$D$11)</f>
        <v>9.0895426879999998E-3</v>
      </c>
      <c r="AY33" s="52">
        <f ca="1">IF(OR($F33&gt;$D$5,$F33&gt;MAX('הנחות עבודה'!$B$69:$B$89)),0,(VLOOKUP($F33,'התפלגות ייצור וסל דלקים'!$B$64:$BV$84,AY$2-$E$2,FALSE))*$D$9*$D$8*(HLOOKUP(AY$23,$G$18:$R$19,2,FALSE)*(1-$D$12)^($F33-'הנחות עבודה'!$C$5)/$D$11)/$D$11)</f>
        <v>0</v>
      </c>
      <c r="AZ33" s="52">
        <f ca="1">IF(OR($F33&gt;$D$5,$F33&gt;MAX('הנחות עבודה'!$B$69:$B$89)),0,(VLOOKUP($F33,'התפלגות ייצור וסל דלקים'!$B$64:$BV$84,AZ$2-$E$2,FALSE))*$D$9*$D$8*(HLOOKUP(AZ$23,$G$18:$R$19,2,FALSE)*(1-$D$12)^($F33-'הנחות עבודה'!$C$5)/$D$11)/$D$11)</f>
        <v>0</v>
      </c>
      <c r="BA33" s="52">
        <f ca="1">IF(OR($F33&gt;$D$5,$F33&gt;MAX('הנחות עבודה'!$B$69:$B$89)),0,(VLOOKUP($F33,'התפלגות ייצור וסל דלקים'!$B$64:$BV$84,BA$2-$E$2,FALSE))*$D$9*$D$8*(HLOOKUP(BA$23,$G$18:$R$19,2,FALSE)*(1-$D$12)^($F33-'הנחות עבודה'!$C$5)/$D$11)/$D$11)</f>
        <v>0</v>
      </c>
      <c r="BB33" s="52">
        <f ca="1">IF(OR($F33&gt;$D$5,$F33&gt;MAX('הנחות עבודה'!$B$69:$B$89)),0,(VLOOKUP($F33,'התפלגות ייצור וסל דלקים'!$B$64:$BV$84,BB$2-$E$2,FALSE))*$D$9*$D$8*(HLOOKUP(BB$23,$G$18:$R$19,2,FALSE)*(1-$D$12)^($F33-'הנחות עבודה'!$C$5)/$D$11)/$D$11)</f>
        <v>0</v>
      </c>
      <c r="BC33" s="42">
        <f ca="1">IF(OR($F33&gt;$D$5,$F33&gt;MAX('הנחות עבודה'!$B$69:$B$89)),0,(VLOOKUP($F33,'התפלגות ייצור וסל דלקים'!$B$64:$BV$84,BC$2-$E$2,FALSE))*$D$9*$D$8*(HLOOKUP(BC$23,$G$18:$R$19,2,FALSE)*(1-$D$12)^($F33-'הנחות עבודה'!$C$5)/$D$11)/$D$11)</f>
        <v>0</v>
      </c>
      <c r="BD33" s="44">
        <f ca="1">IF(OR($F33&gt;$D$5,$F33&gt;MAX('הנחות עבודה'!$B$69:$B$89)),0,(VLOOKUP($F33,'התפלגות ייצור וסל דלקים'!$B$64:$BV$84,BD$2-$E$2,FALSE))*$D$9*$D$8*(HLOOKUP(BD$23,$G$18:$R$19,2,FALSE)*(1-$D$12)^($F33-'הנחות עבודה'!$C$5)/$D$11)/$D$11)</f>
        <v>0</v>
      </c>
      <c r="BE33" s="44">
        <f ca="1">IF(OR($F33&gt;$D$5,$F33&gt;MAX('הנחות עבודה'!$B$69:$B$89)),0,(VLOOKUP($F33,'התפלגות ייצור וסל דלקים'!$B$64:$BV$84,BE$2-$E$2,FALSE))*$D$9*$D$8*(HLOOKUP(BE$23,$G$18:$R$19,2,FALSE)*(1-$D$12)^($F33-'הנחות עבודה'!$C$5)/$D$11)/$D$11)</f>
        <v>0</v>
      </c>
      <c r="BF33" s="44">
        <f ca="1">IF(OR($F33&gt;$D$5,$F33&gt;MAX('הנחות עבודה'!$B$69:$B$89)),0,(VLOOKUP($F33,'התפלגות ייצור וסל דלקים'!$B$64:$BV$84,BF$2-$E$2,FALSE))*$D$9*$D$8*(HLOOKUP(BF$23,$G$18:$R$19,2,FALSE)*(1-$D$12)^($F33-'הנחות עבודה'!$C$5)/$D$11)/$D$11)</f>
        <v>0</v>
      </c>
      <c r="BG33" s="44">
        <f ca="1">IF(OR($F33&gt;$D$5,$F33&gt;MAX('הנחות עבודה'!$B$69:$B$89)),0,(VLOOKUP($F33,'התפלגות ייצור וסל דלקים'!$B$64:$BV$84,BG$2-$E$2,FALSE))*$D$9*$D$8*(HLOOKUP(BG$23,$G$18:$R$19,2,FALSE)*(1-$D$12)^($F33-'הנחות עבודה'!$C$5)/$D$11)/$D$11)</f>
        <v>0</v>
      </c>
      <c r="BH33" s="44">
        <f ca="1">IF(OR($F33&gt;$D$5,$F33&gt;MAX('הנחות עבודה'!$B$69:$B$89)),0,(VLOOKUP($F33,'התפלגות ייצור וסל דלקים'!$B$64:$BV$84,BH$2-$E$2,FALSE))*$D$9*$D$8*(HLOOKUP(BH$23,$G$18:$R$19,2,FALSE)*(1-$D$12)^($F33-'הנחות עבודה'!$C$5)/$D$11)/$D$11)</f>
        <v>0</v>
      </c>
      <c r="BI33" s="42">
        <f ca="1">IF(OR($F33&gt;$D$5,$F33&gt;MAX('הנחות עבודה'!$B$69:$B$89)),0,(VLOOKUP($F33,'התפלגות ייצור וסל דלקים'!$B$64:$BV$84,BI$2-$E$2,FALSE))*$D$9*$D$8*(HLOOKUP(BI$23,$G$18:$R$19,2,FALSE)*(1-$D$12)^($F33-'הנחות עבודה'!$C$5)/$D$11)/$D$11)</f>
        <v>3.7451999999999997E-3</v>
      </c>
      <c r="BJ33" s="42">
        <f ca="1">IF(OR($F33&gt;$D$5,$F33&gt;MAX('הנחות עבודה'!$B$69:$B$89)),0,(VLOOKUP($F33,'התפלגות ייצור וסל דלקים'!$B$64:$BV$84,BJ$2-$E$2,FALSE))*$D$9*$D$8*(HLOOKUP(BJ$23,$G$18:$R$19,2,FALSE)*(1-$D$12)^($F33-'הנחות עבודה'!$C$5)/$D$11)/$D$11)</f>
        <v>8.3500234240000016E-3</v>
      </c>
      <c r="BK33" s="42">
        <f ca="1">IF(OR($F33&gt;$D$5,$F33&gt;MAX('הנחות עבודה'!$B$69:$B$89)),0,(VLOOKUP($F33,'התפלגות ייצור וסל דלקים'!$B$64:$BV$84,BK$2-$E$2,FALSE))*$D$9*$D$8*(HLOOKUP(BK$23,$G$18:$R$19,2,FALSE)*(1-$D$12)^($F33-'הנחות עבודה'!$C$5)/$D$11)/$D$11)</f>
        <v>0</v>
      </c>
      <c r="BL33" s="42">
        <f ca="1">IF(OR($F33&gt;$D$5,$F33&gt;MAX('הנחות עבודה'!$B$69:$B$89)),0,(VLOOKUP($F33,'התפלגות ייצור וסל דלקים'!$B$64:$BV$84,BL$2-$E$2,FALSE))*$D$9*$D$8*(HLOOKUP(BL$23,$G$18:$R$19,2,FALSE)*(1-$D$12)^($F33-'הנחות עבודה'!$C$5)/$D$11)/$D$11)</f>
        <v>0</v>
      </c>
      <c r="BM33" s="42">
        <f ca="1">IF(OR($F33&gt;$D$5,$F33&gt;MAX('הנחות עבודה'!$B$69:$B$89)),0,(VLOOKUP($F33,'התפלגות ייצור וסל דלקים'!$B$64:$BV$84,BM$2-$E$2,FALSE))*$D$9*$D$8*(HLOOKUP(BM$23,$G$18:$R$19,2,FALSE)*(1-$D$12)^($F33-'הנחות עבודה'!$C$5)/$D$11)/$D$11)</f>
        <v>0</v>
      </c>
      <c r="BN33" s="42">
        <f ca="1">IF(OR($F33&gt;$D$5,$F33&gt;MAX('הנחות עבודה'!$B$69:$B$89)),0,(VLOOKUP($F33,'התפלגות ייצור וסל דלקים'!$B$64:$BV$84,BN$2-$E$2,FALSE))*$D$9*$D$8*(HLOOKUP(BN$23,$G$18:$R$19,2,FALSE)*(1-$D$12)^($F33-'הנחות עבודה'!$C$5)/$D$11)/$D$11)</f>
        <v>0</v>
      </c>
      <c r="BO33" s="52">
        <f ca="1">IF(OR($F33&gt;$D$5,$F33&gt;MAX('הנחות עבודה'!$B$69:$B$89)),0,(VLOOKUP($F33,'התפלגות ייצור וסל דלקים'!$B$64:$BV$84,BO$2-$E$2,FALSE))*$D$9*$D$8*(HLOOKUP(BO$23,$G$18:$R$19,2,FALSE)*(1-$D$12)^($F33-'הנחות עבודה'!$C$5)/$D$11)/$D$11)</f>
        <v>0</v>
      </c>
      <c r="BP33" s="127">
        <f ca="1">IF(OR($F33&gt;$D$5,$F33&gt;MAX('הנחות עבודה'!$B$69:$B$89)),0,(VLOOKUP($F33,'התפלגות ייצור וסל דלקים'!$B$64:$BV$84,BP$2-$E$2,FALSE))*$D$9*$D$8*(HLOOKUP(BP$23,$G$18:$R$19,2,FALSE)*(1-$D$12)^($F33-'הנחות עבודה'!$C$5)/$D$11)/$D$11)</f>
        <v>0</v>
      </c>
      <c r="BQ33" s="127">
        <f ca="1">IF(OR($F33&gt;$D$5,$F33&gt;MAX('הנחות עבודה'!$B$69:$B$89)),0,(VLOOKUP($F33,'התפלגות ייצור וסל דלקים'!$B$64:$BV$84,BQ$2-$E$2,FALSE))*$D$9*$D$8*(HLOOKUP(BQ$23,$G$18:$R$19,2,FALSE)*(1-$D$12)^($F33-'הנחות עבודה'!$C$5)/$D$11)/$D$11)</f>
        <v>0</v>
      </c>
      <c r="BR33" s="127">
        <f ca="1">IF(OR($F33&gt;$D$5,$F33&gt;MAX('הנחות עבודה'!$B$69:$B$89)),0,(VLOOKUP($F33,'התפלגות ייצור וסל דלקים'!$B$64:$BV$84,BR$2-$E$2,FALSE))*$D$9*$D$8*(HLOOKUP(BR$23,$G$18:$R$19,2,FALSE)*(1-$D$12)^($F33-'הנחות עבודה'!$C$5)/$D$11)/$D$11)</f>
        <v>0</v>
      </c>
      <c r="BS33" s="127">
        <f ca="1">IF(OR($F33&gt;$D$5,$F33&gt;MAX('הנחות עבודה'!$B$69:$B$89)),0,(VLOOKUP($F33,'התפלגות ייצור וסל דלקים'!$B$64:$BV$84,BS$2-$E$2,FALSE))*$D$9*$D$8*(HLOOKUP(BS$23,$G$18:$R$19,2,FALSE)*(1-$D$12)^($F33-'הנחות עבודה'!$C$5)/$D$11)/$D$11)</f>
        <v>0</v>
      </c>
      <c r="BT33" s="127">
        <f ca="1">IF(OR($F33&gt;$D$5,$F33&gt;MAX('הנחות עבודה'!$B$69:$B$89)),0,(VLOOKUP($F33,'התפלגות ייצור וסל דלקים'!$B$64:$BV$84,BT$2-$E$2,FALSE))*$D$9*$D$8*(HLOOKUP(BT$23,$G$18:$R$19,2,FALSE)*(1-$D$12)^($F33-'הנחות עבודה'!$C$5)/$D$11)/$D$11)</f>
        <v>0</v>
      </c>
      <c r="BU33" s="52">
        <f ca="1">IF(OR($F33&gt;$D$5,$F33&gt;MAX('הנחות עבודה'!$B$69:$B$89)),0,(VLOOKUP($F33,'התפלגות ייצור וסל דלקים'!$B$64:$BV$84,BU$2-$E$2,FALSE))*$D$9*$D$8*(HLOOKUP(BU$23,$G$18:$R$19,2,FALSE)*(1-$D$12)^($F33-'הנחות עבודה'!$C$5)/$D$11)/$D$11)</f>
        <v>3.7451999999999997E-3</v>
      </c>
      <c r="BV33" s="52">
        <f ca="1">IF(OR($F33&gt;$D$5,$F33&gt;MAX('הנחות עבודה'!$B$69:$B$89)),0,(VLOOKUP($F33,'התפלגות ייצור וסל דלקים'!$B$64:$BV$84,BV$2-$E$2,FALSE))*$D$9*$D$8*(HLOOKUP(BV$23,$G$18:$R$19,2,FALSE)*(1-$D$12)^($F33-'הנחות עבודה'!$C$5)/$D$11)/$D$11)</f>
        <v>8.3500234240000016E-3</v>
      </c>
      <c r="BW33" s="52">
        <f ca="1">IF(OR($F33&gt;$D$5,$F33&gt;MAX('הנחות עבודה'!$B$69:$B$89)),0,(VLOOKUP($F33,'התפלגות ייצור וסל דלקים'!$B$64:$BV$84,BW$2-$E$2,FALSE))*$D$9*$D$8*(HLOOKUP(BW$23,$G$18:$R$19,2,FALSE)*(1-$D$12)^($F33-'הנחות עבודה'!$C$5)/$D$11)/$D$11)</f>
        <v>0</v>
      </c>
      <c r="BX33" s="52">
        <f ca="1">IF(OR($F33&gt;$D$5,$F33&gt;MAX('הנחות עבודה'!$B$69:$B$89)),0,(VLOOKUP($F33,'התפלגות ייצור וסל דלקים'!$B$64:$BV$84,BX$2-$E$2,FALSE))*$D$9*$D$8*(HLOOKUP(BX$23,$G$18:$R$19,2,FALSE)*(1-$D$12)^($F33-'הנחות עבודה'!$C$5)/$D$11)/$D$11)</f>
        <v>0</v>
      </c>
      <c r="BY33" s="52">
        <f ca="1">IF(OR($F33&gt;$D$5,$F33&gt;MAX('הנחות עבודה'!$B$69:$B$89)),0,(VLOOKUP($F33,'התפלגות ייצור וסל דלקים'!$B$64:$BV$84,BY$2-$E$2,FALSE))*$D$9*$D$8*(HLOOKUP(BY$23,$G$18:$R$19,2,FALSE)*(1-$D$12)^($F33-'הנחות עבודה'!$C$5)/$D$11)/$D$11)</f>
        <v>0</v>
      </c>
      <c r="BZ33" s="52">
        <f ca="1">IF(OR($F33&gt;$D$5,$F33&gt;MAX('הנחות עבודה'!$B$69:$B$89)),0,(VLOOKUP($F33,'התפלגות ייצור וסל דלקים'!$B$64:$BV$84,BZ$2-$E$2,FALSE))*$D$9*$D$8*(HLOOKUP(BZ$23,$G$18:$R$19,2,FALSE)*(1-$D$12)^($F33-'הנחות עבודה'!$C$5)/$D$11)/$D$11)</f>
        <v>0</v>
      </c>
    </row>
    <row r="34" spans="6:78" ht="15.75">
      <c r="F34" s="10">
        <f t="shared" si="110"/>
        <v>2030</v>
      </c>
      <c r="G34" s="42">
        <f ca="1">IF(OR($F34&gt;$D$5,$F34&gt;MAX('הנחות עבודה'!$B$69:$B$89)),0,(VLOOKUP($F34,'התפלגות ייצור וסל דלקים'!$B$64:$BV$84,G$2-$E$2,FALSE))*$D$9*$D$8*(HLOOKUP(G$23,$G$18:$R$19,2,FALSE)*(1-$D$12)^($F34-'הנחות עבודה'!$C$5)/$D$11)/$D$11)</f>
        <v>0</v>
      </c>
      <c r="H34" s="44">
        <f ca="1">IF(OR($F34&gt;$D$5,$F34&gt;MAX('הנחות עבודה'!$B$69:$B$89)),0,(VLOOKUP($F34,'התפלגות ייצור וסל דלקים'!$B$64:$BV$84,H$2-$E$2,FALSE))*$D$9*$D$8*(HLOOKUP(H$23,$G$18:$R$19,2,FALSE)*(1-$D$12)^($F34-'הנחות עבודה'!$C$5)/$D$11)/$D$11)</f>
        <v>0</v>
      </c>
      <c r="I34" s="44">
        <f ca="1">IF(OR($F34&gt;$D$5,$F34&gt;MAX('הנחות עבודה'!$B$69:$B$89)),0,(VLOOKUP($F34,'התפלגות ייצור וסל דלקים'!$B$64:$BV$84,I$2-$E$2,FALSE))*$D$9*$D$8*(HLOOKUP(I$23,$G$18:$R$19,2,FALSE)*(1-$D$12)^($F34-'הנחות עבודה'!$C$5)/$D$11)/$D$11)</f>
        <v>0</v>
      </c>
      <c r="J34" s="44">
        <f ca="1">IF(OR($F34&gt;$D$5,$F34&gt;MAX('הנחות עבודה'!$B$69:$B$89)),0,(VLOOKUP($F34,'התפלגות ייצור וסל דלקים'!$B$64:$BV$84,J$2-$E$2,FALSE))*$D$9*$D$8*(HLOOKUP(J$23,$G$18:$R$19,2,FALSE)*(1-$D$12)^($F34-'הנחות עבודה'!$C$5)/$D$11)/$D$11)</f>
        <v>0</v>
      </c>
      <c r="K34" s="44">
        <f ca="1">IF(OR($F34&gt;$D$5,$F34&gt;MAX('הנחות עבודה'!$B$69:$B$89)),0,(VLOOKUP($F34,'התפלגות ייצור וסל דלקים'!$B$64:$BV$84,K$2-$E$2,FALSE))*$D$9*$D$8*(HLOOKUP(K$23,$G$18:$R$19,2,FALSE)*(1-$D$12)^($F34-'הנחות עבודה'!$C$5)/$D$11)/$D$11)</f>
        <v>0</v>
      </c>
      <c r="L34" s="44">
        <f ca="1">IF(OR($F34&gt;$D$5,$F34&gt;MAX('הנחות עבודה'!$B$69:$B$89)),0,(VLOOKUP($F34,'התפלגות ייצור וסל דלקים'!$B$64:$BV$84,L$2-$E$2,FALSE))*$D$9*$D$8*(HLOOKUP(L$23,$G$18:$R$19,2,FALSE)*(1-$D$12)^($F34-'הנחות עבודה'!$C$5)/$D$11)/$D$11)</f>
        <v>0</v>
      </c>
      <c r="M34" s="42">
        <f ca="1">IF(OR($F34&gt;$D$5,$F34&gt;MAX('הנחות עבודה'!$B$69:$B$89)),0,(VLOOKUP($F34,'התפלגות ייצור וסל דלקים'!$B$64:$BV$84,M$2-$E$2,FALSE))*$D$9*$D$8*(HLOOKUP(M$23,$G$18:$R$19,2,FALSE)*(1-$D$12)^($F34-'הנחות עבודה'!$C$5)/$D$11)/$D$11)</f>
        <v>3.492170399999999E-3</v>
      </c>
      <c r="N34" s="42">
        <f ca="1">IF(OR($F34&gt;$D$5,$F34&gt;MAX('הנחות עבודה'!$B$69:$B$89)),0,(VLOOKUP($F34,'התפלגות ייצור וסל דלקים'!$B$64:$BV$84,N$2-$E$2,FALSE))*$D$9*$D$8*(HLOOKUP(N$23,$G$18:$R$19,2,FALSE)*(1-$D$12)^($F34-'הנחות עבודה'!$C$5)/$D$11)/$D$11)</f>
        <v>1.0530912276799999E-2</v>
      </c>
      <c r="O34" s="42">
        <f ca="1">IF(OR($F34&gt;$D$5,$F34&gt;MAX('הנחות עבודה'!$B$69:$B$89)),0,(VLOOKUP($F34,'התפלגות ייצור וסל דלקים'!$B$64:$BV$84,O$2-$E$2,FALSE))*$D$9*$D$8*(HLOOKUP(O$23,$G$18:$R$19,2,FALSE)*(1-$D$12)^($F34-'הנחות עבודה'!$C$5)/$D$11)/$D$11)</f>
        <v>0</v>
      </c>
      <c r="P34" s="42">
        <f ca="1">IF(OR($F34&gt;$D$5,$F34&gt;MAX('הנחות עבודה'!$B$69:$B$89)),0,(VLOOKUP($F34,'התפלגות ייצור וסל דלקים'!$B$64:$BV$84,P$2-$E$2,FALSE))*$D$9*$D$8*(HLOOKUP(P$23,$G$18:$R$19,2,FALSE)*(1-$D$12)^($F34-'הנחות עבודה'!$C$5)/$D$11)/$D$11)</f>
        <v>0</v>
      </c>
      <c r="Q34" s="42">
        <f ca="1">IF(OR($F34&gt;$D$5,$F34&gt;MAX('הנחות עבודה'!$B$69:$B$89)),0,(VLOOKUP($F34,'התפלגות ייצור וסל דלקים'!$B$64:$BV$84,Q$2-$E$2,FALSE))*$D$9*$D$8*(HLOOKUP(Q$23,$G$18:$R$19,2,FALSE)*(1-$D$12)^($F34-'הנחות עבודה'!$C$5)/$D$11)/$D$11)</f>
        <v>0</v>
      </c>
      <c r="R34" s="42">
        <f ca="1">IF(OR($F34&gt;$D$5,$F34&gt;MAX('הנחות עבודה'!$B$69:$B$89)),0,(VLOOKUP($F34,'התפלגות ייצור וסל דלקים'!$B$64:$BV$84,R$2-$E$2,FALSE))*$D$9*$D$8*(HLOOKUP(R$23,$G$18:$R$19,2,FALSE)*(1-$D$12)^($F34-'הנחות עבודה'!$C$5)/$D$11)/$D$11)</f>
        <v>0</v>
      </c>
      <c r="S34" s="52">
        <f ca="1">IF(OR($F34&gt;$D$5,$F34&gt;MAX('הנחות עבודה'!$B$69:$B$89)),0,(VLOOKUP($F34,'התפלגות ייצור וסל דלקים'!$B$64:$BV$84,S$2-$E$2,FALSE))*$D$9*$D$8*(HLOOKUP(S$23,$G$18:$R$19,2,FALSE)*(1-$D$12)^($F34-'הנחות עבודה'!$C$5)/$D$11)/$D$11)</f>
        <v>0</v>
      </c>
      <c r="T34" s="127">
        <f ca="1">IF(OR($F34&gt;$D$5,$F34&gt;MAX('הנחות עבודה'!$B$69:$B$89)),0,(VLOOKUP($F34,'התפלגות ייצור וסל דלקים'!$B$64:$BV$84,T$2-$E$2,FALSE))*$D$9*$D$8*(HLOOKUP(T$23,$G$18:$R$19,2,FALSE)*(1-$D$12)^($F34-'הנחות עבודה'!$C$5)/$D$11)/$D$11)</f>
        <v>0</v>
      </c>
      <c r="U34" s="127">
        <f ca="1">IF(OR($F34&gt;$D$5,$F34&gt;MAX('הנחות עבודה'!$B$69:$B$89)),0,(VLOOKUP($F34,'התפלגות ייצור וסל דלקים'!$B$64:$BV$84,U$2-$E$2,FALSE))*$D$9*$D$8*(HLOOKUP(U$23,$G$18:$R$19,2,FALSE)*(1-$D$12)^($F34-'הנחות עבודה'!$C$5)/$D$11)/$D$11)</f>
        <v>0</v>
      </c>
      <c r="V34" s="127">
        <f ca="1">IF(OR($F34&gt;$D$5,$F34&gt;MAX('הנחות עבודה'!$B$69:$B$89)),0,(VLOOKUP($F34,'התפלגות ייצור וסל דלקים'!$B$64:$BV$84,V$2-$E$2,FALSE))*$D$9*$D$8*(HLOOKUP(V$23,$G$18:$R$19,2,FALSE)*(1-$D$12)^($F34-'הנחות עבודה'!$C$5)/$D$11)/$D$11)</f>
        <v>0</v>
      </c>
      <c r="W34" s="127">
        <f ca="1">IF(OR($F34&gt;$D$5,$F34&gt;MAX('הנחות עבודה'!$B$69:$B$89)),0,(VLOOKUP($F34,'התפלגות ייצור וסל דלקים'!$B$64:$BV$84,W$2-$E$2,FALSE))*$D$9*$D$8*(HLOOKUP(W$23,$G$18:$R$19,2,FALSE)*(1-$D$12)^($F34-'הנחות עבודה'!$C$5)/$D$11)/$D$11)</f>
        <v>0</v>
      </c>
      <c r="X34" s="127">
        <f ca="1">IF(OR($F34&gt;$D$5,$F34&gt;MAX('הנחות עבודה'!$B$69:$B$89)),0,(VLOOKUP($F34,'התפלגות ייצור וסל דלקים'!$B$64:$BV$84,X$2-$E$2,FALSE))*$D$9*$D$8*(HLOOKUP(X$23,$G$18:$R$19,2,FALSE)*(1-$D$12)^($F34-'הנחות עבודה'!$C$5)/$D$11)/$D$11)</f>
        <v>0</v>
      </c>
      <c r="Y34" s="52">
        <f ca="1">IF(OR($F34&gt;$D$5,$F34&gt;MAX('הנחות עבודה'!$B$69:$B$89)),0,(VLOOKUP($F34,'התפלגות ייצור וסל דלקים'!$B$64:$BV$84,Y$2-$E$2,FALSE))*$D$9*$D$8*(HLOOKUP(Y$23,$G$18:$R$19,2,FALSE)*(1-$D$12)^($F34-'הנחות עבודה'!$C$5)/$D$11)/$D$11)</f>
        <v>3.492170399999999E-3</v>
      </c>
      <c r="Z34" s="52">
        <f ca="1">IF(OR($F34&gt;$D$5,$F34&gt;MAX('הנחות עבודה'!$B$69:$B$89)),0,(VLOOKUP($F34,'התפלגות ייצור וסל דלקים'!$B$64:$BV$84,Z$2-$E$2,FALSE))*$D$9*$D$8*(HLOOKUP(Z$23,$G$18:$R$19,2,FALSE)*(1-$D$12)^($F34-'הנחות עבודה'!$C$5)/$D$11)/$D$11)</f>
        <v>1.0530912276799999E-2</v>
      </c>
      <c r="AA34" s="52">
        <f ca="1">IF(OR($F34&gt;$D$5,$F34&gt;MAX('הנחות עבודה'!$B$69:$B$89)),0,(VLOOKUP($F34,'התפלגות ייצור וסל דלקים'!$B$64:$BV$84,AA$2-$E$2,FALSE))*$D$9*$D$8*(HLOOKUP(AA$23,$G$18:$R$19,2,FALSE)*(1-$D$12)^($F34-'הנחות עבודה'!$C$5)/$D$11)/$D$11)</f>
        <v>0</v>
      </c>
      <c r="AB34" s="52">
        <f ca="1">IF(OR($F34&gt;$D$5,$F34&gt;MAX('הנחות עבודה'!$B$69:$B$89)),0,(VLOOKUP($F34,'התפלגות ייצור וסל דלקים'!$B$64:$BV$84,AB$2-$E$2,FALSE))*$D$9*$D$8*(HLOOKUP(AB$23,$G$18:$R$19,2,FALSE)*(1-$D$12)^($F34-'הנחות עבודה'!$C$5)/$D$11)/$D$11)</f>
        <v>0</v>
      </c>
      <c r="AC34" s="52">
        <f ca="1">IF(OR($F34&gt;$D$5,$F34&gt;MAX('הנחות עבודה'!$B$69:$B$89)),0,(VLOOKUP($F34,'התפלגות ייצור וסל דלקים'!$B$64:$BV$84,AC$2-$E$2,FALSE))*$D$9*$D$8*(HLOOKUP(AC$23,$G$18:$R$19,2,FALSE)*(1-$D$12)^($F34-'הנחות עבודה'!$C$5)/$D$11)/$D$11)</f>
        <v>0</v>
      </c>
      <c r="AD34" s="52">
        <f ca="1">IF(OR($F34&gt;$D$5,$F34&gt;MAX('הנחות עבודה'!$B$69:$B$89)),0,(VLOOKUP($F34,'התפלגות ייצור וסל דלקים'!$B$64:$BV$84,AD$2-$E$2,FALSE))*$D$9*$D$8*(HLOOKUP(AD$23,$G$18:$R$19,2,FALSE)*(1-$D$12)^($F34-'הנחות עבודה'!$C$5)/$D$11)/$D$11)</f>
        <v>0</v>
      </c>
      <c r="AE34" s="42">
        <f ca="1">IF(OR($F34&gt;$D$5,$F34&gt;MAX('הנחות עבודה'!$B$69:$B$89)),0,(VLOOKUP($F34,'התפלגות ייצור וסל דלקים'!$B$64:$BV$84,AE$2-$E$2,FALSE))*$D$9*$D$8*(HLOOKUP(AE$23,$G$18:$R$19,2,FALSE)*(1-$D$12)^($F34-'הנחות עבודה'!$C$5)/$D$11)/$D$11)</f>
        <v>0</v>
      </c>
      <c r="AF34" s="44">
        <f ca="1">IF(OR($F34&gt;$D$5,$F34&gt;MAX('הנחות עבודה'!$B$69:$B$89)),0,(VLOOKUP($F34,'התפלגות ייצור וסל דלקים'!$B$64:$BV$84,AF$2-$E$2,FALSE))*$D$9*$D$8*(HLOOKUP(AF$23,$G$18:$R$19,2,FALSE)*(1-$D$12)^($F34-'הנחות עבודה'!$C$5)/$D$11)/$D$11)</f>
        <v>0</v>
      </c>
      <c r="AG34" s="44">
        <f ca="1">IF(OR($F34&gt;$D$5,$F34&gt;MAX('הנחות עבודה'!$B$69:$B$89)),0,(VLOOKUP($F34,'התפלגות ייצור וסל דלקים'!$B$64:$BV$84,AG$2-$E$2,FALSE))*$D$9*$D$8*(HLOOKUP(AG$23,$G$18:$R$19,2,FALSE)*(1-$D$12)^($F34-'הנחות עבודה'!$C$5)/$D$11)/$D$11)</f>
        <v>0</v>
      </c>
      <c r="AH34" s="44">
        <f ca="1">IF(OR($F34&gt;$D$5,$F34&gt;MAX('הנחות עבודה'!$B$69:$B$89)),0,(VLOOKUP($F34,'התפלגות ייצור וסל דלקים'!$B$64:$BV$84,AH$2-$E$2,FALSE))*$D$9*$D$8*(HLOOKUP(AH$23,$G$18:$R$19,2,FALSE)*(1-$D$12)^($F34-'הנחות עבודה'!$C$5)/$D$11)/$D$11)</f>
        <v>0</v>
      </c>
      <c r="AI34" s="44">
        <f ca="1">IF(OR($F34&gt;$D$5,$F34&gt;MAX('הנחות עבודה'!$B$69:$B$89)),0,(VLOOKUP($F34,'התפלגות ייצור וסל דלקים'!$B$64:$BV$84,AI$2-$E$2,FALSE))*$D$9*$D$8*(HLOOKUP(AI$23,$G$18:$R$19,2,FALSE)*(1-$D$12)^($F34-'הנחות עבודה'!$C$5)/$D$11)/$D$11)</f>
        <v>0</v>
      </c>
      <c r="AJ34" s="44">
        <f ca="1">IF(OR($F34&gt;$D$5,$F34&gt;MAX('הנחות עבודה'!$B$69:$B$89)),0,(VLOOKUP($F34,'התפלגות ייצור וסל דלקים'!$B$64:$BV$84,AJ$2-$E$2,FALSE))*$D$9*$D$8*(HLOOKUP(AJ$23,$G$18:$R$19,2,FALSE)*(1-$D$12)^($F34-'הנחות עבודה'!$C$5)/$D$11)/$D$11)</f>
        <v>0</v>
      </c>
      <c r="AK34" s="42">
        <f ca="1">IF(OR($F34&gt;$D$5,$F34&gt;MAX('הנחות עבודה'!$B$69:$B$89)),0,(VLOOKUP($F34,'התפלגות ייצור וסל דלקים'!$B$64:$BV$84,AK$2-$E$2,FALSE))*$D$9*$D$8*(HLOOKUP(AK$23,$G$18:$R$19,2,FALSE)*(1-$D$12)^($F34-'הנחות עבודה'!$C$5)/$D$11)/$D$11)</f>
        <v>3.6994823999999993E-3</v>
      </c>
      <c r="AL34" s="42">
        <f ca="1">IF(OR($F34&gt;$D$5,$F34&gt;MAX('הנחות עבודה'!$B$69:$B$89)),0,(VLOOKUP($F34,'התפלגות ייצור וסל דלקים'!$B$64:$BV$84,AL$2-$E$2,FALSE))*$D$9*$D$8*(HLOOKUP(AL$23,$G$18:$R$19,2,FALSE)*(1-$D$12)^($F34-'הנחות עבודה'!$C$5)/$D$11)/$D$11)</f>
        <v>9.1471733200000002E-3</v>
      </c>
      <c r="AM34" s="42">
        <f ca="1">IF(OR($F34&gt;$D$5,$F34&gt;MAX('הנחות עבודה'!$B$69:$B$89)),0,(VLOOKUP($F34,'התפלגות ייצור וסל דלקים'!$B$64:$BV$84,AM$2-$E$2,FALSE))*$D$9*$D$8*(HLOOKUP(AM$23,$G$18:$R$19,2,FALSE)*(1-$D$12)^($F34-'הנחות עבודה'!$C$5)/$D$11)/$D$11)</f>
        <v>0</v>
      </c>
      <c r="AN34" s="42">
        <f ca="1">IF(OR($F34&gt;$D$5,$F34&gt;MAX('הנחות עבודה'!$B$69:$B$89)),0,(VLOOKUP($F34,'התפלגות ייצור וסל דלקים'!$B$64:$BV$84,AN$2-$E$2,FALSE))*$D$9*$D$8*(HLOOKUP(AN$23,$G$18:$R$19,2,FALSE)*(1-$D$12)^($F34-'הנחות עבודה'!$C$5)/$D$11)/$D$11)</f>
        <v>0</v>
      </c>
      <c r="AO34" s="42">
        <f ca="1">IF(OR($F34&gt;$D$5,$F34&gt;MAX('הנחות עבודה'!$B$69:$B$89)),0,(VLOOKUP($F34,'התפלגות ייצור וסל דלקים'!$B$64:$BV$84,AO$2-$E$2,FALSE))*$D$9*$D$8*(HLOOKUP(AO$23,$G$18:$R$19,2,FALSE)*(1-$D$12)^($F34-'הנחות עבודה'!$C$5)/$D$11)/$D$11)</f>
        <v>0</v>
      </c>
      <c r="AP34" s="42">
        <f ca="1">IF(OR($F34&gt;$D$5,$F34&gt;MAX('הנחות עבודה'!$B$69:$B$89)),0,(VLOOKUP($F34,'התפלגות ייצור וסל דלקים'!$B$64:$BV$84,AP$2-$E$2,FALSE))*$D$9*$D$8*(HLOOKUP(AP$23,$G$18:$R$19,2,FALSE)*(1-$D$12)^($F34-'הנחות עבודה'!$C$5)/$D$11)/$D$11)</f>
        <v>0</v>
      </c>
      <c r="AQ34" s="52">
        <f ca="1">IF(OR($F34&gt;$D$5,$F34&gt;MAX('הנחות עבודה'!$B$69:$B$89)),0,(VLOOKUP($F34,'התפלגות ייצור וסל דלקים'!$B$64:$BV$84,AQ$2-$E$2,FALSE))*$D$9*$D$8*(HLOOKUP(AQ$23,$G$18:$R$19,2,FALSE)*(1-$D$12)^($F34-'הנחות עבודה'!$C$5)/$D$11)/$D$11)</f>
        <v>0</v>
      </c>
      <c r="AR34" s="127">
        <f ca="1">IF(OR($F34&gt;$D$5,$F34&gt;MAX('הנחות עבודה'!$B$69:$B$89)),0,(VLOOKUP($F34,'התפלגות ייצור וסל דלקים'!$B$64:$BV$84,AR$2-$E$2,FALSE))*$D$9*$D$8*(HLOOKUP(AR$23,$G$18:$R$19,2,FALSE)*(1-$D$12)^($F34-'הנחות עבודה'!$C$5)/$D$11)/$D$11)</f>
        <v>0</v>
      </c>
      <c r="AS34" s="127">
        <f ca="1">IF(OR($F34&gt;$D$5,$F34&gt;MAX('הנחות עבודה'!$B$69:$B$89)),0,(VLOOKUP($F34,'התפלגות ייצור וסל דלקים'!$B$64:$BV$84,AS$2-$E$2,FALSE))*$D$9*$D$8*(HLOOKUP(AS$23,$G$18:$R$19,2,FALSE)*(1-$D$12)^($F34-'הנחות עבודה'!$C$5)/$D$11)/$D$11)</f>
        <v>0</v>
      </c>
      <c r="AT34" s="127">
        <f ca="1">IF(OR($F34&gt;$D$5,$F34&gt;MAX('הנחות עבודה'!$B$69:$B$89)),0,(VLOOKUP($F34,'התפלגות ייצור וסל דלקים'!$B$64:$BV$84,AT$2-$E$2,FALSE))*$D$9*$D$8*(HLOOKUP(AT$23,$G$18:$R$19,2,FALSE)*(1-$D$12)^($F34-'הנחות עבודה'!$C$5)/$D$11)/$D$11)</f>
        <v>0</v>
      </c>
      <c r="AU34" s="127">
        <f ca="1">IF(OR($F34&gt;$D$5,$F34&gt;MAX('הנחות עבודה'!$B$69:$B$89)),0,(VLOOKUP($F34,'התפלגות ייצור וסל דלקים'!$B$64:$BV$84,AU$2-$E$2,FALSE))*$D$9*$D$8*(HLOOKUP(AU$23,$G$18:$R$19,2,FALSE)*(1-$D$12)^($F34-'הנחות עבודה'!$C$5)/$D$11)/$D$11)</f>
        <v>0</v>
      </c>
      <c r="AV34" s="127">
        <f ca="1">IF(OR($F34&gt;$D$5,$F34&gt;MAX('הנחות עבודה'!$B$69:$B$89)),0,(VLOOKUP($F34,'התפלגות ייצור וסל דלקים'!$B$64:$BV$84,AV$2-$E$2,FALSE))*$D$9*$D$8*(HLOOKUP(AV$23,$G$18:$R$19,2,FALSE)*(1-$D$12)^($F34-'הנחות עבודה'!$C$5)/$D$11)/$D$11)</f>
        <v>0</v>
      </c>
      <c r="AW34" s="52">
        <f ca="1">IF(OR($F34&gt;$D$5,$F34&gt;MAX('הנחות עבודה'!$B$69:$B$89)),0,(VLOOKUP($F34,'התפלגות ייצור וסל דלקים'!$B$64:$BV$84,AW$2-$E$2,FALSE))*$D$9*$D$8*(HLOOKUP(AW$23,$G$18:$R$19,2,FALSE)*(1-$D$12)^($F34-'הנחות עבודה'!$C$5)/$D$11)/$D$11)</f>
        <v>3.6994823999999993E-3</v>
      </c>
      <c r="AX34" s="52">
        <f ca="1">IF(OR($F34&gt;$D$5,$F34&gt;MAX('הנחות עבודה'!$B$69:$B$89)),0,(VLOOKUP($F34,'התפלגות ייצור וסל דלקים'!$B$64:$BV$84,AX$2-$E$2,FALSE))*$D$9*$D$8*(HLOOKUP(AX$23,$G$18:$R$19,2,FALSE)*(1-$D$12)^($F34-'הנחות עבודה'!$C$5)/$D$11)/$D$11)</f>
        <v>9.1471733200000002E-3</v>
      </c>
      <c r="AY34" s="52">
        <f ca="1">IF(OR($F34&gt;$D$5,$F34&gt;MAX('הנחות עבודה'!$B$69:$B$89)),0,(VLOOKUP($F34,'התפלגות ייצור וסל דלקים'!$B$64:$BV$84,AY$2-$E$2,FALSE))*$D$9*$D$8*(HLOOKUP(AY$23,$G$18:$R$19,2,FALSE)*(1-$D$12)^($F34-'הנחות עבודה'!$C$5)/$D$11)/$D$11)</f>
        <v>0</v>
      </c>
      <c r="AZ34" s="52">
        <f ca="1">IF(OR($F34&gt;$D$5,$F34&gt;MAX('הנחות עבודה'!$B$69:$B$89)),0,(VLOOKUP($F34,'התפלגות ייצור וסל דלקים'!$B$64:$BV$84,AZ$2-$E$2,FALSE))*$D$9*$D$8*(HLOOKUP(AZ$23,$G$18:$R$19,2,FALSE)*(1-$D$12)^($F34-'הנחות עבודה'!$C$5)/$D$11)/$D$11)</f>
        <v>0</v>
      </c>
      <c r="BA34" s="52">
        <f ca="1">IF(OR($F34&gt;$D$5,$F34&gt;MAX('הנחות עבודה'!$B$69:$B$89)),0,(VLOOKUP($F34,'התפלגות ייצור וסל דלקים'!$B$64:$BV$84,BA$2-$E$2,FALSE))*$D$9*$D$8*(HLOOKUP(BA$23,$G$18:$R$19,2,FALSE)*(1-$D$12)^($F34-'הנחות עבודה'!$C$5)/$D$11)/$D$11)</f>
        <v>0</v>
      </c>
      <c r="BB34" s="52">
        <f ca="1">IF(OR($F34&gt;$D$5,$F34&gt;MAX('הנחות עבודה'!$B$69:$B$89)),0,(VLOOKUP($F34,'התפלגות ייצור וסל דלקים'!$B$64:$BV$84,BB$2-$E$2,FALSE))*$D$9*$D$8*(HLOOKUP(BB$23,$G$18:$R$19,2,FALSE)*(1-$D$12)^($F34-'הנחות עבודה'!$C$5)/$D$11)/$D$11)</f>
        <v>0</v>
      </c>
      <c r="BC34" s="42">
        <f ca="1">IF(OR($F34&gt;$D$5,$F34&gt;MAX('הנחות עבודה'!$B$69:$B$89)),0,(VLOOKUP($F34,'התפלגות ייצור וסל דלקים'!$B$64:$BV$84,BC$2-$E$2,FALSE))*$D$9*$D$8*(HLOOKUP(BC$23,$G$18:$R$19,2,FALSE)*(1-$D$12)^($F34-'הנחות עבודה'!$C$5)/$D$11)/$D$11)</f>
        <v>0</v>
      </c>
      <c r="BD34" s="44">
        <f ca="1">IF(OR($F34&gt;$D$5,$F34&gt;MAX('הנחות עבודה'!$B$69:$B$89)),0,(VLOOKUP($F34,'התפלגות ייצור וסל דלקים'!$B$64:$BV$84,BD$2-$E$2,FALSE))*$D$9*$D$8*(HLOOKUP(BD$23,$G$18:$R$19,2,FALSE)*(1-$D$12)^($F34-'הנחות עבודה'!$C$5)/$D$11)/$D$11)</f>
        <v>0</v>
      </c>
      <c r="BE34" s="44">
        <f ca="1">IF(OR($F34&gt;$D$5,$F34&gt;MAX('הנחות עבודה'!$B$69:$B$89)),0,(VLOOKUP($F34,'התפלגות ייצור וסל דלקים'!$B$64:$BV$84,BE$2-$E$2,FALSE))*$D$9*$D$8*(HLOOKUP(BE$23,$G$18:$R$19,2,FALSE)*(1-$D$12)^($F34-'הנחות עבודה'!$C$5)/$D$11)/$D$11)</f>
        <v>0</v>
      </c>
      <c r="BF34" s="44">
        <f ca="1">IF(OR($F34&gt;$D$5,$F34&gt;MAX('הנחות עבודה'!$B$69:$B$89)),0,(VLOOKUP($F34,'התפלגות ייצור וסל דלקים'!$B$64:$BV$84,BF$2-$E$2,FALSE))*$D$9*$D$8*(HLOOKUP(BF$23,$G$18:$R$19,2,FALSE)*(1-$D$12)^($F34-'הנחות עבודה'!$C$5)/$D$11)/$D$11)</f>
        <v>0</v>
      </c>
      <c r="BG34" s="44">
        <f ca="1">IF(OR($F34&gt;$D$5,$F34&gt;MAX('הנחות עבודה'!$B$69:$B$89)),0,(VLOOKUP($F34,'התפלגות ייצור וסל דלקים'!$B$64:$BV$84,BG$2-$E$2,FALSE))*$D$9*$D$8*(HLOOKUP(BG$23,$G$18:$R$19,2,FALSE)*(1-$D$12)^($F34-'הנחות עבודה'!$C$5)/$D$11)/$D$11)</f>
        <v>0</v>
      </c>
      <c r="BH34" s="44">
        <f ca="1">IF(OR($F34&gt;$D$5,$F34&gt;MAX('הנחות עבודה'!$B$69:$B$89)),0,(VLOOKUP($F34,'התפלגות ייצור וסל דלקים'!$B$64:$BV$84,BH$2-$E$2,FALSE))*$D$9*$D$8*(HLOOKUP(BH$23,$G$18:$R$19,2,FALSE)*(1-$D$12)^($F34-'הנחות עבודה'!$C$5)/$D$11)/$D$11)</f>
        <v>0</v>
      </c>
      <c r="BI34" s="42">
        <f ca="1">IF(OR($F34&gt;$D$5,$F34&gt;MAX('הנחות עבודה'!$B$69:$B$89)),0,(VLOOKUP($F34,'התפלגות ייצור וסל דלקים'!$B$64:$BV$84,BI$2-$E$2,FALSE))*$D$9*$D$8*(HLOOKUP(BI$23,$G$18:$R$19,2,FALSE)*(1-$D$12)^($F34-'הנחות עבודה'!$C$5)/$D$11)/$D$11)</f>
        <v>3.7684799999999994E-3</v>
      </c>
      <c r="BJ34" s="42">
        <f ca="1">IF(OR($F34&gt;$D$5,$F34&gt;MAX('הנחות עבודה'!$B$69:$B$89)),0,(VLOOKUP($F34,'התפלגות ייצור וסל דלקים'!$B$64:$BV$84,BJ$2-$E$2,FALSE))*$D$9*$D$8*(HLOOKUP(BJ$23,$G$18:$R$19,2,FALSE)*(1-$D$12)^($F34-'הנחות עבודה'!$C$5)/$D$11)/$D$11)</f>
        <v>8.3281954719999982E-3</v>
      </c>
      <c r="BK34" s="42">
        <f ca="1">IF(OR($F34&gt;$D$5,$F34&gt;MAX('הנחות עבודה'!$B$69:$B$89)),0,(VLOOKUP($F34,'התפלגות ייצור וסל דלקים'!$B$64:$BV$84,BK$2-$E$2,FALSE))*$D$9*$D$8*(HLOOKUP(BK$23,$G$18:$R$19,2,FALSE)*(1-$D$12)^($F34-'הנחות עבודה'!$C$5)/$D$11)/$D$11)</f>
        <v>0</v>
      </c>
      <c r="BL34" s="42">
        <f ca="1">IF(OR($F34&gt;$D$5,$F34&gt;MAX('הנחות עבודה'!$B$69:$B$89)),0,(VLOOKUP($F34,'התפלגות ייצור וסל דלקים'!$B$64:$BV$84,BL$2-$E$2,FALSE))*$D$9*$D$8*(HLOOKUP(BL$23,$G$18:$R$19,2,FALSE)*(1-$D$12)^($F34-'הנחות עבודה'!$C$5)/$D$11)/$D$11)</f>
        <v>0</v>
      </c>
      <c r="BM34" s="42">
        <f ca="1">IF(OR($F34&gt;$D$5,$F34&gt;MAX('הנחות עבודה'!$B$69:$B$89)),0,(VLOOKUP($F34,'התפלגות ייצור וסל דלקים'!$B$64:$BV$84,BM$2-$E$2,FALSE))*$D$9*$D$8*(HLOOKUP(BM$23,$G$18:$R$19,2,FALSE)*(1-$D$12)^($F34-'הנחות עבודה'!$C$5)/$D$11)/$D$11)</f>
        <v>0</v>
      </c>
      <c r="BN34" s="42">
        <f ca="1">IF(OR($F34&gt;$D$5,$F34&gt;MAX('הנחות עבודה'!$B$69:$B$89)),0,(VLOOKUP($F34,'התפלגות ייצור וסל דלקים'!$B$64:$BV$84,BN$2-$E$2,FALSE))*$D$9*$D$8*(HLOOKUP(BN$23,$G$18:$R$19,2,FALSE)*(1-$D$12)^($F34-'הנחות עבודה'!$C$5)/$D$11)/$D$11)</f>
        <v>0</v>
      </c>
      <c r="BO34" s="52">
        <f ca="1">IF(OR($F34&gt;$D$5,$F34&gt;MAX('הנחות עבודה'!$B$69:$B$89)),0,(VLOOKUP($F34,'התפלגות ייצור וסל דלקים'!$B$64:$BV$84,BO$2-$E$2,FALSE))*$D$9*$D$8*(HLOOKUP(BO$23,$G$18:$R$19,2,FALSE)*(1-$D$12)^($F34-'הנחות עבודה'!$C$5)/$D$11)/$D$11)</f>
        <v>0</v>
      </c>
      <c r="BP34" s="127">
        <f ca="1">IF(OR($F34&gt;$D$5,$F34&gt;MAX('הנחות עבודה'!$B$69:$B$89)),0,(VLOOKUP($F34,'התפלגות ייצור וסל דלקים'!$B$64:$BV$84,BP$2-$E$2,FALSE))*$D$9*$D$8*(HLOOKUP(BP$23,$G$18:$R$19,2,FALSE)*(1-$D$12)^($F34-'הנחות עבודה'!$C$5)/$D$11)/$D$11)</f>
        <v>0</v>
      </c>
      <c r="BQ34" s="127">
        <f ca="1">IF(OR($F34&gt;$D$5,$F34&gt;MAX('הנחות עבודה'!$B$69:$B$89)),0,(VLOOKUP($F34,'התפלגות ייצור וסל דלקים'!$B$64:$BV$84,BQ$2-$E$2,FALSE))*$D$9*$D$8*(HLOOKUP(BQ$23,$G$18:$R$19,2,FALSE)*(1-$D$12)^($F34-'הנחות עבודה'!$C$5)/$D$11)/$D$11)</f>
        <v>0</v>
      </c>
      <c r="BR34" s="127">
        <f ca="1">IF(OR($F34&gt;$D$5,$F34&gt;MAX('הנחות עבודה'!$B$69:$B$89)),0,(VLOOKUP($F34,'התפלגות ייצור וסל דלקים'!$B$64:$BV$84,BR$2-$E$2,FALSE))*$D$9*$D$8*(HLOOKUP(BR$23,$G$18:$R$19,2,FALSE)*(1-$D$12)^($F34-'הנחות עבודה'!$C$5)/$D$11)/$D$11)</f>
        <v>0</v>
      </c>
      <c r="BS34" s="127">
        <f ca="1">IF(OR($F34&gt;$D$5,$F34&gt;MAX('הנחות עבודה'!$B$69:$B$89)),0,(VLOOKUP($F34,'התפלגות ייצור וסל דלקים'!$B$64:$BV$84,BS$2-$E$2,FALSE))*$D$9*$D$8*(HLOOKUP(BS$23,$G$18:$R$19,2,FALSE)*(1-$D$12)^($F34-'הנחות עבודה'!$C$5)/$D$11)/$D$11)</f>
        <v>0</v>
      </c>
      <c r="BT34" s="127">
        <f ca="1">IF(OR($F34&gt;$D$5,$F34&gt;MAX('הנחות עבודה'!$B$69:$B$89)),0,(VLOOKUP($F34,'התפלגות ייצור וסל דלקים'!$B$64:$BV$84,BT$2-$E$2,FALSE))*$D$9*$D$8*(HLOOKUP(BT$23,$G$18:$R$19,2,FALSE)*(1-$D$12)^($F34-'הנחות עבודה'!$C$5)/$D$11)/$D$11)</f>
        <v>0</v>
      </c>
      <c r="BU34" s="52">
        <f ca="1">IF(OR($F34&gt;$D$5,$F34&gt;MAX('הנחות עבודה'!$B$69:$B$89)),0,(VLOOKUP($F34,'התפלגות ייצור וסל דלקים'!$B$64:$BV$84,BU$2-$E$2,FALSE))*$D$9*$D$8*(HLOOKUP(BU$23,$G$18:$R$19,2,FALSE)*(1-$D$12)^($F34-'הנחות עבודה'!$C$5)/$D$11)/$D$11)</f>
        <v>3.7684799999999994E-3</v>
      </c>
      <c r="BV34" s="52">
        <f ca="1">IF(OR($F34&gt;$D$5,$F34&gt;MAX('הנחות עבודה'!$B$69:$B$89)),0,(VLOOKUP($F34,'התפלגות ייצור וסל דלקים'!$B$64:$BV$84,BV$2-$E$2,FALSE))*$D$9*$D$8*(HLOOKUP(BV$23,$G$18:$R$19,2,FALSE)*(1-$D$12)^($F34-'הנחות עבודה'!$C$5)/$D$11)/$D$11)</f>
        <v>8.3281954719999982E-3</v>
      </c>
      <c r="BW34" s="52">
        <f ca="1">IF(OR($F34&gt;$D$5,$F34&gt;MAX('הנחות עבודה'!$B$69:$B$89)),0,(VLOOKUP($F34,'התפלגות ייצור וסל דלקים'!$B$64:$BV$84,BW$2-$E$2,FALSE))*$D$9*$D$8*(HLOOKUP(BW$23,$G$18:$R$19,2,FALSE)*(1-$D$12)^($F34-'הנחות עבודה'!$C$5)/$D$11)/$D$11)</f>
        <v>0</v>
      </c>
      <c r="BX34" s="52">
        <f ca="1">IF(OR($F34&gt;$D$5,$F34&gt;MAX('הנחות עבודה'!$B$69:$B$89)),0,(VLOOKUP($F34,'התפלגות ייצור וסל דלקים'!$B$64:$BV$84,BX$2-$E$2,FALSE))*$D$9*$D$8*(HLOOKUP(BX$23,$G$18:$R$19,2,FALSE)*(1-$D$12)^($F34-'הנחות עבודה'!$C$5)/$D$11)/$D$11)</f>
        <v>0</v>
      </c>
      <c r="BY34" s="52">
        <f ca="1">IF(OR($F34&gt;$D$5,$F34&gt;MAX('הנחות עבודה'!$B$69:$B$89)),0,(VLOOKUP($F34,'התפלגות ייצור וסל דלקים'!$B$64:$BV$84,BY$2-$E$2,FALSE))*$D$9*$D$8*(HLOOKUP(BY$23,$G$18:$R$19,2,FALSE)*(1-$D$12)^($F34-'הנחות עבודה'!$C$5)/$D$11)/$D$11)</f>
        <v>0</v>
      </c>
      <c r="BZ34" s="52">
        <f ca="1">IF(OR($F34&gt;$D$5,$F34&gt;MAX('הנחות עבודה'!$B$69:$B$89)),0,(VLOOKUP($F34,'התפלגות ייצור וסל דלקים'!$B$64:$BV$84,BZ$2-$E$2,FALSE))*$D$9*$D$8*(HLOOKUP(BZ$23,$G$18:$R$19,2,FALSE)*(1-$D$12)^($F34-'הנחות עבודה'!$C$5)/$D$11)/$D$11)</f>
        <v>0</v>
      </c>
    </row>
    <row r="35" spans="6:78" ht="15.75">
      <c r="F35" s="10">
        <f t="shared" si="110"/>
        <v>2031</v>
      </c>
      <c r="G35" s="42">
        <f ca="1">IF(OR($F35&gt;$D$5,$F35&gt;MAX('הנחות עבודה'!$B$69:$B$89)),0,(VLOOKUP($F35,'התפלגות ייצור וסל דלקים'!$B$64:$BV$84,G$2-$E$2,FALSE))*$D$9*$D$8*(HLOOKUP(G$23,$G$18:$R$19,2,FALSE)*(1-$D$12)^($F35-'הנחות עבודה'!$C$5)/$D$11)/$D$11)</f>
        <v>0</v>
      </c>
      <c r="H35" s="44">
        <f ca="1">IF(OR($F35&gt;$D$5,$F35&gt;MAX('הנחות עבודה'!$B$69:$B$89)),0,(VLOOKUP($F35,'התפלגות ייצור וסל דלקים'!$B$64:$BV$84,H$2-$E$2,FALSE))*$D$9*$D$8*(HLOOKUP(H$23,$G$18:$R$19,2,FALSE)*(1-$D$12)^($F35-'הנחות עבודה'!$C$5)/$D$11)/$D$11)</f>
        <v>0</v>
      </c>
      <c r="I35" s="44">
        <f ca="1">IF(OR($F35&gt;$D$5,$F35&gt;MAX('הנחות עבודה'!$B$69:$B$89)),0,(VLOOKUP($F35,'התפלגות ייצור וסל דלקים'!$B$64:$BV$84,I$2-$E$2,FALSE))*$D$9*$D$8*(HLOOKUP(I$23,$G$18:$R$19,2,FALSE)*(1-$D$12)^($F35-'הנחות עבודה'!$C$5)/$D$11)/$D$11)</f>
        <v>0</v>
      </c>
      <c r="J35" s="44">
        <f ca="1">IF(OR($F35&gt;$D$5,$F35&gt;MAX('הנחות עבודה'!$B$69:$B$89)),0,(VLOOKUP($F35,'התפלגות ייצור וסל דלקים'!$B$64:$BV$84,J$2-$E$2,FALSE))*$D$9*$D$8*(HLOOKUP(J$23,$G$18:$R$19,2,FALSE)*(1-$D$12)^($F35-'הנחות עבודה'!$C$5)/$D$11)/$D$11)</f>
        <v>0</v>
      </c>
      <c r="K35" s="44">
        <f ca="1">IF(OR($F35&gt;$D$5,$F35&gt;MAX('הנחות עבודה'!$B$69:$B$89)),0,(VLOOKUP($F35,'התפלגות ייצור וסל דלקים'!$B$64:$BV$84,K$2-$E$2,FALSE))*$D$9*$D$8*(HLOOKUP(K$23,$G$18:$R$19,2,FALSE)*(1-$D$12)^($F35-'הנחות עבודה'!$C$5)/$D$11)/$D$11)</f>
        <v>0</v>
      </c>
      <c r="L35" s="44">
        <f ca="1">IF(OR($F35&gt;$D$5,$F35&gt;MAX('הנחות עבודה'!$B$69:$B$89)),0,(VLOOKUP($F35,'התפלגות ייצור וסל דלקים'!$B$64:$BV$84,L$2-$E$2,FALSE))*$D$9*$D$8*(HLOOKUP(L$23,$G$18:$R$19,2,FALSE)*(1-$D$12)^($F35-'הנחות עבודה'!$C$5)/$D$11)/$D$11)</f>
        <v>0</v>
      </c>
      <c r="M35" s="42">
        <f ca="1">IF(OR($F35&gt;$D$5,$F35&gt;MAX('הנחות עבודה'!$B$69:$B$89)),0,(VLOOKUP($F35,'התפלגות ייצור וסל דלקים'!$B$64:$BV$84,M$2-$E$2,FALSE))*$D$9*$D$8*(HLOOKUP(M$23,$G$18:$R$19,2,FALSE)*(1-$D$12)^($F35-'הנחות עבודה'!$C$5)/$D$11)/$D$11)</f>
        <v>3.4792631999999999E-3</v>
      </c>
      <c r="N35" s="42">
        <f ca="1">IF(OR($F35&gt;$D$5,$F35&gt;MAX('הנחות עבודה'!$B$69:$B$89)),0,(VLOOKUP($F35,'התפלגות ייצור וסל דלקים'!$B$64:$BV$84,N$2-$E$2,FALSE))*$D$9*$D$8*(HLOOKUP(N$23,$G$18:$R$19,2,FALSE)*(1-$D$12)^($F35-'הנחות עבודה'!$C$5)/$D$11)/$D$11)</f>
        <v>1.1019538384166402E-2</v>
      </c>
      <c r="O35" s="42">
        <f ca="1">IF(OR($F35&gt;$D$5,$F35&gt;MAX('הנחות עבודה'!$B$69:$B$89)),0,(VLOOKUP($F35,'התפלגות ייצור וסל דלקים'!$B$64:$BV$84,O$2-$E$2,FALSE))*$D$9*$D$8*(HLOOKUP(O$23,$G$18:$R$19,2,FALSE)*(1-$D$12)^($F35-'הנחות עבודה'!$C$5)/$D$11)/$D$11)</f>
        <v>0</v>
      </c>
      <c r="P35" s="42">
        <f ca="1">IF(OR($F35&gt;$D$5,$F35&gt;MAX('הנחות עבודה'!$B$69:$B$89)),0,(VLOOKUP($F35,'התפלגות ייצור וסל דלקים'!$B$64:$BV$84,P$2-$E$2,FALSE))*$D$9*$D$8*(HLOOKUP(P$23,$G$18:$R$19,2,FALSE)*(1-$D$12)^($F35-'הנחות עבודה'!$C$5)/$D$11)/$D$11)</f>
        <v>0</v>
      </c>
      <c r="Q35" s="42">
        <f ca="1">IF(OR($F35&gt;$D$5,$F35&gt;MAX('הנחות עבודה'!$B$69:$B$89)),0,(VLOOKUP($F35,'התפלגות ייצור וסל דלקים'!$B$64:$BV$84,Q$2-$E$2,FALSE))*$D$9*$D$8*(HLOOKUP(Q$23,$G$18:$R$19,2,FALSE)*(1-$D$12)^($F35-'הנחות עבודה'!$C$5)/$D$11)/$D$11)</f>
        <v>0</v>
      </c>
      <c r="R35" s="42">
        <f ca="1">IF(OR($F35&gt;$D$5,$F35&gt;MAX('הנחות עבודה'!$B$69:$B$89)),0,(VLOOKUP($F35,'התפלגות ייצור וסל דלקים'!$B$64:$BV$84,R$2-$E$2,FALSE))*$D$9*$D$8*(HLOOKUP(R$23,$G$18:$R$19,2,FALSE)*(1-$D$12)^($F35-'הנחות עבודה'!$C$5)/$D$11)/$D$11)</f>
        <v>0</v>
      </c>
      <c r="S35" s="52">
        <f ca="1">IF(OR($F35&gt;$D$5,$F35&gt;MAX('הנחות עבודה'!$B$69:$B$89)),0,(VLOOKUP($F35,'התפלגות ייצור וסל דלקים'!$B$64:$BV$84,S$2-$E$2,FALSE))*$D$9*$D$8*(HLOOKUP(S$23,$G$18:$R$19,2,FALSE)*(1-$D$12)^($F35-'הנחות עבודה'!$C$5)/$D$11)/$D$11)</f>
        <v>0</v>
      </c>
      <c r="T35" s="127">
        <f ca="1">IF(OR($F35&gt;$D$5,$F35&gt;MAX('הנחות עבודה'!$B$69:$B$89)),0,(VLOOKUP($F35,'התפלגות ייצור וסל דלקים'!$B$64:$BV$84,T$2-$E$2,FALSE))*$D$9*$D$8*(HLOOKUP(T$23,$G$18:$R$19,2,FALSE)*(1-$D$12)^($F35-'הנחות עבודה'!$C$5)/$D$11)/$D$11)</f>
        <v>0</v>
      </c>
      <c r="U35" s="127">
        <f ca="1">IF(OR($F35&gt;$D$5,$F35&gt;MAX('הנחות עבודה'!$B$69:$B$89)),0,(VLOOKUP($F35,'התפלגות ייצור וסל דלקים'!$B$64:$BV$84,U$2-$E$2,FALSE))*$D$9*$D$8*(HLOOKUP(U$23,$G$18:$R$19,2,FALSE)*(1-$D$12)^($F35-'הנחות עבודה'!$C$5)/$D$11)/$D$11)</f>
        <v>0</v>
      </c>
      <c r="V35" s="127">
        <f ca="1">IF(OR($F35&gt;$D$5,$F35&gt;MAX('הנחות עבודה'!$B$69:$B$89)),0,(VLOOKUP($F35,'התפלגות ייצור וסל דלקים'!$B$64:$BV$84,V$2-$E$2,FALSE))*$D$9*$D$8*(HLOOKUP(V$23,$G$18:$R$19,2,FALSE)*(1-$D$12)^($F35-'הנחות עבודה'!$C$5)/$D$11)/$D$11)</f>
        <v>0</v>
      </c>
      <c r="W35" s="127">
        <f ca="1">IF(OR($F35&gt;$D$5,$F35&gt;MAX('הנחות עבודה'!$B$69:$B$89)),0,(VLOOKUP($F35,'התפלגות ייצור וסל דלקים'!$B$64:$BV$84,W$2-$E$2,FALSE))*$D$9*$D$8*(HLOOKUP(W$23,$G$18:$R$19,2,FALSE)*(1-$D$12)^($F35-'הנחות עבודה'!$C$5)/$D$11)/$D$11)</f>
        <v>0</v>
      </c>
      <c r="X35" s="127">
        <f ca="1">IF(OR($F35&gt;$D$5,$F35&gt;MAX('הנחות עבודה'!$B$69:$B$89)),0,(VLOOKUP($F35,'התפלגות ייצור וסל דלקים'!$B$64:$BV$84,X$2-$E$2,FALSE))*$D$9*$D$8*(HLOOKUP(X$23,$G$18:$R$19,2,FALSE)*(1-$D$12)^($F35-'הנחות עבודה'!$C$5)/$D$11)/$D$11)</f>
        <v>0</v>
      </c>
      <c r="Y35" s="52">
        <f ca="1">IF(OR($F35&gt;$D$5,$F35&gt;MAX('הנחות עבודה'!$B$69:$B$89)),0,(VLOOKUP($F35,'התפלגות ייצור וסל דלקים'!$B$64:$BV$84,Y$2-$E$2,FALSE))*$D$9*$D$8*(HLOOKUP(Y$23,$G$18:$R$19,2,FALSE)*(1-$D$12)^($F35-'הנחות עבודה'!$C$5)/$D$11)/$D$11)</f>
        <v>3.4792631999999999E-3</v>
      </c>
      <c r="Z35" s="52">
        <f ca="1">IF(OR($F35&gt;$D$5,$F35&gt;MAX('הנחות עבודה'!$B$69:$B$89)),0,(VLOOKUP($F35,'התפלגות ייצור וסל דלקים'!$B$64:$BV$84,Z$2-$E$2,FALSE))*$D$9*$D$8*(HLOOKUP(Z$23,$G$18:$R$19,2,FALSE)*(1-$D$12)^($F35-'הנחות עבודה'!$C$5)/$D$11)/$D$11)</f>
        <v>1.1019538384166402E-2</v>
      </c>
      <c r="AA35" s="52">
        <f ca="1">IF(OR($F35&gt;$D$5,$F35&gt;MAX('הנחות עבודה'!$B$69:$B$89)),0,(VLOOKUP($F35,'התפלגות ייצור וסל דלקים'!$B$64:$BV$84,AA$2-$E$2,FALSE))*$D$9*$D$8*(HLOOKUP(AA$23,$G$18:$R$19,2,FALSE)*(1-$D$12)^($F35-'הנחות עבודה'!$C$5)/$D$11)/$D$11)</f>
        <v>0</v>
      </c>
      <c r="AB35" s="52">
        <f ca="1">IF(OR($F35&gt;$D$5,$F35&gt;MAX('הנחות עבודה'!$B$69:$B$89)),0,(VLOOKUP($F35,'התפלגות ייצור וסל דלקים'!$B$64:$BV$84,AB$2-$E$2,FALSE))*$D$9*$D$8*(HLOOKUP(AB$23,$G$18:$R$19,2,FALSE)*(1-$D$12)^($F35-'הנחות עבודה'!$C$5)/$D$11)/$D$11)</f>
        <v>0</v>
      </c>
      <c r="AC35" s="52">
        <f ca="1">IF(OR($F35&gt;$D$5,$F35&gt;MAX('הנחות עבודה'!$B$69:$B$89)),0,(VLOOKUP($F35,'התפלגות ייצור וסל דלקים'!$B$64:$BV$84,AC$2-$E$2,FALSE))*$D$9*$D$8*(HLOOKUP(AC$23,$G$18:$R$19,2,FALSE)*(1-$D$12)^($F35-'הנחות עבודה'!$C$5)/$D$11)/$D$11)</f>
        <v>0</v>
      </c>
      <c r="AD35" s="52">
        <f ca="1">IF(OR($F35&gt;$D$5,$F35&gt;MAX('הנחות עבודה'!$B$69:$B$89)),0,(VLOOKUP($F35,'התפלגות ייצור וסל דלקים'!$B$64:$BV$84,AD$2-$E$2,FALSE))*$D$9*$D$8*(HLOOKUP(AD$23,$G$18:$R$19,2,FALSE)*(1-$D$12)^($F35-'הנחות עבודה'!$C$5)/$D$11)/$D$11)</f>
        <v>0</v>
      </c>
      <c r="AE35" s="42">
        <f ca="1">IF(OR($F35&gt;$D$5,$F35&gt;MAX('הנחות עבודה'!$B$69:$B$89)),0,(VLOOKUP($F35,'התפלגות ייצור וסל דלקים'!$B$64:$BV$84,AE$2-$E$2,FALSE))*$D$9*$D$8*(HLOOKUP(AE$23,$G$18:$R$19,2,FALSE)*(1-$D$12)^($F35-'הנחות עבודה'!$C$5)/$D$11)/$D$11)</f>
        <v>0</v>
      </c>
      <c r="AF35" s="44">
        <f ca="1">IF(OR($F35&gt;$D$5,$F35&gt;MAX('הנחות עבודה'!$B$69:$B$89)),0,(VLOOKUP($F35,'התפלגות ייצור וסל דלקים'!$B$64:$BV$84,AF$2-$E$2,FALSE))*$D$9*$D$8*(HLOOKUP(AF$23,$G$18:$R$19,2,FALSE)*(1-$D$12)^($F35-'הנחות עבודה'!$C$5)/$D$11)/$D$11)</f>
        <v>0</v>
      </c>
      <c r="AG35" s="44">
        <f ca="1">IF(OR($F35&gt;$D$5,$F35&gt;MAX('הנחות עבודה'!$B$69:$B$89)),0,(VLOOKUP($F35,'התפלגות ייצור וסל דלקים'!$B$64:$BV$84,AG$2-$E$2,FALSE))*$D$9*$D$8*(HLOOKUP(AG$23,$G$18:$R$19,2,FALSE)*(1-$D$12)^($F35-'הנחות עבודה'!$C$5)/$D$11)/$D$11)</f>
        <v>0</v>
      </c>
      <c r="AH35" s="44">
        <f ca="1">IF(OR($F35&gt;$D$5,$F35&gt;MAX('הנחות עבודה'!$B$69:$B$89)),0,(VLOOKUP($F35,'התפלגות ייצור וסל דלקים'!$B$64:$BV$84,AH$2-$E$2,FALSE))*$D$9*$D$8*(HLOOKUP(AH$23,$G$18:$R$19,2,FALSE)*(1-$D$12)^($F35-'הנחות עבודה'!$C$5)/$D$11)/$D$11)</f>
        <v>0</v>
      </c>
      <c r="AI35" s="44">
        <f ca="1">IF(OR($F35&gt;$D$5,$F35&gt;MAX('הנחות עבודה'!$B$69:$B$89)),0,(VLOOKUP($F35,'התפלגות ייצור וסל דלקים'!$B$64:$BV$84,AI$2-$E$2,FALSE))*$D$9*$D$8*(HLOOKUP(AI$23,$G$18:$R$19,2,FALSE)*(1-$D$12)^($F35-'הנחות עבודה'!$C$5)/$D$11)/$D$11)</f>
        <v>0</v>
      </c>
      <c r="AJ35" s="44">
        <f ca="1">IF(OR($F35&gt;$D$5,$F35&gt;MAX('הנחות עבודה'!$B$69:$B$89)),0,(VLOOKUP($F35,'התפלגות ייצור וסל דלקים'!$B$64:$BV$84,AJ$2-$E$2,FALSE))*$D$9*$D$8*(HLOOKUP(AJ$23,$G$18:$R$19,2,FALSE)*(1-$D$12)^($F35-'הנחות עבודה'!$C$5)/$D$11)/$D$11)</f>
        <v>0</v>
      </c>
      <c r="AK35" s="42">
        <f ca="1">IF(OR($F35&gt;$D$5,$F35&gt;MAX('הנחות עבודה'!$B$69:$B$89)),0,(VLOOKUP($F35,'התפלגות ייצור וסל דלקים'!$B$64:$BV$84,AK$2-$E$2,FALSE))*$D$9*$D$8*(HLOOKUP(AK$23,$G$18:$R$19,2,FALSE)*(1-$D$12)^($F35-'הנחות עבודה'!$C$5)/$D$11)/$D$11)</f>
        <v>3.6958799999999995E-3</v>
      </c>
      <c r="AL35" s="42">
        <f ca="1">IF(OR($F35&gt;$D$5,$F35&gt;MAX('הנחות עבודה'!$B$69:$B$89)),0,(VLOOKUP($F35,'התפלגות ייצור וסל דלקים'!$B$64:$BV$84,AL$2-$E$2,FALSE))*$D$9*$D$8*(HLOOKUP(AL$23,$G$18:$R$19,2,FALSE)*(1-$D$12)^($F35-'הנחות עבודה'!$C$5)/$D$11)/$D$11)</f>
        <v>9.6377599059071992E-3</v>
      </c>
      <c r="AM35" s="42">
        <f ca="1">IF(OR($F35&gt;$D$5,$F35&gt;MAX('הנחות עבודה'!$B$69:$B$89)),0,(VLOOKUP($F35,'התפלגות ייצור וסל דלקים'!$B$64:$BV$84,AM$2-$E$2,FALSE))*$D$9*$D$8*(HLOOKUP(AM$23,$G$18:$R$19,2,FALSE)*(1-$D$12)^($F35-'הנחות עבודה'!$C$5)/$D$11)/$D$11)</f>
        <v>0</v>
      </c>
      <c r="AN35" s="42">
        <f ca="1">IF(OR($F35&gt;$D$5,$F35&gt;MAX('הנחות עבודה'!$B$69:$B$89)),0,(VLOOKUP($F35,'התפלגות ייצור וסל דלקים'!$B$64:$BV$84,AN$2-$E$2,FALSE))*$D$9*$D$8*(HLOOKUP(AN$23,$G$18:$R$19,2,FALSE)*(1-$D$12)^($F35-'הנחות עבודה'!$C$5)/$D$11)/$D$11)</f>
        <v>0</v>
      </c>
      <c r="AO35" s="42">
        <f ca="1">IF(OR($F35&gt;$D$5,$F35&gt;MAX('הנחות עבודה'!$B$69:$B$89)),0,(VLOOKUP($F35,'התפלגות ייצור וסל דלקים'!$B$64:$BV$84,AO$2-$E$2,FALSE))*$D$9*$D$8*(HLOOKUP(AO$23,$G$18:$R$19,2,FALSE)*(1-$D$12)^($F35-'הנחות עבודה'!$C$5)/$D$11)/$D$11)</f>
        <v>0</v>
      </c>
      <c r="AP35" s="42">
        <f ca="1">IF(OR($F35&gt;$D$5,$F35&gt;MAX('הנחות עבודה'!$B$69:$B$89)),0,(VLOOKUP($F35,'התפלגות ייצור וסל דלקים'!$B$64:$BV$84,AP$2-$E$2,FALSE))*$D$9*$D$8*(HLOOKUP(AP$23,$G$18:$R$19,2,FALSE)*(1-$D$12)^($F35-'הנחות עבודה'!$C$5)/$D$11)/$D$11)</f>
        <v>0</v>
      </c>
      <c r="AQ35" s="52">
        <f ca="1">IF(OR($F35&gt;$D$5,$F35&gt;MAX('הנחות עבודה'!$B$69:$B$89)),0,(VLOOKUP($F35,'התפלגות ייצור וסל דלקים'!$B$64:$BV$84,AQ$2-$E$2,FALSE))*$D$9*$D$8*(HLOOKUP(AQ$23,$G$18:$R$19,2,FALSE)*(1-$D$12)^($F35-'הנחות עבודה'!$C$5)/$D$11)/$D$11)</f>
        <v>0</v>
      </c>
      <c r="AR35" s="127">
        <f ca="1">IF(OR($F35&gt;$D$5,$F35&gt;MAX('הנחות עבודה'!$B$69:$B$89)),0,(VLOOKUP($F35,'התפלגות ייצור וסל דלקים'!$B$64:$BV$84,AR$2-$E$2,FALSE))*$D$9*$D$8*(HLOOKUP(AR$23,$G$18:$R$19,2,FALSE)*(1-$D$12)^($F35-'הנחות עבודה'!$C$5)/$D$11)/$D$11)</f>
        <v>0</v>
      </c>
      <c r="AS35" s="127">
        <f ca="1">IF(OR($F35&gt;$D$5,$F35&gt;MAX('הנחות עבודה'!$B$69:$B$89)),0,(VLOOKUP($F35,'התפלגות ייצור וסל דלקים'!$B$64:$BV$84,AS$2-$E$2,FALSE))*$D$9*$D$8*(HLOOKUP(AS$23,$G$18:$R$19,2,FALSE)*(1-$D$12)^($F35-'הנחות עבודה'!$C$5)/$D$11)/$D$11)</f>
        <v>0</v>
      </c>
      <c r="AT35" s="127">
        <f ca="1">IF(OR($F35&gt;$D$5,$F35&gt;MAX('הנחות עבודה'!$B$69:$B$89)),0,(VLOOKUP($F35,'התפלגות ייצור וסל דלקים'!$B$64:$BV$84,AT$2-$E$2,FALSE))*$D$9*$D$8*(HLOOKUP(AT$23,$G$18:$R$19,2,FALSE)*(1-$D$12)^($F35-'הנחות עבודה'!$C$5)/$D$11)/$D$11)</f>
        <v>0</v>
      </c>
      <c r="AU35" s="127">
        <f ca="1">IF(OR($F35&gt;$D$5,$F35&gt;MAX('הנחות עבודה'!$B$69:$B$89)),0,(VLOOKUP($F35,'התפלגות ייצור וסל דלקים'!$B$64:$BV$84,AU$2-$E$2,FALSE))*$D$9*$D$8*(HLOOKUP(AU$23,$G$18:$R$19,2,FALSE)*(1-$D$12)^($F35-'הנחות עבודה'!$C$5)/$D$11)/$D$11)</f>
        <v>0</v>
      </c>
      <c r="AV35" s="127">
        <f ca="1">IF(OR($F35&gt;$D$5,$F35&gt;MAX('הנחות עבודה'!$B$69:$B$89)),0,(VLOOKUP($F35,'התפלגות ייצור וסל דלקים'!$B$64:$BV$84,AV$2-$E$2,FALSE))*$D$9*$D$8*(HLOOKUP(AV$23,$G$18:$R$19,2,FALSE)*(1-$D$12)^($F35-'הנחות עבודה'!$C$5)/$D$11)/$D$11)</f>
        <v>0</v>
      </c>
      <c r="AW35" s="52">
        <f ca="1">IF(OR($F35&gt;$D$5,$F35&gt;MAX('הנחות עבודה'!$B$69:$B$89)),0,(VLOOKUP($F35,'התפלגות ייצור וסל דלקים'!$B$64:$BV$84,AW$2-$E$2,FALSE))*$D$9*$D$8*(HLOOKUP(AW$23,$G$18:$R$19,2,FALSE)*(1-$D$12)^($F35-'הנחות עבודה'!$C$5)/$D$11)/$D$11)</f>
        <v>3.6958799999999995E-3</v>
      </c>
      <c r="AX35" s="52">
        <f ca="1">IF(OR($F35&gt;$D$5,$F35&gt;MAX('הנחות עבודה'!$B$69:$B$89)),0,(VLOOKUP($F35,'התפלגות ייצור וסל דלקים'!$B$64:$BV$84,AX$2-$E$2,FALSE))*$D$9*$D$8*(HLOOKUP(AX$23,$G$18:$R$19,2,FALSE)*(1-$D$12)^($F35-'הנחות עבודה'!$C$5)/$D$11)/$D$11)</f>
        <v>9.6377599059071992E-3</v>
      </c>
      <c r="AY35" s="52">
        <f ca="1">IF(OR($F35&gt;$D$5,$F35&gt;MAX('הנחות עבודה'!$B$69:$B$89)),0,(VLOOKUP($F35,'התפלגות ייצור וסל דלקים'!$B$64:$BV$84,AY$2-$E$2,FALSE))*$D$9*$D$8*(HLOOKUP(AY$23,$G$18:$R$19,2,FALSE)*(1-$D$12)^($F35-'הנחות עבודה'!$C$5)/$D$11)/$D$11)</f>
        <v>0</v>
      </c>
      <c r="AZ35" s="52">
        <f ca="1">IF(OR($F35&gt;$D$5,$F35&gt;MAX('הנחות עבודה'!$B$69:$B$89)),0,(VLOOKUP($F35,'התפלגות ייצור וסל דלקים'!$B$64:$BV$84,AZ$2-$E$2,FALSE))*$D$9*$D$8*(HLOOKUP(AZ$23,$G$18:$R$19,2,FALSE)*(1-$D$12)^($F35-'הנחות עבודה'!$C$5)/$D$11)/$D$11)</f>
        <v>0</v>
      </c>
      <c r="BA35" s="52">
        <f ca="1">IF(OR($F35&gt;$D$5,$F35&gt;MAX('הנחות עבודה'!$B$69:$B$89)),0,(VLOOKUP($F35,'התפלגות ייצור וסל דלקים'!$B$64:$BV$84,BA$2-$E$2,FALSE))*$D$9*$D$8*(HLOOKUP(BA$23,$G$18:$R$19,2,FALSE)*(1-$D$12)^($F35-'הנחות עבודה'!$C$5)/$D$11)/$D$11)</f>
        <v>0</v>
      </c>
      <c r="BB35" s="52">
        <f ca="1">IF(OR($F35&gt;$D$5,$F35&gt;MAX('הנחות עבודה'!$B$69:$B$89)),0,(VLOOKUP($F35,'התפלגות ייצור וסל דלקים'!$B$64:$BV$84,BB$2-$E$2,FALSE))*$D$9*$D$8*(HLOOKUP(BB$23,$G$18:$R$19,2,FALSE)*(1-$D$12)^($F35-'הנחות עבודה'!$C$5)/$D$11)/$D$11)</f>
        <v>0</v>
      </c>
      <c r="BC35" s="42">
        <f ca="1">IF(OR($F35&gt;$D$5,$F35&gt;MAX('הנחות עבודה'!$B$69:$B$89)),0,(VLOOKUP($F35,'התפלגות ייצור וסל דלקים'!$B$64:$BV$84,BC$2-$E$2,FALSE))*$D$9*$D$8*(HLOOKUP(BC$23,$G$18:$R$19,2,FALSE)*(1-$D$12)^($F35-'הנחות עבודה'!$C$5)/$D$11)/$D$11)</f>
        <v>0</v>
      </c>
      <c r="BD35" s="44">
        <f ca="1">IF(OR($F35&gt;$D$5,$F35&gt;MAX('הנחות עבודה'!$B$69:$B$89)),0,(VLOOKUP($F35,'התפלגות ייצור וסל דלקים'!$B$64:$BV$84,BD$2-$E$2,FALSE))*$D$9*$D$8*(HLOOKUP(BD$23,$G$18:$R$19,2,FALSE)*(1-$D$12)^($F35-'הנחות עבודה'!$C$5)/$D$11)/$D$11)</f>
        <v>0</v>
      </c>
      <c r="BE35" s="44">
        <f ca="1">IF(OR($F35&gt;$D$5,$F35&gt;MAX('הנחות עבודה'!$B$69:$B$89)),0,(VLOOKUP($F35,'התפלגות ייצור וסל דלקים'!$B$64:$BV$84,BE$2-$E$2,FALSE))*$D$9*$D$8*(HLOOKUP(BE$23,$G$18:$R$19,2,FALSE)*(1-$D$12)^($F35-'הנחות עבודה'!$C$5)/$D$11)/$D$11)</f>
        <v>0</v>
      </c>
      <c r="BF35" s="44">
        <f ca="1">IF(OR($F35&gt;$D$5,$F35&gt;MAX('הנחות עבודה'!$B$69:$B$89)),0,(VLOOKUP($F35,'התפלגות ייצור וסל דלקים'!$B$64:$BV$84,BF$2-$E$2,FALSE))*$D$9*$D$8*(HLOOKUP(BF$23,$G$18:$R$19,2,FALSE)*(1-$D$12)^($F35-'הנחות עבודה'!$C$5)/$D$11)/$D$11)</f>
        <v>0</v>
      </c>
      <c r="BG35" s="44">
        <f ca="1">IF(OR($F35&gt;$D$5,$F35&gt;MAX('הנחות עבודה'!$B$69:$B$89)),0,(VLOOKUP($F35,'התפלגות ייצור וסל דלקים'!$B$64:$BV$84,BG$2-$E$2,FALSE))*$D$9*$D$8*(HLOOKUP(BG$23,$G$18:$R$19,2,FALSE)*(1-$D$12)^($F35-'הנחות עבודה'!$C$5)/$D$11)/$D$11)</f>
        <v>0</v>
      </c>
      <c r="BH35" s="44">
        <f ca="1">IF(OR($F35&gt;$D$5,$F35&gt;MAX('הנחות עבודה'!$B$69:$B$89)),0,(VLOOKUP($F35,'התפלגות ייצור וסל דלקים'!$B$64:$BV$84,BH$2-$E$2,FALSE))*$D$9*$D$8*(HLOOKUP(BH$23,$G$18:$R$19,2,FALSE)*(1-$D$12)^($F35-'הנחות עבודה'!$C$5)/$D$11)/$D$11)</f>
        <v>0</v>
      </c>
      <c r="BI35" s="42">
        <f ca="1">IF(OR($F35&gt;$D$5,$F35&gt;MAX('הנחות עבודה'!$B$69:$B$89)),0,(VLOOKUP($F35,'התפלגות ייצור וסל דלקים'!$B$64:$BV$84,BI$2-$E$2,FALSE))*$D$9*$D$8*(HLOOKUP(BI$23,$G$18:$R$19,2,FALSE)*(1-$D$12)^($F35-'הנחות עבודה'!$C$5)/$D$11)/$D$11)</f>
        <v>3.7723199999999996E-3</v>
      </c>
      <c r="BJ35" s="42">
        <f ca="1">IF(OR($F35&gt;$D$5,$F35&gt;MAX('הנחות עבודה'!$B$69:$B$89)),0,(VLOOKUP($F35,'התפלגות ייצור וסל דלקים'!$B$64:$BV$84,BJ$2-$E$2,FALSE))*$D$9*$D$8*(HLOOKUP(BJ$23,$G$18:$R$19,2,FALSE)*(1-$D$12)^($F35-'הנחות עבודה'!$C$5)/$D$11)/$D$11)</f>
        <v>8.813840756995199E-3</v>
      </c>
      <c r="BK35" s="42">
        <f ca="1">IF(OR($F35&gt;$D$5,$F35&gt;MAX('הנחות עבודה'!$B$69:$B$89)),0,(VLOOKUP($F35,'התפלגות ייצור וסל דלקים'!$B$64:$BV$84,BK$2-$E$2,FALSE))*$D$9*$D$8*(HLOOKUP(BK$23,$G$18:$R$19,2,FALSE)*(1-$D$12)^($F35-'הנחות עבודה'!$C$5)/$D$11)/$D$11)</f>
        <v>0</v>
      </c>
      <c r="BL35" s="42">
        <f ca="1">IF(OR($F35&gt;$D$5,$F35&gt;MAX('הנחות עבודה'!$B$69:$B$89)),0,(VLOOKUP($F35,'התפלגות ייצור וסל דלקים'!$B$64:$BV$84,BL$2-$E$2,FALSE))*$D$9*$D$8*(HLOOKUP(BL$23,$G$18:$R$19,2,FALSE)*(1-$D$12)^($F35-'הנחות עבודה'!$C$5)/$D$11)/$D$11)</f>
        <v>0</v>
      </c>
      <c r="BM35" s="42">
        <f ca="1">IF(OR($F35&gt;$D$5,$F35&gt;MAX('הנחות עבודה'!$B$69:$B$89)),0,(VLOOKUP($F35,'התפלגות ייצור וסל דלקים'!$B$64:$BV$84,BM$2-$E$2,FALSE))*$D$9*$D$8*(HLOOKUP(BM$23,$G$18:$R$19,2,FALSE)*(1-$D$12)^($F35-'הנחות עבודה'!$C$5)/$D$11)/$D$11)</f>
        <v>0</v>
      </c>
      <c r="BN35" s="42">
        <f ca="1">IF(OR($F35&gt;$D$5,$F35&gt;MAX('הנחות עבודה'!$B$69:$B$89)),0,(VLOOKUP($F35,'התפלגות ייצור וסל דלקים'!$B$64:$BV$84,BN$2-$E$2,FALSE))*$D$9*$D$8*(HLOOKUP(BN$23,$G$18:$R$19,2,FALSE)*(1-$D$12)^($F35-'הנחות עבודה'!$C$5)/$D$11)/$D$11)</f>
        <v>0</v>
      </c>
      <c r="BO35" s="52">
        <f ca="1">IF(OR($F35&gt;$D$5,$F35&gt;MAX('הנחות עבודה'!$B$69:$B$89)),0,(VLOOKUP($F35,'התפלגות ייצור וסל דלקים'!$B$64:$BV$84,BO$2-$E$2,FALSE))*$D$9*$D$8*(HLOOKUP(BO$23,$G$18:$R$19,2,FALSE)*(1-$D$12)^($F35-'הנחות עבודה'!$C$5)/$D$11)/$D$11)</f>
        <v>0</v>
      </c>
      <c r="BP35" s="127">
        <f ca="1">IF(OR($F35&gt;$D$5,$F35&gt;MAX('הנחות עבודה'!$B$69:$B$89)),0,(VLOOKUP($F35,'התפלגות ייצור וסל דלקים'!$B$64:$BV$84,BP$2-$E$2,FALSE))*$D$9*$D$8*(HLOOKUP(BP$23,$G$18:$R$19,2,FALSE)*(1-$D$12)^($F35-'הנחות עבודה'!$C$5)/$D$11)/$D$11)</f>
        <v>0</v>
      </c>
      <c r="BQ35" s="127">
        <f ca="1">IF(OR($F35&gt;$D$5,$F35&gt;MAX('הנחות עבודה'!$B$69:$B$89)),0,(VLOOKUP($F35,'התפלגות ייצור וסל דלקים'!$B$64:$BV$84,BQ$2-$E$2,FALSE))*$D$9*$D$8*(HLOOKUP(BQ$23,$G$18:$R$19,2,FALSE)*(1-$D$12)^($F35-'הנחות עבודה'!$C$5)/$D$11)/$D$11)</f>
        <v>0</v>
      </c>
      <c r="BR35" s="127">
        <f ca="1">IF(OR($F35&gt;$D$5,$F35&gt;MAX('הנחות עבודה'!$B$69:$B$89)),0,(VLOOKUP($F35,'התפלגות ייצור וסל דלקים'!$B$64:$BV$84,BR$2-$E$2,FALSE))*$D$9*$D$8*(HLOOKUP(BR$23,$G$18:$R$19,2,FALSE)*(1-$D$12)^($F35-'הנחות עבודה'!$C$5)/$D$11)/$D$11)</f>
        <v>0</v>
      </c>
      <c r="BS35" s="127">
        <f ca="1">IF(OR($F35&gt;$D$5,$F35&gt;MAX('הנחות עבודה'!$B$69:$B$89)),0,(VLOOKUP($F35,'התפלגות ייצור וסל דלקים'!$B$64:$BV$84,BS$2-$E$2,FALSE))*$D$9*$D$8*(HLOOKUP(BS$23,$G$18:$R$19,2,FALSE)*(1-$D$12)^($F35-'הנחות עבודה'!$C$5)/$D$11)/$D$11)</f>
        <v>0</v>
      </c>
      <c r="BT35" s="127">
        <f ca="1">IF(OR($F35&gt;$D$5,$F35&gt;MAX('הנחות עבודה'!$B$69:$B$89)),0,(VLOOKUP($F35,'התפלגות ייצור וסל דלקים'!$B$64:$BV$84,BT$2-$E$2,FALSE))*$D$9*$D$8*(HLOOKUP(BT$23,$G$18:$R$19,2,FALSE)*(1-$D$12)^($F35-'הנחות עבודה'!$C$5)/$D$11)/$D$11)</f>
        <v>0</v>
      </c>
      <c r="BU35" s="52">
        <f ca="1">IF(OR($F35&gt;$D$5,$F35&gt;MAX('הנחות עבודה'!$B$69:$B$89)),0,(VLOOKUP($F35,'התפלגות ייצור וסל דלקים'!$B$64:$BV$84,BU$2-$E$2,FALSE))*$D$9*$D$8*(HLOOKUP(BU$23,$G$18:$R$19,2,FALSE)*(1-$D$12)^($F35-'הנחות עבודה'!$C$5)/$D$11)/$D$11)</f>
        <v>3.7723199999999996E-3</v>
      </c>
      <c r="BV35" s="52">
        <f ca="1">IF(OR($F35&gt;$D$5,$F35&gt;MAX('הנחות עבודה'!$B$69:$B$89)),0,(VLOOKUP($F35,'התפלגות ייצור וסל דלקים'!$B$64:$BV$84,BV$2-$E$2,FALSE))*$D$9*$D$8*(HLOOKUP(BV$23,$G$18:$R$19,2,FALSE)*(1-$D$12)^($F35-'הנחות עבודה'!$C$5)/$D$11)/$D$11)</f>
        <v>8.813840756995199E-3</v>
      </c>
      <c r="BW35" s="52">
        <f ca="1">IF(OR($F35&gt;$D$5,$F35&gt;MAX('הנחות עבודה'!$B$69:$B$89)),0,(VLOOKUP($F35,'התפלגות ייצור וסל דלקים'!$B$64:$BV$84,BW$2-$E$2,FALSE))*$D$9*$D$8*(HLOOKUP(BW$23,$G$18:$R$19,2,FALSE)*(1-$D$12)^($F35-'הנחות עבודה'!$C$5)/$D$11)/$D$11)</f>
        <v>0</v>
      </c>
      <c r="BX35" s="52">
        <f ca="1">IF(OR($F35&gt;$D$5,$F35&gt;MAX('הנחות עבודה'!$B$69:$B$89)),0,(VLOOKUP($F35,'התפלגות ייצור וסל דלקים'!$B$64:$BV$84,BX$2-$E$2,FALSE))*$D$9*$D$8*(HLOOKUP(BX$23,$G$18:$R$19,2,FALSE)*(1-$D$12)^($F35-'הנחות עבודה'!$C$5)/$D$11)/$D$11)</f>
        <v>0</v>
      </c>
      <c r="BY35" s="52">
        <f ca="1">IF(OR($F35&gt;$D$5,$F35&gt;MAX('הנחות עבודה'!$B$69:$B$89)),0,(VLOOKUP($F35,'התפלגות ייצור וסל דלקים'!$B$64:$BV$84,BY$2-$E$2,FALSE))*$D$9*$D$8*(HLOOKUP(BY$23,$G$18:$R$19,2,FALSE)*(1-$D$12)^($F35-'הנחות עבודה'!$C$5)/$D$11)/$D$11)</f>
        <v>0</v>
      </c>
      <c r="BZ35" s="52">
        <f ca="1">IF(OR($F35&gt;$D$5,$F35&gt;MAX('הנחות עבודה'!$B$69:$B$89)),0,(VLOOKUP($F35,'התפלגות ייצור וסל דלקים'!$B$64:$BV$84,BZ$2-$E$2,FALSE))*$D$9*$D$8*(HLOOKUP(BZ$23,$G$18:$R$19,2,FALSE)*(1-$D$12)^($F35-'הנחות עבודה'!$C$5)/$D$11)/$D$11)</f>
        <v>0</v>
      </c>
    </row>
    <row r="36" spans="6:78" ht="15.75">
      <c r="F36" s="10">
        <f t="shared" si="110"/>
        <v>2032</v>
      </c>
      <c r="G36" s="42">
        <f ca="1">IF(OR($F36&gt;$D$5,$F36&gt;MAX('הנחות עבודה'!$B$69:$B$89)),0,(VLOOKUP($F36,'התפלגות ייצור וסל דלקים'!$B$64:$BV$84,G$2-$E$2,FALSE))*$D$9*$D$8*(HLOOKUP(G$23,$G$18:$R$19,2,FALSE)*(1-$D$12)^($F36-'הנחות עבודה'!$C$5)/$D$11)/$D$11)</f>
        <v>0</v>
      </c>
      <c r="H36" s="44">
        <f ca="1">IF(OR($F36&gt;$D$5,$F36&gt;MAX('הנחות עבודה'!$B$69:$B$89)),0,(VLOOKUP($F36,'התפלגות ייצור וסל דלקים'!$B$64:$BV$84,H$2-$E$2,FALSE))*$D$9*$D$8*(HLOOKUP(H$23,$G$18:$R$19,2,FALSE)*(1-$D$12)^($F36-'הנחות עבודה'!$C$5)/$D$11)/$D$11)</f>
        <v>0</v>
      </c>
      <c r="I36" s="44">
        <f ca="1">IF(OR($F36&gt;$D$5,$F36&gt;MAX('הנחות עבודה'!$B$69:$B$89)),0,(VLOOKUP($F36,'התפלגות ייצור וסל דלקים'!$B$64:$BV$84,I$2-$E$2,FALSE))*$D$9*$D$8*(HLOOKUP(I$23,$G$18:$R$19,2,FALSE)*(1-$D$12)^($F36-'הנחות עבודה'!$C$5)/$D$11)/$D$11)</f>
        <v>0</v>
      </c>
      <c r="J36" s="44">
        <f ca="1">IF(OR($F36&gt;$D$5,$F36&gt;MAX('הנחות עבודה'!$B$69:$B$89)),0,(VLOOKUP($F36,'התפלגות ייצור וסל דלקים'!$B$64:$BV$84,J$2-$E$2,FALSE))*$D$9*$D$8*(HLOOKUP(J$23,$G$18:$R$19,2,FALSE)*(1-$D$12)^($F36-'הנחות עבודה'!$C$5)/$D$11)/$D$11)</f>
        <v>0</v>
      </c>
      <c r="K36" s="44">
        <f ca="1">IF(OR($F36&gt;$D$5,$F36&gt;MAX('הנחות עבודה'!$B$69:$B$89)),0,(VLOOKUP($F36,'התפלגות ייצור וסל דלקים'!$B$64:$BV$84,K$2-$E$2,FALSE))*$D$9*$D$8*(HLOOKUP(K$23,$G$18:$R$19,2,FALSE)*(1-$D$12)^($F36-'הנחות עבודה'!$C$5)/$D$11)/$D$11)</f>
        <v>0</v>
      </c>
      <c r="L36" s="44">
        <f ca="1">IF(OR($F36&gt;$D$5,$F36&gt;MAX('הנחות עבודה'!$B$69:$B$89)),0,(VLOOKUP($F36,'התפלגות ייצור וסל דלקים'!$B$64:$BV$84,L$2-$E$2,FALSE))*$D$9*$D$8*(HLOOKUP(L$23,$G$18:$R$19,2,FALSE)*(1-$D$12)^($F36-'הנחות עבודה'!$C$5)/$D$11)/$D$11)</f>
        <v>0</v>
      </c>
      <c r="M36" s="42">
        <f ca="1">IF(OR($F36&gt;$D$5,$F36&gt;MAX('הנחות עבודה'!$B$69:$B$89)),0,(VLOOKUP($F36,'התפלגות ייצור וסל דלקים'!$B$64:$BV$84,M$2-$E$2,FALSE))*$D$9*$D$8*(HLOOKUP(M$23,$G$18:$R$19,2,FALSE)*(1-$D$12)^($F36-'הנחות עבודה'!$C$5)/$D$11)/$D$11)</f>
        <v>3.4776503999999994E-3</v>
      </c>
      <c r="N36" s="42">
        <f ca="1">IF(OR($F36&gt;$D$5,$F36&gt;MAX('הנחות עבודה'!$B$69:$B$89)),0,(VLOOKUP($F36,'התפלגות ייצור וסל דלקים'!$B$64:$BV$84,N$2-$E$2,FALSE))*$D$9*$D$8*(HLOOKUP(N$23,$G$18:$R$19,2,FALSE)*(1-$D$12)^($F36-'הנחות עבודה'!$C$5)/$D$11)/$D$11)</f>
        <v>1.1514493008405404E-2</v>
      </c>
      <c r="O36" s="42">
        <f ca="1">IF(OR($F36&gt;$D$5,$F36&gt;MAX('הנחות עבודה'!$B$69:$B$89)),0,(VLOOKUP($F36,'התפלגות ייצור וסל דלקים'!$B$64:$BV$84,O$2-$E$2,FALSE))*$D$9*$D$8*(HLOOKUP(O$23,$G$18:$R$19,2,FALSE)*(1-$D$12)^($F36-'הנחות עבודה'!$C$5)/$D$11)/$D$11)</f>
        <v>0</v>
      </c>
      <c r="P36" s="42">
        <f ca="1">IF(OR($F36&gt;$D$5,$F36&gt;MAX('הנחות עבודה'!$B$69:$B$89)),0,(VLOOKUP($F36,'התפלגות ייצור וסל דלקים'!$B$64:$BV$84,P$2-$E$2,FALSE))*$D$9*$D$8*(HLOOKUP(P$23,$G$18:$R$19,2,FALSE)*(1-$D$12)^($F36-'הנחות עבודה'!$C$5)/$D$11)/$D$11)</f>
        <v>0</v>
      </c>
      <c r="Q36" s="42">
        <f ca="1">IF(OR($F36&gt;$D$5,$F36&gt;MAX('הנחות עבודה'!$B$69:$B$89)),0,(VLOOKUP($F36,'התפלגות ייצור וסל דלקים'!$B$64:$BV$84,Q$2-$E$2,FALSE))*$D$9*$D$8*(HLOOKUP(Q$23,$G$18:$R$19,2,FALSE)*(1-$D$12)^($F36-'הנחות עבודה'!$C$5)/$D$11)/$D$11)</f>
        <v>0</v>
      </c>
      <c r="R36" s="42">
        <f ca="1">IF(OR($F36&gt;$D$5,$F36&gt;MAX('הנחות עבודה'!$B$69:$B$89)),0,(VLOOKUP($F36,'התפלגות ייצור וסל דלקים'!$B$64:$BV$84,R$2-$E$2,FALSE))*$D$9*$D$8*(HLOOKUP(R$23,$G$18:$R$19,2,FALSE)*(1-$D$12)^($F36-'הנחות עבודה'!$C$5)/$D$11)/$D$11)</f>
        <v>0</v>
      </c>
      <c r="S36" s="52">
        <f ca="1">IF(OR($F36&gt;$D$5,$F36&gt;MAX('הנחות עבודה'!$B$69:$B$89)),0,(VLOOKUP($F36,'התפלגות ייצור וסל דלקים'!$B$64:$BV$84,S$2-$E$2,FALSE))*$D$9*$D$8*(HLOOKUP(S$23,$G$18:$R$19,2,FALSE)*(1-$D$12)^($F36-'הנחות עבודה'!$C$5)/$D$11)/$D$11)</f>
        <v>0</v>
      </c>
      <c r="T36" s="127">
        <f ca="1">IF(OR($F36&gt;$D$5,$F36&gt;MAX('הנחות עבודה'!$B$69:$B$89)),0,(VLOOKUP($F36,'התפלגות ייצור וסל דלקים'!$B$64:$BV$84,T$2-$E$2,FALSE))*$D$9*$D$8*(HLOOKUP(T$23,$G$18:$R$19,2,FALSE)*(1-$D$12)^($F36-'הנחות עבודה'!$C$5)/$D$11)/$D$11)</f>
        <v>0</v>
      </c>
      <c r="U36" s="127">
        <f ca="1">IF(OR($F36&gt;$D$5,$F36&gt;MAX('הנחות עבודה'!$B$69:$B$89)),0,(VLOOKUP($F36,'התפלגות ייצור וסל דלקים'!$B$64:$BV$84,U$2-$E$2,FALSE))*$D$9*$D$8*(HLOOKUP(U$23,$G$18:$R$19,2,FALSE)*(1-$D$12)^($F36-'הנחות עבודה'!$C$5)/$D$11)/$D$11)</f>
        <v>0</v>
      </c>
      <c r="V36" s="127">
        <f ca="1">IF(OR($F36&gt;$D$5,$F36&gt;MAX('הנחות עבודה'!$B$69:$B$89)),0,(VLOOKUP($F36,'התפלגות ייצור וסל דלקים'!$B$64:$BV$84,V$2-$E$2,FALSE))*$D$9*$D$8*(HLOOKUP(V$23,$G$18:$R$19,2,FALSE)*(1-$D$12)^($F36-'הנחות עבודה'!$C$5)/$D$11)/$D$11)</f>
        <v>0</v>
      </c>
      <c r="W36" s="127">
        <f ca="1">IF(OR($F36&gt;$D$5,$F36&gt;MAX('הנחות עבודה'!$B$69:$B$89)),0,(VLOOKUP($F36,'התפלגות ייצור וסל דלקים'!$B$64:$BV$84,W$2-$E$2,FALSE))*$D$9*$D$8*(HLOOKUP(W$23,$G$18:$R$19,2,FALSE)*(1-$D$12)^($F36-'הנחות עבודה'!$C$5)/$D$11)/$D$11)</f>
        <v>0</v>
      </c>
      <c r="X36" s="127">
        <f ca="1">IF(OR($F36&gt;$D$5,$F36&gt;MAX('הנחות עבודה'!$B$69:$B$89)),0,(VLOOKUP($F36,'התפלגות ייצור וסל דלקים'!$B$64:$BV$84,X$2-$E$2,FALSE))*$D$9*$D$8*(HLOOKUP(X$23,$G$18:$R$19,2,FALSE)*(1-$D$12)^($F36-'הנחות עבודה'!$C$5)/$D$11)/$D$11)</f>
        <v>0</v>
      </c>
      <c r="Y36" s="52">
        <f ca="1">IF(OR($F36&gt;$D$5,$F36&gt;MAX('הנחות עבודה'!$B$69:$B$89)),0,(VLOOKUP($F36,'התפלגות ייצור וסל דלקים'!$B$64:$BV$84,Y$2-$E$2,FALSE))*$D$9*$D$8*(HLOOKUP(Y$23,$G$18:$R$19,2,FALSE)*(1-$D$12)^($F36-'הנחות עבודה'!$C$5)/$D$11)/$D$11)</f>
        <v>3.4776503999999994E-3</v>
      </c>
      <c r="Z36" s="52">
        <f ca="1">IF(OR($F36&gt;$D$5,$F36&gt;MAX('הנחות עבודה'!$B$69:$B$89)),0,(VLOOKUP($F36,'התפלגות ייצור וסל דלקים'!$B$64:$BV$84,Z$2-$E$2,FALSE))*$D$9*$D$8*(HLOOKUP(Z$23,$G$18:$R$19,2,FALSE)*(1-$D$12)^($F36-'הנחות עבודה'!$C$5)/$D$11)/$D$11)</f>
        <v>1.1514493008405404E-2</v>
      </c>
      <c r="AA36" s="52">
        <f ca="1">IF(OR($F36&gt;$D$5,$F36&gt;MAX('הנחות עבודה'!$B$69:$B$89)),0,(VLOOKUP($F36,'התפלגות ייצור וסל דלקים'!$B$64:$BV$84,AA$2-$E$2,FALSE))*$D$9*$D$8*(HLOOKUP(AA$23,$G$18:$R$19,2,FALSE)*(1-$D$12)^($F36-'הנחות עבודה'!$C$5)/$D$11)/$D$11)</f>
        <v>0</v>
      </c>
      <c r="AB36" s="52">
        <f ca="1">IF(OR($F36&gt;$D$5,$F36&gt;MAX('הנחות עבודה'!$B$69:$B$89)),0,(VLOOKUP($F36,'התפלגות ייצור וסל דלקים'!$B$64:$BV$84,AB$2-$E$2,FALSE))*$D$9*$D$8*(HLOOKUP(AB$23,$G$18:$R$19,2,FALSE)*(1-$D$12)^($F36-'הנחות עבודה'!$C$5)/$D$11)/$D$11)</f>
        <v>0</v>
      </c>
      <c r="AC36" s="52">
        <f ca="1">IF(OR($F36&gt;$D$5,$F36&gt;MAX('הנחות עבודה'!$B$69:$B$89)),0,(VLOOKUP($F36,'התפלגות ייצור וסל דלקים'!$B$64:$BV$84,AC$2-$E$2,FALSE))*$D$9*$D$8*(HLOOKUP(AC$23,$G$18:$R$19,2,FALSE)*(1-$D$12)^($F36-'הנחות עבודה'!$C$5)/$D$11)/$D$11)</f>
        <v>0</v>
      </c>
      <c r="AD36" s="52">
        <f ca="1">IF(OR($F36&gt;$D$5,$F36&gt;MAX('הנחות עבודה'!$B$69:$B$89)),0,(VLOOKUP($F36,'התפלגות ייצור וסל דלקים'!$B$64:$BV$84,AD$2-$E$2,FALSE))*$D$9*$D$8*(HLOOKUP(AD$23,$G$18:$R$19,2,FALSE)*(1-$D$12)^($F36-'הנחות עבודה'!$C$5)/$D$11)/$D$11)</f>
        <v>0</v>
      </c>
      <c r="AE36" s="42">
        <f ca="1">IF(OR($F36&gt;$D$5,$F36&gt;MAX('הנחות עבודה'!$B$69:$B$89)),0,(VLOOKUP($F36,'התפלגות ייצור וסל דלקים'!$B$64:$BV$84,AE$2-$E$2,FALSE))*$D$9*$D$8*(HLOOKUP(AE$23,$G$18:$R$19,2,FALSE)*(1-$D$12)^($F36-'הנחות עבודה'!$C$5)/$D$11)/$D$11)</f>
        <v>0</v>
      </c>
      <c r="AF36" s="44">
        <f ca="1">IF(OR($F36&gt;$D$5,$F36&gt;MAX('הנחות עבודה'!$B$69:$B$89)),0,(VLOOKUP($F36,'התפלגות ייצור וסל דלקים'!$B$64:$BV$84,AF$2-$E$2,FALSE))*$D$9*$D$8*(HLOOKUP(AF$23,$G$18:$R$19,2,FALSE)*(1-$D$12)^($F36-'הנחות עבודה'!$C$5)/$D$11)/$D$11)</f>
        <v>0</v>
      </c>
      <c r="AG36" s="44">
        <f ca="1">IF(OR($F36&gt;$D$5,$F36&gt;MAX('הנחות עבודה'!$B$69:$B$89)),0,(VLOOKUP($F36,'התפלגות ייצור וסל דלקים'!$B$64:$BV$84,AG$2-$E$2,FALSE))*$D$9*$D$8*(HLOOKUP(AG$23,$G$18:$R$19,2,FALSE)*(1-$D$12)^($F36-'הנחות עבודה'!$C$5)/$D$11)/$D$11)</f>
        <v>0</v>
      </c>
      <c r="AH36" s="44">
        <f ca="1">IF(OR($F36&gt;$D$5,$F36&gt;MAX('הנחות עבודה'!$B$69:$B$89)),0,(VLOOKUP($F36,'התפלגות ייצור וסל דלקים'!$B$64:$BV$84,AH$2-$E$2,FALSE))*$D$9*$D$8*(HLOOKUP(AH$23,$G$18:$R$19,2,FALSE)*(1-$D$12)^($F36-'הנחות עבודה'!$C$5)/$D$11)/$D$11)</f>
        <v>0</v>
      </c>
      <c r="AI36" s="44">
        <f ca="1">IF(OR($F36&gt;$D$5,$F36&gt;MAX('הנחות עבודה'!$B$69:$B$89)),0,(VLOOKUP($F36,'התפלגות ייצור וסל דלקים'!$B$64:$BV$84,AI$2-$E$2,FALSE))*$D$9*$D$8*(HLOOKUP(AI$23,$G$18:$R$19,2,FALSE)*(1-$D$12)^($F36-'הנחות עבודה'!$C$5)/$D$11)/$D$11)</f>
        <v>0</v>
      </c>
      <c r="AJ36" s="44">
        <f ca="1">IF(OR($F36&gt;$D$5,$F36&gt;MAX('הנחות עבודה'!$B$69:$B$89)),0,(VLOOKUP($F36,'התפלגות ייצור וסל דלקים'!$B$64:$BV$84,AJ$2-$E$2,FALSE))*$D$9*$D$8*(HLOOKUP(AJ$23,$G$18:$R$19,2,FALSE)*(1-$D$12)^($F36-'הנחות עבודה'!$C$5)/$D$11)/$D$11)</f>
        <v>0</v>
      </c>
      <c r="AK36" s="42">
        <f ca="1">IF(OR($F36&gt;$D$5,$F36&gt;MAX('הנחות עבודה'!$B$69:$B$89)),0,(VLOOKUP($F36,'התפלגות ייצור וסל דלקים'!$B$64:$BV$84,AK$2-$E$2,FALSE))*$D$9*$D$8*(HLOOKUP(AK$23,$G$18:$R$19,2,FALSE)*(1-$D$12)^($F36-'הנחות עבודה'!$C$5)/$D$11)/$D$11)</f>
        <v>3.7101840000000001E-3</v>
      </c>
      <c r="AL36" s="42">
        <f ca="1">IF(OR($F36&gt;$D$5,$F36&gt;MAX('הנחות עבודה'!$B$69:$B$89)),0,(VLOOKUP($F36,'התפלגות ייצור וסל דלקים'!$B$64:$BV$84,AL$2-$E$2,FALSE))*$D$9*$D$8*(HLOOKUP(AL$23,$G$18:$R$19,2,FALSE)*(1-$D$12)^($F36-'הנחות עבודה'!$C$5)/$D$11)/$D$11)</f>
        <v>1.0129370993015759E-2</v>
      </c>
      <c r="AM36" s="42">
        <f ca="1">IF(OR($F36&gt;$D$5,$F36&gt;MAX('הנחות עבודה'!$B$69:$B$89)),0,(VLOOKUP($F36,'התפלגות ייצור וסל דלקים'!$B$64:$BV$84,AM$2-$E$2,FALSE))*$D$9*$D$8*(HLOOKUP(AM$23,$G$18:$R$19,2,FALSE)*(1-$D$12)^($F36-'הנחות עבודה'!$C$5)/$D$11)/$D$11)</f>
        <v>0</v>
      </c>
      <c r="AN36" s="42">
        <f ca="1">IF(OR($F36&gt;$D$5,$F36&gt;MAX('הנחות עבודה'!$B$69:$B$89)),0,(VLOOKUP($F36,'התפלגות ייצור וסל דלקים'!$B$64:$BV$84,AN$2-$E$2,FALSE))*$D$9*$D$8*(HLOOKUP(AN$23,$G$18:$R$19,2,FALSE)*(1-$D$12)^($F36-'הנחות עבודה'!$C$5)/$D$11)/$D$11)</f>
        <v>0</v>
      </c>
      <c r="AO36" s="42">
        <f ca="1">IF(OR($F36&gt;$D$5,$F36&gt;MAX('הנחות עבודה'!$B$69:$B$89)),0,(VLOOKUP($F36,'התפלגות ייצור וסל דלקים'!$B$64:$BV$84,AO$2-$E$2,FALSE))*$D$9*$D$8*(HLOOKUP(AO$23,$G$18:$R$19,2,FALSE)*(1-$D$12)^($F36-'הנחות עבודה'!$C$5)/$D$11)/$D$11)</f>
        <v>0</v>
      </c>
      <c r="AP36" s="42">
        <f ca="1">IF(OR($F36&gt;$D$5,$F36&gt;MAX('הנחות עבודה'!$B$69:$B$89)),0,(VLOOKUP($F36,'התפלגות ייצור וסל דלקים'!$B$64:$BV$84,AP$2-$E$2,FALSE))*$D$9*$D$8*(HLOOKUP(AP$23,$G$18:$R$19,2,FALSE)*(1-$D$12)^($F36-'הנחות עבודה'!$C$5)/$D$11)/$D$11)</f>
        <v>0</v>
      </c>
      <c r="AQ36" s="52">
        <f ca="1">IF(OR($F36&gt;$D$5,$F36&gt;MAX('הנחות עבודה'!$B$69:$B$89)),0,(VLOOKUP($F36,'התפלגות ייצור וסל דלקים'!$B$64:$BV$84,AQ$2-$E$2,FALSE))*$D$9*$D$8*(HLOOKUP(AQ$23,$G$18:$R$19,2,FALSE)*(1-$D$12)^($F36-'הנחות עבודה'!$C$5)/$D$11)/$D$11)</f>
        <v>0</v>
      </c>
      <c r="AR36" s="127">
        <f ca="1">IF(OR($F36&gt;$D$5,$F36&gt;MAX('הנחות עבודה'!$B$69:$B$89)),0,(VLOOKUP($F36,'התפלגות ייצור וסל דלקים'!$B$64:$BV$84,AR$2-$E$2,FALSE))*$D$9*$D$8*(HLOOKUP(AR$23,$G$18:$R$19,2,FALSE)*(1-$D$12)^($F36-'הנחות עבודה'!$C$5)/$D$11)/$D$11)</f>
        <v>0</v>
      </c>
      <c r="AS36" s="127">
        <f ca="1">IF(OR($F36&gt;$D$5,$F36&gt;MAX('הנחות עבודה'!$B$69:$B$89)),0,(VLOOKUP($F36,'התפלגות ייצור וסל דלקים'!$B$64:$BV$84,AS$2-$E$2,FALSE))*$D$9*$D$8*(HLOOKUP(AS$23,$G$18:$R$19,2,FALSE)*(1-$D$12)^($F36-'הנחות עבודה'!$C$5)/$D$11)/$D$11)</f>
        <v>0</v>
      </c>
      <c r="AT36" s="127">
        <f ca="1">IF(OR($F36&gt;$D$5,$F36&gt;MAX('הנחות עבודה'!$B$69:$B$89)),0,(VLOOKUP($F36,'התפלגות ייצור וסל דלקים'!$B$64:$BV$84,AT$2-$E$2,FALSE))*$D$9*$D$8*(HLOOKUP(AT$23,$G$18:$R$19,2,FALSE)*(1-$D$12)^($F36-'הנחות עבודה'!$C$5)/$D$11)/$D$11)</f>
        <v>0</v>
      </c>
      <c r="AU36" s="127">
        <f ca="1">IF(OR($F36&gt;$D$5,$F36&gt;MAX('הנחות עבודה'!$B$69:$B$89)),0,(VLOOKUP($F36,'התפלגות ייצור וסל דלקים'!$B$64:$BV$84,AU$2-$E$2,FALSE))*$D$9*$D$8*(HLOOKUP(AU$23,$G$18:$R$19,2,FALSE)*(1-$D$12)^($F36-'הנחות עבודה'!$C$5)/$D$11)/$D$11)</f>
        <v>0</v>
      </c>
      <c r="AV36" s="127">
        <f ca="1">IF(OR($F36&gt;$D$5,$F36&gt;MAX('הנחות עבודה'!$B$69:$B$89)),0,(VLOOKUP($F36,'התפלגות ייצור וסל דלקים'!$B$64:$BV$84,AV$2-$E$2,FALSE))*$D$9*$D$8*(HLOOKUP(AV$23,$G$18:$R$19,2,FALSE)*(1-$D$12)^($F36-'הנחות עבודה'!$C$5)/$D$11)/$D$11)</f>
        <v>0</v>
      </c>
      <c r="AW36" s="52">
        <f ca="1">IF(OR($F36&gt;$D$5,$F36&gt;MAX('הנחות עבודה'!$B$69:$B$89)),0,(VLOOKUP($F36,'התפלגות ייצור וסל דלקים'!$B$64:$BV$84,AW$2-$E$2,FALSE))*$D$9*$D$8*(HLOOKUP(AW$23,$G$18:$R$19,2,FALSE)*(1-$D$12)^($F36-'הנחות עבודה'!$C$5)/$D$11)/$D$11)</f>
        <v>3.7101840000000001E-3</v>
      </c>
      <c r="AX36" s="52">
        <f ca="1">IF(OR($F36&gt;$D$5,$F36&gt;MAX('הנחות עבודה'!$B$69:$B$89)),0,(VLOOKUP($F36,'התפלגות ייצור וסל דלקים'!$B$64:$BV$84,AX$2-$E$2,FALSE))*$D$9*$D$8*(HLOOKUP(AX$23,$G$18:$R$19,2,FALSE)*(1-$D$12)^($F36-'הנחות עבודה'!$C$5)/$D$11)/$D$11)</f>
        <v>1.0129370993015759E-2</v>
      </c>
      <c r="AY36" s="52">
        <f ca="1">IF(OR($F36&gt;$D$5,$F36&gt;MAX('הנחות עבודה'!$B$69:$B$89)),0,(VLOOKUP($F36,'התפלגות ייצור וסל דלקים'!$B$64:$BV$84,AY$2-$E$2,FALSE))*$D$9*$D$8*(HLOOKUP(AY$23,$G$18:$R$19,2,FALSE)*(1-$D$12)^($F36-'הנחות עבודה'!$C$5)/$D$11)/$D$11)</f>
        <v>0</v>
      </c>
      <c r="AZ36" s="52">
        <f ca="1">IF(OR($F36&gt;$D$5,$F36&gt;MAX('הנחות עבודה'!$B$69:$B$89)),0,(VLOOKUP($F36,'התפלגות ייצור וסל דלקים'!$B$64:$BV$84,AZ$2-$E$2,FALSE))*$D$9*$D$8*(HLOOKUP(AZ$23,$G$18:$R$19,2,FALSE)*(1-$D$12)^($F36-'הנחות עבודה'!$C$5)/$D$11)/$D$11)</f>
        <v>0</v>
      </c>
      <c r="BA36" s="52">
        <f ca="1">IF(OR($F36&gt;$D$5,$F36&gt;MAX('הנחות עבודה'!$B$69:$B$89)),0,(VLOOKUP($F36,'התפלגות ייצור וסל דלקים'!$B$64:$BV$84,BA$2-$E$2,FALSE))*$D$9*$D$8*(HLOOKUP(BA$23,$G$18:$R$19,2,FALSE)*(1-$D$12)^($F36-'הנחות עבודה'!$C$5)/$D$11)/$D$11)</f>
        <v>0</v>
      </c>
      <c r="BB36" s="52">
        <f ca="1">IF(OR($F36&gt;$D$5,$F36&gt;MAX('הנחות עבודה'!$B$69:$B$89)),0,(VLOOKUP($F36,'התפלגות ייצור וסל דלקים'!$B$64:$BV$84,BB$2-$E$2,FALSE))*$D$9*$D$8*(HLOOKUP(BB$23,$G$18:$R$19,2,FALSE)*(1-$D$12)^($F36-'הנחות עבודה'!$C$5)/$D$11)/$D$11)</f>
        <v>0</v>
      </c>
      <c r="BC36" s="42">
        <f ca="1">IF(OR($F36&gt;$D$5,$F36&gt;MAX('הנחות עבודה'!$B$69:$B$89)),0,(VLOOKUP($F36,'התפלגות ייצור וסל דלקים'!$B$64:$BV$84,BC$2-$E$2,FALSE))*$D$9*$D$8*(HLOOKUP(BC$23,$G$18:$R$19,2,FALSE)*(1-$D$12)^($F36-'הנחות עבודה'!$C$5)/$D$11)/$D$11)</f>
        <v>0</v>
      </c>
      <c r="BD36" s="44">
        <f ca="1">IF(OR($F36&gt;$D$5,$F36&gt;MAX('הנחות עבודה'!$B$69:$B$89)),0,(VLOOKUP($F36,'התפלגות ייצור וסל דלקים'!$B$64:$BV$84,BD$2-$E$2,FALSE))*$D$9*$D$8*(HLOOKUP(BD$23,$G$18:$R$19,2,FALSE)*(1-$D$12)^($F36-'הנחות עבודה'!$C$5)/$D$11)/$D$11)</f>
        <v>0</v>
      </c>
      <c r="BE36" s="44">
        <f ca="1">IF(OR($F36&gt;$D$5,$F36&gt;MAX('הנחות עבודה'!$B$69:$B$89)),0,(VLOOKUP($F36,'התפלגות ייצור וסל דלקים'!$B$64:$BV$84,BE$2-$E$2,FALSE))*$D$9*$D$8*(HLOOKUP(BE$23,$G$18:$R$19,2,FALSE)*(1-$D$12)^($F36-'הנחות עבודה'!$C$5)/$D$11)/$D$11)</f>
        <v>0</v>
      </c>
      <c r="BF36" s="44">
        <f ca="1">IF(OR($F36&gt;$D$5,$F36&gt;MAX('הנחות עבודה'!$B$69:$B$89)),0,(VLOOKUP($F36,'התפלגות ייצור וסל דלקים'!$B$64:$BV$84,BF$2-$E$2,FALSE))*$D$9*$D$8*(HLOOKUP(BF$23,$G$18:$R$19,2,FALSE)*(1-$D$12)^($F36-'הנחות עבודה'!$C$5)/$D$11)/$D$11)</f>
        <v>0</v>
      </c>
      <c r="BG36" s="44">
        <f ca="1">IF(OR($F36&gt;$D$5,$F36&gt;MAX('הנחות עבודה'!$B$69:$B$89)),0,(VLOOKUP($F36,'התפלגות ייצור וסל דלקים'!$B$64:$BV$84,BG$2-$E$2,FALSE))*$D$9*$D$8*(HLOOKUP(BG$23,$G$18:$R$19,2,FALSE)*(1-$D$12)^($F36-'הנחות עבודה'!$C$5)/$D$11)/$D$11)</f>
        <v>0</v>
      </c>
      <c r="BH36" s="44">
        <f ca="1">IF(OR($F36&gt;$D$5,$F36&gt;MAX('הנחות עבודה'!$B$69:$B$89)),0,(VLOOKUP($F36,'התפלגות ייצור וסל דלקים'!$B$64:$BV$84,BH$2-$E$2,FALSE))*$D$9*$D$8*(HLOOKUP(BH$23,$G$18:$R$19,2,FALSE)*(1-$D$12)^($F36-'הנחות עבודה'!$C$5)/$D$11)/$D$11)</f>
        <v>0</v>
      </c>
      <c r="BI36" s="42">
        <f ca="1">IF(OR($F36&gt;$D$5,$F36&gt;MAX('הנחות עבודה'!$B$69:$B$89)),0,(VLOOKUP($F36,'התפלגות ייצור וסל דלקים'!$B$64:$BV$84,BI$2-$E$2,FALSE))*$D$9*$D$8*(HLOOKUP(BI$23,$G$18:$R$19,2,FALSE)*(1-$D$12)^($F36-'הנחות עבודה'!$C$5)/$D$11)/$D$11)</f>
        <v>3.7953599999999998E-3</v>
      </c>
      <c r="BJ36" s="42">
        <f ca="1">IF(OR($F36&gt;$D$5,$F36&gt;MAX('הנחות עבודה'!$B$69:$B$89)),0,(VLOOKUP($F36,'התפלגות ייצור וסל דלקים'!$B$64:$BV$84,BJ$2-$E$2,FALSE))*$D$9*$D$8*(HLOOKUP(BJ$23,$G$18:$R$19,2,FALSE)*(1-$D$12)^($F36-'הנחות עבודה'!$C$5)/$D$11)/$D$11)</f>
        <v>9.30477693339723E-3</v>
      </c>
      <c r="BK36" s="42">
        <f ca="1">IF(OR($F36&gt;$D$5,$F36&gt;MAX('הנחות עבודה'!$B$69:$B$89)),0,(VLOOKUP($F36,'התפלגות ייצור וסל דלקים'!$B$64:$BV$84,BK$2-$E$2,FALSE))*$D$9*$D$8*(HLOOKUP(BK$23,$G$18:$R$19,2,FALSE)*(1-$D$12)^($F36-'הנחות עבודה'!$C$5)/$D$11)/$D$11)</f>
        <v>0</v>
      </c>
      <c r="BL36" s="42">
        <f ca="1">IF(OR($F36&gt;$D$5,$F36&gt;MAX('הנחות עבודה'!$B$69:$B$89)),0,(VLOOKUP($F36,'התפלגות ייצור וסל דלקים'!$B$64:$BV$84,BL$2-$E$2,FALSE))*$D$9*$D$8*(HLOOKUP(BL$23,$G$18:$R$19,2,FALSE)*(1-$D$12)^($F36-'הנחות עבודה'!$C$5)/$D$11)/$D$11)</f>
        <v>0</v>
      </c>
      <c r="BM36" s="42">
        <f ca="1">IF(OR($F36&gt;$D$5,$F36&gt;MAX('הנחות עבודה'!$B$69:$B$89)),0,(VLOOKUP($F36,'התפלגות ייצור וסל דלקים'!$B$64:$BV$84,BM$2-$E$2,FALSE))*$D$9*$D$8*(HLOOKUP(BM$23,$G$18:$R$19,2,FALSE)*(1-$D$12)^($F36-'הנחות עבודה'!$C$5)/$D$11)/$D$11)</f>
        <v>0</v>
      </c>
      <c r="BN36" s="42">
        <f ca="1">IF(OR($F36&gt;$D$5,$F36&gt;MAX('הנחות עבודה'!$B$69:$B$89)),0,(VLOOKUP($F36,'התפלגות ייצור וסל דלקים'!$B$64:$BV$84,BN$2-$E$2,FALSE))*$D$9*$D$8*(HLOOKUP(BN$23,$G$18:$R$19,2,FALSE)*(1-$D$12)^($F36-'הנחות עבודה'!$C$5)/$D$11)/$D$11)</f>
        <v>0</v>
      </c>
      <c r="BO36" s="52">
        <f ca="1">IF(OR($F36&gt;$D$5,$F36&gt;MAX('הנחות עבודה'!$B$69:$B$89)),0,(VLOOKUP($F36,'התפלגות ייצור וסל דלקים'!$B$64:$BV$84,BO$2-$E$2,FALSE))*$D$9*$D$8*(HLOOKUP(BO$23,$G$18:$R$19,2,FALSE)*(1-$D$12)^($F36-'הנחות עבודה'!$C$5)/$D$11)/$D$11)</f>
        <v>0</v>
      </c>
      <c r="BP36" s="127">
        <f ca="1">IF(OR($F36&gt;$D$5,$F36&gt;MAX('הנחות עבודה'!$B$69:$B$89)),0,(VLOOKUP($F36,'התפלגות ייצור וסל דלקים'!$B$64:$BV$84,BP$2-$E$2,FALSE))*$D$9*$D$8*(HLOOKUP(BP$23,$G$18:$R$19,2,FALSE)*(1-$D$12)^($F36-'הנחות עבודה'!$C$5)/$D$11)/$D$11)</f>
        <v>0</v>
      </c>
      <c r="BQ36" s="127">
        <f ca="1">IF(OR($F36&gt;$D$5,$F36&gt;MAX('הנחות עבודה'!$B$69:$B$89)),0,(VLOOKUP($F36,'התפלגות ייצור וסל דלקים'!$B$64:$BV$84,BQ$2-$E$2,FALSE))*$D$9*$D$8*(HLOOKUP(BQ$23,$G$18:$R$19,2,FALSE)*(1-$D$12)^($F36-'הנחות עבודה'!$C$5)/$D$11)/$D$11)</f>
        <v>0</v>
      </c>
      <c r="BR36" s="127">
        <f ca="1">IF(OR($F36&gt;$D$5,$F36&gt;MAX('הנחות עבודה'!$B$69:$B$89)),0,(VLOOKUP($F36,'התפלגות ייצור וסל דלקים'!$B$64:$BV$84,BR$2-$E$2,FALSE))*$D$9*$D$8*(HLOOKUP(BR$23,$G$18:$R$19,2,FALSE)*(1-$D$12)^($F36-'הנחות עבודה'!$C$5)/$D$11)/$D$11)</f>
        <v>0</v>
      </c>
      <c r="BS36" s="127">
        <f ca="1">IF(OR($F36&gt;$D$5,$F36&gt;MAX('הנחות עבודה'!$B$69:$B$89)),0,(VLOOKUP($F36,'התפלגות ייצור וסל דלקים'!$B$64:$BV$84,BS$2-$E$2,FALSE))*$D$9*$D$8*(HLOOKUP(BS$23,$G$18:$R$19,2,FALSE)*(1-$D$12)^($F36-'הנחות עבודה'!$C$5)/$D$11)/$D$11)</f>
        <v>0</v>
      </c>
      <c r="BT36" s="127">
        <f ca="1">IF(OR($F36&gt;$D$5,$F36&gt;MAX('הנחות עבודה'!$B$69:$B$89)),0,(VLOOKUP($F36,'התפלגות ייצור וסל דלקים'!$B$64:$BV$84,BT$2-$E$2,FALSE))*$D$9*$D$8*(HLOOKUP(BT$23,$G$18:$R$19,2,FALSE)*(1-$D$12)^($F36-'הנחות עבודה'!$C$5)/$D$11)/$D$11)</f>
        <v>0</v>
      </c>
      <c r="BU36" s="52">
        <f ca="1">IF(OR($F36&gt;$D$5,$F36&gt;MAX('הנחות עבודה'!$B$69:$B$89)),0,(VLOOKUP($F36,'התפלגות ייצור וסל דלקים'!$B$64:$BV$84,BU$2-$E$2,FALSE))*$D$9*$D$8*(HLOOKUP(BU$23,$G$18:$R$19,2,FALSE)*(1-$D$12)^($F36-'הנחות עבודה'!$C$5)/$D$11)/$D$11)</f>
        <v>3.7953599999999998E-3</v>
      </c>
      <c r="BV36" s="52">
        <f ca="1">IF(OR($F36&gt;$D$5,$F36&gt;MAX('הנחות עבודה'!$B$69:$B$89)),0,(VLOOKUP($F36,'התפלגות ייצור וסל דלקים'!$B$64:$BV$84,BV$2-$E$2,FALSE))*$D$9*$D$8*(HLOOKUP(BV$23,$G$18:$R$19,2,FALSE)*(1-$D$12)^($F36-'הנחות עבודה'!$C$5)/$D$11)/$D$11)</f>
        <v>9.30477693339723E-3</v>
      </c>
      <c r="BW36" s="52">
        <f ca="1">IF(OR($F36&gt;$D$5,$F36&gt;MAX('הנחות עבודה'!$B$69:$B$89)),0,(VLOOKUP($F36,'התפלגות ייצור וסל דלקים'!$B$64:$BV$84,BW$2-$E$2,FALSE))*$D$9*$D$8*(HLOOKUP(BW$23,$G$18:$R$19,2,FALSE)*(1-$D$12)^($F36-'הנחות עבודה'!$C$5)/$D$11)/$D$11)</f>
        <v>0</v>
      </c>
      <c r="BX36" s="52">
        <f ca="1">IF(OR($F36&gt;$D$5,$F36&gt;MAX('הנחות עבודה'!$B$69:$B$89)),0,(VLOOKUP($F36,'התפלגות ייצור וסל דלקים'!$B$64:$BV$84,BX$2-$E$2,FALSE))*$D$9*$D$8*(HLOOKUP(BX$23,$G$18:$R$19,2,FALSE)*(1-$D$12)^($F36-'הנחות עבודה'!$C$5)/$D$11)/$D$11)</f>
        <v>0</v>
      </c>
      <c r="BY36" s="52">
        <f ca="1">IF(OR($F36&gt;$D$5,$F36&gt;MAX('הנחות עבודה'!$B$69:$B$89)),0,(VLOOKUP($F36,'התפלגות ייצור וסל דלקים'!$B$64:$BV$84,BY$2-$E$2,FALSE))*$D$9*$D$8*(HLOOKUP(BY$23,$G$18:$R$19,2,FALSE)*(1-$D$12)^($F36-'הנחות עבודה'!$C$5)/$D$11)/$D$11)</f>
        <v>0</v>
      </c>
      <c r="BZ36" s="52">
        <f ca="1">IF(OR($F36&gt;$D$5,$F36&gt;MAX('הנחות עבודה'!$B$69:$B$89)),0,(VLOOKUP($F36,'התפלגות ייצור וסל דלקים'!$B$64:$BV$84,BZ$2-$E$2,FALSE))*$D$9*$D$8*(HLOOKUP(BZ$23,$G$18:$R$19,2,FALSE)*(1-$D$12)^($F36-'הנחות עבודה'!$C$5)/$D$11)/$D$11)</f>
        <v>0</v>
      </c>
    </row>
    <row r="37" spans="6:78" ht="15.75">
      <c r="F37" s="10">
        <f t="shared" si="110"/>
        <v>2033</v>
      </c>
      <c r="G37" s="42">
        <f ca="1">IF(OR($F37&gt;$D$5,$F37&gt;MAX('הנחות עבודה'!$B$69:$B$89)),0,(VLOOKUP($F37,'התפלגות ייצור וסל דלקים'!$B$64:$BV$84,G$2-$E$2,FALSE))*$D$9*$D$8*(HLOOKUP(G$23,$G$18:$R$19,2,FALSE)*(1-$D$12)^($F37-'הנחות עבודה'!$C$5)/$D$11)/$D$11)</f>
        <v>0</v>
      </c>
      <c r="H37" s="44">
        <f ca="1">IF(OR($F37&gt;$D$5,$F37&gt;MAX('הנחות עבודה'!$B$69:$B$89)),0,(VLOOKUP($F37,'התפלגות ייצור וסל דלקים'!$B$64:$BV$84,H$2-$E$2,FALSE))*$D$9*$D$8*(HLOOKUP(H$23,$G$18:$R$19,2,FALSE)*(1-$D$12)^($F37-'הנחות עבודה'!$C$5)/$D$11)/$D$11)</f>
        <v>0</v>
      </c>
      <c r="I37" s="44">
        <f ca="1">IF(OR($F37&gt;$D$5,$F37&gt;MAX('הנחות עבודה'!$B$69:$B$89)),0,(VLOOKUP($F37,'התפלגות ייצור וסל דלקים'!$B$64:$BV$84,I$2-$E$2,FALSE))*$D$9*$D$8*(HLOOKUP(I$23,$G$18:$R$19,2,FALSE)*(1-$D$12)^($F37-'הנחות עבודה'!$C$5)/$D$11)/$D$11)</f>
        <v>0</v>
      </c>
      <c r="J37" s="44">
        <f ca="1">IF(OR($F37&gt;$D$5,$F37&gt;MAX('הנחות עבודה'!$B$69:$B$89)),0,(VLOOKUP($F37,'התפלגות ייצור וסל דלקים'!$B$64:$BV$84,J$2-$E$2,FALSE))*$D$9*$D$8*(HLOOKUP(J$23,$G$18:$R$19,2,FALSE)*(1-$D$12)^($F37-'הנחות עבודה'!$C$5)/$D$11)/$D$11)</f>
        <v>0</v>
      </c>
      <c r="K37" s="44">
        <f ca="1">IF(OR($F37&gt;$D$5,$F37&gt;MAX('הנחות עבודה'!$B$69:$B$89)),0,(VLOOKUP($F37,'התפלגות ייצור וסל דלקים'!$B$64:$BV$84,K$2-$E$2,FALSE))*$D$9*$D$8*(HLOOKUP(K$23,$G$18:$R$19,2,FALSE)*(1-$D$12)^($F37-'הנחות עבודה'!$C$5)/$D$11)/$D$11)</f>
        <v>0</v>
      </c>
      <c r="L37" s="44">
        <f ca="1">IF(OR($F37&gt;$D$5,$F37&gt;MAX('הנחות עבודה'!$B$69:$B$89)),0,(VLOOKUP($F37,'התפלגות ייצור וסל דלקים'!$B$64:$BV$84,L$2-$E$2,FALSE))*$D$9*$D$8*(HLOOKUP(L$23,$G$18:$R$19,2,FALSE)*(1-$D$12)^($F37-'הנחות עבודה'!$C$5)/$D$11)/$D$11)</f>
        <v>0</v>
      </c>
      <c r="M37" s="42">
        <f ca="1">IF(OR($F37&gt;$D$5,$F37&gt;MAX('הנחות עבודה'!$B$69:$B$89)),0,(VLOOKUP($F37,'התפלגות ייצור וסל דלקים'!$B$64:$BV$84,M$2-$E$2,FALSE))*$D$9*$D$8*(HLOOKUP(M$23,$G$18:$R$19,2,FALSE)*(1-$D$12)^($F37-'הנחות עבודה'!$C$5)/$D$11)/$D$11)</f>
        <v>3.549628799999999E-3</v>
      </c>
      <c r="N37" s="42">
        <f ca="1">IF(OR($F37&gt;$D$5,$F37&gt;MAX('הנחות עבודה'!$B$69:$B$89)),0,(VLOOKUP($F37,'התפלגות ייצור וסל דלקים'!$B$64:$BV$84,N$2-$E$2,FALSE))*$D$9*$D$8*(HLOOKUP(N$23,$G$18:$R$19,2,FALSE)*(1-$D$12)^($F37-'הנחות עבודה'!$C$5)/$D$11)/$D$11)</f>
        <v>1.1972998345117275E-2</v>
      </c>
      <c r="O37" s="42">
        <f ca="1">IF(OR($F37&gt;$D$5,$F37&gt;MAX('הנחות עבודה'!$B$69:$B$89)),0,(VLOOKUP($F37,'התפלגות ייצור וסל דלקים'!$B$64:$BV$84,O$2-$E$2,FALSE))*$D$9*$D$8*(HLOOKUP(O$23,$G$18:$R$19,2,FALSE)*(1-$D$12)^($F37-'הנחות עבודה'!$C$5)/$D$11)/$D$11)</f>
        <v>0</v>
      </c>
      <c r="P37" s="42">
        <f ca="1">IF(OR($F37&gt;$D$5,$F37&gt;MAX('הנחות עבודה'!$B$69:$B$89)),0,(VLOOKUP($F37,'התפלגות ייצור וסל דלקים'!$B$64:$BV$84,P$2-$E$2,FALSE))*$D$9*$D$8*(HLOOKUP(P$23,$G$18:$R$19,2,FALSE)*(1-$D$12)^($F37-'הנחות עבודה'!$C$5)/$D$11)/$D$11)</f>
        <v>0</v>
      </c>
      <c r="Q37" s="42">
        <f ca="1">IF(OR($F37&gt;$D$5,$F37&gt;MAX('הנחות עבודה'!$B$69:$B$89)),0,(VLOOKUP($F37,'התפלגות ייצור וסל דלקים'!$B$64:$BV$84,Q$2-$E$2,FALSE))*$D$9*$D$8*(HLOOKUP(Q$23,$G$18:$R$19,2,FALSE)*(1-$D$12)^($F37-'הנחות עבודה'!$C$5)/$D$11)/$D$11)</f>
        <v>0</v>
      </c>
      <c r="R37" s="42">
        <f ca="1">IF(OR($F37&gt;$D$5,$F37&gt;MAX('הנחות עבודה'!$B$69:$B$89)),0,(VLOOKUP($F37,'התפלגות ייצור וסל דלקים'!$B$64:$BV$84,R$2-$E$2,FALSE))*$D$9*$D$8*(HLOOKUP(R$23,$G$18:$R$19,2,FALSE)*(1-$D$12)^($F37-'הנחות עבודה'!$C$5)/$D$11)/$D$11)</f>
        <v>0</v>
      </c>
      <c r="S37" s="52">
        <f ca="1">IF(OR($F37&gt;$D$5,$F37&gt;MAX('הנחות עבודה'!$B$69:$B$89)),0,(VLOOKUP($F37,'התפלגות ייצור וסל דלקים'!$B$64:$BV$84,S$2-$E$2,FALSE))*$D$9*$D$8*(HLOOKUP(S$23,$G$18:$R$19,2,FALSE)*(1-$D$12)^($F37-'הנחות עבודה'!$C$5)/$D$11)/$D$11)</f>
        <v>0</v>
      </c>
      <c r="T37" s="127">
        <f ca="1">IF(OR($F37&gt;$D$5,$F37&gt;MAX('הנחות עבודה'!$B$69:$B$89)),0,(VLOOKUP($F37,'התפלגות ייצור וסל דלקים'!$B$64:$BV$84,T$2-$E$2,FALSE))*$D$9*$D$8*(HLOOKUP(T$23,$G$18:$R$19,2,FALSE)*(1-$D$12)^($F37-'הנחות עבודה'!$C$5)/$D$11)/$D$11)</f>
        <v>0</v>
      </c>
      <c r="U37" s="127">
        <f ca="1">IF(OR($F37&gt;$D$5,$F37&gt;MAX('הנחות עבודה'!$B$69:$B$89)),0,(VLOOKUP($F37,'התפלגות ייצור וסל דלקים'!$B$64:$BV$84,U$2-$E$2,FALSE))*$D$9*$D$8*(HLOOKUP(U$23,$G$18:$R$19,2,FALSE)*(1-$D$12)^($F37-'הנחות עבודה'!$C$5)/$D$11)/$D$11)</f>
        <v>0</v>
      </c>
      <c r="V37" s="127">
        <f ca="1">IF(OR($F37&gt;$D$5,$F37&gt;MAX('הנחות עבודה'!$B$69:$B$89)),0,(VLOOKUP($F37,'התפלגות ייצור וסל דלקים'!$B$64:$BV$84,V$2-$E$2,FALSE))*$D$9*$D$8*(HLOOKUP(V$23,$G$18:$R$19,2,FALSE)*(1-$D$12)^($F37-'הנחות עבודה'!$C$5)/$D$11)/$D$11)</f>
        <v>0</v>
      </c>
      <c r="W37" s="127">
        <f ca="1">IF(OR($F37&gt;$D$5,$F37&gt;MAX('הנחות עבודה'!$B$69:$B$89)),0,(VLOOKUP($F37,'התפלגות ייצור וסל דלקים'!$B$64:$BV$84,W$2-$E$2,FALSE))*$D$9*$D$8*(HLOOKUP(W$23,$G$18:$R$19,2,FALSE)*(1-$D$12)^($F37-'הנחות עבודה'!$C$5)/$D$11)/$D$11)</f>
        <v>0</v>
      </c>
      <c r="X37" s="127">
        <f ca="1">IF(OR($F37&gt;$D$5,$F37&gt;MAX('הנחות עבודה'!$B$69:$B$89)),0,(VLOOKUP($F37,'התפלגות ייצור וסל דלקים'!$B$64:$BV$84,X$2-$E$2,FALSE))*$D$9*$D$8*(HLOOKUP(X$23,$G$18:$R$19,2,FALSE)*(1-$D$12)^($F37-'הנחות עבודה'!$C$5)/$D$11)/$D$11)</f>
        <v>0</v>
      </c>
      <c r="Y37" s="52">
        <f ca="1">IF(OR($F37&gt;$D$5,$F37&gt;MAX('הנחות עבודה'!$B$69:$B$89)),0,(VLOOKUP($F37,'התפלגות ייצור וסל דלקים'!$B$64:$BV$84,Y$2-$E$2,FALSE))*$D$9*$D$8*(HLOOKUP(Y$23,$G$18:$R$19,2,FALSE)*(1-$D$12)^($F37-'הנחות עבודה'!$C$5)/$D$11)/$D$11)</f>
        <v>3.549628799999999E-3</v>
      </c>
      <c r="Z37" s="52">
        <f ca="1">IF(OR($F37&gt;$D$5,$F37&gt;MAX('הנחות עבודה'!$B$69:$B$89)),0,(VLOOKUP($F37,'התפלגות ייצור וסל דלקים'!$B$64:$BV$84,Z$2-$E$2,FALSE))*$D$9*$D$8*(HLOOKUP(Z$23,$G$18:$R$19,2,FALSE)*(1-$D$12)^($F37-'הנחות עבודה'!$C$5)/$D$11)/$D$11)</f>
        <v>1.1972998345117275E-2</v>
      </c>
      <c r="AA37" s="52">
        <f ca="1">IF(OR($F37&gt;$D$5,$F37&gt;MAX('הנחות עבודה'!$B$69:$B$89)),0,(VLOOKUP($F37,'התפלגות ייצור וסל דלקים'!$B$64:$BV$84,AA$2-$E$2,FALSE))*$D$9*$D$8*(HLOOKUP(AA$23,$G$18:$R$19,2,FALSE)*(1-$D$12)^($F37-'הנחות עבודה'!$C$5)/$D$11)/$D$11)</f>
        <v>0</v>
      </c>
      <c r="AB37" s="52">
        <f ca="1">IF(OR($F37&gt;$D$5,$F37&gt;MAX('הנחות עבודה'!$B$69:$B$89)),0,(VLOOKUP($F37,'התפלגות ייצור וסל דלקים'!$B$64:$BV$84,AB$2-$E$2,FALSE))*$D$9*$D$8*(HLOOKUP(AB$23,$G$18:$R$19,2,FALSE)*(1-$D$12)^($F37-'הנחות עבודה'!$C$5)/$D$11)/$D$11)</f>
        <v>0</v>
      </c>
      <c r="AC37" s="52">
        <f ca="1">IF(OR($F37&gt;$D$5,$F37&gt;MAX('הנחות עבודה'!$B$69:$B$89)),0,(VLOOKUP($F37,'התפלגות ייצור וסל דלקים'!$B$64:$BV$84,AC$2-$E$2,FALSE))*$D$9*$D$8*(HLOOKUP(AC$23,$G$18:$R$19,2,FALSE)*(1-$D$12)^($F37-'הנחות עבודה'!$C$5)/$D$11)/$D$11)</f>
        <v>0</v>
      </c>
      <c r="AD37" s="52">
        <f ca="1">IF(OR($F37&gt;$D$5,$F37&gt;MAX('הנחות עבודה'!$B$69:$B$89)),0,(VLOOKUP($F37,'התפלגות ייצור וסל דלקים'!$B$64:$BV$84,AD$2-$E$2,FALSE))*$D$9*$D$8*(HLOOKUP(AD$23,$G$18:$R$19,2,FALSE)*(1-$D$12)^($F37-'הנחות עבודה'!$C$5)/$D$11)/$D$11)</f>
        <v>0</v>
      </c>
      <c r="AE37" s="42">
        <f ca="1">IF(OR($F37&gt;$D$5,$F37&gt;MAX('הנחות עבודה'!$B$69:$B$89)),0,(VLOOKUP($F37,'התפלגות ייצור וסל דלקים'!$B$64:$BV$84,AE$2-$E$2,FALSE))*$D$9*$D$8*(HLOOKUP(AE$23,$G$18:$R$19,2,FALSE)*(1-$D$12)^($F37-'הנחות עבודה'!$C$5)/$D$11)/$D$11)</f>
        <v>0</v>
      </c>
      <c r="AF37" s="44">
        <f ca="1">IF(OR($F37&gt;$D$5,$F37&gt;MAX('הנחות עבודה'!$B$69:$B$89)),0,(VLOOKUP($F37,'התפלגות ייצור וסל דלקים'!$B$64:$BV$84,AF$2-$E$2,FALSE))*$D$9*$D$8*(HLOOKUP(AF$23,$G$18:$R$19,2,FALSE)*(1-$D$12)^($F37-'הנחות עבודה'!$C$5)/$D$11)/$D$11)</f>
        <v>0</v>
      </c>
      <c r="AG37" s="44">
        <f ca="1">IF(OR($F37&gt;$D$5,$F37&gt;MAX('הנחות עבודה'!$B$69:$B$89)),0,(VLOOKUP($F37,'התפלגות ייצור וסל דלקים'!$B$64:$BV$84,AG$2-$E$2,FALSE))*$D$9*$D$8*(HLOOKUP(AG$23,$G$18:$R$19,2,FALSE)*(1-$D$12)^($F37-'הנחות עבודה'!$C$5)/$D$11)/$D$11)</f>
        <v>0</v>
      </c>
      <c r="AH37" s="44">
        <f ca="1">IF(OR($F37&gt;$D$5,$F37&gt;MAX('הנחות עבודה'!$B$69:$B$89)),0,(VLOOKUP($F37,'התפלגות ייצור וסל דלקים'!$B$64:$BV$84,AH$2-$E$2,FALSE))*$D$9*$D$8*(HLOOKUP(AH$23,$G$18:$R$19,2,FALSE)*(1-$D$12)^($F37-'הנחות עבודה'!$C$5)/$D$11)/$D$11)</f>
        <v>0</v>
      </c>
      <c r="AI37" s="44">
        <f ca="1">IF(OR($F37&gt;$D$5,$F37&gt;MAX('הנחות עבודה'!$B$69:$B$89)),0,(VLOOKUP($F37,'התפלגות ייצור וסל דלקים'!$B$64:$BV$84,AI$2-$E$2,FALSE))*$D$9*$D$8*(HLOOKUP(AI$23,$G$18:$R$19,2,FALSE)*(1-$D$12)^($F37-'הנחות עבודה'!$C$5)/$D$11)/$D$11)</f>
        <v>0</v>
      </c>
      <c r="AJ37" s="44">
        <f ca="1">IF(OR($F37&gt;$D$5,$F37&gt;MAX('הנחות עבודה'!$B$69:$B$89)),0,(VLOOKUP($F37,'התפלגות ייצור וסל דלקים'!$B$64:$BV$84,AJ$2-$E$2,FALSE))*$D$9*$D$8*(HLOOKUP(AJ$23,$G$18:$R$19,2,FALSE)*(1-$D$12)^($F37-'הנחות עבודה'!$C$5)/$D$11)/$D$11)</f>
        <v>0</v>
      </c>
      <c r="AK37" s="42">
        <f ca="1">IF(OR($F37&gt;$D$5,$F37&gt;MAX('הנחות עבודה'!$B$69:$B$89)),0,(VLOOKUP($F37,'התפלגות ייצור וסל דלקים'!$B$64:$BV$84,AK$2-$E$2,FALSE))*$D$9*$D$8*(HLOOKUP(AK$23,$G$18:$R$19,2,FALSE)*(1-$D$12)^($F37-'הנחות עבודה'!$C$5)/$D$11)/$D$11)</f>
        <v>3.7821263999999995E-3</v>
      </c>
      <c r="AL37" s="42">
        <f ca="1">IF(OR($F37&gt;$D$5,$F37&gt;MAX('הנחות עבודה'!$B$69:$B$89)),0,(VLOOKUP($F37,'התפלגות ייצור וסל דלקים'!$B$64:$BV$84,AL$2-$E$2,FALSE))*$D$9*$D$8*(HLOOKUP(AL$23,$G$18:$R$19,2,FALSE)*(1-$D$12)^($F37-'הנחות עבודה'!$C$5)/$D$11)/$D$11)</f>
        <v>1.0594749045819968E-2</v>
      </c>
      <c r="AM37" s="42">
        <f ca="1">IF(OR($F37&gt;$D$5,$F37&gt;MAX('הנחות עבודה'!$B$69:$B$89)),0,(VLOOKUP($F37,'התפלגות ייצור וסל דלקים'!$B$64:$BV$84,AM$2-$E$2,FALSE))*$D$9*$D$8*(HLOOKUP(AM$23,$G$18:$R$19,2,FALSE)*(1-$D$12)^($F37-'הנחות עבודה'!$C$5)/$D$11)/$D$11)</f>
        <v>0</v>
      </c>
      <c r="AN37" s="42">
        <f ca="1">IF(OR($F37&gt;$D$5,$F37&gt;MAX('הנחות עבודה'!$B$69:$B$89)),0,(VLOOKUP($F37,'התפלגות ייצור וסל דלקים'!$B$64:$BV$84,AN$2-$E$2,FALSE))*$D$9*$D$8*(HLOOKUP(AN$23,$G$18:$R$19,2,FALSE)*(1-$D$12)^($F37-'הנחות עבודה'!$C$5)/$D$11)/$D$11)</f>
        <v>0</v>
      </c>
      <c r="AO37" s="42">
        <f ca="1">IF(OR($F37&gt;$D$5,$F37&gt;MAX('הנחות עבודה'!$B$69:$B$89)),0,(VLOOKUP($F37,'התפלגות ייצור וסל דלקים'!$B$64:$BV$84,AO$2-$E$2,FALSE))*$D$9*$D$8*(HLOOKUP(AO$23,$G$18:$R$19,2,FALSE)*(1-$D$12)^($F37-'הנחות עבודה'!$C$5)/$D$11)/$D$11)</f>
        <v>0</v>
      </c>
      <c r="AP37" s="42">
        <f ca="1">IF(OR($F37&gt;$D$5,$F37&gt;MAX('הנחות עבודה'!$B$69:$B$89)),0,(VLOOKUP($F37,'התפלגות ייצור וסל דלקים'!$B$64:$BV$84,AP$2-$E$2,FALSE))*$D$9*$D$8*(HLOOKUP(AP$23,$G$18:$R$19,2,FALSE)*(1-$D$12)^($F37-'הנחות עבודה'!$C$5)/$D$11)/$D$11)</f>
        <v>0</v>
      </c>
      <c r="AQ37" s="52">
        <f ca="1">IF(OR($F37&gt;$D$5,$F37&gt;MAX('הנחות עבודה'!$B$69:$B$89)),0,(VLOOKUP($F37,'התפלגות ייצור וסל דלקים'!$B$64:$BV$84,AQ$2-$E$2,FALSE))*$D$9*$D$8*(HLOOKUP(AQ$23,$G$18:$R$19,2,FALSE)*(1-$D$12)^($F37-'הנחות עבודה'!$C$5)/$D$11)/$D$11)</f>
        <v>0</v>
      </c>
      <c r="AR37" s="127">
        <f ca="1">IF(OR($F37&gt;$D$5,$F37&gt;MAX('הנחות עבודה'!$B$69:$B$89)),0,(VLOOKUP($F37,'התפלגות ייצור וסל דלקים'!$B$64:$BV$84,AR$2-$E$2,FALSE))*$D$9*$D$8*(HLOOKUP(AR$23,$G$18:$R$19,2,FALSE)*(1-$D$12)^($F37-'הנחות עבודה'!$C$5)/$D$11)/$D$11)</f>
        <v>0</v>
      </c>
      <c r="AS37" s="127">
        <f ca="1">IF(OR($F37&gt;$D$5,$F37&gt;MAX('הנחות עבודה'!$B$69:$B$89)),0,(VLOOKUP($F37,'התפלגות ייצור וסל דלקים'!$B$64:$BV$84,AS$2-$E$2,FALSE))*$D$9*$D$8*(HLOOKUP(AS$23,$G$18:$R$19,2,FALSE)*(1-$D$12)^($F37-'הנחות עבודה'!$C$5)/$D$11)/$D$11)</f>
        <v>0</v>
      </c>
      <c r="AT37" s="127">
        <f ca="1">IF(OR($F37&gt;$D$5,$F37&gt;MAX('הנחות עבודה'!$B$69:$B$89)),0,(VLOOKUP($F37,'התפלגות ייצור וסל דלקים'!$B$64:$BV$84,AT$2-$E$2,FALSE))*$D$9*$D$8*(HLOOKUP(AT$23,$G$18:$R$19,2,FALSE)*(1-$D$12)^($F37-'הנחות עבודה'!$C$5)/$D$11)/$D$11)</f>
        <v>0</v>
      </c>
      <c r="AU37" s="127">
        <f ca="1">IF(OR($F37&gt;$D$5,$F37&gt;MAX('הנחות עבודה'!$B$69:$B$89)),0,(VLOOKUP($F37,'התפלגות ייצור וסל דלקים'!$B$64:$BV$84,AU$2-$E$2,FALSE))*$D$9*$D$8*(HLOOKUP(AU$23,$G$18:$R$19,2,FALSE)*(1-$D$12)^($F37-'הנחות עבודה'!$C$5)/$D$11)/$D$11)</f>
        <v>0</v>
      </c>
      <c r="AV37" s="127">
        <f ca="1">IF(OR($F37&gt;$D$5,$F37&gt;MAX('הנחות עבודה'!$B$69:$B$89)),0,(VLOOKUP($F37,'התפלגות ייצור וסל דלקים'!$B$64:$BV$84,AV$2-$E$2,FALSE))*$D$9*$D$8*(HLOOKUP(AV$23,$G$18:$R$19,2,FALSE)*(1-$D$12)^($F37-'הנחות עבודה'!$C$5)/$D$11)/$D$11)</f>
        <v>0</v>
      </c>
      <c r="AW37" s="52">
        <f ca="1">IF(OR($F37&gt;$D$5,$F37&gt;MAX('הנחות עבודה'!$B$69:$B$89)),0,(VLOOKUP($F37,'התפלגות ייצור וסל דלקים'!$B$64:$BV$84,AW$2-$E$2,FALSE))*$D$9*$D$8*(HLOOKUP(AW$23,$G$18:$R$19,2,FALSE)*(1-$D$12)^($F37-'הנחות עבודה'!$C$5)/$D$11)/$D$11)</f>
        <v>3.7821263999999995E-3</v>
      </c>
      <c r="AX37" s="52">
        <f ca="1">IF(OR($F37&gt;$D$5,$F37&gt;MAX('הנחות עבודה'!$B$69:$B$89)),0,(VLOOKUP($F37,'התפלגות ייצור וסל דלקים'!$B$64:$BV$84,AX$2-$E$2,FALSE))*$D$9*$D$8*(HLOOKUP(AX$23,$G$18:$R$19,2,FALSE)*(1-$D$12)^($F37-'הנחות עבודה'!$C$5)/$D$11)/$D$11)</f>
        <v>1.0594749045819968E-2</v>
      </c>
      <c r="AY37" s="52">
        <f ca="1">IF(OR($F37&gt;$D$5,$F37&gt;MAX('הנחות עבודה'!$B$69:$B$89)),0,(VLOOKUP($F37,'התפלגות ייצור וסל דלקים'!$B$64:$BV$84,AY$2-$E$2,FALSE))*$D$9*$D$8*(HLOOKUP(AY$23,$G$18:$R$19,2,FALSE)*(1-$D$12)^($F37-'הנחות עבודה'!$C$5)/$D$11)/$D$11)</f>
        <v>0</v>
      </c>
      <c r="AZ37" s="52">
        <f ca="1">IF(OR($F37&gt;$D$5,$F37&gt;MAX('הנחות עבודה'!$B$69:$B$89)),0,(VLOOKUP($F37,'התפלגות ייצור וסל דלקים'!$B$64:$BV$84,AZ$2-$E$2,FALSE))*$D$9*$D$8*(HLOOKUP(AZ$23,$G$18:$R$19,2,FALSE)*(1-$D$12)^($F37-'הנחות עבודה'!$C$5)/$D$11)/$D$11)</f>
        <v>0</v>
      </c>
      <c r="BA37" s="52">
        <f ca="1">IF(OR($F37&gt;$D$5,$F37&gt;MAX('הנחות עבודה'!$B$69:$B$89)),0,(VLOOKUP($F37,'התפלגות ייצור וסל דלקים'!$B$64:$BV$84,BA$2-$E$2,FALSE))*$D$9*$D$8*(HLOOKUP(BA$23,$G$18:$R$19,2,FALSE)*(1-$D$12)^($F37-'הנחות עבודה'!$C$5)/$D$11)/$D$11)</f>
        <v>0</v>
      </c>
      <c r="BB37" s="52">
        <f ca="1">IF(OR($F37&gt;$D$5,$F37&gt;MAX('הנחות עבודה'!$B$69:$B$89)),0,(VLOOKUP($F37,'התפלגות ייצור וסל דלקים'!$B$64:$BV$84,BB$2-$E$2,FALSE))*$D$9*$D$8*(HLOOKUP(BB$23,$G$18:$R$19,2,FALSE)*(1-$D$12)^($F37-'הנחות עבודה'!$C$5)/$D$11)/$D$11)</f>
        <v>0</v>
      </c>
      <c r="BC37" s="42">
        <f ca="1">IF(OR($F37&gt;$D$5,$F37&gt;MAX('הנחות עבודה'!$B$69:$B$89)),0,(VLOOKUP($F37,'התפלגות ייצור וסל דלקים'!$B$64:$BV$84,BC$2-$E$2,FALSE))*$D$9*$D$8*(HLOOKUP(BC$23,$G$18:$R$19,2,FALSE)*(1-$D$12)^($F37-'הנחות עבודה'!$C$5)/$D$11)/$D$11)</f>
        <v>0</v>
      </c>
      <c r="BD37" s="44">
        <f ca="1">IF(OR($F37&gt;$D$5,$F37&gt;MAX('הנחות עבודה'!$B$69:$B$89)),0,(VLOOKUP($F37,'התפלגות ייצור וסל דלקים'!$B$64:$BV$84,BD$2-$E$2,FALSE))*$D$9*$D$8*(HLOOKUP(BD$23,$G$18:$R$19,2,FALSE)*(1-$D$12)^($F37-'הנחות עבודה'!$C$5)/$D$11)/$D$11)</f>
        <v>0</v>
      </c>
      <c r="BE37" s="44">
        <f ca="1">IF(OR($F37&gt;$D$5,$F37&gt;MAX('הנחות עבודה'!$B$69:$B$89)),0,(VLOOKUP($F37,'התפלגות ייצור וסל דלקים'!$B$64:$BV$84,BE$2-$E$2,FALSE))*$D$9*$D$8*(HLOOKUP(BE$23,$G$18:$R$19,2,FALSE)*(1-$D$12)^($F37-'הנחות עבודה'!$C$5)/$D$11)/$D$11)</f>
        <v>0</v>
      </c>
      <c r="BF37" s="44">
        <f ca="1">IF(OR($F37&gt;$D$5,$F37&gt;MAX('הנחות עבודה'!$B$69:$B$89)),0,(VLOOKUP($F37,'התפלגות ייצור וסל דלקים'!$B$64:$BV$84,BF$2-$E$2,FALSE))*$D$9*$D$8*(HLOOKUP(BF$23,$G$18:$R$19,2,FALSE)*(1-$D$12)^($F37-'הנחות עבודה'!$C$5)/$D$11)/$D$11)</f>
        <v>0</v>
      </c>
      <c r="BG37" s="44">
        <f ca="1">IF(OR($F37&gt;$D$5,$F37&gt;MAX('הנחות עבודה'!$B$69:$B$89)),0,(VLOOKUP($F37,'התפלגות ייצור וסל דלקים'!$B$64:$BV$84,BG$2-$E$2,FALSE))*$D$9*$D$8*(HLOOKUP(BG$23,$G$18:$R$19,2,FALSE)*(1-$D$12)^($F37-'הנחות עבודה'!$C$5)/$D$11)/$D$11)</f>
        <v>0</v>
      </c>
      <c r="BH37" s="44">
        <f ca="1">IF(OR($F37&gt;$D$5,$F37&gt;MAX('הנחות עבודה'!$B$69:$B$89)),0,(VLOOKUP($F37,'התפלגות ייצור וסל דלקים'!$B$64:$BV$84,BH$2-$E$2,FALSE))*$D$9*$D$8*(HLOOKUP(BH$23,$G$18:$R$19,2,FALSE)*(1-$D$12)^($F37-'הנחות עבודה'!$C$5)/$D$11)/$D$11)</f>
        <v>0</v>
      </c>
      <c r="BI37" s="42">
        <f ca="1">IF(OR($F37&gt;$D$5,$F37&gt;MAX('הנחות עבודה'!$B$69:$B$89)),0,(VLOOKUP($F37,'התפלגות ייצור וסל דלקים'!$B$64:$BV$84,BI$2-$E$2,FALSE))*$D$9*$D$8*(HLOOKUP(BI$23,$G$18:$R$19,2,FALSE)*(1-$D$12)^($F37-'הנחות עבודה'!$C$5)/$D$11)/$D$11)</f>
        <v>3.8800799999999997E-3</v>
      </c>
      <c r="BJ37" s="42">
        <f ca="1">IF(OR($F37&gt;$D$5,$F37&gt;MAX('הנחות עבודה'!$B$69:$B$89)),0,(VLOOKUP($F37,'התפלגות ייצור וסל דלקים'!$B$64:$BV$84,BJ$2-$E$2,FALSE))*$D$9*$D$8*(HLOOKUP(BJ$23,$G$18:$R$19,2,FALSE)*(1-$D$12)^($F37-'הנחות עבודה'!$C$5)/$D$11)/$D$11)</f>
        <v>9.7662474337591523E-3</v>
      </c>
      <c r="BK37" s="42">
        <f ca="1">IF(OR($F37&gt;$D$5,$F37&gt;MAX('הנחות עבודה'!$B$69:$B$89)),0,(VLOOKUP($F37,'התפלגות ייצור וסל דלקים'!$B$64:$BV$84,BK$2-$E$2,FALSE))*$D$9*$D$8*(HLOOKUP(BK$23,$G$18:$R$19,2,FALSE)*(1-$D$12)^($F37-'הנחות עבודה'!$C$5)/$D$11)/$D$11)</f>
        <v>0</v>
      </c>
      <c r="BL37" s="42">
        <f ca="1">IF(OR($F37&gt;$D$5,$F37&gt;MAX('הנחות עבודה'!$B$69:$B$89)),0,(VLOOKUP($F37,'התפלגות ייצור וסל דלקים'!$B$64:$BV$84,BL$2-$E$2,FALSE))*$D$9*$D$8*(HLOOKUP(BL$23,$G$18:$R$19,2,FALSE)*(1-$D$12)^($F37-'הנחות עבודה'!$C$5)/$D$11)/$D$11)</f>
        <v>0</v>
      </c>
      <c r="BM37" s="42">
        <f ca="1">IF(OR($F37&gt;$D$5,$F37&gt;MAX('הנחות עבודה'!$B$69:$B$89)),0,(VLOOKUP($F37,'התפלגות ייצור וסל דלקים'!$B$64:$BV$84,BM$2-$E$2,FALSE))*$D$9*$D$8*(HLOOKUP(BM$23,$G$18:$R$19,2,FALSE)*(1-$D$12)^($F37-'הנחות עבודה'!$C$5)/$D$11)/$D$11)</f>
        <v>0</v>
      </c>
      <c r="BN37" s="42">
        <f ca="1">IF(OR($F37&gt;$D$5,$F37&gt;MAX('הנחות עבודה'!$B$69:$B$89)),0,(VLOOKUP($F37,'התפלגות ייצור וסל דלקים'!$B$64:$BV$84,BN$2-$E$2,FALSE))*$D$9*$D$8*(HLOOKUP(BN$23,$G$18:$R$19,2,FALSE)*(1-$D$12)^($F37-'הנחות עבודה'!$C$5)/$D$11)/$D$11)</f>
        <v>0</v>
      </c>
      <c r="BO37" s="52">
        <f ca="1">IF(OR($F37&gt;$D$5,$F37&gt;MAX('הנחות עבודה'!$B$69:$B$89)),0,(VLOOKUP($F37,'התפלגות ייצור וסל דלקים'!$B$64:$BV$84,BO$2-$E$2,FALSE))*$D$9*$D$8*(HLOOKUP(BO$23,$G$18:$R$19,2,FALSE)*(1-$D$12)^($F37-'הנחות עבודה'!$C$5)/$D$11)/$D$11)</f>
        <v>0</v>
      </c>
      <c r="BP37" s="127">
        <f ca="1">IF(OR($F37&gt;$D$5,$F37&gt;MAX('הנחות עבודה'!$B$69:$B$89)),0,(VLOOKUP($F37,'התפלגות ייצור וסל דלקים'!$B$64:$BV$84,BP$2-$E$2,FALSE))*$D$9*$D$8*(HLOOKUP(BP$23,$G$18:$R$19,2,FALSE)*(1-$D$12)^($F37-'הנחות עבודה'!$C$5)/$D$11)/$D$11)</f>
        <v>0</v>
      </c>
      <c r="BQ37" s="127">
        <f ca="1">IF(OR($F37&gt;$D$5,$F37&gt;MAX('הנחות עבודה'!$B$69:$B$89)),0,(VLOOKUP($F37,'התפלגות ייצור וסל דלקים'!$B$64:$BV$84,BQ$2-$E$2,FALSE))*$D$9*$D$8*(HLOOKUP(BQ$23,$G$18:$R$19,2,FALSE)*(1-$D$12)^($F37-'הנחות עבודה'!$C$5)/$D$11)/$D$11)</f>
        <v>0</v>
      </c>
      <c r="BR37" s="127">
        <f ca="1">IF(OR($F37&gt;$D$5,$F37&gt;MAX('הנחות עבודה'!$B$69:$B$89)),0,(VLOOKUP($F37,'התפלגות ייצור וסל דלקים'!$B$64:$BV$84,BR$2-$E$2,FALSE))*$D$9*$D$8*(HLOOKUP(BR$23,$G$18:$R$19,2,FALSE)*(1-$D$12)^($F37-'הנחות עבודה'!$C$5)/$D$11)/$D$11)</f>
        <v>0</v>
      </c>
      <c r="BS37" s="127">
        <f ca="1">IF(OR($F37&gt;$D$5,$F37&gt;MAX('הנחות עבודה'!$B$69:$B$89)),0,(VLOOKUP($F37,'התפלגות ייצור וסל דלקים'!$B$64:$BV$84,BS$2-$E$2,FALSE))*$D$9*$D$8*(HLOOKUP(BS$23,$G$18:$R$19,2,FALSE)*(1-$D$12)^($F37-'הנחות עבודה'!$C$5)/$D$11)/$D$11)</f>
        <v>0</v>
      </c>
      <c r="BT37" s="127">
        <f ca="1">IF(OR($F37&gt;$D$5,$F37&gt;MAX('הנחות עבודה'!$B$69:$B$89)),0,(VLOOKUP($F37,'התפלגות ייצור וסל דלקים'!$B$64:$BV$84,BT$2-$E$2,FALSE))*$D$9*$D$8*(HLOOKUP(BT$23,$G$18:$R$19,2,FALSE)*(1-$D$12)^($F37-'הנחות עבודה'!$C$5)/$D$11)/$D$11)</f>
        <v>0</v>
      </c>
      <c r="BU37" s="52">
        <f ca="1">IF(OR($F37&gt;$D$5,$F37&gt;MAX('הנחות עבודה'!$B$69:$B$89)),0,(VLOOKUP($F37,'התפלגות ייצור וסל דלקים'!$B$64:$BV$84,BU$2-$E$2,FALSE))*$D$9*$D$8*(HLOOKUP(BU$23,$G$18:$R$19,2,FALSE)*(1-$D$12)^($F37-'הנחות עבודה'!$C$5)/$D$11)/$D$11)</f>
        <v>3.8800799999999997E-3</v>
      </c>
      <c r="BV37" s="52">
        <f ca="1">IF(OR($F37&gt;$D$5,$F37&gt;MAX('הנחות עבודה'!$B$69:$B$89)),0,(VLOOKUP($F37,'התפלגות ייצור וסל דלקים'!$B$64:$BV$84,BV$2-$E$2,FALSE))*$D$9*$D$8*(HLOOKUP(BV$23,$G$18:$R$19,2,FALSE)*(1-$D$12)^($F37-'הנחות עבודה'!$C$5)/$D$11)/$D$11)</f>
        <v>9.7662474337591523E-3</v>
      </c>
      <c r="BW37" s="52">
        <f ca="1">IF(OR($F37&gt;$D$5,$F37&gt;MAX('הנחות עבודה'!$B$69:$B$89)),0,(VLOOKUP($F37,'התפלגות ייצור וסל דלקים'!$B$64:$BV$84,BW$2-$E$2,FALSE))*$D$9*$D$8*(HLOOKUP(BW$23,$G$18:$R$19,2,FALSE)*(1-$D$12)^($F37-'הנחות עבודה'!$C$5)/$D$11)/$D$11)</f>
        <v>0</v>
      </c>
      <c r="BX37" s="52">
        <f ca="1">IF(OR($F37&gt;$D$5,$F37&gt;MAX('הנחות עבודה'!$B$69:$B$89)),0,(VLOOKUP($F37,'התפלגות ייצור וסל דלקים'!$B$64:$BV$84,BX$2-$E$2,FALSE))*$D$9*$D$8*(HLOOKUP(BX$23,$G$18:$R$19,2,FALSE)*(1-$D$12)^($F37-'הנחות עבודה'!$C$5)/$D$11)/$D$11)</f>
        <v>0</v>
      </c>
      <c r="BY37" s="52">
        <f ca="1">IF(OR($F37&gt;$D$5,$F37&gt;MAX('הנחות עבודה'!$B$69:$B$89)),0,(VLOOKUP($F37,'התפלגות ייצור וסל דלקים'!$B$64:$BV$84,BY$2-$E$2,FALSE))*$D$9*$D$8*(HLOOKUP(BY$23,$G$18:$R$19,2,FALSE)*(1-$D$12)^($F37-'הנחות עבודה'!$C$5)/$D$11)/$D$11)</f>
        <v>0</v>
      </c>
      <c r="BZ37" s="52">
        <f ca="1">IF(OR($F37&gt;$D$5,$F37&gt;MAX('הנחות עבודה'!$B$69:$B$89)),0,(VLOOKUP($F37,'התפלגות ייצור וסל דלקים'!$B$64:$BV$84,BZ$2-$E$2,FALSE))*$D$9*$D$8*(HLOOKUP(BZ$23,$G$18:$R$19,2,FALSE)*(1-$D$12)^($F37-'הנחות עבודה'!$C$5)/$D$11)/$D$11)</f>
        <v>0</v>
      </c>
    </row>
    <row r="38" spans="6:78" ht="15.75">
      <c r="F38" s="10">
        <f t="shared" si="110"/>
        <v>2034</v>
      </c>
      <c r="G38" s="42">
        <f ca="1">IF(OR($F38&gt;$D$5,$F38&gt;MAX('הנחות עבודה'!$B$69:$B$89)),0,(VLOOKUP($F38,'התפלגות ייצור וסל דלקים'!$B$64:$BV$84,G$2-$E$2,FALSE))*$D$9*$D$8*(HLOOKUP(G$23,$G$18:$R$19,2,FALSE)*(1-$D$12)^($F38-'הנחות עבודה'!$C$5)/$D$11)/$D$11)</f>
        <v>0</v>
      </c>
      <c r="H38" s="44">
        <f ca="1">IF(OR($F38&gt;$D$5,$F38&gt;MAX('הנחות עבודה'!$B$69:$B$89)),0,(VLOOKUP($F38,'התפלגות ייצור וסל דלקים'!$B$64:$BV$84,H$2-$E$2,FALSE))*$D$9*$D$8*(HLOOKUP(H$23,$G$18:$R$19,2,FALSE)*(1-$D$12)^($F38-'הנחות עבודה'!$C$5)/$D$11)/$D$11)</f>
        <v>0</v>
      </c>
      <c r="I38" s="44">
        <f ca="1">IF(OR($F38&gt;$D$5,$F38&gt;MAX('הנחות עבודה'!$B$69:$B$89)),0,(VLOOKUP($F38,'התפלגות ייצור וסל דלקים'!$B$64:$BV$84,I$2-$E$2,FALSE))*$D$9*$D$8*(HLOOKUP(I$23,$G$18:$R$19,2,FALSE)*(1-$D$12)^($F38-'הנחות עבודה'!$C$5)/$D$11)/$D$11)</f>
        <v>0</v>
      </c>
      <c r="J38" s="44">
        <f ca="1">IF(OR($F38&gt;$D$5,$F38&gt;MAX('הנחות עבודה'!$B$69:$B$89)),0,(VLOOKUP($F38,'התפלגות ייצור וסל דלקים'!$B$64:$BV$84,J$2-$E$2,FALSE))*$D$9*$D$8*(HLOOKUP(J$23,$G$18:$R$19,2,FALSE)*(1-$D$12)^($F38-'הנחות עבודה'!$C$5)/$D$11)/$D$11)</f>
        <v>0</v>
      </c>
      <c r="K38" s="44">
        <f ca="1">IF(OR($F38&gt;$D$5,$F38&gt;MAX('הנחות עבודה'!$B$69:$B$89)),0,(VLOOKUP($F38,'התפלגות ייצור וסל דלקים'!$B$64:$BV$84,K$2-$E$2,FALSE))*$D$9*$D$8*(HLOOKUP(K$23,$G$18:$R$19,2,FALSE)*(1-$D$12)^($F38-'הנחות עבודה'!$C$5)/$D$11)/$D$11)</f>
        <v>0</v>
      </c>
      <c r="L38" s="44">
        <f ca="1">IF(OR($F38&gt;$D$5,$F38&gt;MAX('הנחות עבודה'!$B$69:$B$89)),0,(VLOOKUP($F38,'התפלגות ייצור וסל דלקים'!$B$64:$BV$84,L$2-$E$2,FALSE))*$D$9*$D$8*(HLOOKUP(L$23,$G$18:$R$19,2,FALSE)*(1-$D$12)^($F38-'הנחות עבודה'!$C$5)/$D$11)/$D$11)</f>
        <v>0</v>
      </c>
      <c r="M38" s="42">
        <f ca="1">IF(OR($F38&gt;$D$5,$F38&gt;MAX('הנחות עבודה'!$B$69:$B$89)),0,(VLOOKUP($F38,'התפלגות ייצור וסל דלקים'!$B$64:$BV$84,M$2-$E$2,FALSE))*$D$9*$D$8*(HLOOKUP(M$23,$G$18:$R$19,2,FALSE)*(1-$D$12)^($F38-'הנחות עבודה'!$C$5)/$D$11)/$D$11)</f>
        <v>3.5319551999999995E-3</v>
      </c>
      <c r="N38" s="42">
        <f ca="1">IF(OR($F38&gt;$D$5,$F38&gt;MAX('הנחות עבודה'!$B$69:$B$89)),0,(VLOOKUP($F38,'התפלגות ייצור וסל דלקים'!$B$64:$BV$84,N$2-$E$2,FALSE))*$D$9*$D$8*(HLOOKUP(N$23,$G$18:$R$19,2,FALSE)*(1-$D$12)^($F38-'הנחות עבודה'!$C$5)/$D$11)/$D$11)</f>
        <v>1.250802199161773E-2</v>
      </c>
      <c r="O38" s="42">
        <f ca="1">IF(OR($F38&gt;$D$5,$F38&gt;MAX('הנחות עבודה'!$B$69:$B$89)),0,(VLOOKUP($F38,'התפלגות ייצור וסל דלקים'!$B$64:$BV$84,O$2-$E$2,FALSE))*$D$9*$D$8*(HLOOKUP(O$23,$G$18:$R$19,2,FALSE)*(1-$D$12)^($F38-'הנחות עבודה'!$C$5)/$D$11)/$D$11)</f>
        <v>0</v>
      </c>
      <c r="P38" s="42">
        <f ca="1">IF(OR($F38&gt;$D$5,$F38&gt;MAX('הנחות עבודה'!$B$69:$B$89)),0,(VLOOKUP($F38,'התפלגות ייצור וסל דלקים'!$B$64:$BV$84,P$2-$E$2,FALSE))*$D$9*$D$8*(HLOOKUP(P$23,$G$18:$R$19,2,FALSE)*(1-$D$12)^($F38-'הנחות עבודה'!$C$5)/$D$11)/$D$11)</f>
        <v>0</v>
      </c>
      <c r="Q38" s="42">
        <f ca="1">IF(OR($F38&gt;$D$5,$F38&gt;MAX('הנחות עבודה'!$B$69:$B$89)),0,(VLOOKUP($F38,'התפלגות ייצור וסל דלקים'!$B$64:$BV$84,Q$2-$E$2,FALSE))*$D$9*$D$8*(HLOOKUP(Q$23,$G$18:$R$19,2,FALSE)*(1-$D$12)^($F38-'הנחות עבודה'!$C$5)/$D$11)/$D$11)</f>
        <v>0</v>
      </c>
      <c r="R38" s="42">
        <f ca="1">IF(OR($F38&gt;$D$5,$F38&gt;MAX('הנחות עבודה'!$B$69:$B$89)),0,(VLOOKUP($F38,'התפלגות ייצור וסל דלקים'!$B$64:$BV$84,R$2-$E$2,FALSE))*$D$9*$D$8*(HLOOKUP(R$23,$G$18:$R$19,2,FALSE)*(1-$D$12)^($F38-'הנחות עבודה'!$C$5)/$D$11)/$D$11)</f>
        <v>0</v>
      </c>
      <c r="S38" s="52">
        <f ca="1">IF(OR($F38&gt;$D$5,$F38&gt;MAX('הנחות עבודה'!$B$69:$B$89)),0,(VLOOKUP($F38,'התפלגות ייצור וסל דלקים'!$B$64:$BV$84,S$2-$E$2,FALSE))*$D$9*$D$8*(HLOOKUP(S$23,$G$18:$R$19,2,FALSE)*(1-$D$12)^($F38-'הנחות עבודה'!$C$5)/$D$11)/$D$11)</f>
        <v>0</v>
      </c>
      <c r="T38" s="127">
        <f ca="1">IF(OR($F38&gt;$D$5,$F38&gt;MAX('הנחות עבודה'!$B$69:$B$89)),0,(VLOOKUP($F38,'התפלגות ייצור וסל דלקים'!$B$64:$BV$84,T$2-$E$2,FALSE))*$D$9*$D$8*(HLOOKUP(T$23,$G$18:$R$19,2,FALSE)*(1-$D$12)^($F38-'הנחות עבודה'!$C$5)/$D$11)/$D$11)</f>
        <v>0</v>
      </c>
      <c r="U38" s="127">
        <f ca="1">IF(OR($F38&gt;$D$5,$F38&gt;MAX('הנחות עבודה'!$B$69:$B$89)),0,(VLOOKUP($F38,'התפלגות ייצור וסל דלקים'!$B$64:$BV$84,U$2-$E$2,FALSE))*$D$9*$D$8*(HLOOKUP(U$23,$G$18:$R$19,2,FALSE)*(1-$D$12)^($F38-'הנחות עבודה'!$C$5)/$D$11)/$D$11)</f>
        <v>0</v>
      </c>
      <c r="V38" s="127">
        <f ca="1">IF(OR($F38&gt;$D$5,$F38&gt;MAX('הנחות עבודה'!$B$69:$B$89)),0,(VLOOKUP($F38,'התפלגות ייצור וסל דלקים'!$B$64:$BV$84,V$2-$E$2,FALSE))*$D$9*$D$8*(HLOOKUP(V$23,$G$18:$R$19,2,FALSE)*(1-$D$12)^($F38-'הנחות עבודה'!$C$5)/$D$11)/$D$11)</f>
        <v>0</v>
      </c>
      <c r="W38" s="127">
        <f ca="1">IF(OR($F38&gt;$D$5,$F38&gt;MAX('הנחות עבודה'!$B$69:$B$89)),0,(VLOOKUP($F38,'התפלגות ייצור וסל דלקים'!$B$64:$BV$84,W$2-$E$2,FALSE))*$D$9*$D$8*(HLOOKUP(W$23,$G$18:$R$19,2,FALSE)*(1-$D$12)^($F38-'הנחות עבודה'!$C$5)/$D$11)/$D$11)</f>
        <v>0</v>
      </c>
      <c r="X38" s="127">
        <f ca="1">IF(OR($F38&gt;$D$5,$F38&gt;MAX('הנחות עבודה'!$B$69:$B$89)),0,(VLOOKUP($F38,'התפלגות ייצור וסל דלקים'!$B$64:$BV$84,X$2-$E$2,FALSE))*$D$9*$D$8*(HLOOKUP(X$23,$G$18:$R$19,2,FALSE)*(1-$D$12)^($F38-'הנחות עבודה'!$C$5)/$D$11)/$D$11)</f>
        <v>0</v>
      </c>
      <c r="Y38" s="52">
        <f ca="1">IF(OR($F38&gt;$D$5,$F38&gt;MAX('הנחות עבודה'!$B$69:$B$89)),0,(VLOOKUP($F38,'התפלגות ייצור וסל דלקים'!$B$64:$BV$84,Y$2-$E$2,FALSE))*$D$9*$D$8*(HLOOKUP(Y$23,$G$18:$R$19,2,FALSE)*(1-$D$12)^($F38-'הנחות עבודה'!$C$5)/$D$11)/$D$11)</f>
        <v>3.5319551999999995E-3</v>
      </c>
      <c r="Z38" s="52">
        <f ca="1">IF(OR($F38&gt;$D$5,$F38&gt;MAX('הנחות עבודה'!$B$69:$B$89)),0,(VLOOKUP($F38,'התפלגות ייצור וסל דלקים'!$B$64:$BV$84,Z$2-$E$2,FALSE))*$D$9*$D$8*(HLOOKUP(Z$23,$G$18:$R$19,2,FALSE)*(1-$D$12)^($F38-'הנחות עבודה'!$C$5)/$D$11)/$D$11)</f>
        <v>1.250802199161773E-2</v>
      </c>
      <c r="AA38" s="52">
        <f ca="1">IF(OR($F38&gt;$D$5,$F38&gt;MAX('הנחות עבודה'!$B$69:$B$89)),0,(VLOOKUP($F38,'התפלגות ייצור וסל דלקים'!$B$64:$BV$84,AA$2-$E$2,FALSE))*$D$9*$D$8*(HLOOKUP(AA$23,$G$18:$R$19,2,FALSE)*(1-$D$12)^($F38-'הנחות עבודה'!$C$5)/$D$11)/$D$11)</f>
        <v>0</v>
      </c>
      <c r="AB38" s="52">
        <f ca="1">IF(OR($F38&gt;$D$5,$F38&gt;MAX('הנחות עבודה'!$B$69:$B$89)),0,(VLOOKUP($F38,'התפלגות ייצור וסל דלקים'!$B$64:$BV$84,AB$2-$E$2,FALSE))*$D$9*$D$8*(HLOOKUP(AB$23,$G$18:$R$19,2,FALSE)*(1-$D$12)^($F38-'הנחות עבודה'!$C$5)/$D$11)/$D$11)</f>
        <v>0</v>
      </c>
      <c r="AC38" s="52">
        <f ca="1">IF(OR($F38&gt;$D$5,$F38&gt;MAX('הנחות עבודה'!$B$69:$B$89)),0,(VLOOKUP($F38,'התפלגות ייצור וסל דלקים'!$B$64:$BV$84,AC$2-$E$2,FALSE))*$D$9*$D$8*(HLOOKUP(AC$23,$G$18:$R$19,2,FALSE)*(1-$D$12)^($F38-'הנחות עבודה'!$C$5)/$D$11)/$D$11)</f>
        <v>0</v>
      </c>
      <c r="AD38" s="52">
        <f ca="1">IF(OR($F38&gt;$D$5,$F38&gt;MAX('הנחות עבודה'!$B$69:$B$89)),0,(VLOOKUP($F38,'התפלגות ייצור וסל דלקים'!$B$64:$BV$84,AD$2-$E$2,FALSE))*$D$9*$D$8*(HLOOKUP(AD$23,$G$18:$R$19,2,FALSE)*(1-$D$12)^($F38-'הנחות עבודה'!$C$5)/$D$11)/$D$11)</f>
        <v>0</v>
      </c>
      <c r="AE38" s="42">
        <f ca="1">IF(OR($F38&gt;$D$5,$F38&gt;MAX('הנחות עבודה'!$B$69:$B$89)),0,(VLOOKUP($F38,'התפלגות ייצור וסל דלקים'!$B$64:$BV$84,AE$2-$E$2,FALSE))*$D$9*$D$8*(HLOOKUP(AE$23,$G$18:$R$19,2,FALSE)*(1-$D$12)^($F38-'הנחות עבודה'!$C$5)/$D$11)/$D$11)</f>
        <v>0</v>
      </c>
      <c r="AF38" s="44">
        <f ca="1">IF(OR($F38&gt;$D$5,$F38&gt;MAX('הנחות עבודה'!$B$69:$B$89)),0,(VLOOKUP($F38,'התפלגות ייצור וסל דלקים'!$B$64:$BV$84,AF$2-$E$2,FALSE))*$D$9*$D$8*(HLOOKUP(AF$23,$G$18:$R$19,2,FALSE)*(1-$D$12)^($F38-'הנחות עבודה'!$C$5)/$D$11)/$D$11)</f>
        <v>0</v>
      </c>
      <c r="AG38" s="44">
        <f ca="1">IF(OR($F38&gt;$D$5,$F38&gt;MAX('הנחות עבודה'!$B$69:$B$89)),0,(VLOOKUP($F38,'התפלגות ייצור וסל דלקים'!$B$64:$BV$84,AG$2-$E$2,FALSE))*$D$9*$D$8*(HLOOKUP(AG$23,$G$18:$R$19,2,FALSE)*(1-$D$12)^($F38-'הנחות עבודה'!$C$5)/$D$11)/$D$11)</f>
        <v>0</v>
      </c>
      <c r="AH38" s="44">
        <f ca="1">IF(OR($F38&gt;$D$5,$F38&gt;MAX('הנחות עבודה'!$B$69:$B$89)),0,(VLOOKUP($F38,'התפלגות ייצור וסל דלקים'!$B$64:$BV$84,AH$2-$E$2,FALSE))*$D$9*$D$8*(HLOOKUP(AH$23,$G$18:$R$19,2,FALSE)*(1-$D$12)^($F38-'הנחות עבודה'!$C$5)/$D$11)/$D$11)</f>
        <v>0</v>
      </c>
      <c r="AI38" s="44">
        <f ca="1">IF(OR($F38&gt;$D$5,$F38&gt;MAX('הנחות עבודה'!$B$69:$B$89)),0,(VLOOKUP($F38,'התפלגות ייצור וסל דלקים'!$B$64:$BV$84,AI$2-$E$2,FALSE))*$D$9*$D$8*(HLOOKUP(AI$23,$G$18:$R$19,2,FALSE)*(1-$D$12)^($F38-'הנחות עבודה'!$C$5)/$D$11)/$D$11)</f>
        <v>0</v>
      </c>
      <c r="AJ38" s="44">
        <f ca="1">IF(OR($F38&gt;$D$5,$F38&gt;MAX('הנחות עבודה'!$B$69:$B$89)),0,(VLOOKUP($F38,'התפלגות ייצור וסל דלקים'!$B$64:$BV$84,AJ$2-$E$2,FALSE))*$D$9*$D$8*(HLOOKUP(AJ$23,$G$18:$R$19,2,FALSE)*(1-$D$12)^($F38-'הנחות עבודה'!$C$5)/$D$11)/$D$11)</f>
        <v>0</v>
      </c>
      <c r="AK38" s="42">
        <f ca="1">IF(OR($F38&gt;$D$5,$F38&gt;MAX('הנחות עבודה'!$B$69:$B$89)),0,(VLOOKUP($F38,'התפלגות ייצור וסל דלקים'!$B$64:$BV$84,AK$2-$E$2,FALSE))*$D$9*$D$8*(HLOOKUP(AK$23,$G$18:$R$19,2,FALSE)*(1-$D$12)^($F38-'הנחות עבודה'!$C$5)/$D$11)/$D$11)</f>
        <v>3.7667783999999998E-3</v>
      </c>
      <c r="AL38" s="42">
        <f ca="1">IF(OR($F38&gt;$D$5,$F38&gt;MAX('הנחות עבודה'!$B$69:$B$89)),0,(VLOOKUP($F38,'התפלגות ייצור וסל דלקים'!$B$64:$BV$84,AL$2-$E$2,FALSE))*$D$9*$D$8*(HLOOKUP(AL$23,$G$18:$R$19,2,FALSE)*(1-$D$12)^($F38-'הנחות עבודה'!$C$5)/$D$11)/$D$11)</f>
        <v>1.1135396328916206E-2</v>
      </c>
      <c r="AM38" s="42">
        <f ca="1">IF(OR($F38&gt;$D$5,$F38&gt;MAX('הנחות עבודה'!$B$69:$B$89)),0,(VLOOKUP($F38,'התפלגות ייצור וסל דלקים'!$B$64:$BV$84,AM$2-$E$2,FALSE))*$D$9*$D$8*(HLOOKUP(AM$23,$G$18:$R$19,2,FALSE)*(1-$D$12)^($F38-'הנחות עבודה'!$C$5)/$D$11)/$D$11)</f>
        <v>0</v>
      </c>
      <c r="AN38" s="42">
        <f ca="1">IF(OR($F38&gt;$D$5,$F38&gt;MAX('הנחות עבודה'!$B$69:$B$89)),0,(VLOOKUP($F38,'התפלגות ייצור וסל דלקים'!$B$64:$BV$84,AN$2-$E$2,FALSE))*$D$9*$D$8*(HLOOKUP(AN$23,$G$18:$R$19,2,FALSE)*(1-$D$12)^($F38-'הנחות עבודה'!$C$5)/$D$11)/$D$11)</f>
        <v>0</v>
      </c>
      <c r="AO38" s="42">
        <f ca="1">IF(OR($F38&gt;$D$5,$F38&gt;MAX('הנחות עבודה'!$B$69:$B$89)),0,(VLOOKUP($F38,'התפלגות ייצור וסל דלקים'!$B$64:$BV$84,AO$2-$E$2,FALSE))*$D$9*$D$8*(HLOOKUP(AO$23,$G$18:$R$19,2,FALSE)*(1-$D$12)^($F38-'הנחות עבודה'!$C$5)/$D$11)/$D$11)</f>
        <v>0</v>
      </c>
      <c r="AP38" s="42">
        <f ca="1">IF(OR($F38&gt;$D$5,$F38&gt;MAX('הנחות עבודה'!$B$69:$B$89)),0,(VLOOKUP($F38,'התפלגות ייצור וסל דלקים'!$B$64:$BV$84,AP$2-$E$2,FALSE))*$D$9*$D$8*(HLOOKUP(AP$23,$G$18:$R$19,2,FALSE)*(1-$D$12)^($F38-'הנחות עבודה'!$C$5)/$D$11)/$D$11)</f>
        <v>0</v>
      </c>
      <c r="AQ38" s="52">
        <f ca="1">IF(OR($F38&gt;$D$5,$F38&gt;MAX('הנחות עבודה'!$B$69:$B$89)),0,(VLOOKUP($F38,'התפלגות ייצור וסל דלקים'!$B$64:$BV$84,AQ$2-$E$2,FALSE))*$D$9*$D$8*(HLOOKUP(AQ$23,$G$18:$R$19,2,FALSE)*(1-$D$12)^($F38-'הנחות עבודה'!$C$5)/$D$11)/$D$11)</f>
        <v>0</v>
      </c>
      <c r="AR38" s="127">
        <f ca="1">IF(OR($F38&gt;$D$5,$F38&gt;MAX('הנחות עבודה'!$B$69:$B$89)),0,(VLOOKUP($F38,'התפלגות ייצור וסל דלקים'!$B$64:$BV$84,AR$2-$E$2,FALSE))*$D$9*$D$8*(HLOOKUP(AR$23,$G$18:$R$19,2,FALSE)*(1-$D$12)^($F38-'הנחות עבודה'!$C$5)/$D$11)/$D$11)</f>
        <v>0</v>
      </c>
      <c r="AS38" s="127">
        <f ca="1">IF(OR($F38&gt;$D$5,$F38&gt;MAX('הנחות עבודה'!$B$69:$B$89)),0,(VLOOKUP($F38,'התפלגות ייצור וסל דלקים'!$B$64:$BV$84,AS$2-$E$2,FALSE))*$D$9*$D$8*(HLOOKUP(AS$23,$G$18:$R$19,2,FALSE)*(1-$D$12)^($F38-'הנחות עבודה'!$C$5)/$D$11)/$D$11)</f>
        <v>0</v>
      </c>
      <c r="AT38" s="127">
        <f ca="1">IF(OR($F38&gt;$D$5,$F38&gt;MAX('הנחות עבודה'!$B$69:$B$89)),0,(VLOOKUP($F38,'התפלגות ייצור וסל דלקים'!$B$64:$BV$84,AT$2-$E$2,FALSE))*$D$9*$D$8*(HLOOKUP(AT$23,$G$18:$R$19,2,FALSE)*(1-$D$12)^($F38-'הנחות עבודה'!$C$5)/$D$11)/$D$11)</f>
        <v>0</v>
      </c>
      <c r="AU38" s="127">
        <f ca="1">IF(OR($F38&gt;$D$5,$F38&gt;MAX('הנחות עבודה'!$B$69:$B$89)),0,(VLOOKUP($F38,'התפלגות ייצור וסל דלקים'!$B$64:$BV$84,AU$2-$E$2,FALSE))*$D$9*$D$8*(HLOOKUP(AU$23,$G$18:$R$19,2,FALSE)*(1-$D$12)^($F38-'הנחות עבודה'!$C$5)/$D$11)/$D$11)</f>
        <v>0</v>
      </c>
      <c r="AV38" s="127">
        <f ca="1">IF(OR($F38&gt;$D$5,$F38&gt;MAX('הנחות עבודה'!$B$69:$B$89)),0,(VLOOKUP($F38,'התפלגות ייצור וסל דלקים'!$B$64:$BV$84,AV$2-$E$2,FALSE))*$D$9*$D$8*(HLOOKUP(AV$23,$G$18:$R$19,2,FALSE)*(1-$D$12)^($F38-'הנחות עבודה'!$C$5)/$D$11)/$D$11)</f>
        <v>0</v>
      </c>
      <c r="AW38" s="52">
        <f ca="1">IF(OR($F38&gt;$D$5,$F38&gt;MAX('הנחות עבודה'!$B$69:$B$89)),0,(VLOOKUP($F38,'התפלגות ייצור וסל דלקים'!$B$64:$BV$84,AW$2-$E$2,FALSE))*$D$9*$D$8*(HLOOKUP(AW$23,$G$18:$R$19,2,FALSE)*(1-$D$12)^($F38-'הנחות עבודה'!$C$5)/$D$11)/$D$11)</f>
        <v>3.7667783999999998E-3</v>
      </c>
      <c r="AX38" s="52">
        <f ca="1">IF(OR($F38&gt;$D$5,$F38&gt;MAX('הנחות עבודה'!$B$69:$B$89)),0,(VLOOKUP($F38,'התפלגות ייצור וסל דלקים'!$B$64:$BV$84,AX$2-$E$2,FALSE))*$D$9*$D$8*(HLOOKUP(AX$23,$G$18:$R$19,2,FALSE)*(1-$D$12)^($F38-'הנחות עבודה'!$C$5)/$D$11)/$D$11)</f>
        <v>1.1135396328916206E-2</v>
      </c>
      <c r="AY38" s="52">
        <f ca="1">IF(OR($F38&gt;$D$5,$F38&gt;MAX('הנחות עבודה'!$B$69:$B$89)),0,(VLOOKUP($F38,'התפלגות ייצור וסל דלקים'!$B$64:$BV$84,AY$2-$E$2,FALSE))*$D$9*$D$8*(HLOOKUP(AY$23,$G$18:$R$19,2,FALSE)*(1-$D$12)^($F38-'הנחות עבודה'!$C$5)/$D$11)/$D$11)</f>
        <v>0</v>
      </c>
      <c r="AZ38" s="52">
        <f ca="1">IF(OR($F38&gt;$D$5,$F38&gt;MAX('הנחות עבודה'!$B$69:$B$89)),0,(VLOOKUP($F38,'התפלגות ייצור וסל דלקים'!$B$64:$BV$84,AZ$2-$E$2,FALSE))*$D$9*$D$8*(HLOOKUP(AZ$23,$G$18:$R$19,2,FALSE)*(1-$D$12)^($F38-'הנחות עבודה'!$C$5)/$D$11)/$D$11)</f>
        <v>0</v>
      </c>
      <c r="BA38" s="52">
        <f ca="1">IF(OR($F38&gt;$D$5,$F38&gt;MAX('הנחות עבודה'!$B$69:$B$89)),0,(VLOOKUP($F38,'התפלגות ייצור וסל דלקים'!$B$64:$BV$84,BA$2-$E$2,FALSE))*$D$9*$D$8*(HLOOKUP(BA$23,$G$18:$R$19,2,FALSE)*(1-$D$12)^($F38-'הנחות עבודה'!$C$5)/$D$11)/$D$11)</f>
        <v>0</v>
      </c>
      <c r="BB38" s="52">
        <f ca="1">IF(OR($F38&gt;$D$5,$F38&gt;MAX('הנחות עבודה'!$B$69:$B$89)),0,(VLOOKUP($F38,'התפלגות ייצור וסל דלקים'!$B$64:$BV$84,BB$2-$E$2,FALSE))*$D$9*$D$8*(HLOOKUP(BB$23,$G$18:$R$19,2,FALSE)*(1-$D$12)^($F38-'הנחות עבודה'!$C$5)/$D$11)/$D$11)</f>
        <v>0</v>
      </c>
      <c r="BC38" s="42">
        <f ca="1">IF(OR($F38&gt;$D$5,$F38&gt;MAX('הנחות עבודה'!$B$69:$B$89)),0,(VLOOKUP($F38,'התפלגות ייצור וסל דלקים'!$B$64:$BV$84,BC$2-$E$2,FALSE))*$D$9*$D$8*(HLOOKUP(BC$23,$G$18:$R$19,2,FALSE)*(1-$D$12)^($F38-'הנחות עבודה'!$C$5)/$D$11)/$D$11)</f>
        <v>0</v>
      </c>
      <c r="BD38" s="44">
        <f ca="1">IF(OR($F38&gt;$D$5,$F38&gt;MAX('הנחות עבודה'!$B$69:$B$89)),0,(VLOOKUP($F38,'התפלגות ייצור וסל דלקים'!$B$64:$BV$84,BD$2-$E$2,FALSE))*$D$9*$D$8*(HLOOKUP(BD$23,$G$18:$R$19,2,FALSE)*(1-$D$12)^($F38-'הנחות עבודה'!$C$5)/$D$11)/$D$11)</f>
        <v>0</v>
      </c>
      <c r="BE38" s="44">
        <f ca="1">IF(OR($F38&gt;$D$5,$F38&gt;MAX('הנחות עבודה'!$B$69:$B$89)),0,(VLOOKUP($F38,'התפלגות ייצור וסל דלקים'!$B$64:$BV$84,BE$2-$E$2,FALSE))*$D$9*$D$8*(HLOOKUP(BE$23,$G$18:$R$19,2,FALSE)*(1-$D$12)^($F38-'הנחות עבודה'!$C$5)/$D$11)/$D$11)</f>
        <v>0</v>
      </c>
      <c r="BF38" s="44">
        <f ca="1">IF(OR($F38&gt;$D$5,$F38&gt;MAX('הנחות עבודה'!$B$69:$B$89)),0,(VLOOKUP($F38,'התפלגות ייצור וסל דלקים'!$B$64:$BV$84,BF$2-$E$2,FALSE))*$D$9*$D$8*(HLOOKUP(BF$23,$G$18:$R$19,2,FALSE)*(1-$D$12)^($F38-'הנחות עבודה'!$C$5)/$D$11)/$D$11)</f>
        <v>0</v>
      </c>
      <c r="BG38" s="44">
        <f ca="1">IF(OR($F38&gt;$D$5,$F38&gt;MAX('הנחות עבודה'!$B$69:$B$89)),0,(VLOOKUP($F38,'התפלגות ייצור וסל דלקים'!$B$64:$BV$84,BG$2-$E$2,FALSE))*$D$9*$D$8*(HLOOKUP(BG$23,$G$18:$R$19,2,FALSE)*(1-$D$12)^($F38-'הנחות עבודה'!$C$5)/$D$11)/$D$11)</f>
        <v>0</v>
      </c>
      <c r="BH38" s="44">
        <f ca="1">IF(OR($F38&gt;$D$5,$F38&gt;MAX('הנחות עבודה'!$B$69:$B$89)),0,(VLOOKUP($F38,'התפלגות ייצור וסל דלקים'!$B$64:$BV$84,BH$2-$E$2,FALSE))*$D$9*$D$8*(HLOOKUP(BH$23,$G$18:$R$19,2,FALSE)*(1-$D$12)^($F38-'הנחות עבודה'!$C$5)/$D$11)/$D$11)</f>
        <v>0</v>
      </c>
      <c r="BI38" s="42">
        <f ca="1">IF(OR($F38&gt;$D$5,$F38&gt;MAX('הנחות עבודה'!$B$69:$B$89)),0,(VLOOKUP($F38,'התפלגות ייצור וסל דלקים'!$B$64:$BV$84,BI$2-$E$2,FALSE))*$D$9*$D$8*(HLOOKUP(BI$23,$G$18:$R$19,2,FALSE)*(1-$D$12)^($F38-'הנחות עבודה'!$C$5)/$D$11)/$D$11)</f>
        <v>3.8584800000000001E-3</v>
      </c>
      <c r="BJ38" s="42">
        <f ca="1">IF(OR($F38&gt;$D$5,$F38&gt;MAX('הנחות עבודה'!$B$69:$B$89)),0,(VLOOKUP($F38,'התפלגות ייצור וסל דלקים'!$B$64:$BV$84,BJ$2-$E$2,FALSE))*$D$9*$D$8*(HLOOKUP(BJ$23,$G$18:$R$19,2,FALSE)*(1-$D$12)^($F38-'הנחות עבודה'!$C$5)/$D$11)/$D$11)</f>
        <v>1.0316013889727754E-2</v>
      </c>
      <c r="BK38" s="42">
        <f ca="1">IF(OR($F38&gt;$D$5,$F38&gt;MAX('הנחות עבודה'!$B$69:$B$89)),0,(VLOOKUP($F38,'התפלגות ייצור וסל דלקים'!$B$64:$BV$84,BK$2-$E$2,FALSE))*$D$9*$D$8*(HLOOKUP(BK$23,$G$18:$R$19,2,FALSE)*(1-$D$12)^($F38-'הנחות עבודה'!$C$5)/$D$11)/$D$11)</f>
        <v>0</v>
      </c>
      <c r="BL38" s="42">
        <f ca="1">IF(OR($F38&gt;$D$5,$F38&gt;MAX('הנחות עבודה'!$B$69:$B$89)),0,(VLOOKUP($F38,'התפלגות ייצור וסל דלקים'!$B$64:$BV$84,BL$2-$E$2,FALSE))*$D$9*$D$8*(HLOOKUP(BL$23,$G$18:$R$19,2,FALSE)*(1-$D$12)^($F38-'הנחות עבודה'!$C$5)/$D$11)/$D$11)</f>
        <v>0</v>
      </c>
      <c r="BM38" s="42">
        <f ca="1">IF(OR($F38&gt;$D$5,$F38&gt;MAX('הנחות עבודה'!$B$69:$B$89)),0,(VLOOKUP($F38,'התפלגות ייצור וסל דלקים'!$B$64:$BV$84,BM$2-$E$2,FALSE))*$D$9*$D$8*(HLOOKUP(BM$23,$G$18:$R$19,2,FALSE)*(1-$D$12)^($F38-'הנחות עבודה'!$C$5)/$D$11)/$D$11)</f>
        <v>0</v>
      </c>
      <c r="BN38" s="42">
        <f ca="1">IF(OR($F38&gt;$D$5,$F38&gt;MAX('הנחות עבודה'!$B$69:$B$89)),0,(VLOOKUP($F38,'התפלגות ייצור וסל דלקים'!$B$64:$BV$84,BN$2-$E$2,FALSE))*$D$9*$D$8*(HLOOKUP(BN$23,$G$18:$R$19,2,FALSE)*(1-$D$12)^($F38-'הנחות עבודה'!$C$5)/$D$11)/$D$11)</f>
        <v>0</v>
      </c>
      <c r="BO38" s="52">
        <f ca="1">IF(OR($F38&gt;$D$5,$F38&gt;MAX('הנחות עבודה'!$B$69:$B$89)),0,(VLOOKUP($F38,'התפלגות ייצור וסל דלקים'!$B$64:$BV$84,BO$2-$E$2,FALSE))*$D$9*$D$8*(HLOOKUP(BO$23,$G$18:$R$19,2,FALSE)*(1-$D$12)^($F38-'הנחות עבודה'!$C$5)/$D$11)/$D$11)</f>
        <v>0</v>
      </c>
      <c r="BP38" s="127">
        <f ca="1">IF(OR($F38&gt;$D$5,$F38&gt;MAX('הנחות עבודה'!$B$69:$B$89)),0,(VLOOKUP($F38,'התפלגות ייצור וסל דלקים'!$B$64:$BV$84,BP$2-$E$2,FALSE))*$D$9*$D$8*(HLOOKUP(BP$23,$G$18:$R$19,2,FALSE)*(1-$D$12)^($F38-'הנחות עבודה'!$C$5)/$D$11)/$D$11)</f>
        <v>0</v>
      </c>
      <c r="BQ38" s="127">
        <f ca="1">IF(OR($F38&gt;$D$5,$F38&gt;MAX('הנחות עבודה'!$B$69:$B$89)),0,(VLOOKUP($F38,'התפלגות ייצור וסל דלקים'!$B$64:$BV$84,BQ$2-$E$2,FALSE))*$D$9*$D$8*(HLOOKUP(BQ$23,$G$18:$R$19,2,FALSE)*(1-$D$12)^($F38-'הנחות עבודה'!$C$5)/$D$11)/$D$11)</f>
        <v>0</v>
      </c>
      <c r="BR38" s="127">
        <f ca="1">IF(OR($F38&gt;$D$5,$F38&gt;MAX('הנחות עבודה'!$B$69:$B$89)),0,(VLOOKUP($F38,'התפלגות ייצור וסל דלקים'!$B$64:$BV$84,BR$2-$E$2,FALSE))*$D$9*$D$8*(HLOOKUP(BR$23,$G$18:$R$19,2,FALSE)*(1-$D$12)^($F38-'הנחות עבודה'!$C$5)/$D$11)/$D$11)</f>
        <v>0</v>
      </c>
      <c r="BS38" s="127">
        <f ca="1">IF(OR($F38&gt;$D$5,$F38&gt;MAX('הנחות עבודה'!$B$69:$B$89)),0,(VLOOKUP($F38,'התפלגות ייצור וסל דלקים'!$B$64:$BV$84,BS$2-$E$2,FALSE))*$D$9*$D$8*(HLOOKUP(BS$23,$G$18:$R$19,2,FALSE)*(1-$D$12)^($F38-'הנחות עבודה'!$C$5)/$D$11)/$D$11)</f>
        <v>0</v>
      </c>
      <c r="BT38" s="127">
        <f ca="1">IF(OR($F38&gt;$D$5,$F38&gt;MAX('הנחות עבודה'!$B$69:$B$89)),0,(VLOOKUP($F38,'התפלגות ייצור וסל דלקים'!$B$64:$BV$84,BT$2-$E$2,FALSE))*$D$9*$D$8*(HLOOKUP(BT$23,$G$18:$R$19,2,FALSE)*(1-$D$12)^($F38-'הנחות עבודה'!$C$5)/$D$11)/$D$11)</f>
        <v>0</v>
      </c>
      <c r="BU38" s="52">
        <f ca="1">IF(OR($F38&gt;$D$5,$F38&gt;MAX('הנחות עבודה'!$B$69:$B$89)),0,(VLOOKUP($F38,'התפלגות ייצור וסל דלקים'!$B$64:$BV$84,BU$2-$E$2,FALSE))*$D$9*$D$8*(HLOOKUP(BU$23,$G$18:$R$19,2,FALSE)*(1-$D$12)^($F38-'הנחות עבודה'!$C$5)/$D$11)/$D$11)</f>
        <v>3.8584800000000001E-3</v>
      </c>
      <c r="BV38" s="52">
        <f ca="1">IF(OR($F38&gt;$D$5,$F38&gt;MAX('הנחות עבודה'!$B$69:$B$89)),0,(VLOOKUP($F38,'התפלגות ייצור וסל דלקים'!$B$64:$BV$84,BV$2-$E$2,FALSE))*$D$9*$D$8*(HLOOKUP(BV$23,$G$18:$R$19,2,FALSE)*(1-$D$12)^($F38-'הנחות עבודה'!$C$5)/$D$11)/$D$11)</f>
        <v>1.0316013889727754E-2</v>
      </c>
      <c r="BW38" s="52">
        <f ca="1">IF(OR($F38&gt;$D$5,$F38&gt;MAX('הנחות עבודה'!$B$69:$B$89)),0,(VLOOKUP($F38,'התפלגות ייצור וסל דלקים'!$B$64:$BV$84,BW$2-$E$2,FALSE))*$D$9*$D$8*(HLOOKUP(BW$23,$G$18:$R$19,2,FALSE)*(1-$D$12)^($F38-'הנחות עבודה'!$C$5)/$D$11)/$D$11)</f>
        <v>0</v>
      </c>
      <c r="BX38" s="52">
        <f ca="1">IF(OR($F38&gt;$D$5,$F38&gt;MAX('הנחות עבודה'!$B$69:$B$89)),0,(VLOOKUP($F38,'התפלגות ייצור וסל דלקים'!$B$64:$BV$84,BX$2-$E$2,FALSE))*$D$9*$D$8*(HLOOKUP(BX$23,$G$18:$R$19,2,FALSE)*(1-$D$12)^($F38-'הנחות עבודה'!$C$5)/$D$11)/$D$11)</f>
        <v>0</v>
      </c>
      <c r="BY38" s="52">
        <f ca="1">IF(OR($F38&gt;$D$5,$F38&gt;MAX('הנחות עבודה'!$B$69:$B$89)),0,(VLOOKUP($F38,'התפלגות ייצור וסל דלקים'!$B$64:$BV$84,BY$2-$E$2,FALSE))*$D$9*$D$8*(HLOOKUP(BY$23,$G$18:$R$19,2,FALSE)*(1-$D$12)^($F38-'הנחות עבודה'!$C$5)/$D$11)/$D$11)</f>
        <v>0</v>
      </c>
      <c r="BZ38" s="52">
        <f ca="1">IF(OR($F38&gt;$D$5,$F38&gt;MAX('הנחות עבודה'!$B$69:$B$89)),0,(VLOOKUP($F38,'התפלגות ייצור וסל דלקים'!$B$64:$BV$84,BZ$2-$E$2,FALSE))*$D$9*$D$8*(HLOOKUP(BZ$23,$G$18:$R$19,2,FALSE)*(1-$D$12)^($F38-'הנחות עבודה'!$C$5)/$D$11)/$D$11)</f>
        <v>0</v>
      </c>
    </row>
    <row r="39" spans="6:78" ht="15.75">
      <c r="F39" s="10">
        <f t="shared" si="110"/>
        <v>2035</v>
      </c>
      <c r="G39" s="42">
        <f ca="1">IF(OR($F39&gt;$D$5,$F39&gt;MAX('הנחות עבודה'!$B$69:$B$89)),0,(VLOOKUP($F39,'התפלגות ייצור וסל דלקים'!$B$64:$BV$84,G$2-$E$2,FALSE))*$D$9*$D$8*(HLOOKUP(G$23,$G$18:$R$19,2,FALSE)*(1-$D$12)^($F39-'הנחות עבודה'!$C$5)/$D$11)/$D$11)</f>
        <v>0</v>
      </c>
      <c r="H39" s="44">
        <f ca="1">IF(OR($F39&gt;$D$5,$F39&gt;MAX('הנחות עבודה'!$B$69:$B$89)),0,(VLOOKUP($F39,'התפלגות ייצור וסל דלקים'!$B$64:$BV$84,H$2-$E$2,FALSE))*$D$9*$D$8*(HLOOKUP(H$23,$G$18:$R$19,2,FALSE)*(1-$D$12)^($F39-'הנחות עבודה'!$C$5)/$D$11)/$D$11)</f>
        <v>0</v>
      </c>
      <c r="I39" s="44">
        <f ca="1">IF(OR($F39&gt;$D$5,$F39&gt;MAX('הנחות עבודה'!$B$69:$B$89)),0,(VLOOKUP($F39,'התפלגות ייצור וסל דלקים'!$B$64:$BV$84,I$2-$E$2,FALSE))*$D$9*$D$8*(HLOOKUP(I$23,$G$18:$R$19,2,FALSE)*(1-$D$12)^($F39-'הנחות עבודה'!$C$5)/$D$11)/$D$11)</f>
        <v>0</v>
      </c>
      <c r="J39" s="44">
        <f ca="1">IF(OR($F39&gt;$D$5,$F39&gt;MAX('הנחות עבודה'!$B$69:$B$89)),0,(VLOOKUP($F39,'התפלגות ייצור וסל דלקים'!$B$64:$BV$84,J$2-$E$2,FALSE))*$D$9*$D$8*(HLOOKUP(J$23,$G$18:$R$19,2,FALSE)*(1-$D$12)^($F39-'הנחות עבודה'!$C$5)/$D$11)/$D$11)</f>
        <v>0</v>
      </c>
      <c r="K39" s="44">
        <f ca="1">IF(OR($F39&gt;$D$5,$F39&gt;MAX('הנחות עבודה'!$B$69:$B$89)),0,(VLOOKUP($F39,'התפלגות ייצור וסל דלקים'!$B$64:$BV$84,K$2-$E$2,FALSE))*$D$9*$D$8*(HLOOKUP(K$23,$G$18:$R$19,2,FALSE)*(1-$D$12)^($F39-'הנחות עבודה'!$C$5)/$D$11)/$D$11)</f>
        <v>0</v>
      </c>
      <c r="L39" s="44">
        <f ca="1">IF(OR($F39&gt;$D$5,$F39&gt;MAX('הנחות עבודה'!$B$69:$B$89)),0,(VLOOKUP($F39,'התפלגות ייצור וסל דלקים'!$B$64:$BV$84,L$2-$E$2,FALSE))*$D$9*$D$8*(HLOOKUP(L$23,$G$18:$R$19,2,FALSE)*(1-$D$12)^($F39-'הנחות עבודה'!$C$5)/$D$11)/$D$11)</f>
        <v>0</v>
      </c>
      <c r="M39" s="42">
        <f ca="1">IF(OR($F39&gt;$D$5,$F39&gt;MAX('הנחות עבודה'!$B$69:$B$89)),0,(VLOOKUP($F39,'התפלגות ייצור וסל דלקים'!$B$64:$BV$84,M$2-$E$2,FALSE))*$D$9*$D$8*(HLOOKUP(M$23,$G$18:$R$19,2,FALSE)*(1-$D$12)^($F39-'הנחות עבודה'!$C$5)/$D$11)/$D$11)</f>
        <v>3.5547263999999995E-3</v>
      </c>
      <c r="N39" s="42">
        <f ca="1">IF(OR($F39&gt;$D$5,$F39&gt;MAX('הנחות עבודה'!$B$69:$B$89)),0,(VLOOKUP($F39,'התפלגות ייצור וסל דלקים'!$B$64:$BV$84,N$2-$E$2,FALSE))*$D$9*$D$8*(HLOOKUP(N$23,$G$18:$R$19,2,FALSE)*(1-$D$12)^($F39-'הנחות עבודה'!$C$5)/$D$11)/$D$11)</f>
        <v>1.3030594125086302E-2</v>
      </c>
      <c r="O39" s="42">
        <f ca="1">IF(OR($F39&gt;$D$5,$F39&gt;MAX('הנחות עבודה'!$B$69:$B$89)),0,(VLOOKUP($F39,'התפלגות ייצור וסל דלקים'!$B$64:$BV$84,O$2-$E$2,FALSE))*$D$9*$D$8*(HLOOKUP(O$23,$G$18:$R$19,2,FALSE)*(1-$D$12)^($F39-'הנחות עבודה'!$C$5)/$D$11)/$D$11)</f>
        <v>0</v>
      </c>
      <c r="P39" s="42">
        <f ca="1">IF(OR($F39&gt;$D$5,$F39&gt;MAX('הנחות עבודה'!$B$69:$B$89)),0,(VLOOKUP($F39,'התפלגות ייצור וסל דלקים'!$B$64:$BV$84,P$2-$E$2,FALSE))*$D$9*$D$8*(HLOOKUP(P$23,$G$18:$R$19,2,FALSE)*(1-$D$12)^($F39-'הנחות עבודה'!$C$5)/$D$11)/$D$11)</f>
        <v>0</v>
      </c>
      <c r="Q39" s="42">
        <f ca="1">IF(OR($F39&gt;$D$5,$F39&gt;MAX('הנחות עבודה'!$B$69:$B$89)),0,(VLOOKUP($F39,'התפלגות ייצור וסל דלקים'!$B$64:$BV$84,Q$2-$E$2,FALSE))*$D$9*$D$8*(HLOOKUP(Q$23,$G$18:$R$19,2,FALSE)*(1-$D$12)^($F39-'הנחות עבודה'!$C$5)/$D$11)/$D$11)</f>
        <v>0</v>
      </c>
      <c r="R39" s="42">
        <f ca="1">IF(OR($F39&gt;$D$5,$F39&gt;MAX('הנחות עבודה'!$B$69:$B$89)),0,(VLOOKUP($F39,'התפלגות ייצור וסל דלקים'!$B$64:$BV$84,R$2-$E$2,FALSE))*$D$9*$D$8*(HLOOKUP(R$23,$G$18:$R$19,2,FALSE)*(1-$D$12)^($F39-'הנחות עבודה'!$C$5)/$D$11)/$D$11)</f>
        <v>0</v>
      </c>
      <c r="S39" s="52">
        <f ca="1">IF(OR($F39&gt;$D$5,$F39&gt;MAX('הנחות עבודה'!$B$69:$B$89)),0,(VLOOKUP($F39,'התפלגות ייצור וסל דלקים'!$B$64:$BV$84,S$2-$E$2,FALSE))*$D$9*$D$8*(HLOOKUP(S$23,$G$18:$R$19,2,FALSE)*(1-$D$12)^($F39-'הנחות עבודה'!$C$5)/$D$11)/$D$11)</f>
        <v>0</v>
      </c>
      <c r="T39" s="127">
        <f ca="1">IF(OR($F39&gt;$D$5,$F39&gt;MAX('הנחות עבודה'!$B$69:$B$89)),0,(VLOOKUP($F39,'התפלגות ייצור וסל דלקים'!$B$64:$BV$84,T$2-$E$2,FALSE))*$D$9*$D$8*(HLOOKUP(T$23,$G$18:$R$19,2,FALSE)*(1-$D$12)^($F39-'הנחות עבודה'!$C$5)/$D$11)/$D$11)</f>
        <v>0</v>
      </c>
      <c r="U39" s="127">
        <f ca="1">IF(OR($F39&gt;$D$5,$F39&gt;MAX('הנחות עבודה'!$B$69:$B$89)),0,(VLOOKUP($F39,'התפלגות ייצור וסל דלקים'!$B$64:$BV$84,U$2-$E$2,FALSE))*$D$9*$D$8*(HLOOKUP(U$23,$G$18:$R$19,2,FALSE)*(1-$D$12)^($F39-'הנחות עבודה'!$C$5)/$D$11)/$D$11)</f>
        <v>0</v>
      </c>
      <c r="V39" s="127">
        <f ca="1">IF(OR($F39&gt;$D$5,$F39&gt;MAX('הנחות עבודה'!$B$69:$B$89)),0,(VLOOKUP($F39,'התפלגות ייצור וסל דלקים'!$B$64:$BV$84,V$2-$E$2,FALSE))*$D$9*$D$8*(HLOOKUP(V$23,$G$18:$R$19,2,FALSE)*(1-$D$12)^($F39-'הנחות עבודה'!$C$5)/$D$11)/$D$11)</f>
        <v>0</v>
      </c>
      <c r="W39" s="127">
        <f ca="1">IF(OR($F39&gt;$D$5,$F39&gt;MAX('הנחות עבודה'!$B$69:$B$89)),0,(VLOOKUP($F39,'התפלגות ייצור וסל דלקים'!$B$64:$BV$84,W$2-$E$2,FALSE))*$D$9*$D$8*(HLOOKUP(W$23,$G$18:$R$19,2,FALSE)*(1-$D$12)^($F39-'הנחות עבודה'!$C$5)/$D$11)/$D$11)</f>
        <v>0</v>
      </c>
      <c r="X39" s="127">
        <f ca="1">IF(OR($F39&gt;$D$5,$F39&gt;MAX('הנחות עבודה'!$B$69:$B$89)),0,(VLOOKUP($F39,'התפלגות ייצור וסל דלקים'!$B$64:$BV$84,X$2-$E$2,FALSE))*$D$9*$D$8*(HLOOKUP(X$23,$G$18:$R$19,2,FALSE)*(1-$D$12)^($F39-'הנחות עבודה'!$C$5)/$D$11)/$D$11)</f>
        <v>0</v>
      </c>
      <c r="Y39" s="52">
        <f ca="1">IF(OR($F39&gt;$D$5,$F39&gt;MAX('הנחות עבודה'!$B$69:$B$89)),0,(VLOOKUP($F39,'התפלגות ייצור וסל דלקים'!$B$64:$BV$84,Y$2-$E$2,FALSE))*$D$9*$D$8*(HLOOKUP(Y$23,$G$18:$R$19,2,FALSE)*(1-$D$12)^($F39-'הנחות עבודה'!$C$5)/$D$11)/$D$11)</f>
        <v>3.5547263999999995E-3</v>
      </c>
      <c r="Z39" s="52">
        <f ca="1">IF(OR($F39&gt;$D$5,$F39&gt;MAX('הנחות עבודה'!$B$69:$B$89)),0,(VLOOKUP($F39,'התפלגות ייצור וסל דלקים'!$B$64:$BV$84,Z$2-$E$2,FALSE))*$D$9*$D$8*(HLOOKUP(Z$23,$G$18:$R$19,2,FALSE)*(1-$D$12)^($F39-'הנחות עבודה'!$C$5)/$D$11)/$D$11)</f>
        <v>1.3030594125086302E-2</v>
      </c>
      <c r="AA39" s="52">
        <f ca="1">IF(OR($F39&gt;$D$5,$F39&gt;MAX('הנחות עבודה'!$B$69:$B$89)),0,(VLOOKUP($F39,'התפלגות ייצור וסל דלקים'!$B$64:$BV$84,AA$2-$E$2,FALSE))*$D$9*$D$8*(HLOOKUP(AA$23,$G$18:$R$19,2,FALSE)*(1-$D$12)^($F39-'הנחות עבודה'!$C$5)/$D$11)/$D$11)</f>
        <v>0</v>
      </c>
      <c r="AB39" s="52">
        <f ca="1">IF(OR($F39&gt;$D$5,$F39&gt;MAX('הנחות עבודה'!$B$69:$B$89)),0,(VLOOKUP($F39,'התפלגות ייצור וסל דלקים'!$B$64:$BV$84,AB$2-$E$2,FALSE))*$D$9*$D$8*(HLOOKUP(AB$23,$G$18:$R$19,2,FALSE)*(1-$D$12)^($F39-'הנחות עבודה'!$C$5)/$D$11)/$D$11)</f>
        <v>0</v>
      </c>
      <c r="AC39" s="52">
        <f ca="1">IF(OR($F39&gt;$D$5,$F39&gt;MAX('הנחות עבודה'!$B$69:$B$89)),0,(VLOOKUP($F39,'התפלגות ייצור וסל דלקים'!$B$64:$BV$84,AC$2-$E$2,FALSE))*$D$9*$D$8*(HLOOKUP(AC$23,$G$18:$R$19,2,FALSE)*(1-$D$12)^($F39-'הנחות עבודה'!$C$5)/$D$11)/$D$11)</f>
        <v>0</v>
      </c>
      <c r="AD39" s="52">
        <f ca="1">IF(OR($F39&gt;$D$5,$F39&gt;MAX('הנחות עבודה'!$B$69:$B$89)),0,(VLOOKUP($F39,'התפלגות ייצור וסל דלקים'!$B$64:$BV$84,AD$2-$E$2,FALSE))*$D$9*$D$8*(HLOOKUP(AD$23,$G$18:$R$19,2,FALSE)*(1-$D$12)^($F39-'הנחות עבודה'!$C$5)/$D$11)/$D$11)</f>
        <v>0</v>
      </c>
      <c r="AE39" s="42">
        <f ca="1">IF(OR($F39&gt;$D$5,$F39&gt;MAX('הנחות עבודה'!$B$69:$B$89)),0,(VLOOKUP($F39,'התפלגות ייצור וסל דלקים'!$B$64:$BV$84,AE$2-$E$2,FALSE))*$D$9*$D$8*(HLOOKUP(AE$23,$G$18:$R$19,2,FALSE)*(1-$D$12)^($F39-'הנחות עבודה'!$C$5)/$D$11)/$D$11)</f>
        <v>0</v>
      </c>
      <c r="AF39" s="44">
        <f ca="1">IF(OR($F39&gt;$D$5,$F39&gt;MAX('הנחות עבודה'!$B$69:$B$89)),0,(VLOOKUP($F39,'התפלגות ייצור וסל דלקים'!$B$64:$BV$84,AF$2-$E$2,FALSE))*$D$9*$D$8*(HLOOKUP(AF$23,$G$18:$R$19,2,FALSE)*(1-$D$12)^($F39-'הנחות עבודה'!$C$5)/$D$11)/$D$11)</f>
        <v>0</v>
      </c>
      <c r="AG39" s="44">
        <f ca="1">IF(OR($F39&gt;$D$5,$F39&gt;MAX('הנחות עבודה'!$B$69:$B$89)),0,(VLOOKUP($F39,'התפלגות ייצור וסל דלקים'!$B$64:$BV$84,AG$2-$E$2,FALSE))*$D$9*$D$8*(HLOOKUP(AG$23,$G$18:$R$19,2,FALSE)*(1-$D$12)^($F39-'הנחות עבודה'!$C$5)/$D$11)/$D$11)</f>
        <v>0</v>
      </c>
      <c r="AH39" s="44">
        <f ca="1">IF(OR($F39&gt;$D$5,$F39&gt;MAX('הנחות עבודה'!$B$69:$B$89)),0,(VLOOKUP($F39,'התפלגות ייצור וסל דלקים'!$B$64:$BV$84,AH$2-$E$2,FALSE))*$D$9*$D$8*(HLOOKUP(AH$23,$G$18:$R$19,2,FALSE)*(1-$D$12)^($F39-'הנחות עבודה'!$C$5)/$D$11)/$D$11)</f>
        <v>0</v>
      </c>
      <c r="AI39" s="44">
        <f ca="1">IF(OR($F39&gt;$D$5,$F39&gt;MAX('הנחות עבודה'!$B$69:$B$89)),0,(VLOOKUP($F39,'התפלגות ייצור וסל דלקים'!$B$64:$BV$84,AI$2-$E$2,FALSE))*$D$9*$D$8*(HLOOKUP(AI$23,$G$18:$R$19,2,FALSE)*(1-$D$12)^($F39-'הנחות עבודה'!$C$5)/$D$11)/$D$11)</f>
        <v>0</v>
      </c>
      <c r="AJ39" s="44">
        <f ca="1">IF(OR($F39&gt;$D$5,$F39&gt;MAX('הנחות עבודה'!$B$69:$B$89)),0,(VLOOKUP($F39,'התפלגות ייצור וסל דלקים'!$B$64:$BV$84,AJ$2-$E$2,FALSE))*$D$9*$D$8*(HLOOKUP(AJ$23,$G$18:$R$19,2,FALSE)*(1-$D$12)^($F39-'הנחות עבודה'!$C$5)/$D$11)/$D$11)</f>
        <v>0</v>
      </c>
      <c r="AK39" s="42">
        <f ca="1">IF(OR($F39&gt;$D$5,$F39&gt;MAX('הנחות עבודה'!$B$69:$B$89)),0,(VLOOKUP($F39,'התפלגות ייצור וסל דלקים'!$B$64:$BV$84,AK$2-$E$2,FALSE))*$D$9*$D$8*(HLOOKUP(AK$23,$G$18:$R$19,2,FALSE)*(1-$D$12)^($F39-'הנחות עבודה'!$C$5)/$D$11)/$D$11)</f>
        <v>3.7995455999999994E-3</v>
      </c>
      <c r="AL39" s="42">
        <f ca="1">IF(OR($F39&gt;$D$5,$F39&gt;MAX('הנחות עבודה'!$B$69:$B$89)),0,(VLOOKUP($F39,'התפלגות ייצור וסל דלקים'!$B$64:$BV$84,AL$2-$E$2,FALSE))*$D$9*$D$8*(HLOOKUP(AL$23,$G$18:$R$19,2,FALSE)*(1-$D$12)^($F39-'הנחות עבודה'!$C$5)/$D$11)/$D$11)</f>
        <v>1.1659175285160988E-2</v>
      </c>
      <c r="AM39" s="42">
        <f ca="1">IF(OR($F39&gt;$D$5,$F39&gt;MAX('הנחות עבודה'!$B$69:$B$89)),0,(VLOOKUP($F39,'התפלגות ייצור וסל דלקים'!$B$64:$BV$84,AM$2-$E$2,FALSE))*$D$9*$D$8*(HLOOKUP(AM$23,$G$18:$R$19,2,FALSE)*(1-$D$12)^($F39-'הנחות עבודה'!$C$5)/$D$11)/$D$11)</f>
        <v>0</v>
      </c>
      <c r="AN39" s="42">
        <f ca="1">IF(OR($F39&gt;$D$5,$F39&gt;MAX('הנחות עבודה'!$B$69:$B$89)),0,(VLOOKUP($F39,'התפלגות ייצור וסל דלקים'!$B$64:$BV$84,AN$2-$E$2,FALSE))*$D$9*$D$8*(HLOOKUP(AN$23,$G$18:$R$19,2,FALSE)*(1-$D$12)^($F39-'הנחות עבודה'!$C$5)/$D$11)/$D$11)</f>
        <v>0</v>
      </c>
      <c r="AO39" s="42">
        <f ca="1">IF(OR($F39&gt;$D$5,$F39&gt;MAX('הנחות עבודה'!$B$69:$B$89)),0,(VLOOKUP($F39,'התפלגות ייצור וסל דלקים'!$B$64:$BV$84,AO$2-$E$2,FALSE))*$D$9*$D$8*(HLOOKUP(AO$23,$G$18:$R$19,2,FALSE)*(1-$D$12)^($F39-'הנחות עבודה'!$C$5)/$D$11)/$D$11)</f>
        <v>0</v>
      </c>
      <c r="AP39" s="42">
        <f ca="1">IF(OR($F39&gt;$D$5,$F39&gt;MAX('הנחות עבודה'!$B$69:$B$89)),0,(VLOOKUP($F39,'התפלגות ייצור וסל דלקים'!$B$64:$BV$84,AP$2-$E$2,FALSE))*$D$9*$D$8*(HLOOKUP(AP$23,$G$18:$R$19,2,FALSE)*(1-$D$12)^($F39-'הנחות עבודה'!$C$5)/$D$11)/$D$11)</f>
        <v>0</v>
      </c>
      <c r="AQ39" s="52">
        <f ca="1">IF(OR($F39&gt;$D$5,$F39&gt;MAX('הנחות עבודה'!$B$69:$B$89)),0,(VLOOKUP($F39,'התפלגות ייצור וסל דלקים'!$B$64:$BV$84,AQ$2-$E$2,FALSE))*$D$9*$D$8*(HLOOKUP(AQ$23,$G$18:$R$19,2,FALSE)*(1-$D$12)^($F39-'הנחות עבודה'!$C$5)/$D$11)/$D$11)</f>
        <v>0</v>
      </c>
      <c r="AR39" s="127">
        <f ca="1">IF(OR($F39&gt;$D$5,$F39&gt;MAX('הנחות עבודה'!$B$69:$B$89)),0,(VLOOKUP($F39,'התפלגות ייצור וסל דלקים'!$B$64:$BV$84,AR$2-$E$2,FALSE))*$D$9*$D$8*(HLOOKUP(AR$23,$G$18:$R$19,2,FALSE)*(1-$D$12)^($F39-'הנחות עבודה'!$C$5)/$D$11)/$D$11)</f>
        <v>0</v>
      </c>
      <c r="AS39" s="127">
        <f ca="1">IF(OR($F39&gt;$D$5,$F39&gt;MAX('הנחות עבודה'!$B$69:$B$89)),0,(VLOOKUP($F39,'התפלגות ייצור וסל דלקים'!$B$64:$BV$84,AS$2-$E$2,FALSE))*$D$9*$D$8*(HLOOKUP(AS$23,$G$18:$R$19,2,FALSE)*(1-$D$12)^($F39-'הנחות עבודה'!$C$5)/$D$11)/$D$11)</f>
        <v>0</v>
      </c>
      <c r="AT39" s="127">
        <f ca="1">IF(OR($F39&gt;$D$5,$F39&gt;MAX('הנחות עבודה'!$B$69:$B$89)),0,(VLOOKUP($F39,'התפלגות ייצור וסל דלקים'!$B$64:$BV$84,AT$2-$E$2,FALSE))*$D$9*$D$8*(HLOOKUP(AT$23,$G$18:$R$19,2,FALSE)*(1-$D$12)^($F39-'הנחות עבודה'!$C$5)/$D$11)/$D$11)</f>
        <v>0</v>
      </c>
      <c r="AU39" s="127">
        <f ca="1">IF(OR($F39&gt;$D$5,$F39&gt;MAX('הנחות עבודה'!$B$69:$B$89)),0,(VLOOKUP($F39,'התפלגות ייצור וסל דלקים'!$B$64:$BV$84,AU$2-$E$2,FALSE))*$D$9*$D$8*(HLOOKUP(AU$23,$G$18:$R$19,2,FALSE)*(1-$D$12)^($F39-'הנחות עבודה'!$C$5)/$D$11)/$D$11)</f>
        <v>0</v>
      </c>
      <c r="AV39" s="127">
        <f ca="1">IF(OR($F39&gt;$D$5,$F39&gt;MAX('הנחות עבודה'!$B$69:$B$89)),0,(VLOOKUP($F39,'התפלגות ייצור וסל דלקים'!$B$64:$BV$84,AV$2-$E$2,FALSE))*$D$9*$D$8*(HLOOKUP(AV$23,$G$18:$R$19,2,FALSE)*(1-$D$12)^($F39-'הנחות עבודה'!$C$5)/$D$11)/$D$11)</f>
        <v>0</v>
      </c>
      <c r="AW39" s="52">
        <f ca="1">IF(OR($F39&gt;$D$5,$F39&gt;MAX('הנחות עבודה'!$B$69:$B$89)),0,(VLOOKUP($F39,'התפלגות ייצור וסל דלקים'!$B$64:$BV$84,AW$2-$E$2,FALSE))*$D$9*$D$8*(HLOOKUP(AW$23,$G$18:$R$19,2,FALSE)*(1-$D$12)^($F39-'הנחות עבודה'!$C$5)/$D$11)/$D$11)</f>
        <v>3.7995455999999994E-3</v>
      </c>
      <c r="AX39" s="52">
        <f ca="1">IF(OR($F39&gt;$D$5,$F39&gt;MAX('הנחות עבודה'!$B$69:$B$89)),0,(VLOOKUP($F39,'התפלגות ייצור וסל דלקים'!$B$64:$BV$84,AX$2-$E$2,FALSE))*$D$9*$D$8*(HLOOKUP(AX$23,$G$18:$R$19,2,FALSE)*(1-$D$12)^($F39-'הנחות עבודה'!$C$5)/$D$11)/$D$11)</f>
        <v>1.1659175285160988E-2</v>
      </c>
      <c r="AY39" s="52">
        <f ca="1">IF(OR($F39&gt;$D$5,$F39&gt;MAX('הנחות עבודה'!$B$69:$B$89)),0,(VLOOKUP($F39,'התפלגות ייצור וסל דלקים'!$B$64:$BV$84,AY$2-$E$2,FALSE))*$D$9*$D$8*(HLOOKUP(AY$23,$G$18:$R$19,2,FALSE)*(1-$D$12)^($F39-'הנחות עבודה'!$C$5)/$D$11)/$D$11)</f>
        <v>0</v>
      </c>
      <c r="AZ39" s="52">
        <f ca="1">IF(OR($F39&gt;$D$5,$F39&gt;MAX('הנחות עבודה'!$B$69:$B$89)),0,(VLOOKUP($F39,'התפלגות ייצור וסל דלקים'!$B$64:$BV$84,AZ$2-$E$2,FALSE))*$D$9*$D$8*(HLOOKUP(AZ$23,$G$18:$R$19,2,FALSE)*(1-$D$12)^($F39-'הנחות עבודה'!$C$5)/$D$11)/$D$11)</f>
        <v>0</v>
      </c>
      <c r="BA39" s="52">
        <f ca="1">IF(OR($F39&gt;$D$5,$F39&gt;MAX('הנחות עבודה'!$B$69:$B$89)),0,(VLOOKUP($F39,'התפלגות ייצור וסל דלקים'!$B$64:$BV$84,BA$2-$E$2,FALSE))*$D$9*$D$8*(HLOOKUP(BA$23,$G$18:$R$19,2,FALSE)*(1-$D$12)^($F39-'הנחות עבודה'!$C$5)/$D$11)/$D$11)</f>
        <v>0</v>
      </c>
      <c r="BB39" s="52">
        <f ca="1">IF(OR($F39&gt;$D$5,$F39&gt;MAX('הנחות עבודה'!$B$69:$B$89)),0,(VLOOKUP($F39,'התפלגות ייצור וסל דלקים'!$B$64:$BV$84,BB$2-$E$2,FALSE))*$D$9*$D$8*(HLOOKUP(BB$23,$G$18:$R$19,2,FALSE)*(1-$D$12)^($F39-'הנחות עבודה'!$C$5)/$D$11)/$D$11)</f>
        <v>0</v>
      </c>
      <c r="BC39" s="42">
        <f ca="1">IF(OR($F39&gt;$D$5,$F39&gt;MAX('הנחות עבודה'!$B$69:$B$89)),0,(VLOOKUP($F39,'התפלגות ייצור וסל דלקים'!$B$64:$BV$84,BC$2-$E$2,FALSE))*$D$9*$D$8*(HLOOKUP(BC$23,$G$18:$R$19,2,FALSE)*(1-$D$12)^($F39-'הנחות עבודה'!$C$5)/$D$11)/$D$11)</f>
        <v>0</v>
      </c>
      <c r="BD39" s="44">
        <f ca="1">IF(OR($F39&gt;$D$5,$F39&gt;MAX('הנחות עבודה'!$B$69:$B$89)),0,(VLOOKUP($F39,'התפלגות ייצור וסל דלקים'!$B$64:$BV$84,BD$2-$E$2,FALSE))*$D$9*$D$8*(HLOOKUP(BD$23,$G$18:$R$19,2,FALSE)*(1-$D$12)^($F39-'הנחות עבודה'!$C$5)/$D$11)/$D$11)</f>
        <v>0</v>
      </c>
      <c r="BE39" s="44">
        <f ca="1">IF(OR($F39&gt;$D$5,$F39&gt;MAX('הנחות עבודה'!$B$69:$B$89)),0,(VLOOKUP($F39,'התפלגות ייצור וסל דלקים'!$B$64:$BV$84,BE$2-$E$2,FALSE))*$D$9*$D$8*(HLOOKUP(BE$23,$G$18:$R$19,2,FALSE)*(1-$D$12)^($F39-'הנחות עבודה'!$C$5)/$D$11)/$D$11)</f>
        <v>0</v>
      </c>
      <c r="BF39" s="44">
        <f ca="1">IF(OR($F39&gt;$D$5,$F39&gt;MAX('הנחות עבודה'!$B$69:$B$89)),0,(VLOOKUP($F39,'התפלגות ייצור וסל דלקים'!$B$64:$BV$84,BF$2-$E$2,FALSE))*$D$9*$D$8*(HLOOKUP(BF$23,$G$18:$R$19,2,FALSE)*(1-$D$12)^($F39-'הנחות עבודה'!$C$5)/$D$11)/$D$11)</f>
        <v>0</v>
      </c>
      <c r="BG39" s="44">
        <f ca="1">IF(OR($F39&gt;$D$5,$F39&gt;MAX('הנחות עבודה'!$B$69:$B$89)),0,(VLOOKUP($F39,'התפלגות ייצור וסל דלקים'!$B$64:$BV$84,BG$2-$E$2,FALSE))*$D$9*$D$8*(HLOOKUP(BG$23,$G$18:$R$19,2,FALSE)*(1-$D$12)^($F39-'הנחות עבודה'!$C$5)/$D$11)/$D$11)</f>
        <v>0</v>
      </c>
      <c r="BH39" s="44">
        <f ca="1">IF(OR($F39&gt;$D$5,$F39&gt;MAX('הנחות עבודה'!$B$69:$B$89)),0,(VLOOKUP($F39,'התפלגות ייצור וסל דלקים'!$B$64:$BV$84,BH$2-$E$2,FALSE))*$D$9*$D$8*(HLOOKUP(BH$23,$G$18:$R$19,2,FALSE)*(1-$D$12)^($F39-'הנחות עבודה'!$C$5)/$D$11)/$D$11)</f>
        <v>0</v>
      </c>
      <c r="BI39" s="42">
        <f ca="1">IF(OR($F39&gt;$D$5,$F39&gt;MAX('הנחות עבודה'!$B$69:$B$89)),0,(VLOOKUP($F39,'התפלגות ייצור וסל דלקים'!$B$64:$BV$84,BI$2-$E$2,FALSE))*$D$9*$D$8*(HLOOKUP(BI$23,$G$18:$R$19,2,FALSE)*(1-$D$12)^($F39-'הנחות עבודה'!$C$5)/$D$11)/$D$11)</f>
        <v>3.8808000000000002E-3</v>
      </c>
      <c r="BJ39" s="42">
        <f ca="1">IF(OR($F39&gt;$D$5,$F39&gt;MAX('הנחות עבודה'!$B$69:$B$89)),0,(VLOOKUP($F39,'התפלגות ייצור וסל דלקים'!$B$64:$BV$84,BJ$2-$E$2,FALSE))*$D$9*$D$8*(HLOOKUP(BJ$23,$G$18:$R$19,2,FALSE)*(1-$D$12)^($F39-'הנחות עבודה'!$C$5)/$D$11)/$D$11)</f>
        <v>1.0850538910207664E-2</v>
      </c>
      <c r="BK39" s="42">
        <f ca="1">IF(OR($F39&gt;$D$5,$F39&gt;MAX('הנחות עבודה'!$B$69:$B$89)),0,(VLOOKUP($F39,'התפלגות ייצור וסל דלקים'!$B$64:$BV$84,BK$2-$E$2,FALSE))*$D$9*$D$8*(HLOOKUP(BK$23,$G$18:$R$19,2,FALSE)*(1-$D$12)^($F39-'הנחות עבודה'!$C$5)/$D$11)/$D$11)</f>
        <v>0</v>
      </c>
      <c r="BL39" s="42">
        <f ca="1">IF(OR($F39&gt;$D$5,$F39&gt;MAX('הנחות עבודה'!$B$69:$B$89)),0,(VLOOKUP($F39,'התפלגות ייצור וסל דלקים'!$B$64:$BV$84,BL$2-$E$2,FALSE))*$D$9*$D$8*(HLOOKUP(BL$23,$G$18:$R$19,2,FALSE)*(1-$D$12)^($F39-'הנחות עבודה'!$C$5)/$D$11)/$D$11)</f>
        <v>0</v>
      </c>
      <c r="BM39" s="42">
        <f ca="1">IF(OR($F39&gt;$D$5,$F39&gt;MAX('הנחות עבודה'!$B$69:$B$89)),0,(VLOOKUP($F39,'התפלגות ייצור וסל דלקים'!$B$64:$BV$84,BM$2-$E$2,FALSE))*$D$9*$D$8*(HLOOKUP(BM$23,$G$18:$R$19,2,FALSE)*(1-$D$12)^($F39-'הנחות עבודה'!$C$5)/$D$11)/$D$11)</f>
        <v>0</v>
      </c>
      <c r="BN39" s="42">
        <f ca="1">IF(OR($F39&gt;$D$5,$F39&gt;MAX('הנחות עבודה'!$B$69:$B$89)),0,(VLOOKUP($F39,'התפלגות ייצור וסל דלקים'!$B$64:$BV$84,BN$2-$E$2,FALSE))*$D$9*$D$8*(HLOOKUP(BN$23,$G$18:$R$19,2,FALSE)*(1-$D$12)^($F39-'הנחות עבודה'!$C$5)/$D$11)/$D$11)</f>
        <v>0</v>
      </c>
      <c r="BO39" s="52">
        <f ca="1">IF(OR($F39&gt;$D$5,$F39&gt;MAX('הנחות עבודה'!$B$69:$B$89)),0,(VLOOKUP($F39,'התפלגות ייצור וסל דלקים'!$B$64:$BV$84,BO$2-$E$2,FALSE))*$D$9*$D$8*(HLOOKUP(BO$23,$G$18:$R$19,2,FALSE)*(1-$D$12)^($F39-'הנחות עבודה'!$C$5)/$D$11)/$D$11)</f>
        <v>0</v>
      </c>
      <c r="BP39" s="127">
        <f ca="1">IF(OR($F39&gt;$D$5,$F39&gt;MAX('הנחות עבודה'!$B$69:$B$89)),0,(VLOOKUP($F39,'התפלגות ייצור וסל דלקים'!$B$64:$BV$84,BP$2-$E$2,FALSE))*$D$9*$D$8*(HLOOKUP(BP$23,$G$18:$R$19,2,FALSE)*(1-$D$12)^($F39-'הנחות עבודה'!$C$5)/$D$11)/$D$11)</f>
        <v>0</v>
      </c>
      <c r="BQ39" s="127">
        <f ca="1">IF(OR($F39&gt;$D$5,$F39&gt;MAX('הנחות עבודה'!$B$69:$B$89)),0,(VLOOKUP($F39,'התפלגות ייצור וסל דלקים'!$B$64:$BV$84,BQ$2-$E$2,FALSE))*$D$9*$D$8*(HLOOKUP(BQ$23,$G$18:$R$19,2,FALSE)*(1-$D$12)^($F39-'הנחות עבודה'!$C$5)/$D$11)/$D$11)</f>
        <v>0</v>
      </c>
      <c r="BR39" s="127">
        <f ca="1">IF(OR($F39&gt;$D$5,$F39&gt;MAX('הנחות עבודה'!$B$69:$B$89)),0,(VLOOKUP($F39,'התפלגות ייצור וסל דלקים'!$B$64:$BV$84,BR$2-$E$2,FALSE))*$D$9*$D$8*(HLOOKUP(BR$23,$G$18:$R$19,2,FALSE)*(1-$D$12)^($F39-'הנחות עבודה'!$C$5)/$D$11)/$D$11)</f>
        <v>0</v>
      </c>
      <c r="BS39" s="127">
        <f ca="1">IF(OR($F39&gt;$D$5,$F39&gt;MAX('הנחות עבודה'!$B$69:$B$89)),0,(VLOOKUP($F39,'התפלגות ייצור וסל דלקים'!$B$64:$BV$84,BS$2-$E$2,FALSE))*$D$9*$D$8*(HLOOKUP(BS$23,$G$18:$R$19,2,FALSE)*(1-$D$12)^($F39-'הנחות עבודה'!$C$5)/$D$11)/$D$11)</f>
        <v>0</v>
      </c>
      <c r="BT39" s="127">
        <f ca="1">IF(OR($F39&gt;$D$5,$F39&gt;MAX('הנחות עבודה'!$B$69:$B$89)),0,(VLOOKUP($F39,'התפלגות ייצור וסל דלקים'!$B$64:$BV$84,BT$2-$E$2,FALSE))*$D$9*$D$8*(HLOOKUP(BT$23,$G$18:$R$19,2,FALSE)*(1-$D$12)^($F39-'הנחות עבודה'!$C$5)/$D$11)/$D$11)</f>
        <v>0</v>
      </c>
      <c r="BU39" s="52">
        <f ca="1">IF(OR($F39&gt;$D$5,$F39&gt;MAX('הנחות עבודה'!$B$69:$B$89)),0,(VLOOKUP($F39,'התפלגות ייצור וסל דלקים'!$B$64:$BV$84,BU$2-$E$2,FALSE))*$D$9*$D$8*(HLOOKUP(BU$23,$G$18:$R$19,2,FALSE)*(1-$D$12)^($F39-'הנחות עבודה'!$C$5)/$D$11)/$D$11)</f>
        <v>3.8808000000000002E-3</v>
      </c>
      <c r="BV39" s="52">
        <f ca="1">IF(OR($F39&gt;$D$5,$F39&gt;MAX('הנחות עבודה'!$B$69:$B$89)),0,(VLOOKUP($F39,'התפלגות ייצור וסל דלקים'!$B$64:$BV$84,BV$2-$E$2,FALSE))*$D$9*$D$8*(HLOOKUP(BV$23,$G$18:$R$19,2,FALSE)*(1-$D$12)^($F39-'הנחות עבודה'!$C$5)/$D$11)/$D$11)</f>
        <v>1.0850538910207664E-2</v>
      </c>
      <c r="BW39" s="52">
        <f ca="1">IF(OR($F39&gt;$D$5,$F39&gt;MAX('הנחות עבודה'!$B$69:$B$89)),0,(VLOOKUP($F39,'התפלגות ייצור וסל דלקים'!$B$64:$BV$84,BW$2-$E$2,FALSE))*$D$9*$D$8*(HLOOKUP(BW$23,$G$18:$R$19,2,FALSE)*(1-$D$12)^($F39-'הנחות עבודה'!$C$5)/$D$11)/$D$11)</f>
        <v>0</v>
      </c>
      <c r="BX39" s="52">
        <f ca="1">IF(OR($F39&gt;$D$5,$F39&gt;MAX('הנחות עבודה'!$B$69:$B$89)),0,(VLOOKUP($F39,'התפלגות ייצור וסל דלקים'!$B$64:$BV$84,BX$2-$E$2,FALSE))*$D$9*$D$8*(HLOOKUP(BX$23,$G$18:$R$19,2,FALSE)*(1-$D$12)^($F39-'הנחות עבודה'!$C$5)/$D$11)/$D$11)</f>
        <v>0</v>
      </c>
      <c r="BY39" s="52">
        <f ca="1">IF(OR($F39&gt;$D$5,$F39&gt;MAX('הנחות עבודה'!$B$69:$B$89)),0,(VLOOKUP($F39,'התפלגות ייצור וסל דלקים'!$B$64:$BV$84,BY$2-$E$2,FALSE))*$D$9*$D$8*(HLOOKUP(BY$23,$G$18:$R$19,2,FALSE)*(1-$D$12)^($F39-'הנחות עבודה'!$C$5)/$D$11)/$D$11)</f>
        <v>0</v>
      </c>
      <c r="BZ39" s="52">
        <f ca="1">IF(OR($F39&gt;$D$5,$F39&gt;MAX('הנחות עבודה'!$B$69:$B$89)),0,(VLOOKUP($F39,'התפלגות ייצור וסל דלקים'!$B$64:$BV$84,BZ$2-$E$2,FALSE))*$D$9*$D$8*(HLOOKUP(BZ$23,$G$18:$R$19,2,FALSE)*(1-$D$12)^($F39-'הנחות עבודה'!$C$5)/$D$11)/$D$11)</f>
        <v>0</v>
      </c>
    </row>
    <row r="40" spans="6:78" ht="15.75">
      <c r="F40" s="10">
        <f t="shared" si="110"/>
        <v>2036</v>
      </c>
      <c r="G40" s="42">
        <f ca="1">IF(OR($F40&gt;$D$5,$F40&gt;MAX('הנחות עבודה'!$B$69:$B$89)),0,(VLOOKUP($F40,'התפלגות ייצור וסל דלקים'!$B$64:$BV$84,G$2-$E$2,FALSE))*$D$9*$D$8*(HLOOKUP(G$23,$G$18:$R$19,2,FALSE)*(1-$D$12)^($F40-'הנחות עבודה'!$C$5)/$D$11)/$D$11)</f>
        <v>0</v>
      </c>
      <c r="H40" s="44">
        <f ca="1">IF(OR($F40&gt;$D$5,$F40&gt;MAX('הנחות עבודה'!$B$69:$B$89)),0,(VLOOKUP($F40,'התפלגות ייצור וסל דלקים'!$B$64:$BV$84,H$2-$E$2,FALSE))*$D$9*$D$8*(HLOOKUP(H$23,$G$18:$R$19,2,FALSE)*(1-$D$12)^($F40-'הנחות עבודה'!$C$5)/$D$11)/$D$11)</f>
        <v>0</v>
      </c>
      <c r="I40" s="44">
        <f ca="1">IF(OR($F40&gt;$D$5,$F40&gt;MAX('הנחות עבודה'!$B$69:$B$89)),0,(VLOOKUP($F40,'התפלגות ייצור וסל דלקים'!$B$64:$BV$84,I$2-$E$2,FALSE))*$D$9*$D$8*(HLOOKUP(I$23,$G$18:$R$19,2,FALSE)*(1-$D$12)^($F40-'הנחות עבודה'!$C$5)/$D$11)/$D$11)</f>
        <v>0</v>
      </c>
      <c r="J40" s="44">
        <f ca="1">IF(OR($F40&gt;$D$5,$F40&gt;MAX('הנחות עבודה'!$B$69:$B$89)),0,(VLOOKUP($F40,'התפלגות ייצור וסל דלקים'!$B$64:$BV$84,J$2-$E$2,FALSE))*$D$9*$D$8*(HLOOKUP(J$23,$G$18:$R$19,2,FALSE)*(1-$D$12)^($F40-'הנחות עבודה'!$C$5)/$D$11)/$D$11)</f>
        <v>0</v>
      </c>
      <c r="K40" s="44">
        <f ca="1">IF(OR($F40&gt;$D$5,$F40&gt;MAX('הנחות עבודה'!$B$69:$B$89)),0,(VLOOKUP($F40,'התפלגות ייצור וסל דלקים'!$B$64:$BV$84,K$2-$E$2,FALSE))*$D$9*$D$8*(HLOOKUP(K$23,$G$18:$R$19,2,FALSE)*(1-$D$12)^($F40-'הנחות עבודה'!$C$5)/$D$11)/$D$11)</f>
        <v>0</v>
      </c>
      <c r="L40" s="44">
        <f ca="1">IF(OR($F40&gt;$D$5,$F40&gt;MAX('הנחות עבודה'!$B$69:$B$89)),0,(VLOOKUP($F40,'התפלגות ייצור וסל דלקים'!$B$64:$BV$84,L$2-$E$2,FALSE))*$D$9*$D$8*(HLOOKUP(L$23,$G$18:$R$19,2,FALSE)*(1-$D$12)^($F40-'הנחות עבודה'!$C$5)/$D$11)/$D$11)</f>
        <v>0</v>
      </c>
      <c r="M40" s="42">
        <f ca="1">IF(OR($F40&gt;$D$5,$F40&gt;MAX('הנחות עבודה'!$B$69:$B$89)),0,(VLOOKUP($F40,'התפלגות ייצור וסל דלקים'!$B$64:$BV$84,M$2-$E$2,FALSE))*$D$9*$D$8*(HLOOKUP(M$23,$G$18:$R$19,2,FALSE)*(1-$D$12)^($F40-'הנחות עבודה'!$C$5)/$D$11)/$D$11)</f>
        <v>3.6280031999999995E-3</v>
      </c>
      <c r="N40" s="42">
        <f ca="1">IF(OR($F40&gt;$D$5,$F40&gt;MAX('הנחות עבודה'!$B$69:$B$89)),0,(VLOOKUP($F40,'התפלגות ייצור וסל דלקים'!$B$64:$BV$84,N$2-$E$2,FALSE))*$D$9*$D$8*(HLOOKUP(N$23,$G$18:$R$19,2,FALSE)*(1-$D$12)^($F40-'הנחות עבודה'!$C$5)/$D$11)/$D$11)</f>
        <v>1.3534591892058591E-2</v>
      </c>
      <c r="O40" s="42">
        <f ca="1">IF(OR($F40&gt;$D$5,$F40&gt;MAX('הנחות עבודה'!$B$69:$B$89)),0,(VLOOKUP($F40,'התפלגות ייצור וסל דלקים'!$B$64:$BV$84,O$2-$E$2,FALSE))*$D$9*$D$8*(HLOOKUP(O$23,$G$18:$R$19,2,FALSE)*(1-$D$12)^($F40-'הנחות עבודה'!$C$5)/$D$11)/$D$11)</f>
        <v>0</v>
      </c>
      <c r="P40" s="42">
        <f ca="1">IF(OR($F40&gt;$D$5,$F40&gt;MAX('הנחות עבודה'!$B$69:$B$89)),0,(VLOOKUP($F40,'התפלגות ייצור וסל דלקים'!$B$64:$BV$84,P$2-$E$2,FALSE))*$D$9*$D$8*(HLOOKUP(P$23,$G$18:$R$19,2,FALSE)*(1-$D$12)^($F40-'הנחות עבודה'!$C$5)/$D$11)/$D$11)</f>
        <v>0</v>
      </c>
      <c r="Q40" s="42">
        <f ca="1">IF(OR($F40&gt;$D$5,$F40&gt;MAX('הנחות עבודה'!$B$69:$B$89)),0,(VLOOKUP($F40,'התפלגות ייצור וסל דלקים'!$B$64:$BV$84,Q$2-$E$2,FALSE))*$D$9*$D$8*(HLOOKUP(Q$23,$G$18:$R$19,2,FALSE)*(1-$D$12)^($F40-'הנחות עבודה'!$C$5)/$D$11)/$D$11)</f>
        <v>0</v>
      </c>
      <c r="R40" s="42">
        <f ca="1">IF(OR($F40&gt;$D$5,$F40&gt;MAX('הנחות עבודה'!$B$69:$B$89)),0,(VLOOKUP($F40,'התפלגות ייצור וסל דלקים'!$B$64:$BV$84,R$2-$E$2,FALSE))*$D$9*$D$8*(HLOOKUP(R$23,$G$18:$R$19,2,FALSE)*(1-$D$12)^($F40-'הנחות עבודה'!$C$5)/$D$11)/$D$11)</f>
        <v>0</v>
      </c>
      <c r="S40" s="52">
        <f ca="1">IF(OR($F40&gt;$D$5,$F40&gt;MAX('הנחות עבודה'!$B$69:$B$89)),0,(VLOOKUP($F40,'התפלגות ייצור וסל דלקים'!$B$64:$BV$84,S$2-$E$2,FALSE))*$D$9*$D$8*(HLOOKUP(S$23,$G$18:$R$19,2,FALSE)*(1-$D$12)^($F40-'הנחות עבודה'!$C$5)/$D$11)/$D$11)</f>
        <v>0</v>
      </c>
      <c r="T40" s="127">
        <f ca="1">IF(OR($F40&gt;$D$5,$F40&gt;MAX('הנחות עבודה'!$B$69:$B$89)),0,(VLOOKUP($F40,'התפלגות ייצור וסל דלקים'!$B$64:$BV$84,T$2-$E$2,FALSE))*$D$9*$D$8*(HLOOKUP(T$23,$G$18:$R$19,2,FALSE)*(1-$D$12)^($F40-'הנחות עבודה'!$C$5)/$D$11)/$D$11)</f>
        <v>0</v>
      </c>
      <c r="U40" s="127">
        <f ca="1">IF(OR($F40&gt;$D$5,$F40&gt;MAX('הנחות עבודה'!$B$69:$B$89)),0,(VLOOKUP($F40,'התפלגות ייצור וסל דלקים'!$B$64:$BV$84,U$2-$E$2,FALSE))*$D$9*$D$8*(HLOOKUP(U$23,$G$18:$R$19,2,FALSE)*(1-$D$12)^($F40-'הנחות עבודה'!$C$5)/$D$11)/$D$11)</f>
        <v>0</v>
      </c>
      <c r="V40" s="127">
        <f ca="1">IF(OR($F40&gt;$D$5,$F40&gt;MAX('הנחות עבודה'!$B$69:$B$89)),0,(VLOOKUP($F40,'התפלגות ייצור וסל דלקים'!$B$64:$BV$84,V$2-$E$2,FALSE))*$D$9*$D$8*(HLOOKUP(V$23,$G$18:$R$19,2,FALSE)*(1-$D$12)^($F40-'הנחות עבודה'!$C$5)/$D$11)/$D$11)</f>
        <v>0</v>
      </c>
      <c r="W40" s="127">
        <f ca="1">IF(OR($F40&gt;$D$5,$F40&gt;MAX('הנחות עבודה'!$B$69:$B$89)),0,(VLOOKUP($F40,'התפלגות ייצור וסל דלקים'!$B$64:$BV$84,W$2-$E$2,FALSE))*$D$9*$D$8*(HLOOKUP(W$23,$G$18:$R$19,2,FALSE)*(1-$D$12)^($F40-'הנחות עבודה'!$C$5)/$D$11)/$D$11)</f>
        <v>0</v>
      </c>
      <c r="X40" s="127">
        <f ca="1">IF(OR($F40&gt;$D$5,$F40&gt;MAX('הנחות עבודה'!$B$69:$B$89)),0,(VLOOKUP($F40,'התפלגות ייצור וסל דלקים'!$B$64:$BV$84,X$2-$E$2,FALSE))*$D$9*$D$8*(HLOOKUP(X$23,$G$18:$R$19,2,FALSE)*(1-$D$12)^($F40-'הנחות עבודה'!$C$5)/$D$11)/$D$11)</f>
        <v>0</v>
      </c>
      <c r="Y40" s="52">
        <f ca="1">IF(OR($F40&gt;$D$5,$F40&gt;MAX('הנחות עבודה'!$B$69:$B$89)),0,(VLOOKUP($F40,'התפלגות ייצור וסל דלקים'!$B$64:$BV$84,Y$2-$E$2,FALSE))*$D$9*$D$8*(HLOOKUP(Y$23,$G$18:$R$19,2,FALSE)*(1-$D$12)^($F40-'הנחות עבודה'!$C$5)/$D$11)/$D$11)</f>
        <v>3.6280031999999995E-3</v>
      </c>
      <c r="Z40" s="52">
        <f ca="1">IF(OR($F40&gt;$D$5,$F40&gt;MAX('הנחות עבודה'!$B$69:$B$89)),0,(VLOOKUP($F40,'התפלגות ייצור וסל דלקים'!$B$64:$BV$84,Z$2-$E$2,FALSE))*$D$9*$D$8*(HLOOKUP(Z$23,$G$18:$R$19,2,FALSE)*(1-$D$12)^($F40-'הנחות עבודה'!$C$5)/$D$11)/$D$11)</f>
        <v>1.3534591892058591E-2</v>
      </c>
      <c r="AA40" s="52">
        <f ca="1">IF(OR($F40&gt;$D$5,$F40&gt;MAX('הנחות עבודה'!$B$69:$B$89)),0,(VLOOKUP($F40,'התפלגות ייצור וסל דלקים'!$B$64:$BV$84,AA$2-$E$2,FALSE))*$D$9*$D$8*(HLOOKUP(AA$23,$G$18:$R$19,2,FALSE)*(1-$D$12)^($F40-'הנחות עבודה'!$C$5)/$D$11)/$D$11)</f>
        <v>0</v>
      </c>
      <c r="AB40" s="52">
        <f ca="1">IF(OR($F40&gt;$D$5,$F40&gt;MAX('הנחות עבודה'!$B$69:$B$89)),0,(VLOOKUP($F40,'התפלגות ייצור וסל דלקים'!$B$64:$BV$84,AB$2-$E$2,FALSE))*$D$9*$D$8*(HLOOKUP(AB$23,$G$18:$R$19,2,FALSE)*(1-$D$12)^($F40-'הנחות עבודה'!$C$5)/$D$11)/$D$11)</f>
        <v>0</v>
      </c>
      <c r="AC40" s="52">
        <f ca="1">IF(OR($F40&gt;$D$5,$F40&gt;MAX('הנחות עבודה'!$B$69:$B$89)),0,(VLOOKUP($F40,'התפלגות ייצור וסל דלקים'!$B$64:$BV$84,AC$2-$E$2,FALSE))*$D$9*$D$8*(HLOOKUP(AC$23,$G$18:$R$19,2,FALSE)*(1-$D$12)^($F40-'הנחות עבודה'!$C$5)/$D$11)/$D$11)</f>
        <v>0</v>
      </c>
      <c r="AD40" s="52">
        <f ca="1">IF(OR($F40&gt;$D$5,$F40&gt;MAX('הנחות עבודה'!$B$69:$B$89)),0,(VLOOKUP($F40,'התפלגות ייצור וסל דלקים'!$B$64:$BV$84,AD$2-$E$2,FALSE))*$D$9*$D$8*(HLOOKUP(AD$23,$G$18:$R$19,2,FALSE)*(1-$D$12)^($F40-'הנחות עבודה'!$C$5)/$D$11)/$D$11)</f>
        <v>0</v>
      </c>
      <c r="AE40" s="42">
        <f ca="1">IF(OR($F40&gt;$D$5,$F40&gt;MAX('הנחות עבודה'!$B$69:$B$89)),0,(VLOOKUP($F40,'התפלגות ייצור וסל דלקים'!$B$64:$BV$84,AE$2-$E$2,FALSE))*$D$9*$D$8*(HLOOKUP(AE$23,$G$18:$R$19,2,FALSE)*(1-$D$12)^($F40-'הנחות עבודה'!$C$5)/$D$11)/$D$11)</f>
        <v>0</v>
      </c>
      <c r="AF40" s="44">
        <f ca="1">IF(OR($F40&gt;$D$5,$F40&gt;MAX('הנחות עבודה'!$B$69:$B$89)),0,(VLOOKUP($F40,'התפלגות ייצור וסל דלקים'!$B$64:$BV$84,AF$2-$E$2,FALSE))*$D$9*$D$8*(HLOOKUP(AF$23,$G$18:$R$19,2,FALSE)*(1-$D$12)^($F40-'הנחות עבודה'!$C$5)/$D$11)/$D$11)</f>
        <v>0</v>
      </c>
      <c r="AG40" s="44">
        <f ca="1">IF(OR($F40&gt;$D$5,$F40&gt;MAX('הנחות עבודה'!$B$69:$B$89)),0,(VLOOKUP($F40,'התפלגות ייצור וסל דלקים'!$B$64:$BV$84,AG$2-$E$2,FALSE))*$D$9*$D$8*(HLOOKUP(AG$23,$G$18:$R$19,2,FALSE)*(1-$D$12)^($F40-'הנחות עבודה'!$C$5)/$D$11)/$D$11)</f>
        <v>0</v>
      </c>
      <c r="AH40" s="44">
        <f ca="1">IF(OR($F40&gt;$D$5,$F40&gt;MAX('הנחות עבודה'!$B$69:$B$89)),0,(VLOOKUP($F40,'התפלגות ייצור וסל דלקים'!$B$64:$BV$84,AH$2-$E$2,FALSE))*$D$9*$D$8*(HLOOKUP(AH$23,$G$18:$R$19,2,FALSE)*(1-$D$12)^($F40-'הנחות עבודה'!$C$5)/$D$11)/$D$11)</f>
        <v>0</v>
      </c>
      <c r="AI40" s="44">
        <f ca="1">IF(OR($F40&gt;$D$5,$F40&gt;MAX('הנחות עבודה'!$B$69:$B$89)),0,(VLOOKUP($F40,'התפלגות ייצור וסל דלקים'!$B$64:$BV$84,AI$2-$E$2,FALSE))*$D$9*$D$8*(HLOOKUP(AI$23,$G$18:$R$19,2,FALSE)*(1-$D$12)^($F40-'הנחות עבודה'!$C$5)/$D$11)/$D$11)</f>
        <v>0</v>
      </c>
      <c r="AJ40" s="44">
        <f ca="1">IF(OR($F40&gt;$D$5,$F40&gt;MAX('הנחות עבודה'!$B$69:$B$89)),0,(VLOOKUP($F40,'התפלגות ייצור וסל דלקים'!$B$64:$BV$84,AJ$2-$E$2,FALSE))*$D$9*$D$8*(HLOOKUP(AJ$23,$G$18:$R$19,2,FALSE)*(1-$D$12)^($F40-'הנחות עבודה'!$C$5)/$D$11)/$D$11)</f>
        <v>0</v>
      </c>
      <c r="AK40" s="42">
        <f ca="1">IF(OR($F40&gt;$D$5,$F40&gt;MAX('הנחות עבודה'!$B$69:$B$89)),0,(VLOOKUP($F40,'התפלגות ייצור וסל דלקים'!$B$64:$BV$84,AK$2-$E$2,FALSE))*$D$9*$D$8*(HLOOKUP(AK$23,$G$18:$R$19,2,FALSE)*(1-$D$12)^($F40-'הנחות עבודה'!$C$5)/$D$11)/$D$11)</f>
        <v>3.8382503999999989E-3</v>
      </c>
      <c r="AL40" s="42">
        <f ca="1">IF(OR($F40&gt;$D$5,$F40&gt;MAX('הנחות עבודה'!$B$69:$B$89)),0,(VLOOKUP($F40,'התפלגות ייצור וסל דלקים'!$B$64:$BV$84,AL$2-$E$2,FALSE))*$D$9*$D$8*(HLOOKUP(AL$23,$G$18:$R$19,2,FALSE)*(1-$D$12)^($F40-'הנחות עבודה'!$C$5)/$D$11)/$D$11)</f>
        <v>1.219344332517283E-2</v>
      </c>
      <c r="AM40" s="42">
        <f ca="1">IF(OR($F40&gt;$D$5,$F40&gt;MAX('הנחות עבודה'!$B$69:$B$89)),0,(VLOOKUP($F40,'התפלגות ייצור וסל דלקים'!$B$64:$BV$84,AM$2-$E$2,FALSE))*$D$9*$D$8*(HLOOKUP(AM$23,$G$18:$R$19,2,FALSE)*(1-$D$12)^($F40-'הנחות עבודה'!$C$5)/$D$11)/$D$11)</f>
        <v>0</v>
      </c>
      <c r="AN40" s="42">
        <f ca="1">IF(OR($F40&gt;$D$5,$F40&gt;MAX('הנחות עבודה'!$B$69:$B$89)),0,(VLOOKUP($F40,'התפלגות ייצור וסל דלקים'!$B$64:$BV$84,AN$2-$E$2,FALSE))*$D$9*$D$8*(HLOOKUP(AN$23,$G$18:$R$19,2,FALSE)*(1-$D$12)^($F40-'הנחות עבודה'!$C$5)/$D$11)/$D$11)</f>
        <v>0</v>
      </c>
      <c r="AO40" s="42">
        <f ca="1">IF(OR($F40&gt;$D$5,$F40&gt;MAX('הנחות עבודה'!$B$69:$B$89)),0,(VLOOKUP($F40,'התפלגות ייצור וסל דלקים'!$B$64:$BV$84,AO$2-$E$2,FALSE))*$D$9*$D$8*(HLOOKUP(AO$23,$G$18:$R$19,2,FALSE)*(1-$D$12)^($F40-'הנחות עבודה'!$C$5)/$D$11)/$D$11)</f>
        <v>0</v>
      </c>
      <c r="AP40" s="42">
        <f ca="1">IF(OR($F40&gt;$D$5,$F40&gt;MAX('הנחות עבודה'!$B$69:$B$89)),0,(VLOOKUP($F40,'התפלגות ייצור וסל דלקים'!$B$64:$BV$84,AP$2-$E$2,FALSE))*$D$9*$D$8*(HLOOKUP(AP$23,$G$18:$R$19,2,FALSE)*(1-$D$12)^($F40-'הנחות עבודה'!$C$5)/$D$11)/$D$11)</f>
        <v>0</v>
      </c>
      <c r="AQ40" s="52">
        <f ca="1">IF(OR($F40&gt;$D$5,$F40&gt;MAX('הנחות עבודה'!$B$69:$B$89)),0,(VLOOKUP($F40,'התפלגות ייצור וסל דלקים'!$B$64:$BV$84,AQ$2-$E$2,FALSE))*$D$9*$D$8*(HLOOKUP(AQ$23,$G$18:$R$19,2,FALSE)*(1-$D$12)^($F40-'הנחות עבודה'!$C$5)/$D$11)/$D$11)</f>
        <v>0</v>
      </c>
      <c r="AR40" s="127">
        <f ca="1">IF(OR($F40&gt;$D$5,$F40&gt;MAX('הנחות עבודה'!$B$69:$B$89)),0,(VLOOKUP($F40,'התפלגות ייצור וסל דלקים'!$B$64:$BV$84,AR$2-$E$2,FALSE))*$D$9*$D$8*(HLOOKUP(AR$23,$G$18:$R$19,2,FALSE)*(1-$D$12)^($F40-'הנחות עבודה'!$C$5)/$D$11)/$D$11)</f>
        <v>0</v>
      </c>
      <c r="AS40" s="127">
        <f ca="1">IF(OR($F40&gt;$D$5,$F40&gt;MAX('הנחות עבודה'!$B$69:$B$89)),0,(VLOOKUP($F40,'התפלגות ייצור וסל דלקים'!$B$64:$BV$84,AS$2-$E$2,FALSE))*$D$9*$D$8*(HLOOKUP(AS$23,$G$18:$R$19,2,FALSE)*(1-$D$12)^($F40-'הנחות עבודה'!$C$5)/$D$11)/$D$11)</f>
        <v>0</v>
      </c>
      <c r="AT40" s="127">
        <f ca="1">IF(OR($F40&gt;$D$5,$F40&gt;MAX('הנחות עבודה'!$B$69:$B$89)),0,(VLOOKUP($F40,'התפלגות ייצור וסל דלקים'!$B$64:$BV$84,AT$2-$E$2,FALSE))*$D$9*$D$8*(HLOOKUP(AT$23,$G$18:$R$19,2,FALSE)*(1-$D$12)^($F40-'הנחות עבודה'!$C$5)/$D$11)/$D$11)</f>
        <v>0</v>
      </c>
      <c r="AU40" s="127">
        <f ca="1">IF(OR($F40&gt;$D$5,$F40&gt;MAX('הנחות עבודה'!$B$69:$B$89)),0,(VLOOKUP($F40,'התפלגות ייצור וסל דלקים'!$B$64:$BV$84,AU$2-$E$2,FALSE))*$D$9*$D$8*(HLOOKUP(AU$23,$G$18:$R$19,2,FALSE)*(1-$D$12)^($F40-'הנחות עבודה'!$C$5)/$D$11)/$D$11)</f>
        <v>0</v>
      </c>
      <c r="AV40" s="127">
        <f ca="1">IF(OR($F40&gt;$D$5,$F40&gt;MAX('הנחות עבודה'!$B$69:$B$89)),0,(VLOOKUP($F40,'התפלגות ייצור וסל דלקים'!$B$64:$BV$84,AV$2-$E$2,FALSE))*$D$9*$D$8*(HLOOKUP(AV$23,$G$18:$R$19,2,FALSE)*(1-$D$12)^($F40-'הנחות עבודה'!$C$5)/$D$11)/$D$11)</f>
        <v>0</v>
      </c>
      <c r="AW40" s="52">
        <f ca="1">IF(OR($F40&gt;$D$5,$F40&gt;MAX('הנחות עבודה'!$B$69:$B$89)),0,(VLOOKUP($F40,'התפלגות ייצור וסל דלקים'!$B$64:$BV$84,AW$2-$E$2,FALSE))*$D$9*$D$8*(HLOOKUP(AW$23,$G$18:$R$19,2,FALSE)*(1-$D$12)^($F40-'הנחות עבודה'!$C$5)/$D$11)/$D$11)</f>
        <v>3.8382503999999989E-3</v>
      </c>
      <c r="AX40" s="52">
        <f ca="1">IF(OR($F40&gt;$D$5,$F40&gt;MAX('הנחות עבודה'!$B$69:$B$89)),0,(VLOOKUP($F40,'התפלגות ייצור וסל דלקים'!$B$64:$BV$84,AX$2-$E$2,FALSE))*$D$9*$D$8*(HLOOKUP(AX$23,$G$18:$R$19,2,FALSE)*(1-$D$12)^($F40-'הנחות עבודה'!$C$5)/$D$11)/$D$11)</f>
        <v>1.219344332517283E-2</v>
      </c>
      <c r="AY40" s="52">
        <f ca="1">IF(OR($F40&gt;$D$5,$F40&gt;MAX('הנחות עבודה'!$B$69:$B$89)),0,(VLOOKUP($F40,'התפלגות ייצור וסל דלקים'!$B$64:$BV$84,AY$2-$E$2,FALSE))*$D$9*$D$8*(HLOOKUP(AY$23,$G$18:$R$19,2,FALSE)*(1-$D$12)^($F40-'הנחות עבודה'!$C$5)/$D$11)/$D$11)</f>
        <v>0</v>
      </c>
      <c r="AZ40" s="52">
        <f ca="1">IF(OR($F40&gt;$D$5,$F40&gt;MAX('הנחות עבודה'!$B$69:$B$89)),0,(VLOOKUP($F40,'התפלגות ייצור וסל דלקים'!$B$64:$BV$84,AZ$2-$E$2,FALSE))*$D$9*$D$8*(HLOOKUP(AZ$23,$G$18:$R$19,2,FALSE)*(1-$D$12)^($F40-'הנחות עבודה'!$C$5)/$D$11)/$D$11)</f>
        <v>0</v>
      </c>
      <c r="BA40" s="52">
        <f ca="1">IF(OR($F40&gt;$D$5,$F40&gt;MAX('הנחות עבודה'!$B$69:$B$89)),0,(VLOOKUP($F40,'התפלגות ייצור וסל דלקים'!$B$64:$BV$84,BA$2-$E$2,FALSE))*$D$9*$D$8*(HLOOKUP(BA$23,$G$18:$R$19,2,FALSE)*(1-$D$12)^($F40-'הנחות עבודה'!$C$5)/$D$11)/$D$11)</f>
        <v>0</v>
      </c>
      <c r="BB40" s="52">
        <f ca="1">IF(OR($F40&gt;$D$5,$F40&gt;MAX('הנחות עבודה'!$B$69:$B$89)),0,(VLOOKUP($F40,'התפלגות ייצור וסל דלקים'!$B$64:$BV$84,BB$2-$E$2,FALSE))*$D$9*$D$8*(HLOOKUP(BB$23,$G$18:$R$19,2,FALSE)*(1-$D$12)^($F40-'הנחות עבודה'!$C$5)/$D$11)/$D$11)</f>
        <v>0</v>
      </c>
      <c r="BC40" s="42">
        <f ca="1">IF(OR($F40&gt;$D$5,$F40&gt;MAX('הנחות עבודה'!$B$69:$B$89)),0,(VLOOKUP($F40,'התפלגות ייצור וסל דלקים'!$B$64:$BV$84,BC$2-$E$2,FALSE))*$D$9*$D$8*(HLOOKUP(BC$23,$G$18:$R$19,2,FALSE)*(1-$D$12)^($F40-'הנחות עבודה'!$C$5)/$D$11)/$D$11)</f>
        <v>0</v>
      </c>
      <c r="BD40" s="44">
        <f ca="1">IF(OR($F40&gt;$D$5,$F40&gt;MAX('הנחות עבודה'!$B$69:$B$89)),0,(VLOOKUP($F40,'התפלגות ייצור וסל דלקים'!$B$64:$BV$84,BD$2-$E$2,FALSE))*$D$9*$D$8*(HLOOKUP(BD$23,$G$18:$R$19,2,FALSE)*(1-$D$12)^($F40-'הנחות עבודה'!$C$5)/$D$11)/$D$11)</f>
        <v>0</v>
      </c>
      <c r="BE40" s="44">
        <f ca="1">IF(OR($F40&gt;$D$5,$F40&gt;MAX('הנחות עבודה'!$B$69:$B$89)),0,(VLOOKUP($F40,'התפלגות ייצור וסל דלקים'!$B$64:$BV$84,BE$2-$E$2,FALSE))*$D$9*$D$8*(HLOOKUP(BE$23,$G$18:$R$19,2,FALSE)*(1-$D$12)^($F40-'הנחות עבודה'!$C$5)/$D$11)/$D$11)</f>
        <v>0</v>
      </c>
      <c r="BF40" s="44">
        <f ca="1">IF(OR($F40&gt;$D$5,$F40&gt;MAX('הנחות עבודה'!$B$69:$B$89)),0,(VLOOKUP($F40,'התפלגות ייצור וסל דלקים'!$B$64:$BV$84,BF$2-$E$2,FALSE))*$D$9*$D$8*(HLOOKUP(BF$23,$G$18:$R$19,2,FALSE)*(1-$D$12)^($F40-'הנחות עבודה'!$C$5)/$D$11)/$D$11)</f>
        <v>0</v>
      </c>
      <c r="BG40" s="44">
        <f ca="1">IF(OR($F40&gt;$D$5,$F40&gt;MAX('הנחות עבודה'!$B$69:$B$89)),0,(VLOOKUP($F40,'התפלגות ייצור וסל דלקים'!$B$64:$BV$84,BG$2-$E$2,FALSE))*$D$9*$D$8*(HLOOKUP(BG$23,$G$18:$R$19,2,FALSE)*(1-$D$12)^($F40-'הנחות עבודה'!$C$5)/$D$11)/$D$11)</f>
        <v>0</v>
      </c>
      <c r="BH40" s="44">
        <f ca="1">IF(OR($F40&gt;$D$5,$F40&gt;MAX('הנחות עבודה'!$B$69:$B$89)),0,(VLOOKUP($F40,'התפלגות ייצור וסל דלקים'!$B$64:$BV$84,BH$2-$E$2,FALSE))*$D$9*$D$8*(HLOOKUP(BH$23,$G$18:$R$19,2,FALSE)*(1-$D$12)^($F40-'הנחות עבודה'!$C$5)/$D$11)/$D$11)</f>
        <v>0</v>
      </c>
      <c r="BI40" s="42">
        <f ca="1">IF(OR($F40&gt;$D$5,$F40&gt;MAX('הנחות עבודה'!$B$69:$B$89)),0,(VLOOKUP($F40,'התפלגות ייצור וסל דלקים'!$B$64:$BV$84,BI$2-$E$2,FALSE))*$D$9*$D$8*(HLOOKUP(BI$23,$G$18:$R$19,2,FALSE)*(1-$D$12)^($F40-'הנחות עבודה'!$C$5)/$D$11)/$D$11)</f>
        <v>3.9172799999999995E-3</v>
      </c>
      <c r="BJ40" s="42">
        <f ca="1">IF(OR($F40&gt;$D$5,$F40&gt;MAX('הנחות עבודה'!$B$69:$B$89)),0,(VLOOKUP($F40,'התפלגות ייצור וסל דלקים'!$B$64:$BV$84,BJ$2-$E$2,FALSE))*$D$9*$D$8*(HLOOKUP(BJ$23,$G$18:$R$19,2,FALSE)*(1-$D$12)^($F40-'הנחות עבודה'!$C$5)/$D$11)/$D$11)</f>
        <v>1.1390698470869227E-2</v>
      </c>
      <c r="BK40" s="42">
        <f ca="1">IF(OR($F40&gt;$D$5,$F40&gt;MAX('הנחות עבודה'!$B$69:$B$89)),0,(VLOOKUP($F40,'התפלגות ייצור וסל דלקים'!$B$64:$BV$84,BK$2-$E$2,FALSE))*$D$9*$D$8*(HLOOKUP(BK$23,$G$18:$R$19,2,FALSE)*(1-$D$12)^($F40-'הנחות עבודה'!$C$5)/$D$11)/$D$11)</f>
        <v>0</v>
      </c>
      <c r="BL40" s="42">
        <f ca="1">IF(OR($F40&gt;$D$5,$F40&gt;MAX('הנחות עבודה'!$B$69:$B$89)),0,(VLOOKUP($F40,'התפלגות ייצור וסל דלקים'!$B$64:$BV$84,BL$2-$E$2,FALSE))*$D$9*$D$8*(HLOOKUP(BL$23,$G$18:$R$19,2,FALSE)*(1-$D$12)^($F40-'הנחות עבודה'!$C$5)/$D$11)/$D$11)</f>
        <v>0</v>
      </c>
      <c r="BM40" s="42">
        <f ca="1">IF(OR($F40&gt;$D$5,$F40&gt;MAX('הנחות עבודה'!$B$69:$B$89)),0,(VLOOKUP($F40,'התפלגות ייצור וסל דלקים'!$B$64:$BV$84,BM$2-$E$2,FALSE))*$D$9*$D$8*(HLOOKUP(BM$23,$G$18:$R$19,2,FALSE)*(1-$D$12)^($F40-'הנחות עבודה'!$C$5)/$D$11)/$D$11)</f>
        <v>0</v>
      </c>
      <c r="BN40" s="42">
        <f ca="1">IF(OR($F40&gt;$D$5,$F40&gt;MAX('הנחות עבודה'!$B$69:$B$89)),0,(VLOOKUP($F40,'התפלגות ייצור וסל דלקים'!$B$64:$BV$84,BN$2-$E$2,FALSE))*$D$9*$D$8*(HLOOKUP(BN$23,$G$18:$R$19,2,FALSE)*(1-$D$12)^($F40-'הנחות עבודה'!$C$5)/$D$11)/$D$11)</f>
        <v>0</v>
      </c>
      <c r="BO40" s="52">
        <f ca="1">IF(OR($F40&gt;$D$5,$F40&gt;MAX('הנחות עבודה'!$B$69:$B$89)),0,(VLOOKUP($F40,'התפלגות ייצור וסל דלקים'!$B$64:$BV$84,BO$2-$E$2,FALSE))*$D$9*$D$8*(HLOOKUP(BO$23,$G$18:$R$19,2,FALSE)*(1-$D$12)^($F40-'הנחות עבודה'!$C$5)/$D$11)/$D$11)</f>
        <v>0</v>
      </c>
      <c r="BP40" s="127">
        <f ca="1">IF(OR($F40&gt;$D$5,$F40&gt;MAX('הנחות עבודה'!$B$69:$B$89)),0,(VLOOKUP($F40,'התפלגות ייצור וסל דלקים'!$B$64:$BV$84,BP$2-$E$2,FALSE))*$D$9*$D$8*(HLOOKUP(BP$23,$G$18:$R$19,2,FALSE)*(1-$D$12)^($F40-'הנחות עבודה'!$C$5)/$D$11)/$D$11)</f>
        <v>0</v>
      </c>
      <c r="BQ40" s="127">
        <f ca="1">IF(OR($F40&gt;$D$5,$F40&gt;MAX('הנחות עבודה'!$B$69:$B$89)),0,(VLOOKUP($F40,'התפלגות ייצור וסל דלקים'!$B$64:$BV$84,BQ$2-$E$2,FALSE))*$D$9*$D$8*(HLOOKUP(BQ$23,$G$18:$R$19,2,FALSE)*(1-$D$12)^($F40-'הנחות עבודה'!$C$5)/$D$11)/$D$11)</f>
        <v>0</v>
      </c>
      <c r="BR40" s="127">
        <f ca="1">IF(OR($F40&gt;$D$5,$F40&gt;MAX('הנחות עבודה'!$B$69:$B$89)),0,(VLOOKUP($F40,'התפלגות ייצור וסל דלקים'!$B$64:$BV$84,BR$2-$E$2,FALSE))*$D$9*$D$8*(HLOOKUP(BR$23,$G$18:$R$19,2,FALSE)*(1-$D$12)^($F40-'הנחות עבודה'!$C$5)/$D$11)/$D$11)</f>
        <v>0</v>
      </c>
      <c r="BS40" s="127">
        <f ca="1">IF(OR($F40&gt;$D$5,$F40&gt;MAX('הנחות עבודה'!$B$69:$B$89)),0,(VLOOKUP($F40,'התפלגות ייצור וסל דלקים'!$B$64:$BV$84,BS$2-$E$2,FALSE))*$D$9*$D$8*(HLOOKUP(BS$23,$G$18:$R$19,2,FALSE)*(1-$D$12)^($F40-'הנחות עבודה'!$C$5)/$D$11)/$D$11)</f>
        <v>0</v>
      </c>
      <c r="BT40" s="127">
        <f ca="1">IF(OR($F40&gt;$D$5,$F40&gt;MAX('הנחות עבודה'!$B$69:$B$89)),0,(VLOOKUP($F40,'התפלגות ייצור וסל דלקים'!$B$64:$BV$84,BT$2-$E$2,FALSE))*$D$9*$D$8*(HLOOKUP(BT$23,$G$18:$R$19,2,FALSE)*(1-$D$12)^($F40-'הנחות עבודה'!$C$5)/$D$11)/$D$11)</f>
        <v>0</v>
      </c>
      <c r="BU40" s="52">
        <f ca="1">IF(OR($F40&gt;$D$5,$F40&gt;MAX('הנחות עבודה'!$B$69:$B$89)),0,(VLOOKUP($F40,'התפלגות ייצור וסל דלקים'!$B$64:$BV$84,BU$2-$E$2,FALSE))*$D$9*$D$8*(HLOOKUP(BU$23,$G$18:$R$19,2,FALSE)*(1-$D$12)^($F40-'הנחות עבודה'!$C$5)/$D$11)/$D$11)</f>
        <v>3.9172799999999995E-3</v>
      </c>
      <c r="BV40" s="52">
        <f ca="1">IF(OR($F40&gt;$D$5,$F40&gt;MAX('הנחות עבודה'!$B$69:$B$89)),0,(VLOOKUP($F40,'התפלגות ייצור וסל דלקים'!$B$64:$BV$84,BV$2-$E$2,FALSE))*$D$9*$D$8*(HLOOKUP(BV$23,$G$18:$R$19,2,FALSE)*(1-$D$12)^($F40-'הנחות עבודה'!$C$5)/$D$11)/$D$11)</f>
        <v>1.1390698470869227E-2</v>
      </c>
      <c r="BW40" s="52">
        <f ca="1">IF(OR($F40&gt;$D$5,$F40&gt;MAX('הנחות עבודה'!$B$69:$B$89)),0,(VLOOKUP($F40,'התפלגות ייצור וסל דלקים'!$B$64:$BV$84,BW$2-$E$2,FALSE))*$D$9*$D$8*(HLOOKUP(BW$23,$G$18:$R$19,2,FALSE)*(1-$D$12)^($F40-'הנחות עבודה'!$C$5)/$D$11)/$D$11)</f>
        <v>0</v>
      </c>
      <c r="BX40" s="52">
        <f ca="1">IF(OR($F40&gt;$D$5,$F40&gt;MAX('הנחות עבודה'!$B$69:$B$89)),0,(VLOOKUP($F40,'התפלגות ייצור וסל דלקים'!$B$64:$BV$84,BX$2-$E$2,FALSE))*$D$9*$D$8*(HLOOKUP(BX$23,$G$18:$R$19,2,FALSE)*(1-$D$12)^($F40-'הנחות עבודה'!$C$5)/$D$11)/$D$11)</f>
        <v>0</v>
      </c>
      <c r="BY40" s="52">
        <f ca="1">IF(OR($F40&gt;$D$5,$F40&gt;MAX('הנחות עבודה'!$B$69:$B$89)),0,(VLOOKUP($F40,'התפלגות ייצור וסל דלקים'!$B$64:$BV$84,BY$2-$E$2,FALSE))*$D$9*$D$8*(HLOOKUP(BY$23,$G$18:$R$19,2,FALSE)*(1-$D$12)^($F40-'הנחות עבודה'!$C$5)/$D$11)/$D$11)</f>
        <v>0</v>
      </c>
      <c r="BZ40" s="52">
        <f ca="1">IF(OR($F40&gt;$D$5,$F40&gt;MAX('הנחות עבודה'!$B$69:$B$89)),0,(VLOOKUP($F40,'התפלגות ייצור וסל דלקים'!$B$64:$BV$84,BZ$2-$E$2,FALSE))*$D$9*$D$8*(HLOOKUP(BZ$23,$G$18:$R$19,2,FALSE)*(1-$D$12)^($F40-'הנחות עבודה'!$C$5)/$D$11)/$D$11)</f>
        <v>0</v>
      </c>
    </row>
    <row r="41" spans="6:78" ht="15.75">
      <c r="F41" s="10">
        <f t="shared" si="110"/>
        <v>2037</v>
      </c>
      <c r="G41" s="42">
        <f ca="1">IF(OR($F41&gt;$D$5,$F41&gt;MAX('הנחות עבודה'!$B$69:$B$89)),0,(VLOOKUP($F41,'התפלגות ייצור וסל דלקים'!$B$64:$BV$84,G$2-$E$2,FALSE))*$D$9*$D$8*(HLOOKUP(G$23,$G$18:$R$19,2,FALSE)*(1-$D$12)^($F41-'הנחות עבודה'!$C$5)/$D$11)/$D$11)</f>
        <v>0</v>
      </c>
      <c r="H41" s="44">
        <f ca="1">IF(OR($F41&gt;$D$5,$F41&gt;MAX('הנחות עבודה'!$B$69:$B$89)),0,(VLOOKUP($F41,'התפלגות ייצור וסל דלקים'!$B$64:$BV$84,H$2-$E$2,FALSE))*$D$9*$D$8*(HLOOKUP(H$23,$G$18:$R$19,2,FALSE)*(1-$D$12)^($F41-'הנחות עבודה'!$C$5)/$D$11)/$D$11)</f>
        <v>0</v>
      </c>
      <c r="I41" s="44">
        <f ca="1">IF(OR($F41&gt;$D$5,$F41&gt;MAX('הנחות עבודה'!$B$69:$B$89)),0,(VLOOKUP($F41,'התפלגות ייצור וסל דלקים'!$B$64:$BV$84,I$2-$E$2,FALSE))*$D$9*$D$8*(HLOOKUP(I$23,$G$18:$R$19,2,FALSE)*(1-$D$12)^($F41-'הנחות עבודה'!$C$5)/$D$11)/$D$11)</f>
        <v>0</v>
      </c>
      <c r="J41" s="44">
        <f ca="1">IF(OR($F41&gt;$D$5,$F41&gt;MAX('הנחות עבודה'!$B$69:$B$89)),0,(VLOOKUP($F41,'התפלגות ייצור וסל דלקים'!$B$64:$BV$84,J$2-$E$2,FALSE))*$D$9*$D$8*(HLOOKUP(J$23,$G$18:$R$19,2,FALSE)*(1-$D$12)^($F41-'הנחות עבודה'!$C$5)/$D$11)/$D$11)</f>
        <v>0</v>
      </c>
      <c r="K41" s="44">
        <f ca="1">IF(OR($F41&gt;$D$5,$F41&gt;MAX('הנחות עבודה'!$B$69:$B$89)),0,(VLOOKUP($F41,'התפלגות ייצור וסל דלקים'!$B$64:$BV$84,K$2-$E$2,FALSE))*$D$9*$D$8*(HLOOKUP(K$23,$G$18:$R$19,2,FALSE)*(1-$D$12)^($F41-'הנחות עבודה'!$C$5)/$D$11)/$D$11)</f>
        <v>0</v>
      </c>
      <c r="L41" s="44">
        <f ca="1">IF(OR($F41&gt;$D$5,$F41&gt;MAX('הנחות עבודה'!$B$69:$B$89)),0,(VLOOKUP($F41,'התפלגות ייצור וסל דלקים'!$B$64:$BV$84,L$2-$E$2,FALSE))*$D$9*$D$8*(HLOOKUP(L$23,$G$18:$R$19,2,FALSE)*(1-$D$12)^($F41-'הנחות עבודה'!$C$5)/$D$11)/$D$11)</f>
        <v>0</v>
      </c>
      <c r="M41" s="42">
        <f ca="1">IF(OR($F41&gt;$D$5,$F41&gt;MAX('הנחות עבודה'!$B$69:$B$89)),0,(VLOOKUP($F41,'התפלגות ייצור וסל דלקים'!$B$64:$BV$84,M$2-$E$2,FALSE))*$D$9*$D$8*(HLOOKUP(M$23,$G$18:$R$19,2,FALSE)*(1-$D$12)^($F41-'הנחות עבודה'!$C$5)/$D$11)/$D$11)</f>
        <v>3.6687504000000003E-3</v>
      </c>
      <c r="N41" s="42">
        <f ca="1">IF(OR($F41&gt;$D$5,$F41&gt;MAX('הנחות עבודה'!$B$69:$B$89)),0,(VLOOKUP($F41,'התפלגות ייצור וסל דלקים'!$B$64:$BV$84,N$2-$E$2,FALSE))*$D$9*$D$8*(HLOOKUP(N$23,$G$18:$R$19,2,FALSE)*(1-$D$12)^($F41-'הנחות עבודה'!$C$5)/$D$11)/$D$11)</f>
        <v>1.4076835809602712E-2</v>
      </c>
      <c r="O41" s="42">
        <f ca="1">IF(OR($F41&gt;$D$5,$F41&gt;MAX('הנחות עבודה'!$B$69:$B$89)),0,(VLOOKUP($F41,'התפלגות ייצור וסל דלקים'!$B$64:$BV$84,O$2-$E$2,FALSE))*$D$9*$D$8*(HLOOKUP(O$23,$G$18:$R$19,2,FALSE)*(1-$D$12)^($F41-'הנחות עבודה'!$C$5)/$D$11)/$D$11)</f>
        <v>0</v>
      </c>
      <c r="P41" s="42">
        <f ca="1">IF(OR($F41&gt;$D$5,$F41&gt;MAX('הנחות עבודה'!$B$69:$B$89)),0,(VLOOKUP($F41,'התפלגות ייצור וסל דלקים'!$B$64:$BV$84,P$2-$E$2,FALSE))*$D$9*$D$8*(HLOOKUP(P$23,$G$18:$R$19,2,FALSE)*(1-$D$12)^($F41-'הנחות עבודה'!$C$5)/$D$11)/$D$11)</f>
        <v>0</v>
      </c>
      <c r="Q41" s="42">
        <f ca="1">IF(OR($F41&gt;$D$5,$F41&gt;MAX('הנחות עבודה'!$B$69:$B$89)),0,(VLOOKUP($F41,'התפלגות ייצור וסל דלקים'!$B$64:$BV$84,Q$2-$E$2,FALSE))*$D$9*$D$8*(HLOOKUP(Q$23,$G$18:$R$19,2,FALSE)*(1-$D$12)^($F41-'הנחות עבודה'!$C$5)/$D$11)/$D$11)</f>
        <v>0</v>
      </c>
      <c r="R41" s="42">
        <f ca="1">IF(OR($F41&gt;$D$5,$F41&gt;MAX('הנחות עבודה'!$B$69:$B$89)),0,(VLOOKUP($F41,'התפלגות ייצור וסל דלקים'!$B$64:$BV$84,R$2-$E$2,FALSE))*$D$9*$D$8*(HLOOKUP(R$23,$G$18:$R$19,2,FALSE)*(1-$D$12)^($F41-'הנחות עבודה'!$C$5)/$D$11)/$D$11)</f>
        <v>0</v>
      </c>
      <c r="S41" s="52">
        <f ca="1">IF(OR($F41&gt;$D$5,$F41&gt;MAX('הנחות עבודה'!$B$69:$B$89)),0,(VLOOKUP($F41,'התפלגות ייצור וסל דלקים'!$B$64:$BV$84,S$2-$E$2,FALSE))*$D$9*$D$8*(HLOOKUP(S$23,$G$18:$R$19,2,FALSE)*(1-$D$12)^($F41-'הנחות עבודה'!$C$5)/$D$11)/$D$11)</f>
        <v>0</v>
      </c>
      <c r="T41" s="127">
        <f ca="1">IF(OR($F41&gt;$D$5,$F41&gt;MAX('הנחות עבודה'!$B$69:$B$89)),0,(VLOOKUP($F41,'התפלגות ייצור וסל דלקים'!$B$64:$BV$84,T$2-$E$2,FALSE))*$D$9*$D$8*(HLOOKUP(T$23,$G$18:$R$19,2,FALSE)*(1-$D$12)^($F41-'הנחות עבודה'!$C$5)/$D$11)/$D$11)</f>
        <v>0</v>
      </c>
      <c r="U41" s="127">
        <f ca="1">IF(OR($F41&gt;$D$5,$F41&gt;MAX('הנחות עבודה'!$B$69:$B$89)),0,(VLOOKUP($F41,'התפלגות ייצור וסל דלקים'!$B$64:$BV$84,U$2-$E$2,FALSE))*$D$9*$D$8*(HLOOKUP(U$23,$G$18:$R$19,2,FALSE)*(1-$D$12)^($F41-'הנחות עבודה'!$C$5)/$D$11)/$D$11)</f>
        <v>0</v>
      </c>
      <c r="V41" s="127">
        <f ca="1">IF(OR($F41&gt;$D$5,$F41&gt;MAX('הנחות עבודה'!$B$69:$B$89)),0,(VLOOKUP($F41,'התפלגות ייצור וסל דלקים'!$B$64:$BV$84,V$2-$E$2,FALSE))*$D$9*$D$8*(HLOOKUP(V$23,$G$18:$R$19,2,FALSE)*(1-$D$12)^($F41-'הנחות עבודה'!$C$5)/$D$11)/$D$11)</f>
        <v>0</v>
      </c>
      <c r="W41" s="127">
        <f ca="1">IF(OR($F41&gt;$D$5,$F41&gt;MAX('הנחות עבודה'!$B$69:$B$89)),0,(VLOOKUP($F41,'התפלגות ייצור וסל דלקים'!$B$64:$BV$84,W$2-$E$2,FALSE))*$D$9*$D$8*(HLOOKUP(W$23,$G$18:$R$19,2,FALSE)*(1-$D$12)^($F41-'הנחות עבודה'!$C$5)/$D$11)/$D$11)</f>
        <v>0</v>
      </c>
      <c r="X41" s="127">
        <f ca="1">IF(OR($F41&gt;$D$5,$F41&gt;MAX('הנחות עבודה'!$B$69:$B$89)),0,(VLOOKUP($F41,'התפלגות ייצור וסל דלקים'!$B$64:$BV$84,X$2-$E$2,FALSE))*$D$9*$D$8*(HLOOKUP(X$23,$G$18:$R$19,2,FALSE)*(1-$D$12)^($F41-'הנחות עבודה'!$C$5)/$D$11)/$D$11)</f>
        <v>0</v>
      </c>
      <c r="Y41" s="52">
        <f ca="1">IF(OR($F41&gt;$D$5,$F41&gt;MAX('הנחות עבודה'!$B$69:$B$89)),0,(VLOOKUP($F41,'התפלגות ייצור וסל דלקים'!$B$64:$BV$84,Y$2-$E$2,FALSE))*$D$9*$D$8*(HLOOKUP(Y$23,$G$18:$R$19,2,FALSE)*(1-$D$12)^($F41-'הנחות עבודה'!$C$5)/$D$11)/$D$11)</f>
        <v>3.6687504000000003E-3</v>
      </c>
      <c r="Z41" s="52">
        <f ca="1">IF(OR($F41&gt;$D$5,$F41&gt;MAX('הנחות עבודה'!$B$69:$B$89)),0,(VLOOKUP($F41,'התפלגות ייצור וסל דלקים'!$B$64:$BV$84,Z$2-$E$2,FALSE))*$D$9*$D$8*(HLOOKUP(Z$23,$G$18:$R$19,2,FALSE)*(1-$D$12)^($F41-'הנחות עבודה'!$C$5)/$D$11)/$D$11)</f>
        <v>1.4076835809602712E-2</v>
      </c>
      <c r="AA41" s="52">
        <f ca="1">IF(OR($F41&gt;$D$5,$F41&gt;MAX('הנחות עבודה'!$B$69:$B$89)),0,(VLOOKUP($F41,'התפלגות ייצור וסל דלקים'!$B$64:$BV$84,AA$2-$E$2,FALSE))*$D$9*$D$8*(HLOOKUP(AA$23,$G$18:$R$19,2,FALSE)*(1-$D$12)^($F41-'הנחות עבודה'!$C$5)/$D$11)/$D$11)</f>
        <v>0</v>
      </c>
      <c r="AB41" s="52">
        <f ca="1">IF(OR($F41&gt;$D$5,$F41&gt;MAX('הנחות עבודה'!$B$69:$B$89)),0,(VLOOKUP($F41,'התפלגות ייצור וסל דלקים'!$B$64:$BV$84,AB$2-$E$2,FALSE))*$D$9*$D$8*(HLOOKUP(AB$23,$G$18:$R$19,2,FALSE)*(1-$D$12)^($F41-'הנחות עבודה'!$C$5)/$D$11)/$D$11)</f>
        <v>0</v>
      </c>
      <c r="AC41" s="52">
        <f ca="1">IF(OR($F41&gt;$D$5,$F41&gt;MAX('הנחות עבודה'!$B$69:$B$89)),0,(VLOOKUP($F41,'התפלגות ייצור וסל דלקים'!$B$64:$BV$84,AC$2-$E$2,FALSE))*$D$9*$D$8*(HLOOKUP(AC$23,$G$18:$R$19,2,FALSE)*(1-$D$12)^($F41-'הנחות עבודה'!$C$5)/$D$11)/$D$11)</f>
        <v>0</v>
      </c>
      <c r="AD41" s="52">
        <f ca="1">IF(OR($F41&gt;$D$5,$F41&gt;MAX('הנחות עבודה'!$B$69:$B$89)),0,(VLOOKUP($F41,'התפלגות ייצור וסל דלקים'!$B$64:$BV$84,AD$2-$E$2,FALSE))*$D$9*$D$8*(HLOOKUP(AD$23,$G$18:$R$19,2,FALSE)*(1-$D$12)^($F41-'הנחות עבודה'!$C$5)/$D$11)/$D$11)</f>
        <v>0</v>
      </c>
      <c r="AE41" s="42">
        <f ca="1">IF(OR($F41&gt;$D$5,$F41&gt;MAX('הנחות עבודה'!$B$69:$B$89)),0,(VLOOKUP($F41,'התפלגות ייצור וסל דלקים'!$B$64:$BV$84,AE$2-$E$2,FALSE))*$D$9*$D$8*(HLOOKUP(AE$23,$G$18:$R$19,2,FALSE)*(1-$D$12)^($F41-'הנחות עבודה'!$C$5)/$D$11)/$D$11)</f>
        <v>0</v>
      </c>
      <c r="AF41" s="44">
        <f ca="1">IF(OR($F41&gt;$D$5,$F41&gt;MAX('הנחות עבודה'!$B$69:$B$89)),0,(VLOOKUP($F41,'התפלגות ייצור וסל דלקים'!$B$64:$BV$84,AF$2-$E$2,FALSE))*$D$9*$D$8*(HLOOKUP(AF$23,$G$18:$R$19,2,FALSE)*(1-$D$12)^($F41-'הנחות עבודה'!$C$5)/$D$11)/$D$11)</f>
        <v>0</v>
      </c>
      <c r="AG41" s="44">
        <f ca="1">IF(OR($F41&gt;$D$5,$F41&gt;MAX('הנחות עבודה'!$B$69:$B$89)),0,(VLOOKUP($F41,'התפלגות ייצור וסל דלקים'!$B$64:$BV$84,AG$2-$E$2,FALSE))*$D$9*$D$8*(HLOOKUP(AG$23,$G$18:$R$19,2,FALSE)*(1-$D$12)^($F41-'הנחות עבודה'!$C$5)/$D$11)/$D$11)</f>
        <v>0</v>
      </c>
      <c r="AH41" s="44">
        <f ca="1">IF(OR($F41&gt;$D$5,$F41&gt;MAX('הנחות עבודה'!$B$69:$B$89)),0,(VLOOKUP($F41,'התפלגות ייצור וסל דלקים'!$B$64:$BV$84,AH$2-$E$2,FALSE))*$D$9*$D$8*(HLOOKUP(AH$23,$G$18:$R$19,2,FALSE)*(1-$D$12)^($F41-'הנחות עבודה'!$C$5)/$D$11)/$D$11)</f>
        <v>0</v>
      </c>
      <c r="AI41" s="44">
        <f ca="1">IF(OR($F41&gt;$D$5,$F41&gt;MAX('הנחות עבודה'!$B$69:$B$89)),0,(VLOOKUP($F41,'התפלגות ייצור וסל דלקים'!$B$64:$BV$84,AI$2-$E$2,FALSE))*$D$9*$D$8*(HLOOKUP(AI$23,$G$18:$R$19,2,FALSE)*(1-$D$12)^($F41-'הנחות עבודה'!$C$5)/$D$11)/$D$11)</f>
        <v>0</v>
      </c>
      <c r="AJ41" s="44">
        <f ca="1">IF(OR($F41&gt;$D$5,$F41&gt;MAX('הנחות עבודה'!$B$69:$B$89)),0,(VLOOKUP($F41,'התפלגות ייצור וסל דלקים'!$B$64:$BV$84,AJ$2-$E$2,FALSE))*$D$9*$D$8*(HLOOKUP(AJ$23,$G$18:$R$19,2,FALSE)*(1-$D$12)^($F41-'הנחות עבודה'!$C$5)/$D$11)/$D$11)</f>
        <v>0</v>
      </c>
      <c r="AK41" s="42">
        <f ca="1">IF(OR($F41&gt;$D$5,$F41&gt;MAX('הנחות עבודה'!$B$69:$B$89)),0,(VLOOKUP($F41,'התפלגות ייצור וסל דלקים'!$B$64:$BV$84,AK$2-$E$2,FALSE))*$D$9*$D$8*(HLOOKUP(AK$23,$G$18:$R$19,2,FALSE)*(1-$D$12)^($F41-'הנחות עבודה'!$C$5)/$D$11)/$D$11)</f>
        <v>3.8309111999999994E-3</v>
      </c>
      <c r="AL41" s="42">
        <f ca="1">IF(OR($F41&gt;$D$5,$F41&gt;MAX('הנחות עבודה'!$B$69:$B$89)),0,(VLOOKUP($F41,'התפלגות ייצור וסל דלקים'!$B$64:$BV$84,AL$2-$E$2,FALSE))*$D$9*$D$8*(HLOOKUP(AL$23,$G$18:$R$19,2,FALSE)*(1-$D$12)^($F41-'הנחות עבודה'!$C$5)/$D$11)/$D$11)</f>
        <v>1.277455562851827E-2</v>
      </c>
      <c r="AM41" s="42">
        <f ca="1">IF(OR($F41&gt;$D$5,$F41&gt;MAX('הנחות עבודה'!$B$69:$B$89)),0,(VLOOKUP($F41,'התפלגות ייצור וסל דלקים'!$B$64:$BV$84,AM$2-$E$2,FALSE))*$D$9*$D$8*(HLOOKUP(AM$23,$G$18:$R$19,2,FALSE)*(1-$D$12)^($F41-'הנחות עבודה'!$C$5)/$D$11)/$D$11)</f>
        <v>0</v>
      </c>
      <c r="AN41" s="42">
        <f ca="1">IF(OR($F41&gt;$D$5,$F41&gt;MAX('הנחות עבודה'!$B$69:$B$89)),0,(VLOOKUP($F41,'התפלגות ייצור וסל דלקים'!$B$64:$BV$84,AN$2-$E$2,FALSE))*$D$9*$D$8*(HLOOKUP(AN$23,$G$18:$R$19,2,FALSE)*(1-$D$12)^($F41-'הנחות עבודה'!$C$5)/$D$11)/$D$11)</f>
        <v>0</v>
      </c>
      <c r="AO41" s="42">
        <f ca="1">IF(OR($F41&gt;$D$5,$F41&gt;MAX('הנחות עבודה'!$B$69:$B$89)),0,(VLOOKUP($F41,'התפלגות ייצור וסל דלקים'!$B$64:$BV$84,AO$2-$E$2,FALSE))*$D$9*$D$8*(HLOOKUP(AO$23,$G$18:$R$19,2,FALSE)*(1-$D$12)^($F41-'הנחות עבודה'!$C$5)/$D$11)/$D$11)</f>
        <v>0</v>
      </c>
      <c r="AP41" s="42">
        <f ca="1">IF(OR($F41&gt;$D$5,$F41&gt;MAX('הנחות עבודה'!$B$69:$B$89)),0,(VLOOKUP($F41,'התפלגות ייצור וסל דלקים'!$B$64:$BV$84,AP$2-$E$2,FALSE))*$D$9*$D$8*(HLOOKUP(AP$23,$G$18:$R$19,2,FALSE)*(1-$D$12)^($F41-'הנחות עבודה'!$C$5)/$D$11)/$D$11)</f>
        <v>0</v>
      </c>
      <c r="AQ41" s="52">
        <f ca="1">IF(OR($F41&gt;$D$5,$F41&gt;MAX('הנחות עבודה'!$B$69:$B$89)),0,(VLOOKUP($F41,'התפלגות ייצור וסל דלקים'!$B$64:$BV$84,AQ$2-$E$2,FALSE))*$D$9*$D$8*(HLOOKUP(AQ$23,$G$18:$R$19,2,FALSE)*(1-$D$12)^($F41-'הנחות עבודה'!$C$5)/$D$11)/$D$11)</f>
        <v>0</v>
      </c>
      <c r="AR41" s="127">
        <f ca="1">IF(OR($F41&gt;$D$5,$F41&gt;MAX('הנחות עבודה'!$B$69:$B$89)),0,(VLOOKUP($F41,'התפלגות ייצור וסל דלקים'!$B$64:$BV$84,AR$2-$E$2,FALSE))*$D$9*$D$8*(HLOOKUP(AR$23,$G$18:$R$19,2,FALSE)*(1-$D$12)^($F41-'הנחות עבודה'!$C$5)/$D$11)/$D$11)</f>
        <v>0</v>
      </c>
      <c r="AS41" s="127">
        <f ca="1">IF(OR($F41&gt;$D$5,$F41&gt;MAX('הנחות עבודה'!$B$69:$B$89)),0,(VLOOKUP($F41,'התפלגות ייצור וסל דלקים'!$B$64:$BV$84,AS$2-$E$2,FALSE))*$D$9*$D$8*(HLOOKUP(AS$23,$G$18:$R$19,2,FALSE)*(1-$D$12)^($F41-'הנחות עבודה'!$C$5)/$D$11)/$D$11)</f>
        <v>0</v>
      </c>
      <c r="AT41" s="127">
        <f ca="1">IF(OR($F41&gt;$D$5,$F41&gt;MAX('הנחות עבודה'!$B$69:$B$89)),0,(VLOOKUP($F41,'התפלגות ייצור וסל דלקים'!$B$64:$BV$84,AT$2-$E$2,FALSE))*$D$9*$D$8*(HLOOKUP(AT$23,$G$18:$R$19,2,FALSE)*(1-$D$12)^($F41-'הנחות עבודה'!$C$5)/$D$11)/$D$11)</f>
        <v>0</v>
      </c>
      <c r="AU41" s="127">
        <f ca="1">IF(OR($F41&gt;$D$5,$F41&gt;MAX('הנחות עבודה'!$B$69:$B$89)),0,(VLOOKUP($F41,'התפלגות ייצור וסל דלקים'!$B$64:$BV$84,AU$2-$E$2,FALSE))*$D$9*$D$8*(HLOOKUP(AU$23,$G$18:$R$19,2,FALSE)*(1-$D$12)^($F41-'הנחות עבודה'!$C$5)/$D$11)/$D$11)</f>
        <v>0</v>
      </c>
      <c r="AV41" s="127">
        <f ca="1">IF(OR($F41&gt;$D$5,$F41&gt;MAX('הנחות עבודה'!$B$69:$B$89)),0,(VLOOKUP($F41,'התפלגות ייצור וסל דלקים'!$B$64:$BV$84,AV$2-$E$2,FALSE))*$D$9*$D$8*(HLOOKUP(AV$23,$G$18:$R$19,2,FALSE)*(1-$D$12)^($F41-'הנחות עבודה'!$C$5)/$D$11)/$D$11)</f>
        <v>0</v>
      </c>
      <c r="AW41" s="52">
        <f ca="1">IF(OR($F41&gt;$D$5,$F41&gt;MAX('הנחות עבודה'!$B$69:$B$89)),0,(VLOOKUP($F41,'התפלגות ייצור וסל דלקים'!$B$64:$BV$84,AW$2-$E$2,FALSE))*$D$9*$D$8*(HLOOKUP(AW$23,$G$18:$R$19,2,FALSE)*(1-$D$12)^($F41-'הנחות עבודה'!$C$5)/$D$11)/$D$11)</f>
        <v>3.8309111999999994E-3</v>
      </c>
      <c r="AX41" s="52">
        <f ca="1">IF(OR($F41&gt;$D$5,$F41&gt;MAX('הנחות עבודה'!$B$69:$B$89)),0,(VLOOKUP($F41,'התפלגות ייצור וסל דלקים'!$B$64:$BV$84,AX$2-$E$2,FALSE))*$D$9*$D$8*(HLOOKUP(AX$23,$G$18:$R$19,2,FALSE)*(1-$D$12)^($F41-'הנחות עבודה'!$C$5)/$D$11)/$D$11)</f>
        <v>1.277455562851827E-2</v>
      </c>
      <c r="AY41" s="52">
        <f ca="1">IF(OR($F41&gt;$D$5,$F41&gt;MAX('הנחות עבודה'!$B$69:$B$89)),0,(VLOOKUP($F41,'התפלגות ייצור וסל דלקים'!$B$64:$BV$84,AY$2-$E$2,FALSE))*$D$9*$D$8*(HLOOKUP(AY$23,$G$18:$R$19,2,FALSE)*(1-$D$12)^($F41-'הנחות עבודה'!$C$5)/$D$11)/$D$11)</f>
        <v>0</v>
      </c>
      <c r="AZ41" s="52">
        <f ca="1">IF(OR($F41&gt;$D$5,$F41&gt;MAX('הנחות עבודה'!$B$69:$B$89)),0,(VLOOKUP($F41,'התפלגות ייצור וסל דלקים'!$B$64:$BV$84,AZ$2-$E$2,FALSE))*$D$9*$D$8*(HLOOKUP(AZ$23,$G$18:$R$19,2,FALSE)*(1-$D$12)^($F41-'הנחות עבודה'!$C$5)/$D$11)/$D$11)</f>
        <v>0</v>
      </c>
      <c r="BA41" s="52">
        <f ca="1">IF(OR($F41&gt;$D$5,$F41&gt;MAX('הנחות עבודה'!$B$69:$B$89)),0,(VLOOKUP($F41,'התפלגות ייצור וסל דלקים'!$B$64:$BV$84,BA$2-$E$2,FALSE))*$D$9*$D$8*(HLOOKUP(BA$23,$G$18:$R$19,2,FALSE)*(1-$D$12)^($F41-'הנחות עבודה'!$C$5)/$D$11)/$D$11)</f>
        <v>0</v>
      </c>
      <c r="BB41" s="52">
        <f ca="1">IF(OR($F41&gt;$D$5,$F41&gt;MAX('הנחות עבודה'!$B$69:$B$89)),0,(VLOOKUP($F41,'התפלגות ייצור וסל דלקים'!$B$64:$BV$84,BB$2-$E$2,FALSE))*$D$9*$D$8*(HLOOKUP(BB$23,$G$18:$R$19,2,FALSE)*(1-$D$12)^($F41-'הנחות עבודה'!$C$5)/$D$11)/$D$11)</f>
        <v>0</v>
      </c>
      <c r="BC41" s="42">
        <f ca="1">IF(OR($F41&gt;$D$5,$F41&gt;MAX('הנחות עבודה'!$B$69:$B$89)),0,(VLOOKUP($F41,'התפלגות ייצור וסל דלקים'!$B$64:$BV$84,BC$2-$E$2,FALSE))*$D$9*$D$8*(HLOOKUP(BC$23,$G$18:$R$19,2,FALSE)*(1-$D$12)^($F41-'הנחות עבודה'!$C$5)/$D$11)/$D$11)</f>
        <v>0</v>
      </c>
      <c r="BD41" s="44">
        <f ca="1">IF(OR($F41&gt;$D$5,$F41&gt;MAX('הנחות עבודה'!$B$69:$B$89)),0,(VLOOKUP($F41,'התפלגות ייצור וסל דלקים'!$B$64:$BV$84,BD$2-$E$2,FALSE))*$D$9*$D$8*(HLOOKUP(BD$23,$G$18:$R$19,2,FALSE)*(1-$D$12)^($F41-'הנחות עבודה'!$C$5)/$D$11)/$D$11)</f>
        <v>0</v>
      </c>
      <c r="BE41" s="44">
        <f ca="1">IF(OR($F41&gt;$D$5,$F41&gt;MAX('הנחות עבודה'!$B$69:$B$89)),0,(VLOOKUP($F41,'התפלגות ייצור וסל דלקים'!$B$64:$BV$84,BE$2-$E$2,FALSE))*$D$9*$D$8*(HLOOKUP(BE$23,$G$18:$R$19,2,FALSE)*(1-$D$12)^($F41-'הנחות עבודה'!$C$5)/$D$11)/$D$11)</f>
        <v>0</v>
      </c>
      <c r="BF41" s="44">
        <f ca="1">IF(OR($F41&gt;$D$5,$F41&gt;MAX('הנחות עבודה'!$B$69:$B$89)),0,(VLOOKUP($F41,'התפלגות ייצור וסל דלקים'!$B$64:$BV$84,BF$2-$E$2,FALSE))*$D$9*$D$8*(HLOOKUP(BF$23,$G$18:$R$19,2,FALSE)*(1-$D$12)^($F41-'הנחות עבודה'!$C$5)/$D$11)/$D$11)</f>
        <v>0</v>
      </c>
      <c r="BG41" s="44">
        <f ca="1">IF(OR($F41&gt;$D$5,$F41&gt;MAX('הנחות עבודה'!$B$69:$B$89)),0,(VLOOKUP($F41,'התפלגות ייצור וסל דלקים'!$B$64:$BV$84,BG$2-$E$2,FALSE))*$D$9*$D$8*(HLOOKUP(BG$23,$G$18:$R$19,2,FALSE)*(1-$D$12)^($F41-'הנחות עבודה'!$C$5)/$D$11)/$D$11)</f>
        <v>0</v>
      </c>
      <c r="BH41" s="44">
        <f ca="1">IF(OR($F41&gt;$D$5,$F41&gt;MAX('הנחות עבודה'!$B$69:$B$89)),0,(VLOOKUP($F41,'התפלגות ייצור וסל דלקים'!$B$64:$BV$84,BH$2-$E$2,FALSE))*$D$9*$D$8*(HLOOKUP(BH$23,$G$18:$R$19,2,FALSE)*(1-$D$12)^($F41-'הנחות עבודה'!$C$5)/$D$11)/$D$11)</f>
        <v>0</v>
      </c>
      <c r="BI41" s="42">
        <f ca="1">IF(OR($F41&gt;$D$5,$F41&gt;MAX('הנחות עבודה'!$B$69:$B$89)),0,(VLOOKUP($F41,'התפלגות ייצור וסל דלקים'!$B$64:$BV$84,BI$2-$E$2,FALSE))*$D$9*$D$8*(HLOOKUP(BI$23,$G$18:$R$19,2,FALSE)*(1-$D$12)^($F41-'הנחות עבודה'!$C$5)/$D$11)/$D$11)</f>
        <v>3.9079200000000005E-3</v>
      </c>
      <c r="BJ41" s="42">
        <f ca="1">IF(OR($F41&gt;$D$5,$F41&gt;MAX('הנחות עבודה'!$B$69:$B$89)),0,(VLOOKUP($F41,'התפלגות ייצור וסל דלקים'!$B$64:$BV$84,BJ$2-$E$2,FALSE))*$D$9*$D$8*(HLOOKUP(BJ$23,$G$18:$R$19,2,FALSE)*(1-$D$12)^($F41-'הנחות עבודה'!$C$5)/$D$11)/$D$11)</f>
        <v>1.1978278315340488E-2</v>
      </c>
      <c r="BK41" s="42">
        <f ca="1">IF(OR($F41&gt;$D$5,$F41&gt;MAX('הנחות עבודה'!$B$69:$B$89)),0,(VLOOKUP($F41,'התפלגות ייצור וסל דלקים'!$B$64:$BV$84,BK$2-$E$2,FALSE))*$D$9*$D$8*(HLOOKUP(BK$23,$G$18:$R$19,2,FALSE)*(1-$D$12)^($F41-'הנחות עבודה'!$C$5)/$D$11)/$D$11)</f>
        <v>0</v>
      </c>
      <c r="BL41" s="42">
        <f ca="1">IF(OR($F41&gt;$D$5,$F41&gt;MAX('הנחות עבודה'!$B$69:$B$89)),0,(VLOOKUP($F41,'התפלגות ייצור וסל דלקים'!$B$64:$BV$84,BL$2-$E$2,FALSE))*$D$9*$D$8*(HLOOKUP(BL$23,$G$18:$R$19,2,FALSE)*(1-$D$12)^($F41-'הנחות עבודה'!$C$5)/$D$11)/$D$11)</f>
        <v>0</v>
      </c>
      <c r="BM41" s="42">
        <f ca="1">IF(OR($F41&gt;$D$5,$F41&gt;MAX('הנחות עבודה'!$B$69:$B$89)),0,(VLOOKUP($F41,'התפלגות ייצור וסל דלקים'!$B$64:$BV$84,BM$2-$E$2,FALSE))*$D$9*$D$8*(HLOOKUP(BM$23,$G$18:$R$19,2,FALSE)*(1-$D$12)^($F41-'הנחות עבודה'!$C$5)/$D$11)/$D$11)</f>
        <v>0</v>
      </c>
      <c r="BN41" s="42">
        <f ca="1">IF(OR($F41&gt;$D$5,$F41&gt;MAX('הנחות עבודה'!$B$69:$B$89)),0,(VLOOKUP($F41,'התפלגות ייצור וסל דלקים'!$B$64:$BV$84,BN$2-$E$2,FALSE))*$D$9*$D$8*(HLOOKUP(BN$23,$G$18:$R$19,2,FALSE)*(1-$D$12)^($F41-'הנחות עבודה'!$C$5)/$D$11)/$D$11)</f>
        <v>0</v>
      </c>
      <c r="BO41" s="52">
        <f ca="1">IF(OR($F41&gt;$D$5,$F41&gt;MAX('הנחות עבודה'!$B$69:$B$89)),0,(VLOOKUP($F41,'התפלגות ייצור וסל דלקים'!$B$64:$BV$84,BO$2-$E$2,FALSE))*$D$9*$D$8*(HLOOKUP(BO$23,$G$18:$R$19,2,FALSE)*(1-$D$12)^($F41-'הנחות עבודה'!$C$5)/$D$11)/$D$11)</f>
        <v>0</v>
      </c>
      <c r="BP41" s="127">
        <f ca="1">IF(OR($F41&gt;$D$5,$F41&gt;MAX('הנחות עבודה'!$B$69:$B$89)),0,(VLOOKUP($F41,'התפלגות ייצור וסל דלקים'!$B$64:$BV$84,BP$2-$E$2,FALSE))*$D$9*$D$8*(HLOOKUP(BP$23,$G$18:$R$19,2,FALSE)*(1-$D$12)^($F41-'הנחות עבודה'!$C$5)/$D$11)/$D$11)</f>
        <v>0</v>
      </c>
      <c r="BQ41" s="127">
        <f ca="1">IF(OR($F41&gt;$D$5,$F41&gt;MAX('הנחות עבודה'!$B$69:$B$89)),0,(VLOOKUP($F41,'התפלגות ייצור וסל דלקים'!$B$64:$BV$84,BQ$2-$E$2,FALSE))*$D$9*$D$8*(HLOOKUP(BQ$23,$G$18:$R$19,2,FALSE)*(1-$D$12)^($F41-'הנחות עבודה'!$C$5)/$D$11)/$D$11)</f>
        <v>0</v>
      </c>
      <c r="BR41" s="127">
        <f ca="1">IF(OR($F41&gt;$D$5,$F41&gt;MAX('הנחות עבודה'!$B$69:$B$89)),0,(VLOOKUP($F41,'התפלגות ייצור וסל דלקים'!$B$64:$BV$84,BR$2-$E$2,FALSE))*$D$9*$D$8*(HLOOKUP(BR$23,$G$18:$R$19,2,FALSE)*(1-$D$12)^($F41-'הנחות עבודה'!$C$5)/$D$11)/$D$11)</f>
        <v>0</v>
      </c>
      <c r="BS41" s="127">
        <f ca="1">IF(OR($F41&gt;$D$5,$F41&gt;MAX('הנחות עבודה'!$B$69:$B$89)),0,(VLOOKUP($F41,'התפלגות ייצור וסל דלקים'!$B$64:$BV$84,BS$2-$E$2,FALSE))*$D$9*$D$8*(HLOOKUP(BS$23,$G$18:$R$19,2,FALSE)*(1-$D$12)^($F41-'הנחות עבודה'!$C$5)/$D$11)/$D$11)</f>
        <v>0</v>
      </c>
      <c r="BT41" s="127">
        <f ca="1">IF(OR($F41&gt;$D$5,$F41&gt;MAX('הנחות עבודה'!$B$69:$B$89)),0,(VLOOKUP($F41,'התפלגות ייצור וסל דלקים'!$B$64:$BV$84,BT$2-$E$2,FALSE))*$D$9*$D$8*(HLOOKUP(BT$23,$G$18:$R$19,2,FALSE)*(1-$D$12)^($F41-'הנחות עבודה'!$C$5)/$D$11)/$D$11)</f>
        <v>0</v>
      </c>
      <c r="BU41" s="52">
        <f ca="1">IF(OR($F41&gt;$D$5,$F41&gt;MAX('הנחות עבודה'!$B$69:$B$89)),0,(VLOOKUP($F41,'התפלגות ייצור וסל דלקים'!$B$64:$BV$84,BU$2-$E$2,FALSE))*$D$9*$D$8*(HLOOKUP(BU$23,$G$18:$R$19,2,FALSE)*(1-$D$12)^($F41-'הנחות עבודה'!$C$5)/$D$11)/$D$11)</f>
        <v>3.9079200000000005E-3</v>
      </c>
      <c r="BV41" s="52">
        <f ca="1">IF(OR($F41&gt;$D$5,$F41&gt;MAX('הנחות עבודה'!$B$69:$B$89)),0,(VLOOKUP($F41,'התפלגות ייצור וסל דלקים'!$B$64:$BV$84,BV$2-$E$2,FALSE))*$D$9*$D$8*(HLOOKUP(BV$23,$G$18:$R$19,2,FALSE)*(1-$D$12)^($F41-'הנחות עבודה'!$C$5)/$D$11)/$D$11)</f>
        <v>1.1978278315340488E-2</v>
      </c>
      <c r="BW41" s="52">
        <f ca="1">IF(OR($F41&gt;$D$5,$F41&gt;MAX('הנחות עבודה'!$B$69:$B$89)),0,(VLOOKUP($F41,'התפלגות ייצור וסל דלקים'!$B$64:$BV$84,BW$2-$E$2,FALSE))*$D$9*$D$8*(HLOOKUP(BW$23,$G$18:$R$19,2,FALSE)*(1-$D$12)^($F41-'הנחות עבודה'!$C$5)/$D$11)/$D$11)</f>
        <v>0</v>
      </c>
      <c r="BX41" s="52">
        <f ca="1">IF(OR($F41&gt;$D$5,$F41&gt;MAX('הנחות עבודה'!$B$69:$B$89)),0,(VLOOKUP($F41,'התפלגות ייצור וסל דלקים'!$B$64:$BV$84,BX$2-$E$2,FALSE))*$D$9*$D$8*(HLOOKUP(BX$23,$G$18:$R$19,2,FALSE)*(1-$D$12)^($F41-'הנחות עבודה'!$C$5)/$D$11)/$D$11)</f>
        <v>0</v>
      </c>
      <c r="BY41" s="52">
        <f ca="1">IF(OR($F41&gt;$D$5,$F41&gt;MAX('הנחות עבודה'!$B$69:$B$89)),0,(VLOOKUP($F41,'התפלגות ייצור וסל דלקים'!$B$64:$BV$84,BY$2-$E$2,FALSE))*$D$9*$D$8*(HLOOKUP(BY$23,$G$18:$R$19,2,FALSE)*(1-$D$12)^($F41-'הנחות עבודה'!$C$5)/$D$11)/$D$11)</f>
        <v>0</v>
      </c>
      <c r="BZ41" s="52">
        <f ca="1">IF(OR($F41&gt;$D$5,$F41&gt;MAX('הנחות עבודה'!$B$69:$B$89)),0,(VLOOKUP($F41,'התפלגות ייצור וסל דלקים'!$B$64:$BV$84,BZ$2-$E$2,FALSE))*$D$9*$D$8*(HLOOKUP(BZ$23,$G$18:$R$19,2,FALSE)*(1-$D$12)^($F41-'הנחות עבודה'!$C$5)/$D$11)/$D$11)</f>
        <v>0</v>
      </c>
    </row>
    <row r="42" spans="6:78" ht="15.75">
      <c r="F42" s="10">
        <f t="shared" si="110"/>
        <v>2038</v>
      </c>
      <c r="G42" s="42">
        <f ca="1">IF(OR($F42&gt;$D$5,$F42&gt;MAX('הנחות עבודה'!$B$69:$B$89)),0,(VLOOKUP($F42,'התפלגות ייצור וסל דלקים'!$B$64:$BV$84,G$2-$E$2,FALSE))*$D$9*$D$8*(HLOOKUP(G$23,$G$18:$R$19,2,FALSE)*(1-$D$12)^($F42-'הנחות עבודה'!$C$5)/$D$11)/$D$11)</f>
        <v>0</v>
      </c>
      <c r="H42" s="44">
        <f ca="1">IF(OR($F42&gt;$D$5,$F42&gt;MAX('הנחות עבודה'!$B$69:$B$89)),0,(VLOOKUP($F42,'התפלגות ייצור וסל דלקים'!$B$64:$BV$84,H$2-$E$2,FALSE))*$D$9*$D$8*(HLOOKUP(H$23,$G$18:$R$19,2,FALSE)*(1-$D$12)^($F42-'הנחות עבודה'!$C$5)/$D$11)/$D$11)</f>
        <v>0</v>
      </c>
      <c r="I42" s="44">
        <f ca="1">IF(OR($F42&gt;$D$5,$F42&gt;MAX('הנחות עבודה'!$B$69:$B$89)),0,(VLOOKUP($F42,'התפלגות ייצור וסל דלקים'!$B$64:$BV$84,I$2-$E$2,FALSE))*$D$9*$D$8*(HLOOKUP(I$23,$G$18:$R$19,2,FALSE)*(1-$D$12)^($F42-'הנחות עבודה'!$C$5)/$D$11)/$D$11)</f>
        <v>0</v>
      </c>
      <c r="J42" s="44">
        <f ca="1">IF(OR($F42&gt;$D$5,$F42&gt;MAX('הנחות עבודה'!$B$69:$B$89)),0,(VLOOKUP($F42,'התפלגות ייצור וסל דלקים'!$B$64:$BV$84,J$2-$E$2,FALSE))*$D$9*$D$8*(HLOOKUP(J$23,$G$18:$R$19,2,FALSE)*(1-$D$12)^($F42-'הנחות עבודה'!$C$5)/$D$11)/$D$11)</f>
        <v>0</v>
      </c>
      <c r="K42" s="44">
        <f ca="1">IF(OR($F42&gt;$D$5,$F42&gt;MAX('הנחות עבודה'!$B$69:$B$89)),0,(VLOOKUP($F42,'התפלגות ייצור וסל דלקים'!$B$64:$BV$84,K$2-$E$2,FALSE))*$D$9*$D$8*(HLOOKUP(K$23,$G$18:$R$19,2,FALSE)*(1-$D$12)^($F42-'הנחות עבודה'!$C$5)/$D$11)/$D$11)</f>
        <v>0</v>
      </c>
      <c r="L42" s="44">
        <f ca="1">IF(OR($F42&gt;$D$5,$F42&gt;MAX('הנחות עבודה'!$B$69:$B$89)),0,(VLOOKUP($F42,'התפלגות ייצור וסל דלקים'!$B$64:$BV$84,L$2-$E$2,FALSE))*$D$9*$D$8*(HLOOKUP(L$23,$G$18:$R$19,2,FALSE)*(1-$D$12)^($F42-'הנחות עבודה'!$C$5)/$D$11)/$D$11)</f>
        <v>0</v>
      </c>
      <c r="M42" s="42">
        <f ca="1">IF(OR($F42&gt;$D$5,$F42&gt;MAX('הנחות עבודה'!$B$69:$B$89)),0,(VLOOKUP($F42,'התפלגות ייצור וסל דלקים'!$B$64:$BV$84,M$2-$E$2,FALSE))*$D$9*$D$8*(HLOOKUP(M$23,$G$18:$R$19,2,FALSE)*(1-$D$12)^($F42-'הנחות עבודה'!$C$5)/$D$11)/$D$11)</f>
        <v>3.7089983999999995E-3</v>
      </c>
      <c r="N42" s="42">
        <f ca="1">IF(OR($F42&gt;$D$5,$F42&gt;MAX('הנחות עבודה'!$B$69:$B$89)),0,(VLOOKUP($F42,'התפלגות ייצור וסל דלקים'!$B$64:$BV$84,N$2-$E$2,FALSE))*$D$9*$D$8*(HLOOKUP(N$23,$G$18:$R$19,2,FALSE)*(1-$D$12)^($F42-'הנחות עבודה'!$C$5)/$D$11)/$D$11)</f>
        <v>1.4636970178530455E-2</v>
      </c>
      <c r="O42" s="42">
        <f ca="1">IF(OR($F42&gt;$D$5,$F42&gt;MAX('הנחות עבודה'!$B$69:$B$89)),0,(VLOOKUP($F42,'התפלגות ייצור וסל דלקים'!$B$64:$BV$84,O$2-$E$2,FALSE))*$D$9*$D$8*(HLOOKUP(O$23,$G$18:$R$19,2,FALSE)*(1-$D$12)^($F42-'הנחות עבודה'!$C$5)/$D$11)/$D$11)</f>
        <v>0</v>
      </c>
      <c r="P42" s="42">
        <f ca="1">IF(OR($F42&gt;$D$5,$F42&gt;MAX('הנחות עבודה'!$B$69:$B$89)),0,(VLOOKUP($F42,'התפלגות ייצור וסל דלקים'!$B$64:$BV$84,P$2-$E$2,FALSE))*$D$9*$D$8*(HLOOKUP(P$23,$G$18:$R$19,2,FALSE)*(1-$D$12)^($F42-'הנחות עבודה'!$C$5)/$D$11)/$D$11)</f>
        <v>0</v>
      </c>
      <c r="Q42" s="42">
        <f ca="1">IF(OR($F42&gt;$D$5,$F42&gt;MAX('הנחות עבודה'!$B$69:$B$89)),0,(VLOOKUP($F42,'התפלגות ייצור וסל דלקים'!$B$64:$BV$84,Q$2-$E$2,FALSE))*$D$9*$D$8*(HLOOKUP(Q$23,$G$18:$R$19,2,FALSE)*(1-$D$12)^($F42-'הנחות עבודה'!$C$5)/$D$11)/$D$11)</f>
        <v>0</v>
      </c>
      <c r="R42" s="42">
        <f ca="1">IF(OR($F42&gt;$D$5,$F42&gt;MAX('הנחות עבודה'!$B$69:$B$89)),0,(VLOOKUP($F42,'התפלגות ייצור וסל דלקים'!$B$64:$BV$84,R$2-$E$2,FALSE))*$D$9*$D$8*(HLOOKUP(R$23,$G$18:$R$19,2,FALSE)*(1-$D$12)^($F42-'הנחות עבודה'!$C$5)/$D$11)/$D$11)</f>
        <v>0</v>
      </c>
      <c r="S42" s="52">
        <f ca="1">IF(OR($F42&gt;$D$5,$F42&gt;MAX('הנחות עבודה'!$B$69:$B$89)),0,(VLOOKUP($F42,'התפלגות ייצור וסל דלקים'!$B$64:$BV$84,S$2-$E$2,FALSE))*$D$9*$D$8*(HLOOKUP(S$23,$G$18:$R$19,2,FALSE)*(1-$D$12)^($F42-'הנחות עבודה'!$C$5)/$D$11)/$D$11)</f>
        <v>0</v>
      </c>
      <c r="T42" s="127">
        <f ca="1">IF(OR($F42&gt;$D$5,$F42&gt;MAX('הנחות עבודה'!$B$69:$B$89)),0,(VLOOKUP($F42,'התפלגות ייצור וסל דלקים'!$B$64:$BV$84,T$2-$E$2,FALSE))*$D$9*$D$8*(HLOOKUP(T$23,$G$18:$R$19,2,FALSE)*(1-$D$12)^($F42-'הנחות עבודה'!$C$5)/$D$11)/$D$11)</f>
        <v>0</v>
      </c>
      <c r="U42" s="127">
        <f ca="1">IF(OR($F42&gt;$D$5,$F42&gt;MAX('הנחות עבודה'!$B$69:$B$89)),0,(VLOOKUP($F42,'התפלגות ייצור וסל דלקים'!$B$64:$BV$84,U$2-$E$2,FALSE))*$D$9*$D$8*(HLOOKUP(U$23,$G$18:$R$19,2,FALSE)*(1-$D$12)^($F42-'הנחות עבודה'!$C$5)/$D$11)/$D$11)</f>
        <v>0</v>
      </c>
      <c r="V42" s="127">
        <f ca="1">IF(OR($F42&gt;$D$5,$F42&gt;MAX('הנחות עבודה'!$B$69:$B$89)),0,(VLOOKUP($F42,'התפלגות ייצור וסל דלקים'!$B$64:$BV$84,V$2-$E$2,FALSE))*$D$9*$D$8*(HLOOKUP(V$23,$G$18:$R$19,2,FALSE)*(1-$D$12)^($F42-'הנחות עבודה'!$C$5)/$D$11)/$D$11)</f>
        <v>0</v>
      </c>
      <c r="W42" s="127">
        <f ca="1">IF(OR($F42&gt;$D$5,$F42&gt;MAX('הנחות עבודה'!$B$69:$B$89)),0,(VLOOKUP($F42,'התפלגות ייצור וסל דלקים'!$B$64:$BV$84,W$2-$E$2,FALSE))*$D$9*$D$8*(HLOOKUP(W$23,$G$18:$R$19,2,FALSE)*(1-$D$12)^($F42-'הנחות עבודה'!$C$5)/$D$11)/$D$11)</f>
        <v>0</v>
      </c>
      <c r="X42" s="127">
        <f ca="1">IF(OR($F42&gt;$D$5,$F42&gt;MAX('הנחות עבודה'!$B$69:$B$89)),0,(VLOOKUP($F42,'התפלגות ייצור וסל דלקים'!$B$64:$BV$84,X$2-$E$2,FALSE))*$D$9*$D$8*(HLOOKUP(X$23,$G$18:$R$19,2,FALSE)*(1-$D$12)^($F42-'הנחות עבודה'!$C$5)/$D$11)/$D$11)</f>
        <v>0</v>
      </c>
      <c r="Y42" s="52">
        <f ca="1">IF(OR($F42&gt;$D$5,$F42&gt;MAX('הנחות עבודה'!$B$69:$B$89)),0,(VLOOKUP($F42,'התפלגות ייצור וסל דלקים'!$B$64:$BV$84,Y$2-$E$2,FALSE))*$D$9*$D$8*(HLOOKUP(Y$23,$G$18:$R$19,2,FALSE)*(1-$D$12)^($F42-'הנחות עבודה'!$C$5)/$D$11)/$D$11)</f>
        <v>3.7089983999999995E-3</v>
      </c>
      <c r="Z42" s="52">
        <f ca="1">IF(OR($F42&gt;$D$5,$F42&gt;MAX('הנחות עבודה'!$B$69:$B$89)),0,(VLOOKUP($F42,'התפלגות ייצור וסל דלקים'!$B$64:$BV$84,Z$2-$E$2,FALSE))*$D$9*$D$8*(HLOOKUP(Z$23,$G$18:$R$19,2,FALSE)*(1-$D$12)^($F42-'הנחות עבודה'!$C$5)/$D$11)/$D$11)</f>
        <v>1.4636970178530455E-2</v>
      </c>
      <c r="AA42" s="52">
        <f ca="1">IF(OR($F42&gt;$D$5,$F42&gt;MAX('הנחות עבודה'!$B$69:$B$89)),0,(VLOOKUP($F42,'התפלגות ייצור וסל דלקים'!$B$64:$BV$84,AA$2-$E$2,FALSE))*$D$9*$D$8*(HLOOKUP(AA$23,$G$18:$R$19,2,FALSE)*(1-$D$12)^($F42-'הנחות עבודה'!$C$5)/$D$11)/$D$11)</f>
        <v>0</v>
      </c>
      <c r="AB42" s="52">
        <f ca="1">IF(OR($F42&gt;$D$5,$F42&gt;MAX('הנחות עבודה'!$B$69:$B$89)),0,(VLOOKUP($F42,'התפלגות ייצור וסל דלקים'!$B$64:$BV$84,AB$2-$E$2,FALSE))*$D$9*$D$8*(HLOOKUP(AB$23,$G$18:$R$19,2,FALSE)*(1-$D$12)^($F42-'הנחות עבודה'!$C$5)/$D$11)/$D$11)</f>
        <v>0</v>
      </c>
      <c r="AC42" s="52">
        <f ca="1">IF(OR($F42&gt;$D$5,$F42&gt;MAX('הנחות עבודה'!$B$69:$B$89)),0,(VLOOKUP($F42,'התפלגות ייצור וסל דלקים'!$B$64:$BV$84,AC$2-$E$2,FALSE))*$D$9*$D$8*(HLOOKUP(AC$23,$G$18:$R$19,2,FALSE)*(1-$D$12)^($F42-'הנחות עבודה'!$C$5)/$D$11)/$D$11)</f>
        <v>0</v>
      </c>
      <c r="AD42" s="52">
        <f ca="1">IF(OR($F42&gt;$D$5,$F42&gt;MAX('הנחות עבודה'!$B$69:$B$89)),0,(VLOOKUP($F42,'התפלגות ייצור וסל דלקים'!$B$64:$BV$84,AD$2-$E$2,FALSE))*$D$9*$D$8*(HLOOKUP(AD$23,$G$18:$R$19,2,FALSE)*(1-$D$12)^($F42-'הנחות עבודה'!$C$5)/$D$11)/$D$11)</f>
        <v>0</v>
      </c>
      <c r="AE42" s="42">
        <f ca="1">IF(OR($F42&gt;$D$5,$F42&gt;MAX('הנחות עבודה'!$B$69:$B$89)),0,(VLOOKUP($F42,'התפלגות ייצור וסל דלקים'!$B$64:$BV$84,AE$2-$E$2,FALSE))*$D$9*$D$8*(HLOOKUP(AE$23,$G$18:$R$19,2,FALSE)*(1-$D$12)^($F42-'הנחות עבודה'!$C$5)/$D$11)/$D$11)</f>
        <v>0</v>
      </c>
      <c r="AF42" s="44">
        <f ca="1">IF(OR($F42&gt;$D$5,$F42&gt;MAX('הנחות עבודה'!$B$69:$B$89)),0,(VLOOKUP($F42,'התפלגות ייצור וסל דלקים'!$B$64:$BV$84,AF$2-$E$2,FALSE))*$D$9*$D$8*(HLOOKUP(AF$23,$G$18:$R$19,2,FALSE)*(1-$D$12)^($F42-'הנחות עבודה'!$C$5)/$D$11)/$D$11)</f>
        <v>0</v>
      </c>
      <c r="AG42" s="44">
        <f ca="1">IF(OR($F42&gt;$D$5,$F42&gt;MAX('הנחות עבודה'!$B$69:$B$89)),0,(VLOOKUP($F42,'התפלגות ייצור וסל דלקים'!$B$64:$BV$84,AG$2-$E$2,FALSE))*$D$9*$D$8*(HLOOKUP(AG$23,$G$18:$R$19,2,FALSE)*(1-$D$12)^($F42-'הנחות עבודה'!$C$5)/$D$11)/$D$11)</f>
        <v>0</v>
      </c>
      <c r="AH42" s="44">
        <f ca="1">IF(OR($F42&gt;$D$5,$F42&gt;MAX('הנחות עבודה'!$B$69:$B$89)),0,(VLOOKUP($F42,'התפלגות ייצור וסל דלקים'!$B$64:$BV$84,AH$2-$E$2,FALSE))*$D$9*$D$8*(HLOOKUP(AH$23,$G$18:$R$19,2,FALSE)*(1-$D$12)^($F42-'הנחות עבודה'!$C$5)/$D$11)/$D$11)</f>
        <v>0</v>
      </c>
      <c r="AI42" s="44">
        <f ca="1">IF(OR($F42&gt;$D$5,$F42&gt;MAX('הנחות עבודה'!$B$69:$B$89)),0,(VLOOKUP($F42,'התפלגות ייצור וסל דלקים'!$B$64:$BV$84,AI$2-$E$2,FALSE))*$D$9*$D$8*(HLOOKUP(AI$23,$G$18:$R$19,2,FALSE)*(1-$D$12)^($F42-'הנחות עבודה'!$C$5)/$D$11)/$D$11)</f>
        <v>0</v>
      </c>
      <c r="AJ42" s="44">
        <f ca="1">IF(OR($F42&gt;$D$5,$F42&gt;MAX('הנחות עבודה'!$B$69:$B$89)),0,(VLOOKUP($F42,'התפלגות ייצור וסל דלקים'!$B$64:$BV$84,AJ$2-$E$2,FALSE))*$D$9*$D$8*(HLOOKUP(AJ$23,$G$18:$R$19,2,FALSE)*(1-$D$12)^($F42-'הנחות עבודה'!$C$5)/$D$11)/$D$11)</f>
        <v>0</v>
      </c>
      <c r="AK42" s="42">
        <f ca="1">IF(OR($F42&gt;$D$5,$F42&gt;MAX('הנחות עבודה'!$B$69:$B$89)),0,(VLOOKUP($F42,'התפלגות ייצור וסל דלקים'!$B$64:$BV$84,AK$2-$E$2,FALSE))*$D$9*$D$8*(HLOOKUP(AK$23,$G$18:$R$19,2,FALSE)*(1-$D$12)^($F42-'הנחות עבודה'!$C$5)/$D$11)/$D$11)</f>
        <v>3.87792E-3</v>
      </c>
      <c r="AL42" s="42">
        <f ca="1">IF(OR($F42&gt;$D$5,$F42&gt;MAX('הנחות עבודה'!$B$69:$B$89)),0,(VLOOKUP($F42,'התפלגות ייצור וסל דלקים'!$B$64:$BV$84,AL$2-$E$2,FALSE))*$D$9*$D$8*(HLOOKUP(AL$23,$G$18:$R$19,2,FALSE)*(1-$D$12)^($F42-'הנחות עבודה'!$C$5)/$D$11)/$D$11)</f>
        <v>1.3337366356932518E-2</v>
      </c>
      <c r="AM42" s="42">
        <f ca="1">IF(OR($F42&gt;$D$5,$F42&gt;MAX('הנחות עבודה'!$B$69:$B$89)),0,(VLOOKUP($F42,'התפלגות ייצור וסל דלקים'!$B$64:$BV$84,AM$2-$E$2,FALSE))*$D$9*$D$8*(HLOOKUP(AM$23,$G$18:$R$19,2,FALSE)*(1-$D$12)^($F42-'הנחות עבודה'!$C$5)/$D$11)/$D$11)</f>
        <v>0</v>
      </c>
      <c r="AN42" s="42">
        <f ca="1">IF(OR($F42&gt;$D$5,$F42&gt;MAX('הנחות עבודה'!$B$69:$B$89)),0,(VLOOKUP($F42,'התפלגות ייצור וסל דלקים'!$B$64:$BV$84,AN$2-$E$2,FALSE))*$D$9*$D$8*(HLOOKUP(AN$23,$G$18:$R$19,2,FALSE)*(1-$D$12)^($F42-'הנחות עבודה'!$C$5)/$D$11)/$D$11)</f>
        <v>0</v>
      </c>
      <c r="AO42" s="42">
        <f ca="1">IF(OR($F42&gt;$D$5,$F42&gt;MAX('הנחות עבודה'!$B$69:$B$89)),0,(VLOOKUP($F42,'התפלגות ייצור וסל דלקים'!$B$64:$BV$84,AO$2-$E$2,FALSE))*$D$9*$D$8*(HLOOKUP(AO$23,$G$18:$R$19,2,FALSE)*(1-$D$12)^($F42-'הנחות עבודה'!$C$5)/$D$11)/$D$11)</f>
        <v>0</v>
      </c>
      <c r="AP42" s="42">
        <f ca="1">IF(OR($F42&gt;$D$5,$F42&gt;MAX('הנחות עבודה'!$B$69:$B$89)),0,(VLOOKUP($F42,'התפלגות ייצור וסל דלקים'!$B$64:$BV$84,AP$2-$E$2,FALSE))*$D$9*$D$8*(HLOOKUP(AP$23,$G$18:$R$19,2,FALSE)*(1-$D$12)^($F42-'הנחות עבודה'!$C$5)/$D$11)/$D$11)</f>
        <v>0</v>
      </c>
      <c r="AQ42" s="52">
        <f ca="1">IF(OR($F42&gt;$D$5,$F42&gt;MAX('הנחות עבודה'!$B$69:$B$89)),0,(VLOOKUP($F42,'התפלגות ייצור וסל דלקים'!$B$64:$BV$84,AQ$2-$E$2,FALSE))*$D$9*$D$8*(HLOOKUP(AQ$23,$G$18:$R$19,2,FALSE)*(1-$D$12)^($F42-'הנחות עבודה'!$C$5)/$D$11)/$D$11)</f>
        <v>0</v>
      </c>
      <c r="AR42" s="127">
        <f ca="1">IF(OR($F42&gt;$D$5,$F42&gt;MAX('הנחות עבודה'!$B$69:$B$89)),0,(VLOOKUP($F42,'התפלגות ייצור וסל דלקים'!$B$64:$BV$84,AR$2-$E$2,FALSE))*$D$9*$D$8*(HLOOKUP(AR$23,$G$18:$R$19,2,FALSE)*(1-$D$12)^($F42-'הנחות עבודה'!$C$5)/$D$11)/$D$11)</f>
        <v>0</v>
      </c>
      <c r="AS42" s="127">
        <f ca="1">IF(OR($F42&gt;$D$5,$F42&gt;MAX('הנחות עבודה'!$B$69:$B$89)),0,(VLOOKUP($F42,'התפלגות ייצור וסל דלקים'!$B$64:$BV$84,AS$2-$E$2,FALSE))*$D$9*$D$8*(HLOOKUP(AS$23,$G$18:$R$19,2,FALSE)*(1-$D$12)^($F42-'הנחות עבודה'!$C$5)/$D$11)/$D$11)</f>
        <v>0</v>
      </c>
      <c r="AT42" s="127">
        <f ca="1">IF(OR($F42&gt;$D$5,$F42&gt;MAX('הנחות עבודה'!$B$69:$B$89)),0,(VLOOKUP($F42,'התפלגות ייצור וסל דלקים'!$B$64:$BV$84,AT$2-$E$2,FALSE))*$D$9*$D$8*(HLOOKUP(AT$23,$G$18:$R$19,2,FALSE)*(1-$D$12)^($F42-'הנחות עבודה'!$C$5)/$D$11)/$D$11)</f>
        <v>0</v>
      </c>
      <c r="AU42" s="127">
        <f ca="1">IF(OR($F42&gt;$D$5,$F42&gt;MAX('הנחות עבודה'!$B$69:$B$89)),0,(VLOOKUP($F42,'התפלגות ייצור וסל דלקים'!$B$64:$BV$84,AU$2-$E$2,FALSE))*$D$9*$D$8*(HLOOKUP(AU$23,$G$18:$R$19,2,FALSE)*(1-$D$12)^($F42-'הנחות עבודה'!$C$5)/$D$11)/$D$11)</f>
        <v>0</v>
      </c>
      <c r="AV42" s="127">
        <f ca="1">IF(OR($F42&gt;$D$5,$F42&gt;MAX('הנחות עבודה'!$B$69:$B$89)),0,(VLOOKUP($F42,'התפלגות ייצור וסל דלקים'!$B$64:$BV$84,AV$2-$E$2,FALSE))*$D$9*$D$8*(HLOOKUP(AV$23,$G$18:$R$19,2,FALSE)*(1-$D$12)^($F42-'הנחות עבודה'!$C$5)/$D$11)/$D$11)</f>
        <v>0</v>
      </c>
      <c r="AW42" s="52">
        <f ca="1">IF(OR($F42&gt;$D$5,$F42&gt;MAX('הנחות עבודה'!$B$69:$B$89)),0,(VLOOKUP($F42,'התפלגות ייצור וסל דלקים'!$B$64:$BV$84,AW$2-$E$2,FALSE))*$D$9*$D$8*(HLOOKUP(AW$23,$G$18:$R$19,2,FALSE)*(1-$D$12)^($F42-'הנחות עבודה'!$C$5)/$D$11)/$D$11)</f>
        <v>3.87792E-3</v>
      </c>
      <c r="AX42" s="52">
        <f ca="1">IF(OR($F42&gt;$D$5,$F42&gt;MAX('הנחות עבודה'!$B$69:$B$89)),0,(VLOOKUP($F42,'התפלגות ייצור וסל דלקים'!$B$64:$BV$84,AX$2-$E$2,FALSE))*$D$9*$D$8*(HLOOKUP(AX$23,$G$18:$R$19,2,FALSE)*(1-$D$12)^($F42-'הנחות עבודה'!$C$5)/$D$11)/$D$11)</f>
        <v>1.3337366356932518E-2</v>
      </c>
      <c r="AY42" s="52">
        <f ca="1">IF(OR($F42&gt;$D$5,$F42&gt;MAX('הנחות עבודה'!$B$69:$B$89)),0,(VLOOKUP($F42,'התפלגות ייצור וסל דלקים'!$B$64:$BV$84,AY$2-$E$2,FALSE))*$D$9*$D$8*(HLOOKUP(AY$23,$G$18:$R$19,2,FALSE)*(1-$D$12)^($F42-'הנחות עבודה'!$C$5)/$D$11)/$D$11)</f>
        <v>0</v>
      </c>
      <c r="AZ42" s="52">
        <f ca="1">IF(OR($F42&gt;$D$5,$F42&gt;MAX('הנחות עבודה'!$B$69:$B$89)),0,(VLOOKUP($F42,'התפלגות ייצור וסל דלקים'!$B$64:$BV$84,AZ$2-$E$2,FALSE))*$D$9*$D$8*(HLOOKUP(AZ$23,$G$18:$R$19,2,FALSE)*(1-$D$12)^($F42-'הנחות עבודה'!$C$5)/$D$11)/$D$11)</f>
        <v>0</v>
      </c>
      <c r="BA42" s="52">
        <f ca="1">IF(OR($F42&gt;$D$5,$F42&gt;MAX('הנחות עבודה'!$B$69:$B$89)),0,(VLOOKUP($F42,'התפלגות ייצור וסל דלקים'!$B$64:$BV$84,BA$2-$E$2,FALSE))*$D$9*$D$8*(HLOOKUP(BA$23,$G$18:$R$19,2,FALSE)*(1-$D$12)^($F42-'הנחות עבודה'!$C$5)/$D$11)/$D$11)</f>
        <v>0</v>
      </c>
      <c r="BB42" s="52">
        <f ca="1">IF(OR($F42&gt;$D$5,$F42&gt;MAX('הנחות עבודה'!$B$69:$B$89)),0,(VLOOKUP($F42,'התפלגות ייצור וסל דלקים'!$B$64:$BV$84,BB$2-$E$2,FALSE))*$D$9*$D$8*(HLOOKUP(BB$23,$G$18:$R$19,2,FALSE)*(1-$D$12)^($F42-'הנחות עבודה'!$C$5)/$D$11)/$D$11)</f>
        <v>0</v>
      </c>
      <c r="BC42" s="42">
        <f ca="1">IF(OR($F42&gt;$D$5,$F42&gt;MAX('הנחות עבודה'!$B$69:$B$89)),0,(VLOOKUP($F42,'התפלגות ייצור וסל דלקים'!$B$64:$BV$84,BC$2-$E$2,FALSE))*$D$9*$D$8*(HLOOKUP(BC$23,$G$18:$R$19,2,FALSE)*(1-$D$12)^($F42-'הנחות עבודה'!$C$5)/$D$11)/$D$11)</f>
        <v>0</v>
      </c>
      <c r="BD42" s="44">
        <f ca="1">IF(OR($F42&gt;$D$5,$F42&gt;MAX('הנחות עבודה'!$B$69:$B$89)),0,(VLOOKUP($F42,'התפלגות ייצור וסל דלקים'!$B$64:$BV$84,BD$2-$E$2,FALSE))*$D$9*$D$8*(HLOOKUP(BD$23,$G$18:$R$19,2,FALSE)*(1-$D$12)^($F42-'הנחות עבודה'!$C$5)/$D$11)/$D$11)</f>
        <v>0</v>
      </c>
      <c r="BE42" s="44">
        <f ca="1">IF(OR($F42&gt;$D$5,$F42&gt;MAX('הנחות עבודה'!$B$69:$B$89)),0,(VLOOKUP($F42,'התפלגות ייצור וסל דלקים'!$B$64:$BV$84,BE$2-$E$2,FALSE))*$D$9*$D$8*(HLOOKUP(BE$23,$G$18:$R$19,2,FALSE)*(1-$D$12)^($F42-'הנחות עבודה'!$C$5)/$D$11)/$D$11)</f>
        <v>0</v>
      </c>
      <c r="BF42" s="44">
        <f ca="1">IF(OR($F42&gt;$D$5,$F42&gt;MAX('הנחות עבודה'!$B$69:$B$89)),0,(VLOOKUP($F42,'התפלגות ייצור וסל דלקים'!$B$64:$BV$84,BF$2-$E$2,FALSE))*$D$9*$D$8*(HLOOKUP(BF$23,$G$18:$R$19,2,FALSE)*(1-$D$12)^($F42-'הנחות עבודה'!$C$5)/$D$11)/$D$11)</f>
        <v>0</v>
      </c>
      <c r="BG42" s="44">
        <f ca="1">IF(OR($F42&gt;$D$5,$F42&gt;MAX('הנחות עבודה'!$B$69:$B$89)),0,(VLOOKUP($F42,'התפלגות ייצור וסל דלקים'!$B$64:$BV$84,BG$2-$E$2,FALSE))*$D$9*$D$8*(HLOOKUP(BG$23,$G$18:$R$19,2,FALSE)*(1-$D$12)^($F42-'הנחות עבודה'!$C$5)/$D$11)/$D$11)</f>
        <v>0</v>
      </c>
      <c r="BH42" s="44">
        <f ca="1">IF(OR($F42&gt;$D$5,$F42&gt;MAX('הנחות עבודה'!$B$69:$B$89)),0,(VLOOKUP($F42,'התפלגות ייצור וסל דלקים'!$B$64:$BV$84,BH$2-$E$2,FALSE))*$D$9*$D$8*(HLOOKUP(BH$23,$G$18:$R$19,2,FALSE)*(1-$D$12)^($F42-'הנחות עבודה'!$C$5)/$D$11)/$D$11)</f>
        <v>0</v>
      </c>
      <c r="BI42" s="42">
        <f ca="1">IF(OR($F42&gt;$D$5,$F42&gt;MAX('הנחות עבודה'!$B$69:$B$89)),0,(VLOOKUP($F42,'התפלגות ייצור וסל דלקים'!$B$64:$BV$84,BI$2-$E$2,FALSE))*$D$9*$D$8*(HLOOKUP(BI$23,$G$18:$R$19,2,FALSE)*(1-$D$12)^($F42-'הנחות עבודה'!$C$5)/$D$11)/$D$11)</f>
        <v>3.9686400000000007E-3</v>
      </c>
      <c r="BJ42" s="42">
        <f ca="1">IF(OR($F42&gt;$D$5,$F42&gt;MAX('הנחות עבודה'!$B$69:$B$89)),0,(VLOOKUP($F42,'התפלגות ייצור וסל דלקים'!$B$64:$BV$84,BJ$2-$E$2,FALSE))*$D$9*$D$8*(HLOOKUP(BJ$23,$G$18:$R$19,2,FALSE)*(1-$D$12)^($F42-'הנחות עבודה'!$C$5)/$D$11)/$D$11)</f>
        <v>1.2536278368433799E-2</v>
      </c>
      <c r="BK42" s="42">
        <f ca="1">IF(OR($F42&gt;$D$5,$F42&gt;MAX('הנחות עבודה'!$B$69:$B$89)),0,(VLOOKUP($F42,'התפלגות ייצור וסל דלקים'!$B$64:$BV$84,BK$2-$E$2,FALSE))*$D$9*$D$8*(HLOOKUP(BK$23,$G$18:$R$19,2,FALSE)*(1-$D$12)^($F42-'הנחות עבודה'!$C$5)/$D$11)/$D$11)</f>
        <v>0</v>
      </c>
      <c r="BL42" s="42">
        <f ca="1">IF(OR($F42&gt;$D$5,$F42&gt;MAX('הנחות עבודה'!$B$69:$B$89)),0,(VLOOKUP($F42,'התפלגות ייצור וסל דלקים'!$B$64:$BV$84,BL$2-$E$2,FALSE))*$D$9*$D$8*(HLOOKUP(BL$23,$G$18:$R$19,2,FALSE)*(1-$D$12)^($F42-'הנחות עבודה'!$C$5)/$D$11)/$D$11)</f>
        <v>0</v>
      </c>
      <c r="BM42" s="42">
        <f ca="1">IF(OR($F42&gt;$D$5,$F42&gt;MAX('הנחות עבודה'!$B$69:$B$89)),0,(VLOOKUP($F42,'התפלגות ייצור וסל דלקים'!$B$64:$BV$84,BM$2-$E$2,FALSE))*$D$9*$D$8*(HLOOKUP(BM$23,$G$18:$R$19,2,FALSE)*(1-$D$12)^($F42-'הנחות עבודה'!$C$5)/$D$11)/$D$11)</f>
        <v>0</v>
      </c>
      <c r="BN42" s="42">
        <f ca="1">IF(OR($F42&gt;$D$5,$F42&gt;MAX('הנחות עבודה'!$B$69:$B$89)),0,(VLOOKUP($F42,'התפלגות ייצור וסל דלקים'!$B$64:$BV$84,BN$2-$E$2,FALSE))*$D$9*$D$8*(HLOOKUP(BN$23,$G$18:$R$19,2,FALSE)*(1-$D$12)^($F42-'הנחות עבודה'!$C$5)/$D$11)/$D$11)</f>
        <v>0</v>
      </c>
      <c r="BO42" s="52">
        <f ca="1">IF(OR($F42&gt;$D$5,$F42&gt;MAX('הנחות עבודה'!$B$69:$B$89)),0,(VLOOKUP($F42,'התפלגות ייצור וסל דלקים'!$B$64:$BV$84,BO$2-$E$2,FALSE))*$D$9*$D$8*(HLOOKUP(BO$23,$G$18:$R$19,2,FALSE)*(1-$D$12)^($F42-'הנחות עבודה'!$C$5)/$D$11)/$D$11)</f>
        <v>0</v>
      </c>
      <c r="BP42" s="127">
        <f ca="1">IF(OR($F42&gt;$D$5,$F42&gt;MAX('הנחות עבודה'!$B$69:$B$89)),0,(VLOOKUP($F42,'התפלגות ייצור וסל דלקים'!$B$64:$BV$84,BP$2-$E$2,FALSE))*$D$9*$D$8*(HLOOKUP(BP$23,$G$18:$R$19,2,FALSE)*(1-$D$12)^($F42-'הנחות עבודה'!$C$5)/$D$11)/$D$11)</f>
        <v>0</v>
      </c>
      <c r="BQ42" s="127">
        <f ca="1">IF(OR($F42&gt;$D$5,$F42&gt;MAX('הנחות עבודה'!$B$69:$B$89)),0,(VLOOKUP($F42,'התפלגות ייצור וסל דלקים'!$B$64:$BV$84,BQ$2-$E$2,FALSE))*$D$9*$D$8*(HLOOKUP(BQ$23,$G$18:$R$19,2,FALSE)*(1-$D$12)^($F42-'הנחות עבודה'!$C$5)/$D$11)/$D$11)</f>
        <v>0</v>
      </c>
      <c r="BR42" s="127">
        <f ca="1">IF(OR($F42&gt;$D$5,$F42&gt;MAX('הנחות עבודה'!$B$69:$B$89)),0,(VLOOKUP($F42,'התפלגות ייצור וסל דלקים'!$B$64:$BV$84,BR$2-$E$2,FALSE))*$D$9*$D$8*(HLOOKUP(BR$23,$G$18:$R$19,2,FALSE)*(1-$D$12)^($F42-'הנחות עבודה'!$C$5)/$D$11)/$D$11)</f>
        <v>0</v>
      </c>
      <c r="BS42" s="127">
        <f ca="1">IF(OR($F42&gt;$D$5,$F42&gt;MAX('הנחות עבודה'!$B$69:$B$89)),0,(VLOOKUP($F42,'התפלגות ייצור וסל דלקים'!$B$64:$BV$84,BS$2-$E$2,FALSE))*$D$9*$D$8*(HLOOKUP(BS$23,$G$18:$R$19,2,FALSE)*(1-$D$12)^($F42-'הנחות עבודה'!$C$5)/$D$11)/$D$11)</f>
        <v>0</v>
      </c>
      <c r="BT42" s="127">
        <f ca="1">IF(OR($F42&gt;$D$5,$F42&gt;MAX('הנחות עבודה'!$B$69:$B$89)),0,(VLOOKUP($F42,'התפלגות ייצור וסל דלקים'!$B$64:$BV$84,BT$2-$E$2,FALSE))*$D$9*$D$8*(HLOOKUP(BT$23,$G$18:$R$19,2,FALSE)*(1-$D$12)^($F42-'הנחות עבודה'!$C$5)/$D$11)/$D$11)</f>
        <v>0</v>
      </c>
      <c r="BU42" s="52">
        <f ca="1">IF(OR($F42&gt;$D$5,$F42&gt;MAX('הנחות עבודה'!$B$69:$B$89)),0,(VLOOKUP($F42,'התפלגות ייצור וסל דלקים'!$B$64:$BV$84,BU$2-$E$2,FALSE))*$D$9*$D$8*(HLOOKUP(BU$23,$G$18:$R$19,2,FALSE)*(1-$D$12)^($F42-'הנחות עבודה'!$C$5)/$D$11)/$D$11)</f>
        <v>3.9686400000000007E-3</v>
      </c>
      <c r="BV42" s="52">
        <f ca="1">IF(OR($F42&gt;$D$5,$F42&gt;MAX('הנחות עבודה'!$B$69:$B$89)),0,(VLOOKUP($F42,'התפלגות ייצור וסל דלקים'!$B$64:$BV$84,BV$2-$E$2,FALSE))*$D$9*$D$8*(HLOOKUP(BV$23,$G$18:$R$19,2,FALSE)*(1-$D$12)^($F42-'הנחות עבודה'!$C$5)/$D$11)/$D$11)</f>
        <v>1.2536278368433799E-2</v>
      </c>
      <c r="BW42" s="52">
        <f ca="1">IF(OR($F42&gt;$D$5,$F42&gt;MAX('הנחות עבודה'!$B$69:$B$89)),0,(VLOOKUP($F42,'התפלגות ייצור וסל דלקים'!$B$64:$BV$84,BW$2-$E$2,FALSE))*$D$9*$D$8*(HLOOKUP(BW$23,$G$18:$R$19,2,FALSE)*(1-$D$12)^($F42-'הנחות עבודה'!$C$5)/$D$11)/$D$11)</f>
        <v>0</v>
      </c>
      <c r="BX42" s="52">
        <f ca="1">IF(OR($F42&gt;$D$5,$F42&gt;MAX('הנחות עבודה'!$B$69:$B$89)),0,(VLOOKUP($F42,'התפלגות ייצור וסל דלקים'!$B$64:$BV$84,BX$2-$E$2,FALSE))*$D$9*$D$8*(HLOOKUP(BX$23,$G$18:$R$19,2,FALSE)*(1-$D$12)^($F42-'הנחות עבודה'!$C$5)/$D$11)/$D$11)</f>
        <v>0</v>
      </c>
      <c r="BY42" s="52">
        <f ca="1">IF(OR($F42&gt;$D$5,$F42&gt;MAX('הנחות עבודה'!$B$69:$B$89)),0,(VLOOKUP($F42,'התפלגות ייצור וסל דלקים'!$B$64:$BV$84,BY$2-$E$2,FALSE))*$D$9*$D$8*(HLOOKUP(BY$23,$G$18:$R$19,2,FALSE)*(1-$D$12)^($F42-'הנחות עבודה'!$C$5)/$D$11)/$D$11)</f>
        <v>0</v>
      </c>
      <c r="BZ42" s="52">
        <f ca="1">IF(OR($F42&gt;$D$5,$F42&gt;MAX('הנחות עבודה'!$B$69:$B$89)),0,(VLOOKUP($F42,'התפלגות ייצור וסל דלקים'!$B$64:$BV$84,BZ$2-$E$2,FALSE))*$D$9*$D$8*(HLOOKUP(BZ$23,$G$18:$R$19,2,FALSE)*(1-$D$12)^($F42-'הנחות עבודה'!$C$5)/$D$11)/$D$11)</f>
        <v>0</v>
      </c>
    </row>
    <row r="43" spans="6:78" ht="15.75">
      <c r="F43" s="10">
        <f t="shared" si="110"/>
        <v>2039</v>
      </c>
      <c r="G43" s="42">
        <f ca="1">IF(OR($F43&gt;$D$5,$F43&gt;MAX('הנחות עבודה'!$B$69:$B$89)),0,(VLOOKUP($F43,'התפלגות ייצור וסל דלקים'!$B$64:$BV$84,G$2-$E$2,FALSE))*$D$9*$D$8*(HLOOKUP(G$23,$G$18:$R$19,2,FALSE)*(1-$D$12)^($F43-'הנחות עבודה'!$C$5)/$D$11)/$D$11)</f>
        <v>0</v>
      </c>
      <c r="H43" s="44">
        <f ca="1">IF(OR($F43&gt;$D$5,$F43&gt;MAX('הנחות עבודה'!$B$69:$B$89)),0,(VLOOKUP($F43,'התפלגות ייצור וסל דלקים'!$B$64:$BV$84,H$2-$E$2,FALSE))*$D$9*$D$8*(HLOOKUP(H$23,$G$18:$R$19,2,FALSE)*(1-$D$12)^($F43-'הנחות עבודה'!$C$5)/$D$11)/$D$11)</f>
        <v>0</v>
      </c>
      <c r="I43" s="44">
        <f ca="1">IF(OR($F43&gt;$D$5,$F43&gt;MAX('הנחות עבודה'!$B$69:$B$89)),0,(VLOOKUP($F43,'התפלגות ייצור וסל דלקים'!$B$64:$BV$84,I$2-$E$2,FALSE))*$D$9*$D$8*(HLOOKUP(I$23,$G$18:$R$19,2,FALSE)*(1-$D$12)^($F43-'הנחות עבודה'!$C$5)/$D$11)/$D$11)</f>
        <v>0</v>
      </c>
      <c r="J43" s="44">
        <f ca="1">IF(OR($F43&gt;$D$5,$F43&gt;MAX('הנחות עבודה'!$B$69:$B$89)),0,(VLOOKUP($F43,'התפלגות ייצור וסל דלקים'!$B$64:$BV$84,J$2-$E$2,FALSE))*$D$9*$D$8*(HLOOKUP(J$23,$G$18:$R$19,2,FALSE)*(1-$D$12)^($F43-'הנחות עבודה'!$C$5)/$D$11)/$D$11)</f>
        <v>0</v>
      </c>
      <c r="K43" s="44">
        <f ca="1">IF(OR($F43&gt;$D$5,$F43&gt;MAX('הנחות עבודה'!$B$69:$B$89)),0,(VLOOKUP($F43,'התפלגות ייצור וסל דלקים'!$B$64:$BV$84,K$2-$E$2,FALSE))*$D$9*$D$8*(HLOOKUP(K$23,$G$18:$R$19,2,FALSE)*(1-$D$12)^($F43-'הנחות עבודה'!$C$5)/$D$11)/$D$11)</f>
        <v>0</v>
      </c>
      <c r="L43" s="44">
        <f ca="1">IF(OR($F43&gt;$D$5,$F43&gt;MAX('הנחות עבודה'!$B$69:$B$89)),0,(VLOOKUP($F43,'התפלגות ייצור וסל דלקים'!$B$64:$BV$84,L$2-$E$2,FALSE))*$D$9*$D$8*(HLOOKUP(L$23,$G$18:$R$19,2,FALSE)*(1-$D$12)^($F43-'הנחות עבודה'!$C$5)/$D$11)/$D$11)</f>
        <v>0</v>
      </c>
      <c r="M43" s="42">
        <f ca="1">IF(OR($F43&gt;$D$5,$F43&gt;MAX('הנחות עבודה'!$B$69:$B$89)),0,(VLOOKUP($F43,'התפלגות ייצור וסל דלקים'!$B$64:$BV$84,M$2-$E$2,FALSE))*$D$9*$D$8*(HLOOKUP(M$23,$G$18:$R$19,2,FALSE)*(1-$D$12)^($F43-'הנחות עבודה'!$C$5)/$D$11)/$D$11)</f>
        <v>3.7437455999999995E-3</v>
      </c>
      <c r="N43" s="42">
        <f ca="1">IF(OR($F43&gt;$D$5,$F43&gt;MAX('הנחות עבודה'!$B$69:$B$89)),0,(VLOOKUP($F43,'התפלגות ייצור וסל דלקים'!$B$64:$BV$84,N$2-$E$2,FALSE))*$D$9*$D$8*(HLOOKUP(N$23,$G$18:$R$19,2,FALSE)*(1-$D$12)^($F43-'הנחות עבודה'!$C$5)/$D$11)/$D$11)</f>
        <v>1.5216569109004171E-2</v>
      </c>
      <c r="O43" s="42">
        <f ca="1">IF(OR($F43&gt;$D$5,$F43&gt;MAX('הנחות עבודה'!$B$69:$B$89)),0,(VLOOKUP($F43,'התפלגות ייצור וסל דלקים'!$B$64:$BV$84,O$2-$E$2,FALSE))*$D$9*$D$8*(HLOOKUP(O$23,$G$18:$R$19,2,FALSE)*(1-$D$12)^($F43-'הנחות עבודה'!$C$5)/$D$11)/$D$11)</f>
        <v>0</v>
      </c>
      <c r="P43" s="42">
        <f ca="1">IF(OR($F43&gt;$D$5,$F43&gt;MAX('הנחות עבודה'!$B$69:$B$89)),0,(VLOOKUP($F43,'התפלגות ייצור וסל דלקים'!$B$64:$BV$84,P$2-$E$2,FALSE))*$D$9*$D$8*(HLOOKUP(P$23,$G$18:$R$19,2,FALSE)*(1-$D$12)^($F43-'הנחות עבודה'!$C$5)/$D$11)/$D$11)</f>
        <v>0</v>
      </c>
      <c r="Q43" s="42">
        <f ca="1">IF(OR($F43&gt;$D$5,$F43&gt;MAX('הנחות עבודה'!$B$69:$B$89)),0,(VLOOKUP($F43,'התפלגות ייצור וסל דלקים'!$B$64:$BV$84,Q$2-$E$2,FALSE))*$D$9*$D$8*(HLOOKUP(Q$23,$G$18:$R$19,2,FALSE)*(1-$D$12)^($F43-'הנחות עבודה'!$C$5)/$D$11)/$D$11)</f>
        <v>0</v>
      </c>
      <c r="R43" s="42">
        <f ca="1">IF(OR($F43&gt;$D$5,$F43&gt;MAX('הנחות עבודה'!$B$69:$B$89)),0,(VLOOKUP($F43,'התפלגות ייצור וסל דלקים'!$B$64:$BV$84,R$2-$E$2,FALSE))*$D$9*$D$8*(HLOOKUP(R$23,$G$18:$R$19,2,FALSE)*(1-$D$12)^($F43-'הנחות עבודה'!$C$5)/$D$11)/$D$11)</f>
        <v>0</v>
      </c>
      <c r="S43" s="52">
        <f ca="1">IF(OR($F43&gt;$D$5,$F43&gt;MAX('הנחות עבודה'!$B$69:$B$89)),0,(VLOOKUP($F43,'התפלגות ייצור וסל דלקים'!$B$64:$BV$84,S$2-$E$2,FALSE))*$D$9*$D$8*(HLOOKUP(S$23,$G$18:$R$19,2,FALSE)*(1-$D$12)^($F43-'הנחות עבודה'!$C$5)/$D$11)/$D$11)</f>
        <v>0</v>
      </c>
      <c r="T43" s="127">
        <f ca="1">IF(OR($F43&gt;$D$5,$F43&gt;MAX('הנחות עבודה'!$B$69:$B$89)),0,(VLOOKUP($F43,'התפלגות ייצור וסל דלקים'!$B$64:$BV$84,T$2-$E$2,FALSE))*$D$9*$D$8*(HLOOKUP(T$23,$G$18:$R$19,2,FALSE)*(1-$D$12)^($F43-'הנחות עבודה'!$C$5)/$D$11)/$D$11)</f>
        <v>0</v>
      </c>
      <c r="U43" s="127">
        <f ca="1">IF(OR($F43&gt;$D$5,$F43&gt;MAX('הנחות עבודה'!$B$69:$B$89)),0,(VLOOKUP($F43,'התפלגות ייצור וסל דלקים'!$B$64:$BV$84,U$2-$E$2,FALSE))*$D$9*$D$8*(HLOOKUP(U$23,$G$18:$R$19,2,FALSE)*(1-$D$12)^($F43-'הנחות עבודה'!$C$5)/$D$11)/$D$11)</f>
        <v>0</v>
      </c>
      <c r="V43" s="127">
        <f ca="1">IF(OR($F43&gt;$D$5,$F43&gt;MAX('הנחות עבודה'!$B$69:$B$89)),0,(VLOOKUP($F43,'התפלגות ייצור וסל דלקים'!$B$64:$BV$84,V$2-$E$2,FALSE))*$D$9*$D$8*(HLOOKUP(V$23,$G$18:$R$19,2,FALSE)*(1-$D$12)^($F43-'הנחות עבודה'!$C$5)/$D$11)/$D$11)</f>
        <v>0</v>
      </c>
      <c r="W43" s="127">
        <f ca="1">IF(OR($F43&gt;$D$5,$F43&gt;MAX('הנחות עבודה'!$B$69:$B$89)),0,(VLOOKUP($F43,'התפלגות ייצור וסל דלקים'!$B$64:$BV$84,W$2-$E$2,FALSE))*$D$9*$D$8*(HLOOKUP(W$23,$G$18:$R$19,2,FALSE)*(1-$D$12)^($F43-'הנחות עבודה'!$C$5)/$D$11)/$D$11)</f>
        <v>0</v>
      </c>
      <c r="X43" s="127">
        <f ca="1">IF(OR($F43&gt;$D$5,$F43&gt;MAX('הנחות עבודה'!$B$69:$B$89)),0,(VLOOKUP($F43,'התפלגות ייצור וסל דלקים'!$B$64:$BV$84,X$2-$E$2,FALSE))*$D$9*$D$8*(HLOOKUP(X$23,$G$18:$R$19,2,FALSE)*(1-$D$12)^($F43-'הנחות עבודה'!$C$5)/$D$11)/$D$11)</f>
        <v>0</v>
      </c>
      <c r="Y43" s="52">
        <f ca="1">IF(OR($F43&gt;$D$5,$F43&gt;MAX('הנחות עבודה'!$B$69:$B$89)),0,(VLOOKUP($F43,'התפלגות ייצור וסל דלקים'!$B$64:$BV$84,Y$2-$E$2,FALSE))*$D$9*$D$8*(HLOOKUP(Y$23,$G$18:$R$19,2,FALSE)*(1-$D$12)^($F43-'הנחות עבודה'!$C$5)/$D$11)/$D$11)</f>
        <v>3.7437455999999995E-3</v>
      </c>
      <c r="Z43" s="52">
        <f ca="1">IF(OR($F43&gt;$D$5,$F43&gt;MAX('הנחות עבודה'!$B$69:$B$89)),0,(VLOOKUP($F43,'התפלגות ייצור וסל דלקים'!$B$64:$BV$84,Z$2-$E$2,FALSE))*$D$9*$D$8*(HLOOKUP(Z$23,$G$18:$R$19,2,FALSE)*(1-$D$12)^($F43-'הנחות עבודה'!$C$5)/$D$11)/$D$11)</f>
        <v>1.5216569109004171E-2</v>
      </c>
      <c r="AA43" s="52">
        <f ca="1">IF(OR($F43&gt;$D$5,$F43&gt;MAX('הנחות עבודה'!$B$69:$B$89)),0,(VLOOKUP($F43,'התפלגות ייצור וסל דלקים'!$B$64:$BV$84,AA$2-$E$2,FALSE))*$D$9*$D$8*(HLOOKUP(AA$23,$G$18:$R$19,2,FALSE)*(1-$D$12)^($F43-'הנחות עבודה'!$C$5)/$D$11)/$D$11)</f>
        <v>0</v>
      </c>
      <c r="AB43" s="52">
        <f ca="1">IF(OR($F43&gt;$D$5,$F43&gt;MAX('הנחות עבודה'!$B$69:$B$89)),0,(VLOOKUP($F43,'התפלגות ייצור וסל דלקים'!$B$64:$BV$84,AB$2-$E$2,FALSE))*$D$9*$D$8*(HLOOKUP(AB$23,$G$18:$R$19,2,FALSE)*(1-$D$12)^($F43-'הנחות עבודה'!$C$5)/$D$11)/$D$11)</f>
        <v>0</v>
      </c>
      <c r="AC43" s="52">
        <f ca="1">IF(OR($F43&gt;$D$5,$F43&gt;MAX('הנחות עבודה'!$B$69:$B$89)),0,(VLOOKUP($F43,'התפלגות ייצור וסל דלקים'!$B$64:$BV$84,AC$2-$E$2,FALSE))*$D$9*$D$8*(HLOOKUP(AC$23,$G$18:$R$19,2,FALSE)*(1-$D$12)^($F43-'הנחות עבודה'!$C$5)/$D$11)/$D$11)</f>
        <v>0</v>
      </c>
      <c r="AD43" s="52">
        <f ca="1">IF(OR($F43&gt;$D$5,$F43&gt;MAX('הנחות עבודה'!$B$69:$B$89)),0,(VLOOKUP($F43,'התפלגות ייצור וסל דלקים'!$B$64:$BV$84,AD$2-$E$2,FALSE))*$D$9*$D$8*(HLOOKUP(AD$23,$G$18:$R$19,2,FALSE)*(1-$D$12)^($F43-'הנחות עבודה'!$C$5)/$D$11)/$D$11)</f>
        <v>0</v>
      </c>
      <c r="AE43" s="42">
        <f ca="1">IF(OR($F43&gt;$D$5,$F43&gt;MAX('הנחות עבודה'!$B$69:$B$89)),0,(VLOOKUP($F43,'התפלגות ייצור וסל דלקים'!$B$64:$BV$84,AE$2-$E$2,FALSE))*$D$9*$D$8*(HLOOKUP(AE$23,$G$18:$R$19,2,FALSE)*(1-$D$12)^($F43-'הנחות עבודה'!$C$5)/$D$11)/$D$11)</f>
        <v>0</v>
      </c>
      <c r="AF43" s="44">
        <f ca="1">IF(OR($F43&gt;$D$5,$F43&gt;MAX('הנחות עבודה'!$B$69:$B$89)),0,(VLOOKUP($F43,'התפלגות ייצור וסל דלקים'!$B$64:$BV$84,AF$2-$E$2,FALSE))*$D$9*$D$8*(HLOOKUP(AF$23,$G$18:$R$19,2,FALSE)*(1-$D$12)^($F43-'הנחות עבודה'!$C$5)/$D$11)/$D$11)</f>
        <v>0</v>
      </c>
      <c r="AG43" s="44">
        <f ca="1">IF(OR($F43&gt;$D$5,$F43&gt;MAX('הנחות עבודה'!$B$69:$B$89)),0,(VLOOKUP($F43,'התפלגות ייצור וסל דלקים'!$B$64:$BV$84,AG$2-$E$2,FALSE))*$D$9*$D$8*(HLOOKUP(AG$23,$G$18:$R$19,2,FALSE)*(1-$D$12)^($F43-'הנחות עבודה'!$C$5)/$D$11)/$D$11)</f>
        <v>0</v>
      </c>
      <c r="AH43" s="44">
        <f ca="1">IF(OR($F43&gt;$D$5,$F43&gt;MAX('הנחות עבודה'!$B$69:$B$89)),0,(VLOOKUP($F43,'התפלגות ייצור וסל דלקים'!$B$64:$BV$84,AH$2-$E$2,FALSE))*$D$9*$D$8*(HLOOKUP(AH$23,$G$18:$R$19,2,FALSE)*(1-$D$12)^($F43-'הנחות עבודה'!$C$5)/$D$11)/$D$11)</f>
        <v>0</v>
      </c>
      <c r="AI43" s="44">
        <f ca="1">IF(OR($F43&gt;$D$5,$F43&gt;MAX('הנחות עבודה'!$B$69:$B$89)),0,(VLOOKUP($F43,'התפלגות ייצור וסל דלקים'!$B$64:$BV$84,AI$2-$E$2,FALSE))*$D$9*$D$8*(HLOOKUP(AI$23,$G$18:$R$19,2,FALSE)*(1-$D$12)^($F43-'הנחות עבודה'!$C$5)/$D$11)/$D$11)</f>
        <v>0</v>
      </c>
      <c r="AJ43" s="44">
        <f ca="1">IF(OR($F43&gt;$D$5,$F43&gt;MAX('הנחות עבודה'!$B$69:$B$89)),0,(VLOOKUP($F43,'התפלגות ייצור וסל דלקים'!$B$64:$BV$84,AJ$2-$E$2,FALSE))*$D$9*$D$8*(HLOOKUP(AJ$23,$G$18:$R$19,2,FALSE)*(1-$D$12)^($F43-'הנחות עבודה'!$C$5)/$D$11)/$D$11)</f>
        <v>0</v>
      </c>
      <c r="AK43" s="42">
        <f ca="1">IF(OR($F43&gt;$D$5,$F43&gt;MAX('הנחות עבודה'!$B$69:$B$89)),0,(VLOOKUP($F43,'התפלגות ייצור וסל דלקים'!$B$64:$BV$84,AK$2-$E$2,FALSE))*$D$9*$D$8*(HLOOKUP(AK$23,$G$18:$R$19,2,FALSE)*(1-$D$12)^($F43-'הנחות עבודה'!$C$5)/$D$11)/$D$11)</f>
        <v>3.8747759999999999E-3</v>
      </c>
      <c r="AL43" s="42">
        <f ca="1">IF(OR($F43&gt;$D$5,$F43&gt;MAX('הנחות עבודה'!$B$69:$B$89)),0,(VLOOKUP($F43,'התפלגות ייצור וסל דלקים'!$B$64:$BV$84,AL$2-$E$2,FALSE))*$D$9*$D$8*(HLOOKUP(AL$23,$G$18:$R$19,2,FALSE)*(1-$D$12)^($F43-'הנחות עבודה'!$C$5)/$D$11)/$D$11)</f>
        <v>1.3948905879935821E-2</v>
      </c>
      <c r="AM43" s="42">
        <f ca="1">IF(OR($F43&gt;$D$5,$F43&gt;MAX('הנחות עבודה'!$B$69:$B$89)),0,(VLOOKUP($F43,'התפלגות ייצור וסל דלקים'!$B$64:$BV$84,AM$2-$E$2,FALSE))*$D$9*$D$8*(HLOOKUP(AM$23,$G$18:$R$19,2,FALSE)*(1-$D$12)^($F43-'הנחות עבודה'!$C$5)/$D$11)/$D$11)</f>
        <v>0</v>
      </c>
      <c r="AN43" s="42">
        <f ca="1">IF(OR($F43&gt;$D$5,$F43&gt;MAX('הנחות עבודה'!$B$69:$B$89)),0,(VLOOKUP($F43,'התפלגות ייצור וסל דלקים'!$B$64:$BV$84,AN$2-$E$2,FALSE))*$D$9*$D$8*(HLOOKUP(AN$23,$G$18:$R$19,2,FALSE)*(1-$D$12)^($F43-'הנחות עבודה'!$C$5)/$D$11)/$D$11)</f>
        <v>0</v>
      </c>
      <c r="AO43" s="42">
        <f ca="1">IF(OR($F43&gt;$D$5,$F43&gt;MAX('הנחות עבודה'!$B$69:$B$89)),0,(VLOOKUP($F43,'התפלגות ייצור וסל דלקים'!$B$64:$BV$84,AO$2-$E$2,FALSE))*$D$9*$D$8*(HLOOKUP(AO$23,$G$18:$R$19,2,FALSE)*(1-$D$12)^($F43-'הנחות עבודה'!$C$5)/$D$11)/$D$11)</f>
        <v>0</v>
      </c>
      <c r="AP43" s="42">
        <f ca="1">IF(OR($F43&gt;$D$5,$F43&gt;MAX('הנחות עבודה'!$B$69:$B$89)),0,(VLOOKUP($F43,'התפלגות ייצור וסל דלקים'!$B$64:$BV$84,AP$2-$E$2,FALSE))*$D$9*$D$8*(HLOOKUP(AP$23,$G$18:$R$19,2,FALSE)*(1-$D$12)^($F43-'הנחות עבודה'!$C$5)/$D$11)/$D$11)</f>
        <v>0</v>
      </c>
      <c r="AQ43" s="52">
        <f ca="1">IF(OR($F43&gt;$D$5,$F43&gt;MAX('הנחות עבודה'!$B$69:$B$89)),0,(VLOOKUP($F43,'התפלגות ייצור וסל דלקים'!$B$64:$BV$84,AQ$2-$E$2,FALSE))*$D$9*$D$8*(HLOOKUP(AQ$23,$G$18:$R$19,2,FALSE)*(1-$D$12)^($F43-'הנחות עבודה'!$C$5)/$D$11)/$D$11)</f>
        <v>0</v>
      </c>
      <c r="AR43" s="127">
        <f ca="1">IF(OR($F43&gt;$D$5,$F43&gt;MAX('הנחות עבודה'!$B$69:$B$89)),0,(VLOOKUP($F43,'התפלגות ייצור וסל דלקים'!$B$64:$BV$84,AR$2-$E$2,FALSE))*$D$9*$D$8*(HLOOKUP(AR$23,$G$18:$R$19,2,FALSE)*(1-$D$12)^($F43-'הנחות עבודה'!$C$5)/$D$11)/$D$11)</f>
        <v>0</v>
      </c>
      <c r="AS43" s="127">
        <f ca="1">IF(OR($F43&gt;$D$5,$F43&gt;MAX('הנחות עבודה'!$B$69:$B$89)),0,(VLOOKUP($F43,'התפלגות ייצור וסל דלקים'!$B$64:$BV$84,AS$2-$E$2,FALSE))*$D$9*$D$8*(HLOOKUP(AS$23,$G$18:$R$19,2,FALSE)*(1-$D$12)^($F43-'הנחות עבודה'!$C$5)/$D$11)/$D$11)</f>
        <v>0</v>
      </c>
      <c r="AT43" s="127">
        <f ca="1">IF(OR($F43&gt;$D$5,$F43&gt;MAX('הנחות עבודה'!$B$69:$B$89)),0,(VLOOKUP($F43,'התפלגות ייצור וסל דלקים'!$B$64:$BV$84,AT$2-$E$2,FALSE))*$D$9*$D$8*(HLOOKUP(AT$23,$G$18:$R$19,2,FALSE)*(1-$D$12)^($F43-'הנחות עבודה'!$C$5)/$D$11)/$D$11)</f>
        <v>0</v>
      </c>
      <c r="AU43" s="127">
        <f ca="1">IF(OR($F43&gt;$D$5,$F43&gt;MAX('הנחות עבודה'!$B$69:$B$89)),0,(VLOOKUP($F43,'התפלגות ייצור וסל דלקים'!$B$64:$BV$84,AU$2-$E$2,FALSE))*$D$9*$D$8*(HLOOKUP(AU$23,$G$18:$R$19,2,FALSE)*(1-$D$12)^($F43-'הנחות עבודה'!$C$5)/$D$11)/$D$11)</f>
        <v>0</v>
      </c>
      <c r="AV43" s="127">
        <f ca="1">IF(OR($F43&gt;$D$5,$F43&gt;MAX('הנחות עבודה'!$B$69:$B$89)),0,(VLOOKUP($F43,'התפלגות ייצור וסל דלקים'!$B$64:$BV$84,AV$2-$E$2,FALSE))*$D$9*$D$8*(HLOOKUP(AV$23,$G$18:$R$19,2,FALSE)*(1-$D$12)^($F43-'הנחות עבודה'!$C$5)/$D$11)/$D$11)</f>
        <v>0</v>
      </c>
      <c r="AW43" s="52">
        <f ca="1">IF(OR($F43&gt;$D$5,$F43&gt;MAX('הנחות עבודה'!$B$69:$B$89)),0,(VLOOKUP($F43,'התפלגות ייצור וסל דלקים'!$B$64:$BV$84,AW$2-$E$2,FALSE))*$D$9*$D$8*(HLOOKUP(AW$23,$G$18:$R$19,2,FALSE)*(1-$D$12)^($F43-'הנחות עבודה'!$C$5)/$D$11)/$D$11)</f>
        <v>3.8747759999999999E-3</v>
      </c>
      <c r="AX43" s="52">
        <f ca="1">IF(OR($F43&gt;$D$5,$F43&gt;MAX('הנחות עבודה'!$B$69:$B$89)),0,(VLOOKUP($F43,'התפלגות ייצור וסל דלקים'!$B$64:$BV$84,AX$2-$E$2,FALSE))*$D$9*$D$8*(HLOOKUP(AX$23,$G$18:$R$19,2,FALSE)*(1-$D$12)^($F43-'הנחות עבודה'!$C$5)/$D$11)/$D$11)</f>
        <v>1.3948905879935821E-2</v>
      </c>
      <c r="AY43" s="52">
        <f ca="1">IF(OR($F43&gt;$D$5,$F43&gt;MAX('הנחות עבודה'!$B$69:$B$89)),0,(VLOOKUP($F43,'התפלגות ייצור וסל דלקים'!$B$64:$BV$84,AY$2-$E$2,FALSE))*$D$9*$D$8*(HLOOKUP(AY$23,$G$18:$R$19,2,FALSE)*(1-$D$12)^($F43-'הנחות עבודה'!$C$5)/$D$11)/$D$11)</f>
        <v>0</v>
      </c>
      <c r="AZ43" s="52">
        <f ca="1">IF(OR($F43&gt;$D$5,$F43&gt;MAX('הנחות עבודה'!$B$69:$B$89)),0,(VLOOKUP($F43,'התפלגות ייצור וסל דלקים'!$B$64:$BV$84,AZ$2-$E$2,FALSE))*$D$9*$D$8*(HLOOKUP(AZ$23,$G$18:$R$19,2,FALSE)*(1-$D$12)^($F43-'הנחות עבודה'!$C$5)/$D$11)/$D$11)</f>
        <v>0</v>
      </c>
      <c r="BA43" s="52">
        <f ca="1">IF(OR($F43&gt;$D$5,$F43&gt;MAX('הנחות עבודה'!$B$69:$B$89)),0,(VLOOKUP($F43,'התפלגות ייצור וסל דלקים'!$B$64:$BV$84,BA$2-$E$2,FALSE))*$D$9*$D$8*(HLOOKUP(BA$23,$G$18:$R$19,2,FALSE)*(1-$D$12)^($F43-'הנחות עבודה'!$C$5)/$D$11)/$D$11)</f>
        <v>0</v>
      </c>
      <c r="BB43" s="52">
        <f ca="1">IF(OR($F43&gt;$D$5,$F43&gt;MAX('הנחות עבודה'!$B$69:$B$89)),0,(VLOOKUP($F43,'התפלגות ייצור וסל דלקים'!$B$64:$BV$84,BB$2-$E$2,FALSE))*$D$9*$D$8*(HLOOKUP(BB$23,$G$18:$R$19,2,FALSE)*(1-$D$12)^($F43-'הנחות עבודה'!$C$5)/$D$11)/$D$11)</f>
        <v>0</v>
      </c>
      <c r="BC43" s="42">
        <f ca="1">IF(OR($F43&gt;$D$5,$F43&gt;MAX('הנחות עבודה'!$B$69:$B$89)),0,(VLOOKUP($F43,'התפלגות ייצור וסל דלקים'!$B$64:$BV$84,BC$2-$E$2,FALSE))*$D$9*$D$8*(HLOOKUP(BC$23,$G$18:$R$19,2,FALSE)*(1-$D$12)^($F43-'הנחות עבודה'!$C$5)/$D$11)/$D$11)</f>
        <v>0</v>
      </c>
      <c r="BD43" s="44">
        <f ca="1">IF(OR($F43&gt;$D$5,$F43&gt;MAX('הנחות עבודה'!$B$69:$B$89)),0,(VLOOKUP($F43,'התפלגות ייצור וסל דלקים'!$B$64:$BV$84,BD$2-$E$2,FALSE))*$D$9*$D$8*(HLOOKUP(BD$23,$G$18:$R$19,2,FALSE)*(1-$D$12)^($F43-'הנחות עבודה'!$C$5)/$D$11)/$D$11)</f>
        <v>0</v>
      </c>
      <c r="BE43" s="44">
        <f ca="1">IF(OR($F43&gt;$D$5,$F43&gt;MAX('הנחות עבודה'!$B$69:$B$89)),0,(VLOOKUP($F43,'התפלגות ייצור וסל דלקים'!$B$64:$BV$84,BE$2-$E$2,FALSE))*$D$9*$D$8*(HLOOKUP(BE$23,$G$18:$R$19,2,FALSE)*(1-$D$12)^($F43-'הנחות עבודה'!$C$5)/$D$11)/$D$11)</f>
        <v>0</v>
      </c>
      <c r="BF43" s="44">
        <f ca="1">IF(OR($F43&gt;$D$5,$F43&gt;MAX('הנחות עבודה'!$B$69:$B$89)),0,(VLOOKUP($F43,'התפלגות ייצור וסל דלקים'!$B$64:$BV$84,BF$2-$E$2,FALSE))*$D$9*$D$8*(HLOOKUP(BF$23,$G$18:$R$19,2,FALSE)*(1-$D$12)^($F43-'הנחות עבודה'!$C$5)/$D$11)/$D$11)</f>
        <v>0</v>
      </c>
      <c r="BG43" s="44">
        <f ca="1">IF(OR($F43&gt;$D$5,$F43&gt;MAX('הנחות עבודה'!$B$69:$B$89)),0,(VLOOKUP($F43,'התפלגות ייצור וסל דלקים'!$B$64:$BV$84,BG$2-$E$2,FALSE))*$D$9*$D$8*(HLOOKUP(BG$23,$G$18:$R$19,2,FALSE)*(1-$D$12)^($F43-'הנחות עבודה'!$C$5)/$D$11)/$D$11)</f>
        <v>0</v>
      </c>
      <c r="BH43" s="44">
        <f ca="1">IF(OR($F43&gt;$D$5,$F43&gt;MAX('הנחות עבודה'!$B$69:$B$89)),0,(VLOOKUP($F43,'התפלגות ייצור וסל דלקים'!$B$64:$BV$84,BH$2-$E$2,FALSE))*$D$9*$D$8*(HLOOKUP(BH$23,$G$18:$R$19,2,FALSE)*(1-$D$12)^($F43-'הנחות עבודה'!$C$5)/$D$11)/$D$11)</f>
        <v>0</v>
      </c>
      <c r="BI43" s="42">
        <f ca="1">IF(OR($F43&gt;$D$5,$F43&gt;MAX('הנחות עבודה'!$B$69:$B$89)),0,(VLOOKUP($F43,'התפלגות ייצור וסל דלקים'!$B$64:$BV$84,BI$2-$E$2,FALSE))*$D$9*$D$8*(HLOOKUP(BI$23,$G$18:$R$19,2,FALSE)*(1-$D$12)^($F43-'הנחות עבודה'!$C$5)/$D$11)/$D$11)</f>
        <v>3.9839999999999997E-3</v>
      </c>
      <c r="BJ43" s="42">
        <f ca="1">IF(OR($F43&gt;$D$5,$F43&gt;MAX('הנחות עבודה'!$B$69:$B$89)),0,(VLOOKUP($F43,'התפלגות ייצור וסל דלקים'!$B$64:$BV$84,BJ$2-$E$2,FALSE))*$D$9*$D$8*(HLOOKUP(BJ$23,$G$18:$R$19,2,FALSE)*(1-$D$12)^($F43-'הנחות עבודה'!$C$5)/$D$11)/$D$11)</f>
        <v>1.3140497161768096E-2</v>
      </c>
      <c r="BK43" s="42">
        <f ca="1">IF(OR($F43&gt;$D$5,$F43&gt;MAX('הנחות עבודה'!$B$69:$B$89)),0,(VLOOKUP($F43,'התפלגות ייצור וסל דלקים'!$B$64:$BV$84,BK$2-$E$2,FALSE))*$D$9*$D$8*(HLOOKUP(BK$23,$G$18:$R$19,2,FALSE)*(1-$D$12)^($F43-'הנחות עבודה'!$C$5)/$D$11)/$D$11)</f>
        <v>0</v>
      </c>
      <c r="BL43" s="42">
        <f ca="1">IF(OR($F43&gt;$D$5,$F43&gt;MAX('הנחות עבודה'!$B$69:$B$89)),0,(VLOOKUP($F43,'התפלגות ייצור וסל דלקים'!$B$64:$BV$84,BL$2-$E$2,FALSE))*$D$9*$D$8*(HLOOKUP(BL$23,$G$18:$R$19,2,FALSE)*(1-$D$12)^($F43-'הנחות עבודה'!$C$5)/$D$11)/$D$11)</f>
        <v>0</v>
      </c>
      <c r="BM43" s="42">
        <f ca="1">IF(OR($F43&gt;$D$5,$F43&gt;MAX('הנחות עבודה'!$B$69:$B$89)),0,(VLOOKUP($F43,'התפלגות ייצור וסל דלקים'!$B$64:$BV$84,BM$2-$E$2,FALSE))*$D$9*$D$8*(HLOOKUP(BM$23,$G$18:$R$19,2,FALSE)*(1-$D$12)^($F43-'הנחות עבודה'!$C$5)/$D$11)/$D$11)</f>
        <v>0</v>
      </c>
      <c r="BN43" s="42">
        <f ca="1">IF(OR($F43&gt;$D$5,$F43&gt;MAX('הנחות עבודה'!$B$69:$B$89)),0,(VLOOKUP($F43,'התפלגות ייצור וסל דלקים'!$B$64:$BV$84,BN$2-$E$2,FALSE))*$D$9*$D$8*(HLOOKUP(BN$23,$G$18:$R$19,2,FALSE)*(1-$D$12)^($F43-'הנחות עבודה'!$C$5)/$D$11)/$D$11)</f>
        <v>0</v>
      </c>
      <c r="BO43" s="52">
        <f ca="1">IF(OR($F43&gt;$D$5,$F43&gt;MAX('הנחות עבודה'!$B$69:$B$89)),0,(VLOOKUP($F43,'התפלגות ייצור וסל דלקים'!$B$64:$BV$84,BO$2-$E$2,FALSE))*$D$9*$D$8*(HLOOKUP(BO$23,$G$18:$R$19,2,FALSE)*(1-$D$12)^($F43-'הנחות עבודה'!$C$5)/$D$11)/$D$11)</f>
        <v>0</v>
      </c>
      <c r="BP43" s="127">
        <f ca="1">IF(OR($F43&gt;$D$5,$F43&gt;MAX('הנחות עבודה'!$B$69:$B$89)),0,(VLOOKUP($F43,'התפלגות ייצור וסל דלקים'!$B$64:$BV$84,BP$2-$E$2,FALSE))*$D$9*$D$8*(HLOOKUP(BP$23,$G$18:$R$19,2,FALSE)*(1-$D$12)^($F43-'הנחות עבודה'!$C$5)/$D$11)/$D$11)</f>
        <v>0</v>
      </c>
      <c r="BQ43" s="127">
        <f ca="1">IF(OR($F43&gt;$D$5,$F43&gt;MAX('הנחות עבודה'!$B$69:$B$89)),0,(VLOOKUP($F43,'התפלגות ייצור וסל דלקים'!$B$64:$BV$84,BQ$2-$E$2,FALSE))*$D$9*$D$8*(HLOOKUP(BQ$23,$G$18:$R$19,2,FALSE)*(1-$D$12)^($F43-'הנחות עבודה'!$C$5)/$D$11)/$D$11)</f>
        <v>0</v>
      </c>
      <c r="BR43" s="127">
        <f ca="1">IF(OR($F43&gt;$D$5,$F43&gt;MAX('הנחות עבודה'!$B$69:$B$89)),0,(VLOOKUP($F43,'התפלגות ייצור וסל דלקים'!$B$64:$BV$84,BR$2-$E$2,FALSE))*$D$9*$D$8*(HLOOKUP(BR$23,$G$18:$R$19,2,FALSE)*(1-$D$12)^($F43-'הנחות עבודה'!$C$5)/$D$11)/$D$11)</f>
        <v>0</v>
      </c>
      <c r="BS43" s="127">
        <f ca="1">IF(OR($F43&gt;$D$5,$F43&gt;MAX('הנחות עבודה'!$B$69:$B$89)),0,(VLOOKUP($F43,'התפלגות ייצור וסל דלקים'!$B$64:$BV$84,BS$2-$E$2,FALSE))*$D$9*$D$8*(HLOOKUP(BS$23,$G$18:$R$19,2,FALSE)*(1-$D$12)^($F43-'הנחות עבודה'!$C$5)/$D$11)/$D$11)</f>
        <v>0</v>
      </c>
      <c r="BT43" s="127">
        <f ca="1">IF(OR($F43&gt;$D$5,$F43&gt;MAX('הנחות עבודה'!$B$69:$B$89)),0,(VLOOKUP($F43,'התפלגות ייצור וסל דלקים'!$B$64:$BV$84,BT$2-$E$2,FALSE))*$D$9*$D$8*(HLOOKUP(BT$23,$G$18:$R$19,2,FALSE)*(1-$D$12)^($F43-'הנחות עבודה'!$C$5)/$D$11)/$D$11)</f>
        <v>0</v>
      </c>
      <c r="BU43" s="52">
        <f ca="1">IF(OR($F43&gt;$D$5,$F43&gt;MAX('הנחות עבודה'!$B$69:$B$89)),0,(VLOOKUP($F43,'התפלגות ייצור וסל דלקים'!$B$64:$BV$84,BU$2-$E$2,FALSE))*$D$9*$D$8*(HLOOKUP(BU$23,$G$18:$R$19,2,FALSE)*(1-$D$12)^($F43-'הנחות עבודה'!$C$5)/$D$11)/$D$11)</f>
        <v>3.9839999999999997E-3</v>
      </c>
      <c r="BV43" s="52">
        <f ca="1">IF(OR($F43&gt;$D$5,$F43&gt;MAX('הנחות עבודה'!$B$69:$B$89)),0,(VLOOKUP($F43,'התפלגות ייצור וסל דלקים'!$B$64:$BV$84,BV$2-$E$2,FALSE))*$D$9*$D$8*(HLOOKUP(BV$23,$G$18:$R$19,2,FALSE)*(1-$D$12)^($F43-'הנחות עבודה'!$C$5)/$D$11)/$D$11)</f>
        <v>1.3140497161768096E-2</v>
      </c>
      <c r="BW43" s="52">
        <f ca="1">IF(OR($F43&gt;$D$5,$F43&gt;MAX('הנחות עבודה'!$B$69:$B$89)),0,(VLOOKUP($F43,'התפלגות ייצור וסל דלקים'!$B$64:$BV$84,BW$2-$E$2,FALSE))*$D$9*$D$8*(HLOOKUP(BW$23,$G$18:$R$19,2,FALSE)*(1-$D$12)^($F43-'הנחות עבודה'!$C$5)/$D$11)/$D$11)</f>
        <v>0</v>
      </c>
      <c r="BX43" s="52">
        <f ca="1">IF(OR($F43&gt;$D$5,$F43&gt;MAX('הנחות עבודה'!$B$69:$B$89)),0,(VLOOKUP($F43,'התפלגות ייצור וסל דלקים'!$B$64:$BV$84,BX$2-$E$2,FALSE))*$D$9*$D$8*(HLOOKUP(BX$23,$G$18:$R$19,2,FALSE)*(1-$D$12)^($F43-'הנחות עבודה'!$C$5)/$D$11)/$D$11)</f>
        <v>0</v>
      </c>
      <c r="BY43" s="52">
        <f ca="1">IF(OR($F43&gt;$D$5,$F43&gt;MAX('הנחות עבודה'!$B$69:$B$89)),0,(VLOOKUP($F43,'התפלגות ייצור וסל דלקים'!$B$64:$BV$84,BY$2-$E$2,FALSE))*$D$9*$D$8*(HLOOKUP(BY$23,$G$18:$R$19,2,FALSE)*(1-$D$12)^($F43-'הנחות עבודה'!$C$5)/$D$11)/$D$11)</f>
        <v>0</v>
      </c>
      <c r="BZ43" s="52">
        <f ca="1">IF(OR($F43&gt;$D$5,$F43&gt;MAX('הנחות עבודה'!$B$69:$B$89)),0,(VLOOKUP($F43,'התפלגות ייצור וסל דלקים'!$B$64:$BV$84,BZ$2-$E$2,FALSE))*$D$9*$D$8*(HLOOKUP(BZ$23,$G$18:$R$19,2,FALSE)*(1-$D$12)^($F43-'הנחות עבודה'!$C$5)/$D$11)/$D$11)</f>
        <v>0</v>
      </c>
    </row>
    <row r="44" spans="6:78" ht="16.5" thickBot="1">
      <c r="F44" s="328">
        <f t="shared" si="110"/>
        <v>2040</v>
      </c>
      <c r="G44" s="45">
        <f ca="1">IF(OR($F44&gt;$D$5,$F44&gt;MAX('הנחות עבודה'!$B$69:$B$89)),0,(VLOOKUP($F44,'התפלגות ייצור וסל דלקים'!$B$64:$BV$84,G$2-$E$2,FALSE))*$D$9*$D$8*(HLOOKUP(G$23,$G$18:$R$19,2,FALSE)*(1-$D$12)^($F44-'הנחות עבודה'!$C$5)/$D$11)/$D$11)</f>
        <v>0</v>
      </c>
      <c r="H44" s="47">
        <f ca="1">IF(OR($F44&gt;$D$5,$F44&gt;MAX('הנחות עבודה'!$B$69:$B$89)),0,(VLOOKUP($F44,'התפלגות ייצור וסל דלקים'!$B$64:$BV$84,H$2-$E$2,FALSE))*$D$9*$D$8*(HLOOKUP(H$23,$G$18:$R$19,2,FALSE)*(1-$D$12)^($F44-'הנחות עבודה'!$C$5)/$D$11)/$D$11)</f>
        <v>0</v>
      </c>
      <c r="I44" s="47">
        <f ca="1">IF(OR($F44&gt;$D$5,$F44&gt;MAX('הנחות עבודה'!$B$69:$B$89)),0,(VLOOKUP($F44,'התפלגות ייצור וסל דלקים'!$B$64:$BV$84,I$2-$E$2,FALSE))*$D$9*$D$8*(HLOOKUP(I$23,$G$18:$R$19,2,FALSE)*(1-$D$12)^($F44-'הנחות עבודה'!$C$5)/$D$11)/$D$11)</f>
        <v>0</v>
      </c>
      <c r="J44" s="47">
        <f ca="1">IF(OR($F44&gt;$D$5,$F44&gt;MAX('הנחות עבודה'!$B$69:$B$89)),0,(VLOOKUP($F44,'התפלגות ייצור וסל דלקים'!$B$64:$BV$84,J$2-$E$2,FALSE))*$D$9*$D$8*(HLOOKUP(J$23,$G$18:$R$19,2,FALSE)*(1-$D$12)^($F44-'הנחות עבודה'!$C$5)/$D$11)/$D$11)</f>
        <v>0</v>
      </c>
      <c r="K44" s="47">
        <f ca="1">IF(OR($F44&gt;$D$5,$F44&gt;MAX('הנחות עבודה'!$B$69:$B$89)),0,(VLOOKUP($F44,'התפלגות ייצור וסל דלקים'!$B$64:$BV$84,K$2-$E$2,FALSE))*$D$9*$D$8*(HLOOKUP(K$23,$G$18:$R$19,2,FALSE)*(1-$D$12)^($F44-'הנחות עבודה'!$C$5)/$D$11)/$D$11)</f>
        <v>0</v>
      </c>
      <c r="L44" s="47">
        <f ca="1">IF(OR($F44&gt;$D$5,$F44&gt;MAX('הנחות עבודה'!$B$69:$B$89)),0,(VLOOKUP($F44,'התפלגות ייצור וסל דלקים'!$B$64:$BV$84,L$2-$E$2,FALSE))*$D$9*$D$8*(HLOOKUP(L$23,$G$18:$R$19,2,FALSE)*(1-$D$12)^($F44-'הנחות עבודה'!$C$5)/$D$11)/$D$11)</f>
        <v>0</v>
      </c>
      <c r="M44" s="45">
        <f ca="1">IF(OR($F44&gt;$D$5,$F44&gt;MAX('הנחות עבודה'!$B$69:$B$89)),0,(VLOOKUP($F44,'התפלגות ייצור וסל דלקים'!$B$64:$BV$84,M$2-$E$2,FALSE))*$D$9*$D$8*(HLOOKUP(M$23,$G$18:$R$19,2,FALSE)*(1-$D$12)^($F44-'הנחות עבודה'!$C$5)/$D$11)/$D$11)</f>
        <v>3.7705224000000002E-3</v>
      </c>
      <c r="N44" s="45">
        <f ca="1">IF(OR($F44&gt;$D$5,$F44&gt;MAX('הנחות עבודה'!$B$69:$B$89)),0,(VLOOKUP($F44,'התפלגות ייצור וסל דלקים'!$B$64:$BV$84,N$2-$E$2,FALSE))*$D$9*$D$8*(HLOOKUP(N$23,$G$18:$R$19,2,FALSE)*(1-$D$12)^($F44-'הנחות עבודה'!$C$5)/$D$11)/$D$11)</f>
        <v>1.5819308158911378E-2</v>
      </c>
      <c r="O44" s="45">
        <f ca="1">IF(OR($F44&gt;$D$5,$F44&gt;MAX('הנחות עבודה'!$B$69:$B$89)),0,(VLOOKUP($F44,'התפלגות ייצור וסל דלקים'!$B$64:$BV$84,O$2-$E$2,FALSE))*$D$9*$D$8*(HLOOKUP(O$23,$G$18:$R$19,2,FALSE)*(1-$D$12)^($F44-'הנחות עבודה'!$C$5)/$D$11)/$D$11)</f>
        <v>0</v>
      </c>
      <c r="P44" s="45">
        <f ca="1">IF(OR($F44&gt;$D$5,$F44&gt;MAX('הנחות עבודה'!$B$69:$B$89)),0,(VLOOKUP($F44,'התפלגות ייצור וסל דלקים'!$B$64:$BV$84,P$2-$E$2,FALSE))*$D$9*$D$8*(HLOOKUP(P$23,$G$18:$R$19,2,FALSE)*(1-$D$12)^($F44-'הנחות עבודה'!$C$5)/$D$11)/$D$11)</f>
        <v>0</v>
      </c>
      <c r="Q44" s="45">
        <f ca="1">IF(OR($F44&gt;$D$5,$F44&gt;MAX('הנחות עבודה'!$B$69:$B$89)),0,(VLOOKUP($F44,'התפלגות ייצור וסל דלקים'!$B$64:$BV$84,Q$2-$E$2,FALSE))*$D$9*$D$8*(HLOOKUP(Q$23,$G$18:$R$19,2,FALSE)*(1-$D$12)^($F44-'הנחות עבודה'!$C$5)/$D$11)/$D$11)</f>
        <v>0</v>
      </c>
      <c r="R44" s="45">
        <f ca="1">IF(OR($F44&gt;$D$5,$F44&gt;MAX('הנחות עבודה'!$B$69:$B$89)),0,(VLOOKUP($F44,'התפלגות ייצור וסל דלקים'!$B$64:$BV$84,R$2-$E$2,FALSE))*$D$9*$D$8*(HLOOKUP(R$23,$G$18:$R$19,2,FALSE)*(1-$D$12)^($F44-'הנחות עבודה'!$C$5)/$D$11)/$D$11)</f>
        <v>0</v>
      </c>
      <c r="S44" s="55">
        <f ca="1">IF(OR($F44&gt;$D$5,$F44&gt;MAX('הנחות עבודה'!$B$69:$B$89)),0,(VLOOKUP($F44,'התפלגות ייצור וסל דלקים'!$B$64:$BV$84,S$2-$E$2,FALSE))*$D$9*$D$8*(HLOOKUP(S$23,$G$18:$R$19,2,FALSE)*(1-$D$12)^($F44-'הנחות עבודה'!$C$5)/$D$11)/$D$11)</f>
        <v>0</v>
      </c>
      <c r="T44" s="128">
        <f ca="1">IF(OR($F44&gt;$D$5,$F44&gt;MAX('הנחות עבודה'!$B$69:$B$89)),0,(VLOOKUP($F44,'התפלגות ייצור וסל דלקים'!$B$64:$BV$84,T$2-$E$2,FALSE))*$D$9*$D$8*(HLOOKUP(T$23,$G$18:$R$19,2,FALSE)*(1-$D$12)^($F44-'הנחות עבודה'!$C$5)/$D$11)/$D$11)</f>
        <v>0</v>
      </c>
      <c r="U44" s="128">
        <f ca="1">IF(OR($F44&gt;$D$5,$F44&gt;MAX('הנחות עבודה'!$B$69:$B$89)),0,(VLOOKUP($F44,'התפלגות ייצור וסל דלקים'!$B$64:$BV$84,U$2-$E$2,FALSE))*$D$9*$D$8*(HLOOKUP(U$23,$G$18:$R$19,2,FALSE)*(1-$D$12)^($F44-'הנחות עבודה'!$C$5)/$D$11)/$D$11)</f>
        <v>0</v>
      </c>
      <c r="V44" s="128">
        <f ca="1">IF(OR($F44&gt;$D$5,$F44&gt;MAX('הנחות עבודה'!$B$69:$B$89)),0,(VLOOKUP($F44,'התפלגות ייצור וסל דלקים'!$B$64:$BV$84,V$2-$E$2,FALSE))*$D$9*$D$8*(HLOOKUP(V$23,$G$18:$R$19,2,FALSE)*(1-$D$12)^($F44-'הנחות עבודה'!$C$5)/$D$11)/$D$11)</f>
        <v>0</v>
      </c>
      <c r="W44" s="128">
        <f ca="1">IF(OR($F44&gt;$D$5,$F44&gt;MAX('הנחות עבודה'!$B$69:$B$89)),0,(VLOOKUP($F44,'התפלגות ייצור וסל דלקים'!$B$64:$BV$84,W$2-$E$2,FALSE))*$D$9*$D$8*(HLOOKUP(W$23,$G$18:$R$19,2,FALSE)*(1-$D$12)^($F44-'הנחות עבודה'!$C$5)/$D$11)/$D$11)</f>
        <v>0</v>
      </c>
      <c r="X44" s="128">
        <f ca="1">IF(OR($F44&gt;$D$5,$F44&gt;MAX('הנחות עבודה'!$B$69:$B$89)),0,(VLOOKUP($F44,'התפלגות ייצור וסל דלקים'!$B$64:$BV$84,X$2-$E$2,FALSE))*$D$9*$D$8*(HLOOKUP(X$23,$G$18:$R$19,2,FALSE)*(1-$D$12)^($F44-'הנחות עבודה'!$C$5)/$D$11)/$D$11)</f>
        <v>0</v>
      </c>
      <c r="Y44" s="55">
        <f ca="1">IF(OR($F44&gt;$D$5,$F44&gt;MAX('הנחות עבודה'!$B$69:$B$89)),0,(VLOOKUP($F44,'התפלגות ייצור וסל דלקים'!$B$64:$BV$84,Y$2-$E$2,FALSE))*$D$9*$D$8*(HLOOKUP(Y$23,$G$18:$R$19,2,FALSE)*(1-$D$12)^($F44-'הנחות עבודה'!$C$5)/$D$11)/$D$11)</f>
        <v>3.7705224000000002E-3</v>
      </c>
      <c r="Z44" s="55">
        <f ca="1">IF(OR($F44&gt;$D$5,$F44&gt;MAX('הנחות עבודה'!$B$69:$B$89)),0,(VLOOKUP($F44,'התפלגות ייצור וסל דלקים'!$B$64:$BV$84,Z$2-$E$2,FALSE))*$D$9*$D$8*(HLOOKUP(Z$23,$G$18:$R$19,2,FALSE)*(1-$D$12)^($F44-'הנחות עבודה'!$C$5)/$D$11)/$D$11)</f>
        <v>1.5819308158911378E-2</v>
      </c>
      <c r="AA44" s="55">
        <f ca="1">IF(OR($F44&gt;$D$5,$F44&gt;MAX('הנחות עבודה'!$B$69:$B$89)),0,(VLOOKUP($F44,'התפלגות ייצור וסל דלקים'!$B$64:$BV$84,AA$2-$E$2,FALSE))*$D$9*$D$8*(HLOOKUP(AA$23,$G$18:$R$19,2,FALSE)*(1-$D$12)^($F44-'הנחות עבודה'!$C$5)/$D$11)/$D$11)</f>
        <v>0</v>
      </c>
      <c r="AB44" s="55">
        <f ca="1">IF(OR($F44&gt;$D$5,$F44&gt;MAX('הנחות עבודה'!$B$69:$B$89)),0,(VLOOKUP($F44,'התפלגות ייצור וסל דלקים'!$B$64:$BV$84,AB$2-$E$2,FALSE))*$D$9*$D$8*(HLOOKUP(AB$23,$G$18:$R$19,2,FALSE)*(1-$D$12)^($F44-'הנחות עבודה'!$C$5)/$D$11)/$D$11)</f>
        <v>0</v>
      </c>
      <c r="AC44" s="55">
        <f ca="1">IF(OR($F44&gt;$D$5,$F44&gt;MAX('הנחות עבודה'!$B$69:$B$89)),0,(VLOOKUP($F44,'התפלגות ייצור וסל דלקים'!$B$64:$BV$84,AC$2-$E$2,FALSE))*$D$9*$D$8*(HLOOKUP(AC$23,$G$18:$R$19,2,FALSE)*(1-$D$12)^($F44-'הנחות עבודה'!$C$5)/$D$11)/$D$11)</f>
        <v>0</v>
      </c>
      <c r="AD44" s="55">
        <f ca="1">IF(OR($F44&gt;$D$5,$F44&gt;MAX('הנחות עבודה'!$B$69:$B$89)),0,(VLOOKUP($F44,'התפלגות ייצור וסל דלקים'!$B$64:$BV$84,AD$2-$E$2,FALSE))*$D$9*$D$8*(HLOOKUP(AD$23,$G$18:$R$19,2,FALSE)*(1-$D$12)^($F44-'הנחות עבודה'!$C$5)/$D$11)/$D$11)</f>
        <v>0</v>
      </c>
      <c r="AE44" s="45">
        <f ca="1">IF(OR($F44&gt;$D$5,$F44&gt;MAX('הנחות עבודה'!$B$69:$B$89)),0,(VLOOKUP($F44,'התפלגות ייצור וסל דלקים'!$B$64:$BV$84,AE$2-$E$2,FALSE))*$D$9*$D$8*(HLOOKUP(AE$23,$G$18:$R$19,2,FALSE)*(1-$D$12)^($F44-'הנחות עבודה'!$C$5)/$D$11)/$D$11)</f>
        <v>0</v>
      </c>
      <c r="AF44" s="47">
        <f ca="1">IF(OR($F44&gt;$D$5,$F44&gt;MAX('הנחות עבודה'!$B$69:$B$89)),0,(VLOOKUP($F44,'התפלגות ייצור וסל דלקים'!$B$64:$BV$84,AF$2-$E$2,FALSE))*$D$9*$D$8*(HLOOKUP(AF$23,$G$18:$R$19,2,FALSE)*(1-$D$12)^($F44-'הנחות עבודה'!$C$5)/$D$11)/$D$11)</f>
        <v>0</v>
      </c>
      <c r="AG44" s="47">
        <f ca="1">IF(OR($F44&gt;$D$5,$F44&gt;MAX('הנחות עבודה'!$B$69:$B$89)),0,(VLOOKUP($F44,'התפלגות ייצור וסל דלקים'!$B$64:$BV$84,AG$2-$E$2,FALSE))*$D$9*$D$8*(HLOOKUP(AG$23,$G$18:$R$19,2,FALSE)*(1-$D$12)^($F44-'הנחות עבודה'!$C$5)/$D$11)/$D$11)</f>
        <v>0</v>
      </c>
      <c r="AH44" s="47">
        <f ca="1">IF(OR($F44&gt;$D$5,$F44&gt;MAX('הנחות עבודה'!$B$69:$B$89)),0,(VLOOKUP($F44,'התפלגות ייצור וסל דלקים'!$B$64:$BV$84,AH$2-$E$2,FALSE))*$D$9*$D$8*(HLOOKUP(AH$23,$G$18:$R$19,2,FALSE)*(1-$D$12)^($F44-'הנחות עבודה'!$C$5)/$D$11)/$D$11)</f>
        <v>0</v>
      </c>
      <c r="AI44" s="47">
        <f ca="1">IF(OR($F44&gt;$D$5,$F44&gt;MAX('הנחות עבודה'!$B$69:$B$89)),0,(VLOOKUP($F44,'התפלגות ייצור וסל דלקים'!$B$64:$BV$84,AI$2-$E$2,FALSE))*$D$9*$D$8*(HLOOKUP(AI$23,$G$18:$R$19,2,FALSE)*(1-$D$12)^($F44-'הנחות עבודה'!$C$5)/$D$11)/$D$11)</f>
        <v>0</v>
      </c>
      <c r="AJ44" s="47">
        <f ca="1">IF(OR($F44&gt;$D$5,$F44&gt;MAX('הנחות עבודה'!$B$69:$B$89)),0,(VLOOKUP($F44,'התפלגות ייצור וסל דלקים'!$B$64:$BV$84,AJ$2-$E$2,FALSE))*$D$9*$D$8*(HLOOKUP(AJ$23,$G$18:$R$19,2,FALSE)*(1-$D$12)^($F44-'הנחות עבודה'!$C$5)/$D$11)/$D$11)</f>
        <v>0</v>
      </c>
      <c r="AK44" s="45">
        <f ca="1">IF(OR($F44&gt;$D$5,$F44&gt;MAX('הנחות עבודה'!$B$69:$B$89)),0,(VLOOKUP($F44,'התפלגות ייצור וסל דלקים'!$B$64:$BV$84,AK$2-$E$2,FALSE))*$D$9*$D$8*(HLOOKUP(AK$23,$G$18:$R$19,2,FALSE)*(1-$D$12)^($F44-'הנחות עבודה'!$C$5)/$D$11)/$D$11)</f>
        <v>3.9152063999999993E-3</v>
      </c>
      <c r="AL44" s="45">
        <f ca="1">IF(OR($F44&gt;$D$5,$F44&gt;MAX('הנחות עבודה'!$B$69:$B$89)),0,(VLOOKUP($F44,'התפלגות ייצור וסל דלקים'!$B$64:$BV$84,AL$2-$E$2,FALSE))*$D$9*$D$8*(HLOOKUP(AL$23,$G$18:$R$19,2,FALSE)*(1-$D$12)^($F44-'הנחות עבודה'!$C$5)/$D$11)/$D$11)</f>
        <v>1.4550152413217433E-2</v>
      </c>
      <c r="AM44" s="45">
        <f ca="1">IF(OR($F44&gt;$D$5,$F44&gt;MAX('הנחות עבודה'!$B$69:$B$89)),0,(VLOOKUP($F44,'התפלגות ייצור וסל דלקים'!$B$64:$BV$84,AM$2-$E$2,FALSE))*$D$9*$D$8*(HLOOKUP(AM$23,$G$18:$R$19,2,FALSE)*(1-$D$12)^($F44-'הנחות עבודה'!$C$5)/$D$11)/$D$11)</f>
        <v>0</v>
      </c>
      <c r="AN44" s="45">
        <f ca="1">IF(OR($F44&gt;$D$5,$F44&gt;MAX('הנחות עבודה'!$B$69:$B$89)),0,(VLOOKUP($F44,'התפלגות ייצור וסל דלקים'!$B$64:$BV$84,AN$2-$E$2,FALSE))*$D$9*$D$8*(HLOOKUP(AN$23,$G$18:$R$19,2,FALSE)*(1-$D$12)^($F44-'הנחות עבודה'!$C$5)/$D$11)/$D$11)</f>
        <v>0</v>
      </c>
      <c r="AO44" s="45">
        <f ca="1">IF(OR($F44&gt;$D$5,$F44&gt;MAX('הנחות עבודה'!$B$69:$B$89)),0,(VLOOKUP($F44,'התפלגות ייצור וסל דלקים'!$B$64:$BV$84,AO$2-$E$2,FALSE))*$D$9*$D$8*(HLOOKUP(AO$23,$G$18:$R$19,2,FALSE)*(1-$D$12)^($F44-'הנחות עבודה'!$C$5)/$D$11)/$D$11)</f>
        <v>0</v>
      </c>
      <c r="AP44" s="45">
        <f ca="1">IF(OR($F44&gt;$D$5,$F44&gt;MAX('הנחות עבודה'!$B$69:$B$89)),0,(VLOOKUP($F44,'התפלגות ייצור וסל דלקים'!$B$64:$BV$84,AP$2-$E$2,FALSE))*$D$9*$D$8*(HLOOKUP(AP$23,$G$18:$R$19,2,FALSE)*(1-$D$12)^($F44-'הנחות עבודה'!$C$5)/$D$11)/$D$11)</f>
        <v>0</v>
      </c>
      <c r="AQ44" s="55">
        <f ca="1">IF(OR($F44&gt;$D$5,$F44&gt;MAX('הנחות עבודה'!$B$69:$B$89)),0,(VLOOKUP($F44,'התפלגות ייצור וסל דלקים'!$B$64:$BV$84,AQ$2-$E$2,FALSE))*$D$9*$D$8*(HLOOKUP(AQ$23,$G$18:$R$19,2,FALSE)*(1-$D$12)^($F44-'הנחות עבודה'!$C$5)/$D$11)/$D$11)</f>
        <v>0</v>
      </c>
      <c r="AR44" s="128">
        <f ca="1">IF(OR($F44&gt;$D$5,$F44&gt;MAX('הנחות עבודה'!$B$69:$B$89)),0,(VLOOKUP($F44,'התפלגות ייצור וסל דלקים'!$B$64:$BV$84,AR$2-$E$2,FALSE))*$D$9*$D$8*(HLOOKUP(AR$23,$G$18:$R$19,2,FALSE)*(1-$D$12)^($F44-'הנחות עבודה'!$C$5)/$D$11)/$D$11)</f>
        <v>0</v>
      </c>
      <c r="AS44" s="128">
        <f ca="1">IF(OR($F44&gt;$D$5,$F44&gt;MAX('הנחות עבודה'!$B$69:$B$89)),0,(VLOOKUP($F44,'התפלגות ייצור וסל דלקים'!$B$64:$BV$84,AS$2-$E$2,FALSE))*$D$9*$D$8*(HLOOKUP(AS$23,$G$18:$R$19,2,FALSE)*(1-$D$12)^($F44-'הנחות עבודה'!$C$5)/$D$11)/$D$11)</f>
        <v>0</v>
      </c>
      <c r="AT44" s="128">
        <f ca="1">IF(OR($F44&gt;$D$5,$F44&gt;MAX('הנחות עבודה'!$B$69:$B$89)),0,(VLOOKUP($F44,'התפלגות ייצור וסל דלקים'!$B$64:$BV$84,AT$2-$E$2,FALSE))*$D$9*$D$8*(HLOOKUP(AT$23,$G$18:$R$19,2,FALSE)*(1-$D$12)^($F44-'הנחות עבודה'!$C$5)/$D$11)/$D$11)</f>
        <v>0</v>
      </c>
      <c r="AU44" s="128">
        <f ca="1">IF(OR($F44&gt;$D$5,$F44&gt;MAX('הנחות עבודה'!$B$69:$B$89)),0,(VLOOKUP($F44,'התפלגות ייצור וסל דלקים'!$B$64:$BV$84,AU$2-$E$2,FALSE))*$D$9*$D$8*(HLOOKUP(AU$23,$G$18:$R$19,2,FALSE)*(1-$D$12)^($F44-'הנחות עבודה'!$C$5)/$D$11)/$D$11)</f>
        <v>0</v>
      </c>
      <c r="AV44" s="128">
        <f ca="1">IF(OR($F44&gt;$D$5,$F44&gt;MAX('הנחות עבודה'!$B$69:$B$89)),0,(VLOOKUP($F44,'התפלגות ייצור וסל דלקים'!$B$64:$BV$84,AV$2-$E$2,FALSE))*$D$9*$D$8*(HLOOKUP(AV$23,$G$18:$R$19,2,FALSE)*(1-$D$12)^($F44-'הנחות עבודה'!$C$5)/$D$11)/$D$11)</f>
        <v>0</v>
      </c>
      <c r="AW44" s="55">
        <f ca="1">IF(OR($F44&gt;$D$5,$F44&gt;MAX('הנחות עבודה'!$B$69:$B$89)),0,(VLOOKUP($F44,'התפלגות ייצור וסל דלקים'!$B$64:$BV$84,AW$2-$E$2,FALSE))*$D$9*$D$8*(HLOOKUP(AW$23,$G$18:$R$19,2,FALSE)*(1-$D$12)^($F44-'הנחות עבודה'!$C$5)/$D$11)/$D$11)</f>
        <v>3.9152063999999993E-3</v>
      </c>
      <c r="AX44" s="55">
        <f ca="1">IF(OR($F44&gt;$D$5,$F44&gt;MAX('הנחות עבודה'!$B$69:$B$89)),0,(VLOOKUP($F44,'התפלגות ייצור וסל דלקים'!$B$64:$BV$84,AX$2-$E$2,FALSE))*$D$9*$D$8*(HLOOKUP(AX$23,$G$18:$R$19,2,FALSE)*(1-$D$12)^($F44-'הנחות עבודה'!$C$5)/$D$11)/$D$11)</f>
        <v>1.4550152413217433E-2</v>
      </c>
      <c r="AY44" s="55">
        <f ca="1">IF(OR($F44&gt;$D$5,$F44&gt;MAX('הנחות עבודה'!$B$69:$B$89)),0,(VLOOKUP($F44,'התפלגות ייצור וסל דלקים'!$B$64:$BV$84,AY$2-$E$2,FALSE))*$D$9*$D$8*(HLOOKUP(AY$23,$G$18:$R$19,2,FALSE)*(1-$D$12)^($F44-'הנחות עבודה'!$C$5)/$D$11)/$D$11)</f>
        <v>0</v>
      </c>
      <c r="AZ44" s="55">
        <f ca="1">IF(OR($F44&gt;$D$5,$F44&gt;MAX('הנחות עבודה'!$B$69:$B$89)),0,(VLOOKUP($F44,'התפלגות ייצור וסל דלקים'!$B$64:$BV$84,AZ$2-$E$2,FALSE))*$D$9*$D$8*(HLOOKUP(AZ$23,$G$18:$R$19,2,FALSE)*(1-$D$12)^($F44-'הנחות עבודה'!$C$5)/$D$11)/$D$11)</f>
        <v>0</v>
      </c>
      <c r="BA44" s="55">
        <f ca="1">IF(OR($F44&gt;$D$5,$F44&gt;MAX('הנחות עבודה'!$B$69:$B$89)),0,(VLOOKUP($F44,'התפלגות ייצור וסל דלקים'!$B$64:$BV$84,BA$2-$E$2,FALSE))*$D$9*$D$8*(HLOOKUP(BA$23,$G$18:$R$19,2,FALSE)*(1-$D$12)^($F44-'הנחות עבודה'!$C$5)/$D$11)/$D$11)</f>
        <v>0</v>
      </c>
      <c r="BB44" s="55">
        <f ca="1">IF(OR($F44&gt;$D$5,$F44&gt;MAX('הנחות עבודה'!$B$69:$B$89)),0,(VLOOKUP($F44,'התפלגות ייצור וסל דלקים'!$B$64:$BV$84,BB$2-$E$2,FALSE))*$D$9*$D$8*(HLOOKUP(BB$23,$G$18:$R$19,2,FALSE)*(1-$D$12)^($F44-'הנחות עבודה'!$C$5)/$D$11)/$D$11)</f>
        <v>0</v>
      </c>
      <c r="BC44" s="45">
        <f ca="1">IF(OR($F44&gt;$D$5,$F44&gt;MAX('הנחות עבודה'!$B$69:$B$89)),0,(VLOOKUP($F44,'התפלגות ייצור וסל דלקים'!$B$64:$BV$84,BC$2-$E$2,FALSE))*$D$9*$D$8*(HLOOKUP(BC$23,$G$18:$R$19,2,FALSE)*(1-$D$12)^($F44-'הנחות עבודה'!$C$5)/$D$11)/$D$11)</f>
        <v>0</v>
      </c>
      <c r="BD44" s="47">
        <f ca="1">IF(OR($F44&gt;$D$5,$F44&gt;MAX('הנחות עבודה'!$B$69:$B$89)),0,(VLOOKUP($F44,'התפלגות ייצור וסל דלקים'!$B$64:$BV$84,BD$2-$E$2,FALSE))*$D$9*$D$8*(HLOOKUP(BD$23,$G$18:$R$19,2,FALSE)*(1-$D$12)^($F44-'הנחות עבודה'!$C$5)/$D$11)/$D$11)</f>
        <v>0</v>
      </c>
      <c r="BE44" s="47">
        <f ca="1">IF(OR($F44&gt;$D$5,$F44&gt;MAX('הנחות עבודה'!$B$69:$B$89)),0,(VLOOKUP($F44,'התפלגות ייצור וסל דלקים'!$B$64:$BV$84,BE$2-$E$2,FALSE))*$D$9*$D$8*(HLOOKUP(BE$23,$G$18:$R$19,2,FALSE)*(1-$D$12)^($F44-'הנחות עבודה'!$C$5)/$D$11)/$D$11)</f>
        <v>0</v>
      </c>
      <c r="BF44" s="47">
        <f ca="1">IF(OR($F44&gt;$D$5,$F44&gt;MAX('הנחות עבודה'!$B$69:$B$89)),0,(VLOOKUP($F44,'התפלגות ייצור וסל דלקים'!$B$64:$BV$84,BF$2-$E$2,FALSE))*$D$9*$D$8*(HLOOKUP(BF$23,$G$18:$R$19,2,FALSE)*(1-$D$12)^($F44-'הנחות עבודה'!$C$5)/$D$11)/$D$11)</f>
        <v>0</v>
      </c>
      <c r="BG44" s="47">
        <f ca="1">IF(OR($F44&gt;$D$5,$F44&gt;MAX('הנחות עבודה'!$B$69:$B$89)),0,(VLOOKUP($F44,'התפלגות ייצור וסל דלקים'!$B$64:$BV$84,BG$2-$E$2,FALSE))*$D$9*$D$8*(HLOOKUP(BG$23,$G$18:$R$19,2,FALSE)*(1-$D$12)^($F44-'הנחות עבודה'!$C$5)/$D$11)/$D$11)</f>
        <v>0</v>
      </c>
      <c r="BH44" s="47">
        <f ca="1">IF(OR($F44&gt;$D$5,$F44&gt;MAX('הנחות עבודה'!$B$69:$B$89)),0,(VLOOKUP($F44,'התפלגות ייצור וסל דלקים'!$B$64:$BV$84,BH$2-$E$2,FALSE))*$D$9*$D$8*(HLOOKUP(BH$23,$G$18:$R$19,2,FALSE)*(1-$D$12)^($F44-'הנחות עבודה'!$C$5)/$D$11)/$D$11)</f>
        <v>0</v>
      </c>
      <c r="BI44" s="45">
        <f ca="1">IF(OR($F44&gt;$D$5,$F44&gt;MAX('הנחות עבודה'!$B$69:$B$89)),0,(VLOOKUP($F44,'התפלגות ייצור וסל דלקים'!$B$64:$BV$84,BI$2-$E$2,FALSE))*$D$9*$D$8*(HLOOKUP(BI$23,$G$18:$R$19,2,FALSE)*(1-$D$12)^($F44-'הנחות עבודה'!$C$5)/$D$11)/$D$11)</f>
        <v>4.0108799999999997E-3</v>
      </c>
      <c r="BJ44" s="45">
        <f ca="1">IF(OR($F44&gt;$D$5,$F44&gt;MAX('הנחות עבודה'!$B$69:$B$89)),0,(VLOOKUP($F44,'התפלגות ייצור וסל דלקים'!$B$64:$BV$84,BJ$2-$E$2,FALSE))*$D$9*$D$8*(HLOOKUP(BJ$23,$G$18:$R$19,2,FALSE)*(1-$D$12)^($F44-'הנחות עבודה'!$C$5)/$D$11)/$D$11)</f>
        <v>1.3754684272158722E-2</v>
      </c>
      <c r="BK44" s="45">
        <f ca="1">IF(OR($F44&gt;$D$5,$F44&gt;MAX('הנחות עבודה'!$B$69:$B$89)),0,(VLOOKUP($F44,'התפלגות ייצור וסל דלקים'!$B$64:$BV$84,BK$2-$E$2,FALSE))*$D$9*$D$8*(HLOOKUP(BK$23,$G$18:$R$19,2,FALSE)*(1-$D$12)^($F44-'הנחות עבודה'!$C$5)/$D$11)/$D$11)</f>
        <v>0</v>
      </c>
      <c r="BL44" s="45">
        <f ca="1">IF(OR($F44&gt;$D$5,$F44&gt;MAX('הנחות עבודה'!$B$69:$B$89)),0,(VLOOKUP($F44,'התפלגות ייצור וסל דלקים'!$B$64:$BV$84,BL$2-$E$2,FALSE))*$D$9*$D$8*(HLOOKUP(BL$23,$G$18:$R$19,2,FALSE)*(1-$D$12)^($F44-'הנחות עבודה'!$C$5)/$D$11)/$D$11)</f>
        <v>0</v>
      </c>
      <c r="BM44" s="45">
        <f ca="1">IF(OR($F44&gt;$D$5,$F44&gt;MAX('הנחות עבודה'!$B$69:$B$89)),0,(VLOOKUP($F44,'התפלגות ייצור וסל דלקים'!$B$64:$BV$84,BM$2-$E$2,FALSE))*$D$9*$D$8*(HLOOKUP(BM$23,$G$18:$R$19,2,FALSE)*(1-$D$12)^($F44-'הנחות עבודה'!$C$5)/$D$11)/$D$11)</f>
        <v>0</v>
      </c>
      <c r="BN44" s="45">
        <f ca="1">IF(OR($F44&gt;$D$5,$F44&gt;MAX('הנחות עבודה'!$B$69:$B$89)),0,(VLOOKUP($F44,'התפלגות ייצור וסל דלקים'!$B$64:$BV$84,BN$2-$E$2,FALSE))*$D$9*$D$8*(HLOOKUP(BN$23,$G$18:$R$19,2,FALSE)*(1-$D$12)^($F44-'הנחות עבודה'!$C$5)/$D$11)/$D$11)</f>
        <v>0</v>
      </c>
      <c r="BO44" s="55">
        <f ca="1">IF(OR($F44&gt;$D$5,$F44&gt;MAX('הנחות עבודה'!$B$69:$B$89)),0,(VLOOKUP($F44,'התפלגות ייצור וסל דלקים'!$B$64:$BV$84,BO$2-$E$2,FALSE))*$D$9*$D$8*(HLOOKUP(BO$23,$G$18:$R$19,2,FALSE)*(1-$D$12)^($F44-'הנחות עבודה'!$C$5)/$D$11)/$D$11)</f>
        <v>0</v>
      </c>
      <c r="BP44" s="128">
        <f ca="1">IF(OR($F44&gt;$D$5,$F44&gt;MAX('הנחות עבודה'!$B$69:$B$89)),0,(VLOOKUP($F44,'התפלגות ייצור וסל דלקים'!$B$64:$BV$84,BP$2-$E$2,FALSE))*$D$9*$D$8*(HLOOKUP(BP$23,$G$18:$R$19,2,FALSE)*(1-$D$12)^($F44-'הנחות עבודה'!$C$5)/$D$11)/$D$11)</f>
        <v>0</v>
      </c>
      <c r="BQ44" s="128">
        <f ca="1">IF(OR($F44&gt;$D$5,$F44&gt;MAX('הנחות עבודה'!$B$69:$B$89)),0,(VLOOKUP($F44,'התפלגות ייצור וסל דלקים'!$B$64:$BV$84,BQ$2-$E$2,FALSE))*$D$9*$D$8*(HLOOKUP(BQ$23,$G$18:$R$19,2,FALSE)*(1-$D$12)^($F44-'הנחות עבודה'!$C$5)/$D$11)/$D$11)</f>
        <v>0</v>
      </c>
      <c r="BR44" s="128">
        <f ca="1">IF(OR($F44&gt;$D$5,$F44&gt;MAX('הנחות עבודה'!$B$69:$B$89)),0,(VLOOKUP($F44,'התפלגות ייצור וסל דלקים'!$B$64:$BV$84,BR$2-$E$2,FALSE))*$D$9*$D$8*(HLOOKUP(BR$23,$G$18:$R$19,2,FALSE)*(1-$D$12)^($F44-'הנחות עבודה'!$C$5)/$D$11)/$D$11)</f>
        <v>0</v>
      </c>
      <c r="BS44" s="128">
        <f ca="1">IF(OR($F44&gt;$D$5,$F44&gt;MAX('הנחות עבודה'!$B$69:$B$89)),0,(VLOOKUP($F44,'התפלגות ייצור וסל דלקים'!$B$64:$BV$84,BS$2-$E$2,FALSE))*$D$9*$D$8*(HLOOKUP(BS$23,$G$18:$R$19,2,FALSE)*(1-$D$12)^($F44-'הנחות עבודה'!$C$5)/$D$11)/$D$11)</f>
        <v>0</v>
      </c>
      <c r="BT44" s="128">
        <f ca="1">IF(OR($F44&gt;$D$5,$F44&gt;MAX('הנחות עבודה'!$B$69:$B$89)),0,(VLOOKUP($F44,'התפלגות ייצור וסל דלקים'!$B$64:$BV$84,BT$2-$E$2,FALSE))*$D$9*$D$8*(HLOOKUP(BT$23,$G$18:$R$19,2,FALSE)*(1-$D$12)^($F44-'הנחות עבודה'!$C$5)/$D$11)/$D$11)</f>
        <v>0</v>
      </c>
      <c r="BU44" s="55">
        <f ca="1">IF(OR($F44&gt;$D$5,$F44&gt;MAX('הנחות עבודה'!$B$69:$B$89)),0,(VLOOKUP($F44,'התפלגות ייצור וסל דלקים'!$B$64:$BV$84,BU$2-$E$2,FALSE))*$D$9*$D$8*(HLOOKUP(BU$23,$G$18:$R$19,2,FALSE)*(1-$D$12)^($F44-'הנחות עבודה'!$C$5)/$D$11)/$D$11)</f>
        <v>4.0108799999999997E-3</v>
      </c>
      <c r="BV44" s="55">
        <f ca="1">IF(OR($F44&gt;$D$5,$F44&gt;MAX('הנחות עבודה'!$B$69:$B$89)),0,(VLOOKUP($F44,'התפלגות ייצור וסל דלקים'!$B$64:$BV$84,BV$2-$E$2,FALSE))*$D$9*$D$8*(HLOOKUP(BV$23,$G$18:$R$19,2,FALSE)*(1-$D$12)^($F44-'הנחות עבודה'!$C$5)/$D$11)/$D$11)</f>
        <v>1.3754684272158722E-2</v>
      </c>
      <c r="BW44" s="55">
        <f ca="1">IF(OR($F44&gt;$D$5,$F44&gt;MAX('הנחות עבודה'!$B$69:$B$89)),0,(VLOOKUP($F44,'התפלגות ייצור וסל דלקים'!$B$64:$BV$84,BW$2-$E$2,FALSE))*$D$9*$D$8*(HLOOKUP(BW$23,$G$18:$R$19,2,FALSE)*(1-$D$12)^($F44-'הנחות עבודה'!$C$5)/$D$11)/$D$11)</f>
        <v>0</v>
      </c>
      <c r="BX44" s="55">
        <f ca="1">IF(OR($F44&gt;$D$5,$F44&gt;MAX('הנחות עבודה'!$B$69:$B$89)),0,(VLOOKUP($F44,'התפלגות ייצור וסל דלקים'!$B$64:$BV$84,BX$2-$E$2,FALSE))*$D$9*$D$8*(HLOOKUP(BX$23,$G$18:$R$19,2,FALSE)*(1-$D$12)^($F44-'הנחות עבודה'!$C$5)/$D$11)/$D$11)</f>
        <v>0</v>
      </c>
      <c r="BY44" s="55">
        <f ca="1">IF(OR($F44&gt;$D$5,$F44&gt;MAX('הנחות עבודה'!$B$69:$B$89)),0,(VLOOKUP($F44,'התפלגות ייצור וסל דלקים'!$B$64:$BV$84,BY$2-$E$2,FALSE))*$D$9*$D$8*(HLOOKUP(BY$23,$G$18:$R$19,2,FALSE)*(1-$D$12)^($F44-'הנחות עבודה'!$C$5)/$D$11)/$D$11)</f>
        <v>0</v>
      </c>
      <c r="BZ44" s="55">
        <f ca="1">IF(OR($F44&gt;$D$5,$F44&gt;MAX('הנחות עבודה'!$B$69:$B$89)),0,(VLOOKUP($F44,'התפלגות ייצור וסל דלקים'!$B$64:$BV$84,BZ$2-$E$2,FALSE))*$D$9*$D$8*(HLOOKUP(BZ$23,$G$18:$R$19,2,FALSE)*(1-$D$12)^($F44-'הנחות עבודה'!$C$5)/$D$11)/$D$11)</f>
        <v>0</v>
      </c>
    </row>
    <row r="45" spans="6:78" ht="16.5" thickBot="1">
      <c r="F45" s="349" t="s">
        <v>27</v>
      </c>
      <c r="G45" s="65">
        <f t="shared" ref="G45:BU45" ca="1" si="111">SUM(G24:G44)</f>
        <v>0</v>
      </c>
      <c r="H45" s="65">
        <f t="shared" ca="1" si="111"/>
        <v>0</v>
      </c>
      <c r="I45" s="65">
        <f t="shared" ca="1" si="111"/>
        <v>0</v>
      </c>
      <c r="J45" s="65">
        <f t="shared" ca="1" si="111"/>
        <v>0</v>
      </c>
      <c r="K45" s="65">
        <f t="shared" ca="1" si="111"/>
        <v>0</v>
      </c>
      <c r="L45" s="65">
        <f t="shared" ca="1" si="111"/>
        <v>0</v>
      </c>
      <c r="M45" s="65">
        <f t="shared" ca="1" si="111"/>
        <v>5.7552679199999998E-2</v>
      </c>
      <c r="N45" s="65">
        <f t="shared" ref="N45:R45" ca="1" si="112">SUM(N24:N44)</f>
        <v>0.23608308375834045</v>
      </c>
      <c r="O45" s="65">
        <f t="shared" ca="1" si="112"/>
        <v>0</v>
      </c>
      <c r="P45" s="65">
        <f t="shared" ca="1" si="112"/>
        <v>0</v>
      </c>
      <c r="Q45" s="65">
        <f t="shared" ca="1" si="112"/>
        <v>2.8818719009999993E-2</v>
      </c>
      <c r="R45" s="65">
        <f t="shared" ca="1" si="112"/>
        <v>0</v>
      </c>
      <c r="S45" s="76">
        <f t="shared" ca="1" si="111"/>
        <v>0</v>
      </c>
      <c r="T45" s="76">
        <f t="shared" ca="1" si="111"/>
        <v>0</v>
      </c>
      <c r="U45" s="76">
        <f t="shared" ca="1" si="111"/>
        <v>0</v>
      </c>
      <c r="V45" s="76">
        <f t="shared" ca="1" si="111"/>
        <v>0</v>
      </c>
      <c r="W45" s="76">
        <f t="shared" ca="1" si="111"/>
        <v>0</v>
      </c>
      <c r="X45" s="76">
        <f t="shared" ca="1" si="111"/>
        <v>0</v>
      </c>
      <c r="Y45" s="76">
        <f t="shared" ca="1" si="111"/>
        <v>5.7552679199999998E-2</v>
      </c>
      <c r="Z45" s="76">
        <f t="shared" ref="Z45:AD45" ca="1" si="113">SUM(Z24:Z44)</f>
        <v>0.23608308375834045</v>
      </c>
      <c r="AA45" s="76">
        <f t="shared" ca="1" si="113"/>
        <v>0</v>
      </c>
      <c r="AB45" s="76">
        <f t="shared" ca="1" si="113"/>
        <v>0</v>
      </c>
      <c r="AC45" s="76">
        <f t="shared" ca="1" si="113"/>
        <v>2.8818719009999993E-2</v>
      </c>
      <c r="AD45" s="76">
        <f t="shared" ca="1" si="113"/>
        <v>0</v>
      </c>
      <c r="AE45" s="65">
        <f t="shared" ref="AE45:BB45" ca="1" si="114">SUM(AE24:AE44)</f>
        <v>0</v>
      </c>
      <c r="AF45" s="65">
        <f t="shared" ca="1" si="114"/>
        <v>0</v>
      </c>
      <c r="AG45" s="65">
        <f t="shared" ca="1" si="114"/>
        <v>0</v>
      </c>
      <c r="AH45" s="65">
        <f t="shared" ca="1" si="114"/>
        <v>0</v>
      </c>
      <c r="AI45" s="65">
        <f t="shared" ca="1" si="114"/>
        <v>0</v>
      </c>
      <c r="AJ45" s="65">
        <f t="shared" ca="1" si="114"/>
        <v>0</v>
      </c>
      <c r="AK45" s="65">
        <f t="shared" ca="1" si="114"/>
        <v>5.9713245599999992E-2</v>
      </c>
      <c r="AL45" s="65">
        <f t="shared" ca="1" si="114"/>
        <v>0.21594029759779704</v>
      </c>
      <c r="AM45" s="65">
        <f t="shared" ca="1" si="114"/>
        <v>0</v>
      </c>
      <c r="AN45" s="65">
        <f t="shared" ca="1" si="114"/>
        <v>0</v>
      </c>
      <c r="AO45" s="65">
        <f t="shared" ca="1" si="114"/>
        <v>2.8807242947499995E-2</v>
      </c>
      <c r="AP45" s="65">
        <f t="shared" ca="1" si="114"/>
        <v>0</v>
      </c>
      <c r="AQ45" s="76">
        <f t="shared" ca="1" si="114"/>
        <v>0</v>
      </c>
      <c r="AR45" s="76">
        <f t="shared" ca="1" si="114"/>
        <v>0</v>
      </c>
      <c r="AS45" s="76">
        <f t="shared" ca="1" si="114"/>
        <v>0</v>
      </c>
      <c r="AT45" s="76">
        <f t="shared" ca="1" si="114"/>
        <v>0</v>
      </c>
      <c r="AU45" s="76">
        <f t="shared" ca="1" si="114"/>
        <v>0</v>
      </c>
      <c r="AV45" s="76">
        <f t="shared" ca="1" si="114"/>
        <v>0</v>
      </c>
      <c r="AW45" s="76">
        <f t="shared" ca="1" si="114"/>
        <v>5.9713245599999992E-2</v>
      </c>
      <c r="AX45" s="76">
        <f t="shared" ca="1" si="114"/>
        <v>0.21594029759779704</v>
      </c>
      <c r="AY45" s="76">
        <f t="shared" ca="1" si="114"/>
        <v>0</v>
      </c>
      <c r="AZ45" s="76">
        <f t="shared" ca="1" si="114"/>
        <v>0</v>
      </c>
      <c r="BA45" s="76">
        <f t="shared" ca="1" si="114"/>
        <v>2.8807242947499995E-2</v>
      </c>
      <c r="BB45" s="76">
        <f t="shared" ca="1" si="114"/>
        <v>0</v>
      </c>
      <c r="BC45" s="65">
        <f t="shared" ca="1" si="111"/>
        <v>0</v>
      </c>
      <c r="BD45" s="65">
        <f t="shared" ca="1" si="111"/>
        <v>0</v>
      </c>
      <c r="BE45" s="65">
        <f t="shared" ca="1" si="111"/>
        <v>0</v>
      </c>
      <c r="BF45" s="65">
        <f t="shared" ca="1" si="111"/>
        <v>0</v>
      </c>
      <c r="BG45" s="65">
        <f t="shared" ca="1" si="111"/>
        <v>0</v>
      </c>
      <c r="BH45" s="65">
        <f t="shared" ca="1" si="111"/>
        <v>0</v>
      </c>
      <c r="BI45" s="65">
        <f t="shared" ca="1" si="111"/>
        <v>6.0917690400000002E-2</v>
      </c>
      <c r="BJ45" s="65">
        <f t="shared" ref="BJ45:BN45" ca="1" si="115">SUM(BJ24:BJ44)</f>
        <v>0.20374418881025733</v>
      </c>
      <c r="BK45" s="65">
        <f t="shared" ca="1" si="115"/>
        <v>0</v>
      </c>
      <c r="BL45" s="65">
        <f t="shared" ca="1" si="115"/>
        <v>0</v>
      </c>
      <c r="BM45" s="65">
        <f t="shared" ca="1" si="115"/>
        <v>2.8803308297499997E-2</v>
      </c>
      <c r="BN45" s="65">
        <f t="shared" ca="1" si="115"/>
        <v>0</v>
      </c>
      <c r="BO45" s="76">
        <f t="shared" ca="1" si="111"/>
        <v>0</v>
      </c>
      <c r="BP45" s="76">
        <f t="shared" ca="1" si="111"/>
        <v>0</v>
      </c>
      <c r="BQ45" s="76">
        <f t="shared" ca="1" si="111"/>
        <v>0</v>
      </c>
      <c r="BR45" s="76">
        <f t="shared" ca="1" si="111"/>
        <v>0</v>
      </c>
      <c r="BS45" s="76">
        <f t="shared" ca="1" si="111"/>
        <v>0</v>
      </c>
      <c r="BT45" s="76">
        <f t="shared" ca="1" si="111"/>
        <v>0</v>
      </c>
      <c r="BU45" s="76">
        <f t="shared" ca="1" si="111"/>
        <v>6.0917690400000002E-2</v>
      </c>
      <c r="BV45" s="76">
        <f t="shared" ref="BV45:BZ45" ca="1" si="116">SUM(BV24:BV44)</f>
        <v>0.20374418881025733</v>
      </c>
      <c r="BW45" s="76">
        <f t="shared" ca="1" si="116"/>
        <v>0</v>
      </c>
      <c r="BX45" s="76">
        <f t="shared" ca="1" si="116"/>
        <v>0</v>
      </c>
      <c r="BY45" s="76">
        <f t="shared" ca="1" si="116"/>
        <v>2.8803308297499997E-2</v>
      </c>
      <c r="BZ45" s="76">
        <f t="shared" ca="1" si="116"/>
        <v>0</v>
      </c>
    </row>
    <row r="46" spans="6:78" ht="16.5" thickBot="1">
      <c r="F46" s="349" t="s">
        <v>27</v>
      </c>
      <c r="G46" s="1309">
        <f ca="1">SUM(G45:R45)</f>
        <v>0.32245448196834042</v>
      </c>
      <c r="H46" s="1310"/>
      <c r="I46" s="1310"/>
      <c r="J46" s="1310"/>
      <c r="K46" s="1310"/>
      <c r="L46" s="1310"/>
      <c r="M46" s="1310"/>
      <c r="N46" s="1310"/>
      <c r="O46" s="1310"/>
      <c r="P46" s="1310"/>
      <c r="Q46" s="1310"/>
      <c r="R46" s="1311"/>
      <c r="S46" s="1309">
        <f ca="1">SUM(S45:AD45)</f>
        <v>0.32245448196834042</v>
      </c>
      <c r="T46" s="1310"/>
      <c r="U46" s="1310"/>
      <c r="V46" s="1310"/>
      <c r="W46" s="1310"/>
      <c r="X46" s="1310"/>
      <c r="Y46" s="1310"/>
      <c r="Z46" s="1310"/>
      <c r="AA46" s="1310"/>
      <c r="AB46" s="1310"/>
      <c r="AC46" s="1310"/>
      <c r="AD46" s="1311"/>
      <c r="AE46" s="1309">
        <f t="shared" ref="AE46" ca="1" si="117">SUM(AE45:AP45)</f>
        <v>0.30446078614529698</v>
      </c>
      <c r="AF46" s="1310"/>
      <c r="AG46" s="1310"/>
      <c r="AH46" s="1310"/>
      <c r="AI46" s="1310"/>
      <c r="AJ46" s="1310"/>
      <c r="AK46" s="1310"/>
      <c r="AL46" s="1310"/>
      <c r="AM46" s="1310"/>
      <c r="AN46" s="1310"/>
      <c r="AO46" s="1310"/>
      <c r="AP46" s="1311"/>
      <c r="AQ46" s="1309">
        <f t="shared" ref="AQ46" ca="1" si="118">SUM(AQ45:BB45)</f>
        <v>0.30446078614529698</v>
      </c>
      <c r="AR46" s="1310"/>
      <c r="AS46" s="1310"/>
      <c r="AT46" s="1310"/>
      <c r="AU46" s="1310"/>
      <c r="AV46" s="1310"/>
      <c r="AW46" s="1310"/>
      <c r="AX46" s="1310"/>
      <c r="AY46" s="1310"/>
      <c r="AZ46" s="1310"/>
      <c r="BA46" s="1310"/>
      <c r="BB46" s="1311"/>
      <c r="BC46" s="1309">
        <f ca="1">SUM(BC45:BN45)</f>
        <v>0.2934651875077573</v>
      </c>
      <c r="BD46" s="1310"/>
      <c r="BE46" s="1310"/>
      <c r="BF46" s="1310"/>
      <c r="BG46" s="1310"/>
      <c r="BH46" s="1310"/>
      <c r="BI46" s="1310"/>
      <c r="BJ46" s="1310"/>
      <c r="BK46" s="1310"/>
      <c r="BL46" s="1310"/>
      <c r="BM46" s="1310"/>
      <c r="BN46" s="1311"/>
      <c r="BO46" s="1309">
        <f ca="1">SUM(BO45:BZ45)</f>
        <v>0.2934651875077573</v>
      </c>
      <c r="BP46" s="1310"/>
      <c r="BQ46" s="1310"/>
      <c r="BR46" s="1310"/>
      <c r="BS46" s="1310"/>
      <c r="BT46" s="1310"/>
      <c r="BU46" s="1310"/>
      <c r="BV46" s="1310"/>
      <c r="BW46" s="1310"/>
      <c r="BX46" s="1310"/>
      <c r="BY46" s="1310"/>
      <c r="BZ46" s="1311"/>
    </row>
    <row r="47" spans="6:78" ht="15.75" thickBot="1"/>
    <row r="48" spans="6:78" ht="16.5" thickBot="1">
      <c r="G48" s="1243" t="s">
        <v>495</v>
      </c>
      <c r="H48" s="1244"/>
      <c r="I48" s="1244"/>
      <c r="J48" s="1244"/>
      <c r="K48" s="1244"/>
      <c r="L48" s="1244"/>
      <c r="M48" s="1244"/>
      <c r="N48" s="1244"/>
      <c r="O48" s="1244"/>
      <c r="P48" s="1244"/>
      <c r="Q48" s="1244"/>
      <c r="R48" s="1244"/>
      <c r="S48" s="1244"/>
      <c r="T48" s="1244"/>
      <c r="U48" s="1244"/>
      <c r="V48" s="1244"/>
      <c r="W48" s="1244"/>
      <c r="X48" s="1244"/>
      <c r="Y48" s="1244"/>
      <c r="Z48" s="1244"/>
      <c r="AA48" s="1244"/>
      <c r="AB48" s="1244"/>
      <c r="AC48" s="1244"/>
      <c r="AD48" s="1244"/>
      <c r="AE48" s="1244"/>
      <c r="AF48" s="1244"/>
      <c r="AG48" s="1244"/>
      <c r="AH48" s="1244"/>
      <c r="AI48" s="1244"/>
      <c r="AJ48" s="1244"/>
      <c r="AK48" s="1244"/>
      <c r="AL48" s="1244"/>
      <c r="AM48" s="1244"/>
      <c r="AN48" s="1244"/>
      <c r="AO48" s="1244"/>
      <c r="AP48" s="1244"/>
      <c r="AQ48" s="1244"/>
      <c r="AR48" s="1244"/>
      <c r="AS48" s="1244"/>
      <c r="AT48" s="1244"/>
      <c r="AU48" s="1244"/>
      <c r="AV48" s="1244"/>
      <c r="AW48" s="1244"/>
      <c r="AX48" s="1244"/>
      <c r="AY48" s="1244"/>
      <c r="AZ48" s="1244"/>
      <c r="BA48" s="1244"/>
      <c r="BB48" s="1244"/>
      <c r="BC48" s="1244"/>
      <c r="BD48" s="1244"/>
      <c r="BE48" s="1244"/>
      <c r="BF48" s="1244"/>
      <c r="BG48" s="1244"/>
      <c r="BH48" s="1244"/>
      <c r="BI48" s="1244"/>
      <c r="BJ48" s="1244"/>
      <c r="BK48" s="1244"/>
      <c r="BL48" s="1244"/>
      <c r="BM48" s="1244"/>
      <c r="BN48" s="1244"/>
      <c r="BO48" s="1244"/>
      <c r="BP48" s="1244"/>
      <c r="BQ48" s="1244"/>
      <c r="BR48" s="1244"/>
      <c r="BS48" s="1244"/>
      <c r="BT48" s="1244"/>
      <c r="BU48" s="1244"/>
      <c r="BV48" s="1244"/>
      <c r="BW48" s="1244"/>
      <c r="BX48" s="1244"/>
      <c r="BY48" s="1244"/>
      <c r="BZ48" s="1245"/>
    </row>
    <row r="49" spans="6:78" ht="16.5" thickBot="1">
      <c r="G49" s="1289" t="s">
        <v>46</v>
      </c>
      <c r="H49" s="1290"/>
      <c r="I49" s="1290"/>
      <c r="J49" s="1290"/>
      <c r="K49" s="1290"/>
      <c r="L49" s="1290"/>
      <c r="M49" s="1290"/>
      <c r="N49" s="1290"/>
      <c r="O49" s="1290"/>
      <c r="P49" s="1290"/>
      <c r="Q49" s="1290"/>
      <c r="R49" s="1296"/>
      <c r="S49" s="1291" t="s">
        <v>47</v>
      </c>
      <c r="T49" s="1292"/>
      <c r="U49" s="1292"/>
      <c r="V49" s="1292"/>
      <c r="W49" s="1292"/>
      <c r="X49" s="1292"/>
      <c r="Y49" s="1292"/>
      <c r="Z49" s="1292"/>
      <c r="AA49" s="1292"/>
      <c r="AB49" s="1292"/>
      <c r="AC49" s="1292"/>
      <c r="AD49" s="1293"/>
      <c r="AE49" s="1289" t="s">
        <v>342</v>
      </c>
      <c r="AF49" s="1290"/>
      <c r="AG49" s="1290"/>
      <c r="AH49" s="1290"/>
      <c r="AI49" s="1290"/>
      <c r="AJ49" s="1290"/>
      <c r="AK49" s="1290"/>
      <c r="AL49" s="1290"/>
      <c r="AM49" s="1290"/>
      <c r="AN49" s="1290"/>
      <c r="AO49" s="1290"/>
      <c r="AP49" s="1296"/>
      <c r="AQ49" s="1291" t="s">
        <v>343</v>
      </c>
      <c r="AR49" s="1292"/>
      <c r="AS49" s="1292"/>
      <c r="AT49" s="1292"/>
      <c r="AU49" s="1292"/>
      <c r="AV49" s="1292"/>
      <c r="AW49" s="1292"/>
      <c r="AX49" s="1292"/>
      <c r="AY49" s="1292"/>
      <c r="AZ49" s="1292"/>
      <c r="BA49" s="1292"/>
      <c r="BB49" s="1293"/>
      <c r="BC49" s="1289" t="s">
        <v>344</v>
      </c>
      <c r="BD49" s="1290"/>
      <c r="BE49" s="1290"/>
      <c r="BF49" s="1290"/>
      <c r="BG49" s="1290"/>
      <c r="BH49" s="1290"/>
      <c r="BI49" s="1290"/>
      <c r="BJ49" s="1290"/>
      <c r="BK49" s="1290"/>
      <c r="BL49" s="1290"/>
      <c r="BM49" s="1290"/>
      <c r="BN49" s="1296"/>
      <c r="BO49" s="1291" t="s">
        <v>345</v>
      </c>
      <c r="BP49" s="1292"/>
      <c r="BQ49" s="1292"/>
      <c r="BR49" s="1292"/>
      <c r="BS49" s="1292"/>
      <c r="BT49" s="1292"/>
      <c r="BU49" s="1292"/>
      <c r="BV49" s="1292"/>
      <c r="BW49" s="1292"/>
      <c r="BX49" s="1292"/>
      <c r="BY49" s="1292"/>
      <c r="BZ49" s="1293"/>
    </row>
    <row r="50" spans="6:78" ht="48" customHeight="1" thickBot="1">
      <c r="F50" s="7" t="s">
        <v>0</v>
      </c>
      <c r="G50" s="38" t="str">
        <f ca="1">G23</f>
        <v>מוטה קרקע PV</v>
      </c>
      <c r="H50" s="38" t="str">
        <f t="shared" ref="H50:BU50" ca="1" si="119">H23</f>
        <v>מוטה דואלי PV</v>
      </c>
      <c r="I50" s="38" t="str">
        <f t="shared" ca="1" si="119"/>
        <v>רוח</v>
      </c>
      <c r="J50" s="38" t="str">
        <f t="shared" ca="1" si="119"/>
        <v>ביומסה/ביוגז</v>
      </c>
      <c r="K50" s="38" t="str">
        <f t="shared" ca="1" si="119"/>
        <v>תרמו סולארי</v>
      </c>
      <c r="L50" s="38" t="str">
        <f t="shared" si="119"/>
        <v>אחר</v>
      </c>
      <c r="M50" s="38" t="str">
        <f t="shared" ca="1" si="119"/>
        <v>גז פחמיות מוסבות</v>
      </c>
      <c r="N50" s="38" t="str">
        <f t="shared" ref="N50:R50" ca="1" si="120">N23</f>
        <v>גז חח"י מחזמים ופקירים ויח"פים</v>
      </c>
      <c r="O50" s="38" t="str">
        <f t="shared" ca="1" si="120"/>
        <v>אחר 1</v>
      </c>
      <c r="P50" s="38" t="str">
        <f t="shared" ca="1" si="120"/>
        <v>אחר 2</v>
      </c>
      <c r="Q50" s="38" t="str">
        <f t="shared" si="120"/>
        <v>יחידה פחמית</v>
      </c>
      <c r="R50" s="38" t="str">
        <f t="shared" si="120"/>
        <v>סולר ופצלי שמן</v>
      </c>
      <c r="S50" s="48" t="str">
        <f t="shared" ca="1" si="119"/>
        <v>מוטה קרקע PV</v>
      </c>
      <c r="T50" s="48" t="str">
        <f t="shared" ca="1" si="119"/>
        <v>מוטה דואלי PV</v>
      </c>
      <c r="U50" s="48" t="str">
        <f t="shared" ca="1" si="119"/>
        <v>רוח</v>
      </c>
      <c r="V50" s="48" t="str">
        <f t="shared" ca="1" si="119"/>
        <v>ביומסה/ביוגז</v>
      </c>
      <c r="W50" s="48" t="str">
        <f t="shared" ca="1" si="119"/>
        <v>תרמו סולארי</v>
      </c>
      <c r="X50" s="48" t="str">
        <f t="shared" si="119"/>
        <v>אחר</v>
      </c>
      <c r="Y50" s="48" t="str">
        <f t="shared" ca="1" si="119"/>
        <v>גז פחמיות מוסבות</v>
      </c>
      <c r="Z50" s="48" t="str">
        <f t="shared" ref="Z50:AD50" ca="1" si="121">Z23</f>
        <v>גז חח"י מחזמים ופקירים ויח"פים</v>
      </c>
      <c r="AA50" s="48" t="str">
        <f t="shared" ca="1" si="121"/>
        <v>אחר 1</v>
      </c>
      <c r="AB50" s="48" t="str">
        <f t="shared" ca="1" si="121"/>
        <v>אחר 2</v>
      </c>
      <c r="AC50" s="48" t="str">
        <f t="shared" si="121"/>
        <v>יחידה פחמית</v>
      </c>
      <c r="AD50" s="48" t="str">
        <f t="shared" si="121"/>
        <v>סולר ופצלי שמן</v>
      </c>
      <c r="AE50" s="38" t="str">
        <f t="shared" ref="AE50:BB50" ca="1" si="122">AE23</f>
        <v>מוטה קרקע PV</v>
      </c>
      <c r="AF50" s="38" t="str">
        <f t="shared" ca="1" si="122"/>
        <v>מוטה דואלי PV</v>
      </c>
      <c r="AG50" s="38" t="str">
        <f t="shared" ca="1" si="122"/>
        <v>רוח</v>
      </c>
      <c r="AH50" s="38" t="str">
        <f t="shared" ca="1" si="122"/>
        <v>ביומסה/ביוגז</v>
      </c>
      <c r="AI50" s="38" t="str">
        <f t="shared" ca="1" si="122"/>
        <v>תרמו סולארי</v>
      </c>
      <c r="AJ50" s="38" t="str">
        <f t="shared" si="122"/>
        <v>אחר</v>
      </c>
      <c r="AK50" s="38" t="str">
        <f t="shared" ca="1" si="122"/>
        <v>גז פחמיות מוסבות</v>
      </c>
      <c r="AL50" s="38" t="str">
        <f t="shared" ca="1" si="122"/>
        <v>גז חח"י מחזמים ופקירים ויח"פים</v>
      </c>
      <c r="AM50" s="38" t="str">
        <f t="shared" ca="1" si="122"/>
        <v>אחר 1</v>
      </c>
      <c r="AN50" s="38" t="str">
        <f t="shared" ca="1" si="122"/>
        <v>אחר 2</v>
      </c>
      <c r="AO50" s="38" t="str">
        <f t="shared" si="122"/>
        <v>יחידה פחמית</v>
      </c>
      <c r="AP50" s="38" t="str">
        <f t="shared" si="122"/>
        <v>סולר ופצלי שמן</v>
      </c>
      <c r="AQ50" s="48" t="str">
        <f t="shared" ca="1" si="122"/>
        <v>מוטה קרקע PV</v>
      </c>
      <c r="AR50" s="48" t="str">
        <f t="shared" ca="1" si="122"/>
        <v>מוטה דואלי PV</v>
      </c>
      <c r="AS50" s="48" t="str">
        <f t="shared" ca="1" si="122"/>
        <v>רוח</v>
      </c>
      <c r="AT50" s="48" t="str">
        <f t="shared" ca="1" si="122"/>
        <v>ביומסה/ביוגז</v>
      </c>
      <c r="AU50" s="48" t="str">
        <f t="shared" ca="1" si="122"/>
        <v>תרמו סולארי</v>
      </c>
      <c r="AV50" s="48" t="str">
        <f t="shared" si="122"/>
        <v>אחר</v>
      </c>
      <c r="AW50" s="48" t="str">
        <f t="shared" ca="1" si="122"/>
        <v>גז פחמיות מוסבות</v>
      </c>
      <c r="AX50" s="48" t="str">
        <f t="shared" ca="1" si="122"/>
        <v>גז חח"י מחזמים ופקירים ויח"פים</v>
      </c>
      <c r="AY50" s="48" t="str">
        <f t="shared" ca="1" si="122"/>
        <v>אחר 1</v>
      </c>
      <c r="AZ50" s="48" t="str">
        <f t="shared" ca="1" si="122"/>
        <v>אחר 2</v>
      </c>
      <c r="BA50" s="48" t="str">
        <f t="shared" si="122"/>
        <v>יחידה פחמית</v>
      </c>
      <c r="BB50" s="48" t="str">
        <f t="shared" si="122"/>
        <v>סולר ופצלי שמן</v>
      </c>
      <c r="BC50" s="38" t="str">
        <f t="shared" ca="1" si="119"/>
        <v>מוטה קרקע PV</v>
      </c>
      <c r="BD50" s="38" t="str">
        <f t="shared" ca="1" si="119"/>
        <v>מוטה דואלי PV</v>
      </c>
      <c r="BE50" s="38" t="str">
        <f t="shared" ca="1" si="119"/>
        <v>רוח</v>
      </c>
      <c r="BF50" s="38" t="str">
        <f t="shared" ca="1" si="119"/>
        <v>ביומסה/ביוגז</v>
      </c>
      <c r="BG50" s="38" t="str">
        <f t="shared" ca="1" si="119"/>
        <v>תרמו סולארי</v>
      </c>
      <c r="BH50" s="38" t="str">
        <f t="shared" si="119"/>
        <v>אחר</v>
      </c>
      <c r="BI50" s="38" t="str">
        <f t="shared" ca="1" si="119"/>
        <v>גז פחמיות מוסבות</v>
      </c>
      <c r="BJ50" s="38" t="str">
        <f t="shared" ref="BJ50:BN50" ca="1" si="123">BJ23</f>
        <v>גז חח"י מחזמים ופקירים ויח"פים</v>
      </c>
      <c r="BK50" s="38" t="str">
        <f t="shared" ca="1" si="123"/>
        <v>אחר 1</v>
      </c>
      <c r="BL50" s="38" t="str">
        <f t="shared" ca="1" si="123"/>
        <v>אחר 2</v>
      </c>
      <c r="BM50" s="38" t="str">
        <f t="shared" si="123"/>
        <v>יחידה פחמית</v>
      </c>
      <c r="BN50" s="38" t="str">
        <f t="shared" si="123"/>
        <v>סולר ופצלי שמן</v>
      </c>
      <c r="BO50" s="48" t="str">
        <f t="shared" ca="1" si="119"/>
        <v>מוטה קרקע PV</v>
      </c>
      <c r="BP50" s="48" t="str">
        <f t="shared" ca="1" si="119"/>
        <v>מוטה דואלי PV</v>
      </c>
      <c r="BQ50" s="48" t="str">
        <f t="shared" ca="1" si="119"/>
        <v>רוח</v>
      </c>
      <c r="BR50" s="48" t="str">
        <f t="shared" ca="1" si="119"/>
        <v>ביומסה/ביוגז</v>
      </c>
      <c r="BS50" s="48" t="str">
        <f t="shared" ca="1" si="119"/>
        <v>תרמו סולארי</v>
      </c>
      <c r="BT50" s="48" t="str">
        <f t="shared" si="119"/>
        <v>אחר</v>
      </c>
      <c r="BU50" s="48" t="str">
        <f t="shared" ca="1" si="119"/>
        <v>גז פחמיות מוסבות</v>
      </c>
      <c r="BV50" s="48" t="str">
        <f t="shared" ref="BV50:BZ50" ca="1" si="124">BV23</f>
        <v>גז חח"י מחזמים ופקירים ויח"פים</v>
      </c>
      <c r="BW50" s="48" t="str">
        <f t="shared" ca="1" si="124"/>
        <v>אחר 1</v>
      </c>
      <c r="BX50" s="48" t="str">
        <f t="shared" ca="1" si="124"/>
        <v>אחר 2</v>
      </c>
      <c r="BY50" s="48" t="str">
        <f t="shared" si="124"/>
        <v>יחידה פחמית</v>
      </c>
      <c r="BZ50" s="48" t="str">
        <f t="shared" si="124"/>
        <v>סולר ופצלי שמן</v>
      </c>
    </row>
    <row r="51" spans="6:78" ht="15.75">
      <c r="F51" s="8">
        <f>D4</f>
        <v>2020</v>
      </c>
      <c r="G51" s="39">
        <f ca="1">IF($F51&gt;$D$5,0,VLOOKUP($F51,$F$24:$BZ$44,G$2-$E$2,FALSE)*$D$11*$D$14*(1+$D$13)^($F51-'הנחות עבודה'!$C$5)/$D$11)</f>
        <v>0</v>
      </c>
      <c r="H51" s="41">
        <f ca="1">IF($F51&gt;$D$5,0,VLOOKUP($F51,$F$24:$BZ$44,H$2-$E$2,FALSE)*$D$11*$D$14*(1+$D$13)^($F51-'הנחות עבודה'!$C$5)/$D$11)</f>
        <v>0</v>
      </c>
      <c r="I51" s="41">
        <f ca="1">IF($F51&gt;$D$5,0,VLOOKUP($F51,$F$24:$BZ$44,I$2-$E$2,FALSE)*$D$11*$D$14*(1+$D$13)^($F51-'הנחות עבודה'!$C$5)/$D$11)</f>
        <v>0</v>
      </c>
      <c r="J51" s="41">
        <f ca="1">IF($F51&gt;$D$5,0,VLOOKUP($F51,$F$24:$BZ$44,J$2-$E$2,FALSE)*$D$11*$D$14*(1+$D$13)^($F51-'הנחות עבודה'!$C$5)/$D$11)</f>
        <v>0</v>
      </c>
      <c r="K51" s="41">
        <f ca="1">IF($F51&gt;$D$5,0,VLOOKUP($F51,$F$24:$BZ$44,K$2-$E$2,FALSE)*$D$11*$D$14*(1+$D$13)^($F51-'הנחות עבודה'!$C$5)/$D$11)</f>
        <v>0</v>
      </c>
      <c r="L51" s="41">
        <f ca="1">IF($F51&gt;$D$5,0,VLOOKUP($F51,$F$24:$BZ$44,L$2-$E$2,FALSE)*$D$11*$D$14*(1+$D$13)^($F51-'הנחות עבודה'!$C$5)/$D$11)</f>
        <v>0</v>
      </c>
      <c r="M51" s="39">
        <f ca="1">IF($F51&gt;$D$5,0,VLOOKUP($F51,$F$24:$BZ$44,M$2-$E$2,FALSE)*$D$11*$D$14*(1+$D$13)^($F51-'הנחות עבודה'!$C$5)/$D$11)</f>
        <v>0</v>
      </c>
      <c r="N51" s="39">
        <f ca="1">IF($F51&gt;$D$5,0,VLOOKUP($F51,$F$24:$BZ$44,N$2-$E$2,FALSE)*$D$11*$D$14*(1+$D$13)^($F51-'הנחות עבודה'!$C$5)/$D$11)</f>
        <v>921.25060389171199</v>
      </c>
      <c r="O51" s="39">
        <f ca="1">IF($F51&gt;$D$5,0,VLOOKUP($F51,$F$24:$BZ$44,O$2-$E$2,FALSE)*$D$11*$D$14*(1+$D$13)^($F51-'הנחות עבודה'!$C$5)/$D$11)</f>
        <v>0</v>
      </c>
      <c r="P51" s="39">
        <f ca="1">IF($F51&gt;$D$5,0,VLOOKUP($F51,$F$24:$BZ$44,P$2-$E$2,FALSE)*$D$11*$D$14*(1+$D$13)^($F51-'הנחות עבודה'!$C$5)/$D$11)</f>
        <v>0</v>
      </c>
      <c r="Q51" s="39">
        <f ca="1">IF($F51&gt;$D$5,0,VLOOKUP($F51,$F$24:$BZ$44,Q$2-$E$2,FALSE)*$D$11*$D$14*(1+$D$13)^($F51-'הנחות עבודה'!$C$5)/$D$11)</f>
        <v>796.13933896447998</v>
      </c>
      <c r="R51" s="39">
        <f ca="1">IF($F51&gt;$D$5,0,VLOOKUP($F51,$F$24:$BZ$44,R$2-$E$2,FALSE)*$D$11*$D$14*(1+$D$13)^($F51-'הנחות עבודה'!$C$5)/$D$11)</f>
        <v>0</v>
      </c>
      <c r="S51" s="49">
        <f ca="1">IF($F51&gt;$D$5,0,VLOOKUP($F51,$F$24:$BZ$44,S$2-$E$2,FALSE)*$D$11*$D$14*(1+$D$13)^($F51-'הנחות עבודה'!$C$5)/$D$11)</f>
        <v>0</v>
      </c>
      <c r="T51" s="126">
        <f ca="1">IF($F51&gt;$D$5,0,VLOOKUP($F51,$F$24:$BZ$44,T$2-$E$2,FALSE)*$D$11*$D$14*(1+$D$13)^($F51-'הנחות עבודה'!$C$5)/$D$11)</f>
        <v>0</v>
      </c>
      <c r="U51" s="126">
        <f ca="1">IF($F51&gt;$D$5,0,VLOOKUP($F51,$F$24:$BZ$44,U$2-$E$2,FALSE)*$D$11*$D$14*(1+$D$13)^($F51-'הנחות עבודה'!$C$5)/$D$11)</f>
        <v>0</v>
      </c>
      <c r="V51" s="126">
        <f ca="1">IF($F51&gt;$D$5,0,VLOOKUP($F51,$F$24:$BZ$44,V$2-$E$2,FALSE)*$D$11*$D$14*(1+$D$13)^($F51-'הנחות עבודה'!$C$5)/$D$11)</f>
        <v>0</v>
      </c>
      <c r="W51" s="126">
        <f ca="1">IF($F51&gt;$D$5,0,VLOOKUP($F51,$F$24:$BZ$44,W$2-$E$2,FALSE)*$D$11*$D$14*(1+$D$13)^($F51-'הנחות עבודה'!$C$5)/$D$11)</f>
        <v>0</v>
      </c>
      <c r="X51" s="126">
        <f ca="1">IF($F51&gt;$D$5,0,VLOOKUP($F51,$F$24:$BZ$44,X$2-$E$2,FALSE)*$D$11*$D$14*(1+$D$13)^($F51-'הנחות עבודה'!$C$5)/$D$11)</f>
        <v>0</v>
      </c>
      <c r="Y51" s="49">
        <f ca="1">IF($F51&gt;$D$5,0,VLOOKUP($F51,$F$24:$BZ$44,Y$2-$E$2,FALSE)*$D$11*$D$14*(1+$D$13)^($F51-'הנחות עבודה'!$C$5)/$D$11)</f>
        <v>0</v>
      </c>
      <c r="Z51" s="49">
        <f ca="1">IF($F51&gt;$D$5,0,VLOOKUP($F51,$F$24:$BZ$44,Z$2-$E$2,FALSE)*$D$11*$D$14*(1+$D$13)^($F51-'הנחות עבודה'!$C$5)/$D$11)</f>
        <v>921.25060389171199</v>
      </c>
      <c r="AA51" s="49">
        <f ca="1">IF($F51&gt;$D$5,0,VLOOKUP($F51,$F$24:$BZ$44,AA$2-$E$2,FALSE)*$D$11*$D$14*(1+$D$13)^($F51-'הנחות עבודה'!$C$5)/$D$11)</f>
        <v>0</v>
      </c>
      <c r="AB51" s="49">
        <f ca="1">IF($F51&gt;$D$5,0,VLOOKUP($F51,$F$24:$BZ$44,AB$2-$E$2,FALSE)*$D$11*$D$14*(1+$D$13)^($F51-'הנחות עבודה'!$C$5)/$D$11)</f>
        <v>0</v>
      </c>
      <c r="AC51" s="49">
        <f ca="1">IF($F51&gt;$D$5,0,VLOOKUP($F51,$F$24:$BZ$44,AC$2-$E$2,FALSE)*$D$11*$D$14*(1+$D$13)^($F51-'הנחות עבודה'!$C$5)/$D$11)</f>
        <v>796.13933896447998</v>
      </c>
      <c r="AD51" s="49">
        <f ca="1">IF($F51&gt;$D$5,0,VLOOKUP($F51,$F$24:$BZ$44,AD$2-$E$2,FALSE)*$D$11*$D$14*(1+$D$13)^($F51-'הנחות עבודה'!$C$5)/$D$11)</f>
        <v>0</v>
      </c>
      <c r="AE51" s="39">
        <f ca="1">IF($F51&gt;$D$5,0,VLOOKUP($F51,$F$24:$BZ$44,AE$2-$E$2,FALSE)*$D$11*$D$14*(1+$D$13)^($F51-'הנחות עבודה'!$C$5)/$D$11)</f>
        <v>0</v>
      </c>
      <c r="AF51" s="41">
        <f ca="1">IF($F51&gt;$D$5,0,VLOOKUP($F51,$F$24:$BZ$44,AF$2-$E$2,FALSE)*$D$11*$D$14*(1+$D$13)^($F51-'הנחות עבודה'!$C$5)/$D$11)</f>
        <v>0</v>
      </c>
      <c r="AG51" s="41">
        <f ca="1">IF($F51&gt;$D$5,0,VLOOKUP($F51,$F$24:$BZ$44,AG$2-$E$2,FALSE)*$D$11*$D$14*(1+$D$13)^($F51-'הנחות עבודה'!$C$5)/$D$11)</f>
        <v>0</v>
      </c>
      <c r="AH51" s="41">
        <f ca="1">IF($F51&gt;$D$5,0,VLOOKUP($F51,$F$24:$BZ$44,AH$2-$E$2,FALSE)*$D$11*$D$14*(1+$D$13)^($F51-'הנחות עבודה'!$C$5)/$D$11)</f>
        <v>0</v>
      </c>
      <c r="AI51" s="41">
        <f ca="1">IF($F51&gt;$D$5,0,VLOOKUP($F51,$F$24:$BZ$44,AI$2-$E$2,FALSE)*$D$11*$D$14*(1+$D$13)^($F51-'הנחות עבודה'!$C$5)/$D$11)</f>
        <v>0</v>
      </c>
      <c r="AJ51" s="41">
        <f ca="1">IF($F51&gt;$D$5,0,VLOOKUP($F51,$F$24:$BZ$44,AJ$2-$E$2,FALSE)*$D$11*$D$14*(1+$D$13)^($F51-'הנחות עבודה'!$C$5)/$D$11)</f>
        <v>0</v>
      </c>
      <c r="AK51" s="39">
        <f ca="1">IF($F51&gt;$D$5,0,VLOOKUP($F51,$F$24:$BZ$44,AK$2-$E$2,FALSE)*$D$11*$D$14*(1+$D$13)^($F51-'הנחות עבודה'!$C$5)/$D$11)</f>
        <v>0</v>
      </c>
      <c r="AL51" s="39">
        <f ca="1">IF($F51&gt;$D$5,0,VLOOKUP($F51,$F$24:$BZ$44,AL$2-$E$2,FALSE)*$D$11*$D$14*(1+$D$13)^($F51-'הנחות עבודה'!$C$5)/$D$11)</f>
        <v>921.25060389171199</v>
      </c>
      <c r="AM51" s="39">
        <f ca="1">IF($F51&gt;$D$5,0,VLOOKUP($F51,$F$24:$BZ$44,AM$2-$E$2,FALSE)*$D$11*$D$14*(1+$D$13)^($F51-'הנחות עבודה'!$C$5)/$D$11)</f>
        <v>0</v>
      </c>
      <c r="AN51" s="39">
        <f ca="1">IF($F51&gt;$D$5,0,VLOOKUP($F51,$F$24:$BZ$44,AN$2-$E$2,FALSE)*$D$11*$D$14*(1+$D$13)^($F51-'הנחות עבודה'!$C$5)/$D$11)</f>
        <v>0</v>
      </c>
      <c r="AO51" s="39">
        <f ca="1">IF($F51&gt;$D$5,0,VLOOKUP($F51,$F$24:$BZ$44,AO$2-$E$2,FALSE)*$D$11*$D$14*(1+$D$13)^($F51-'הנחות עבודה'!$C$5)/$D$11)</f>
        <v>796.13933896447998</v>
      </c>
      <c r="AP51" s="39">
        <f ca="1">IF($F51&gt;$D$5,0,VLOOKUP($F51,$F$24:$BZ$44,AP$2-$E$2,FALSE)*$D$11*$D$14*(1+$D$13)^($F51-'הנחות עבודה'!$C$5)/$D$11)</f>
        <v>0</v>
      </c>
      <c r="AQ51" s="49">
        <f ca="1">IF($F51&gt;$D$5,0,VLOOKUP($F51,$F$24:$BZ$44,AQ$2-$E$2,FALSE)*$D$11*$D$14*(1+$D$13)^($F51-'הנחות עבודה'!$C$5)/$D$11)</f>
        <v>0</v>
      </c>
      <c r="AR51" s="126">
        <f ca="1">IF($F51&gt;$D$5,0,VLOOKUP($F51,$F$24:$BZ$44,AR$2-$E$2,FALSE)*$D$11*$D$14*(1+$D$13)^($F51-'הנחות עבודה'!$C$5)/$D$11)</f>
        <v>0</v>
      </c>
      <c r="AS51" s="126">
        <f ca="1">IF($F51&gt;$D$5,0,VLOOKUP($F51,$F$24:$BZ$44,AS$2-$E$2,FALSE)*$D$11*$D$14*(1+$D$13)^($F51-'הנחות עבודה'!$C$5)/$D$11)</f>
        <v>0</v>
      </c>
      <c r="AT51" s="126">
        <f ca="1">IF($F51&gt;$D$5,0,VLOOKUP($F51,$F$24:$BZ$44,AT$2-$E$2,FALSE)*$D$11*$D$14*(1+$D$13)^($F51-'הנחות עבודה'!$C$5)/$D$11)</f>
        <v>0</v>
      </c>
      <c r="AU51" s="126">
        <f ca="1">IF($F51&gt;$D$5,0,VLOOKUP($F51,$F$24:$BZ$44,AU$2-$E$2,FALSE)*$D$11*$D$14*(1+$D$13)^($F51-'הנחות עבודה'!$C$5)/$D$11)</f>
        <v>0</v>
      </c>
      <c r="AV51" s="126">
        <f ca="1">IF($F51&gt;$D$5,0,VLOOKUP($F51,$F$24:$BZ$44,AV$2-$E$2,FALSE)*$D$11*$D$14*(1+$D$13)^($F51-'הנחות עבודה'!$C$5)/$D$11)</f>
        <v>0</v>
      </c>
      <c r="AW51" s="49">
        <f ca="1">IF($F51&gt;$D$5,0,VLOOKUP($F51,$F$24:$BZ$44,AW$2-$E$2,FALSE)*$D$11*$D$14*(1+$D$13)^($F51-'הנחות עבודה'!$C$5)/$D$11)</f>
        <v>0</v>
      </c>
      <c r="AX51" s="49">
        <f ca="1">IF($F51&gt;$D$5,0,VLOOKUP($F51,$F$24:$BZ$44,AX$2-$E$2,FALSE)*$D$11*$D$14*(1+$D$13)^($F51-'הנחות עבודה'!$C$5)/$D$11)</f>
        <v>921.25060389171199</v>
      </c>
      <c r="AY51" s="49">
        <f ca="1">IF($F51&gt;$D$5,0,VLOOKUP($F51,$F$24:$BZ$44,AY$2-$E$2,FALSE)*$D$11*$D$14*(1+$D$13)^($F51-'הנחות עבודה'!$C$5)/$D$11)</f>
        <v>0</v>
      </c>
      <c r="AZ51" s="49">
        <f ca="1">IF($F51&gt;$D$5,0,VLOOKUP($F51,$F$24:$BZ$44,AZ$2-$E$2,FALSE)*$D$11*$D$14*(1+$D$13)^($F51-'הנחות עבודה'!$C$5)/$D$11)</f>
        <v>0</v>
      </c>
      <c r="BA51" s="49">
        <f ca="1">IF($F51&gt;$D$5,0,VLOOKUP($F51,$F$24:$BZ$44,BA$2-$E$2,FALSE)*$D$11*$D$14*(1+$D$13)^($F51-'הנחות עבודה'!$C$5)/$D$11)</f>
        <v>796.13933896447998</v>
      </c>
      <c r="BB51" s="49">
        <f ca="1">IF($F51&gt;$D$5,0,VLOOKUP($F51,$F$24:$BZ$44,BB$2-$E$2,FALSE)*$D$11*$D$14*(1+$D$13)^($F51-'הנחות עבודה'!$C$5)/$D$11)</f>
        <v>0</v>
      </c>
      <c r="BC51" s="39">
        <f ca="1">IF($F51&gt;$D$5,0,VLOOKUP($F51,$F$24:$BZ$44,BC$2-$E$2,FALSE)*$D$11*$D$14*(1+$D$13)^($F51-'הנחות עבודה'!$C$5)/$D$11)</f>
        <v>0</v>
      </c>
      <c r="BD51" s="41">
        <f ca="1">IF($F51&gt;$D$5,0,VLOOKUP($F51,$F$24:$BZ$44,BD$2-$E$2,FALSE)*$D$11*$D$14*(1+$D$13)^($F51-'הנחות עבודה'!$C$5)/$D$11)</f>
        <v>0</v>
      </c>
      <c r="BE51" s="41">
        <f ca="1">IF($F51&gt;$D$5,0,VLOOKUP($F51,$F$24:$BZ$44,BE$2-$E$2,FALSE)*$D$11*$D$14*(1+$D$13)^($F51-'הנחות עבודה'!$C$5)/$D$11)</f>
        <v>0</v>
      </c>
      <c r="BF51" s="41">
        <f ca="1">IF($F51&gt;$D$5,0,VLOOKUP($F51,$F$24:$BZ$44,BF$2-$E$2,FALSE)*$D$11*$D$14*(1+$D$13)^($F51-'הנחות עבודה'!$C$5)/$D$11)</f>
        <v>0</v>
      </c>
      <c r="BG51" s="41">
        <f ca="1">IF($F51&gt;$D$5,0,VLOOKUP($F51,$F$24:$BZ$44,BG$2-$E$2,FALSE)*$D$11*$D$14*(1+$D$13)^($F51-'הנחות עבודה'!$C$5)/$D$11)</f>
        <v>0</v>
      </c>
      <c r="BH51" s="41">
        <f ca="1">IF($F51&gt;$D$5,0,VLOOKUP($F51,$F$24:$BZ$44,BH$2-$E$2,FALSE)*$D$11*$D$14*(1+$D$13)^($F51-'הנחות עבודה'!$C$5)/$D$11)</f>
        <v>0</v>
      </c>
      <c r="BI51" s="39">
        <f ca="1">IF($F51&gt;$D$5,0,VLOOKUP($F51,$F$24:$BZ$44,BI$2-$E$2,FALSE)*$D$11*$D$14*(1+$D$13)^($F51-'הנחות עבודה'!$C$5)/$D$11)</f>
        <v>0</v>
      </c>
      <c r="BJ51" s="39">
        <f ca="1">IF($F51&gt;$D$5,0,VLOOKUP($F51,$F$24:$BZ$44,BJ$2-$E$2,FALSE)*$D$11*$D$14*(1+$D$13)^($F51-'הנחות עבודה'!$C$5)/$D$11)</f>
        <v>921.25060389171199</v>
      </c>
      <c r="BK51" s="39">
        <f ca="1">IF($F51&gt;$D$5,0,VLOOKUP($F51,$F$24:$BZ$44,BK$2-$E$2,FALSE)*$D$11*$D$14*(1+$D$13)^($F51-'הנחות עבודה'!$C$5)/$D$11)</f>
        <v>0</v>
      </c>
      <c r="BL51" s="39">
        <f ca="1">IF($F51&gt;$D$5,0,VLOOKUP($F51,$F$24:$BZ$44,BL$2-$E$2,FALSE)*$D$11*$D$14*(1+$D$13)^($F51-'הנחות עבודה'!$C$5)/$D$11)</f>
        <v>0</v>
      </c>
      <c r="BM51" s="39">
        <f ca="1">IF($F51&gt;$D$5,0,VLOOKUP($F51,$F$24:$BZ$44,BM$2-$E$2,FALSE)*$D$11*$D$14*(1+$D$13)^($F51-'הנחות עבודה'!$C$5)/$D$11)</f>
        <v>796.13933896447998</v>
      </c>
      <c r="BN51" s="39">
        <f ca="1">IF($F51&gt;$D$5,0,VLOOKUP($F51,$F$24:$BZ$44,BN$2-$E$2,FALSE)*$D$11*$D$14*(1+$D$13)^($F51-'הנחות עבודה'!$C$5)/$D$11)</f>
        <v>0</v>
      </c>
      <c r="BO51" s="49">
        <f ca="1">IF($F51&gt;$D$5,0,VLOOKUP($F51,$F$24:$BZ$44,BO$2-$E$2,FALSE)*$D$11*$D$14*(1+$D$13)^($F51-'הנחות עבודה'!$C$5)/$D$11)</f>
        <v>0</v>
      </c>
      <c r="BP51" s="126">
        <f ca="1">IF($F51&gt;$D$5,0,VLOOKUP($F51,$F$24:$BZ$44,BP$2-$E$2,FALSE)*$D$11*$D$14*(1+$D$13)^($F51-'הנחות עבודה'!$C$5)/$D$11)</f>
        <v>0</v>
      </c>
      <c r="BQ51" s="126">
        <f ca="1">IF($F51&gt;$D$5,0,VLOOKUP($F51,$F$24:$BZ$44,BQ$2-$E$2,FALSE)*$D$11*$D$14*(1+$D$13)^($F51-'הנחות עבודה'!$C$5)/$D$11)</f>
        <v>0</v>
      </c>
      <c r="BR51" s="126">
        <f ca="1">IF($F51&gt;$D$5,0,VLOOKUP($F51,$F$24:$BZ$44,BR$2-$E$2,FALSE)*$D$11*$D$14*(1+$D$13)^($F51-'הנחות עבודה'!$C$5)/$D$11)</f>
        <v>0</v>
      </c>
      <c r="BS51" s="126">
        <f ca="1">IF($F51&gt;$D$5,0,VLOOKUP($F51,$F$24:$BZ$44,BS$2-$E$2,FALSE)*$D$11*$D$14*(1+$D$13)^($F51-'הנחות עבודה'!$C$5)/$D$11)</f>
        <v>0</v>
      </c>
      <c r="BT51" s="126">
        <f ca="1">IF($F51&gt;$D$5,0,VLOOKUP($F51,$F$24:$BZ$44,BT$2-$E$2,FALSE)*$D$11*$D$14*(1+$D$13)^($F51-'הנחות עבודה'!$C$5)/$D$11)</f>
        <v>0</v>
      </c>
      <c r="BU51" s="49">
        <f ca="1">IF($F51&gt;$D$5,0,VLOOKUP($F51,$F$24:$BZ$44,BU$2-$E$2,FALSE)*$D$11*$D$14*(1+$D$13)^($F51-'הנחות עבודה'!$C$5)/$D$11)</f>
        <v>0</v>
      </c>
      <c r="BV51" s="49">
        <f ca="1">IF($F51&gt;$D$5,0,VLOOKUP($F51,$F$24:$BZ$44,BV$2-$E$2,FALSE)*$D$11*$D$14*(1+$D$13)^($F51-'הנחות עבודה'!$C$5)/$D$11)</f>
        <v>921.25060389171199</v>
      </c>
      <c r="BW51" s="49">
        <f ca="1">IF($F51&gt;$D$5,0,VLOOKUP($F51,$F$24:$BZ$44,BW$2-$E$2,FALSE)*$D$11*$D$14*(1+$D$13)^($F51-'הנחות עבודה'!$C$5)/$D$11)</f>
        <v>0</v>
      </c>
      <c r="BX51" s="49">
        <f ca="1">IF($F51&gt;$D$5,0,VLOOKUP($F51,$F$24:$BZ$44,BX$2-$E$2,FALSE)*$D$11*$D$14*(1+$D$13)^($F51-'הנחות עבודה'!$C$5)/$D$11)</f>
        <v>0</v>
      </c>
      <c r="BY51" s="49">
        <f ca="1">IF($F51&gt;$D$5,0,VLOOKUP($F51,$F$24:$BZ$44,BY$2-$E$2,FALSE)*$D$11*$D$14*(1+$D$13)^($F51-'הנחות עבודה'!$C$5)/$D$11)</f>
        <v>796.13933896447998</v>
      </c>
      <c r="BZ51" s="49">
        <f ca="1">IF($F51&gt;$D$5,0,VLOOKUP($F51,$F$24:$BZ$44,BZ$2-$E$2,FALSE)*$D$11*$D$14*(1+$D$13)^($F51-'הנחות עבודה'!$C$5)/$D$11)</f>
        <v>0</v>
      </c>
    </row>
    <row r="52" spans="6:78" ht="15.75">
      <c r="F52" s="10">
        <f>F51+1</f>
        <v>2021</v>
      </c>
      <c r="G52" s="42">
        <f ca="1">IF($F52&gt;$D$5,0,VLOOKUP($F52,$F$24:$BZ$44,G$2-$E$2,FALSE)*$D$11*$D$14*(1+$D$13)^($F52-'הנחות עבודה'!$C$5)/$D$11)</f>
        <v>0</v>
      </c>
      <c r="H52" s="44">
        <f ca="1">IF($F52&gt;$D$5,0,VLOOKUP($F52,$F$24:$BZ$44,H$2-$E$2,FALSE)*$D$11*$D$14*(1+$D$13)^($F52-'הנחות עבודה'!$C$5)/$D$11)</f>
        <v>0</v>
      </c>
      <c r="I52" s="44">
        <f ca="1">IF($F52&gt;$D$5,0,VLOOKUP($F52,$F$24:$BZ$44,I$2-$E$2,FALSE)*$D$11*$D$14*(1+$D$13)^($F52-'הנחות עבודה'!$C$5)/$D$11)</f>
        <v>0</v>
      </c>
      <c r="J52" s="44">
        <f ca="1">IF($F52&gt;$D$5,0,VLOOKUP($F52,$F$24:$BZ$44,J$2-$E$2,FALSE)*$D$11*$D$14*(1+$D$13)^($F52-'הנחות עבודה'!$C$5)/$D$11)</f>
        <v>0</v>
      </c>
      <c r="K52" s="44">
        <f ca="1">IF($F52&gt;$D$5,0,VLOOKUP($F52,$F$24:$BZ$44,K$2-$E$2,FALSE)*$D$11*$D$14*(1+$D$13)^($F52-'הנחות עבודה'!$C$5)/$D$11)</f>
        <v>0</v>
      </c>
      <c r="L52" s="44">
        <f ca="1">IF($F52&gt;$D$5,0,VLOOKUP($F52,$F$24:$BZ$44,L$2-$E$2,FALSE)*$D$11*$D$14*(1+$D$13)^($F52-'הנחות עבודה'!$C$5)/$D$11)</f>
        <v>0</v>
      </c>
      <c r="M52" s="42">
        <f ca="1">IF($F52&gt;$D$5,0,VLOOKUP($F52,$F$24:$BZ$44,M$2-$E$2,FALSE)*$D$11*$D$14*(1+$D$13)^($F52-'הנחות עבודה'!$C$5)/$D$11)</f>
        <v>0</v>
      </c>
      <c r="N52" s="42">
        <f ca="1">IF($F52&gt;$D$5,0,VLOOKUP($F52,$F$24:$BZ$44,N$2-$E$2,FALSE)*$D$11*$D$14*(1+$D$13)^($F52-'הנחות עבודה'!$C$5)/$D$11)</f>
        <v>981.24708111787788</v>
      </c>
      <c r="O52" s="42">
        <f ca="1">IF($F52&gt;$D$5,0,VLOOKUP($F52,$F$24:$BZ$44,O$2-$E$2,FALSE)*$D$11*$D$14*(1+$D$13)^($F52-'הנחות עבודה'!$C$5)/$D$11)</f>
        <v>0</v>
      </c>
      <c r="P52" s="42">
        <f ca="1">IF($F52&gt;$D$5,0,VLOOKUP($F52,$F$24:$BZ$44,P$2-$E$2,FALSE)*$D$11*$D$14*(1+$D$13)^($F52-'הנחות עבודה'!$C$5)/$D$11)</f>
        <v>0</v>
      </c>
      <c r="Q52" s="42">
        <f ca="1">IF($F52&gt;$D$5,0,VLOOKUP($F52,$F$24:$BZ$44,Q$2-$E$2,FALSE)*$D$11*$D$14*(1+$D$13)^($F52-'הנחות עבודה'!$C$5)/$D$11)</f>
        <v>822.13328838167024</v>
      </c>
      <c r="R52" s="42">
        <f ca="1">IF($F52&gt;$D$5,0,VLOOKUP($F52,$F$24:$BZ$44,R$2-$E$2,FALSE)*$D$11*$D$14*(1+$D$13)^($F52-'הנחות עבודה'!$C$5)/$D$11)</f>
        <v>0</v>
      </c>
      <c r="S52" s="52">
        <f ca="1">IF($F52&gt;$D$5,0,VLOOKUP($F52,$F$24:$BZ$44,S$2-$E$2,FALSE)*$D$11*$D$14*(1+$D$13)^($F52-'הנחות עבודה'!$C$5)/$D$11)</f>
        <v>0</v>
      </c>
      <c r="T52" s="127">
        <f ca="1">IF($F52&gt;$D$5,0,VLOOKUP($F52,$F$24:$BZ$44,T$2-$E$2,FALSE)*$D$11*$D$14*(1+$D$13)^($F52-'הנחות עבודה'!$C$5)/$D$11)</f>
        <v>0</v>
      </c>
      <c r="U52" s="127">
        <f ca="1">IF($F52&gt;$D$5,0,VLOOKUP($F52,$F$24:$BZ$44,U$2-$E$2,FALSE)*$D$11*$D$14*(1+$D$13)^($F52-'הנחות עבודה'!$C$5)/$D$11)</f>
        <v>0</v>
      </c>
      <c r="V52" s="127">
        <f ca="1">IF($F52&gt;$D$5,0,VLOOKUP($F52,$F$24:$BZ$44,V$2-$E$2,FALSE)*$D$11*$D$14*(1+$D$13)^($F52-'הנחות עבודה'!$C$5)/$D$11)</f>
        <v>0</v>
      </c>
      <c r="W52" s="127">
        <f ca="1">IF($F52&gt;$D$5,0,VLOOKUP($F52,$F$24:$BZ$44,W$2-$E$2,FALSE)*$D$11*$D$14*(1+$D$13)^($F52-'הנחות עבודה'!$C$5)/$D$11)</f>
        <v>0</v>
      </c>
      <c r="X52" s="127">
        <f ca="1">IF($F52&gt;$D$5,0,VLOOKUP($F52,$F$24:$BZ$44,X$2-$E$2,FALSE)*$D$11*$D$14*(1+$D$13)^($F52-'הנחות עבודה'!$C$5)/$D$11)</f>
        <v>0</v>
      </c>
      <c r="Y52" s="52">
        <f ca="1">IF($F52&gt;$D$5,0,VLOOKUP($F52,$F$24:$BZ$44,Y$2-$E$2,FALSE)*$D$11*$D$14*(1+$D$13)^($F52-'הנחות עבודה'!$C$5)/$D$11)</f>
        <v>0</v>
      </c>
      <c r="Z52" s="52">
        <f ca="1">IF($F52&gt;$D$5,0,VLOOKUP($F52,$F$24:$BZ$44,Z$2-$E$2,FALSE)*$D$11*$D$14*(1+$D$13)^($F52-'הנחות עבודה'!$C$5)/$D$11)</f>
        <v>981.24708111787788</v>
      </c>
      <c r="AA52" s="52">
        <f ca="1">IF($F52&gt;$D$5,0,VLOOKUP($F52,$F$24:$BZ$44,AA$2-$E$2,FALSE)*$D$11*$D$14*(1+$D$13)^($F52-'הנחות עבודה'!$C$5)/$D$11)</f>
        <v>0</v>
      </c>
      <c r="AB52" s="52">
        <f ca="1">IF($F52&gt;$D$5,0,VLOOKUP($F52,$F$24:$BZ$44,AB$2-$E$2,FALSE)*$D$11*$D$14*(1+$D$13)^($F52-'הנחות עבודה'!$C$5)/$D$11)</f>
        <v>0</v>
      </c>
      <c r="AC52" s="52">
        <f ca="1">IF($F52&gt;$D$5,0,VLOOKUP($F52,$F$24:$BZ$44,AC$2-$E$2,FALSE)*$D$11*$D$14*(1+$D$13)^($F52-'הנחות עבודה'!$C$5)/$D$11)</f>
        <v>822.13328838167024</v>
      </c>
      <c r="AD52" s="52">
        <f ca="1">IF($F52&gt;$D$5,0,VLOOKUP($F52,$F$24:$BZ$44,AD$2-$E$2,FALSE)*$D$11*$D$14*(1+$D$13)^($F52-'הנחות עבודה'!$C$5)/$D$11)</f>
        <v>0</v>
      </c>
      <c r="AE52" s="42">
        <f ca="1">IF($F52&gt;$D$5,0,VLOOKUP($F52,$F$24:$BZ$44,AE$2-$E$2,FALSE)*$D$11*$D$14*(1+$D$13)^($F52-'הנחות עבודה'!$C$5)/$D$11)</f>
        <v>0</v>
      </c>
      <c r="AF52" s="44">
        <f ca="1">IF($F52&gt;$D$5,0,VLOOKUP($F52,$F$24:$BZ$44,AF$2-$E$2,FALSE)*$D$11*$D$14*(1+$D$13)^($F52-'הנחות עבודה'!$C$5)/$D$11)</f>
        <v>0</v>
      </c>
      <c r="AG52" s="44">
        <f ca="1">IF($F52&gt;$D$5,0,VLOOKUP($F52,$F$24:$BZ$44,AG$2-$E$2,FALSE)*$D$11*$D$14*(1+$D$13)^($F52-'הנחות עבודה'!$C$5)/$D$11)</f>
        <v>0</v>
      </c>
      <c r="AH52" s="44">
        <f ca="1">IF($F52&gt;$D$5,0,VLOOKUP($F52,$F$24:$BZ$44,AH$2-$E$2,FALSE)*$D$11*$D$14*(1+$D$13)^($F52-'הנחות עבודה'!$C$5)/$D$11)</f>
        <v>0</v>
      </c>
      <c r="AI52" s="44">
        <f ca="1">IF($F52&gt;$D$5,0,VLOOKUP($F52,$F$24:$BZ$44,AI$2-$E$2,FALSE)*$D$11*$D$14*(1+$D$13)^($F52-'הנחות עבודה'!$C$5)/$D$11)</f>
        <v>0</v>
      </c>
      <c r="AJ52" s="44">
        <f ca="1">IF($F52&gt;$D$5,0,VLOOKUP($F52,$F$24:$BZ$44,AJ$2-$E$2,FALSE)*$D$11*$D$14*(1+$D$13)^($F52-'הנחות עבודה'!$C$5)/$D$11)</f>
        <v>0</v>
      </c>
      <c r="AK52" s="42">
        <f ca="1">IF($F52&gt;$D$5,0,VLOOKUP($F52,$F$24:$BZ$44,AK$2-$E$2,FALSE)*$D$11*$D$14*(1+$D$13)^($F52-'הנחות עבודה'!$C$5)/$D$11)</f>
        <v>0</v>
      </c>
      <c r="AL52" s="42">
        <f ca="1">IF($F52&gt;$D$5,0,VLOOKUP($F52,$F$24:$BZ$44,AL$2-$E$2,FALSE)*$D$11*$D$14*(1+$D$13)^($F52-'הנחות עבודה'!$C$5)/$D$11)</f>
        <v>967.8684136152367</v>
      </c>
      <c r="AM52" s="42">
        <f ca="1">IF($F52&gt;$D$5,0,VLOOKUP($F52,$F$24:$BZ$44,AM$2-$E$2,FALSE)*$D$11*$D$14*(1+$D$13)^($F52-'הנחות עבודה'!$C$5)/$D$11)</f>
        <v>0</v>
      </c>
      <c r="AN52" s="42">
        <f ca="1">IF($F52&gt;$D$5,0,VLOOKUP($F52,$F$24:$BZ$44,AN$2-$E$2,FALSE)*$D$11*$D$14*(1+$D$13)^($F52-'הנחות עבודה'!$C$5)/$D$11)</f>
        <v>0</v>
      </c>
      <c r="AO52" s="42">
        <f ca="1">IF($F52&gt;$D$5,0,VLOOKUP($F52,$F$24:$BZ$44,AO$2-$E$2,FALSE)*$D$11*$D$14*(1+$D$13)^($F52-'הנחות עבודה'!$C$5)/$D$11)</f>
        <v>822.13328838167024</v>
      </c>
      <c r="AP52" s="42">
        <f ca="1">IF($F52&gt;$D$5,0,VLOOKUP($F52,$F$24:$BZ$44,AP$2-$E$2,FALSE)*$D$11*$D$14*(1+$D$13)^($F52-'הנחות עבודה'!$C$5)/$D$11)</f>
        <v>0</v>
      </c>
      <c r="AQ52" s="52">
        <f ca="1">IF($F52&gt;$D$5,0,VLOOKUP($F52,$F$24:$BZ$44,AQ$2-$E$2,FALSE)*$D$11*$D$14*(1+$D$13)^($F52-'הנחות עבודה'!$C$5)/$D$11)</f>
        <v>0</v>
      </c>
      <c r="AR52" s="127">
        <f ca="1">IF($F52&gt;$D$5,0,VLOOKUP($F52,$F$24:$BZ$44,AR$2-$E$2,FALSE)*$D$11*$D$14*(1+$D$13)^($F52-'הנחות עבודה'!$C$5)/$D$11)</f>
        <v>0</v>
      </c>
      <c r="AS52" s="127">
        <f ca="1">IF($F52&gt;$D$5,0,VLOOKUP($F52,$F$24:$BZ$44,AS$2-$E$2,FALSE)*$D$11*$D$14*(1+$D$13)^($F52-'הנחות עבודה'!$C$5)/$D$11)</f>
        <v>0</v>
      </c>
      <c r="AT52" s="127">
        <f ca="1">IF($F52&gt;$D$5,0,VLOOKUP($F52,$F$24:$BZ$44,AT$2-$E$2,FALSE)*$D$11*$D$14*(1+$D$13)^($F52-'הנחות עבודה'!$C$5)/$D$11)</f>
        <v>0</v>
      </c>
      <c r="AU52" s="127">
        <f ca="1">IF($F52&gt;$D$5,0,VLOOKUP($F52,$F$24:$BZ$44,AU$2-$E$2,FALSE)*$D$11*$D$14*(1+$D$13)^($F52-'הנחות עבודה'!$C$5)/$D$11)</f>
        <v>0</v>
      </c>
      <c r="AV52" s="127">
        <f ca="1">IF($F52&gt;$D$5,0,VLOOKUP($F52,$F$24:$BZ$44,AV$2-$E$2,FALSE)*$D$11*$D$14*(1+$D$13)^($F52-'הנחות עבודה'!$C$5)/$D$11)</f>
        <v>0</v>
      </c>
      <c r="AW52" s="52">
        <f ca="1">IF($F52&gt;$D$5,0,VLOOKUP($F52,$F$24:$BZ$44,AW$2-$E$2,FALSE)*$D$11*$D$14*(1+$D$13)^($F52-'הנחות עבודה'!$C$5)/$D$11)</f>
        <v>0</v>
      </c>
      <c r="AX52" s="52">
        <f ca="1">IF($F52&gt;$D$5,0,VLOOKUP($F52,$F$24:$BZ$44,AX$2-$E$2,FALSE)*$D$11*$D$14*(1+$D$13)^($F52-'הנחות עבודה'!$C$5)/$D$11)</f>
        <v>967.8684136152367</v>
      </c>
      <c r="AY52" s="52">
        <f ca="1">IF($F52&gt;$D$5,0,VLOOKUP($F52,$F$24:$BZ$44,AY$2-$E$2,FALSE)*$D$11*$D$14*(1+$D$13)^($F52-'הנחות עבודה'!$C$5)/$D$11)</f>
        <v>0</v>
      </c>
      <c r="AZ52" s="52">
        <f ca="1">IF($F52&gt;$D$5,0,VLOOKUP($F52,$F$24:$BZ$44,AZ$2-$E$2,FALSE)*$D$11*$D$14*(1+$D$13)^($F52-'הנחות עבודה'!$C$5)/$D$11)</f>
        <v>0</v>
      </c>
      <c r="BA52" s="52">
        <f ca="1">IF($F52&gt;$D$5,0,VLOOKUP($F52,$F$24:$BZ$44,BA$2-$E$2,FALSE)*$D$11*$D$14*(1+$D$13)^($F52-'הנחות עבודה'!$C$5)/$D$11)</f>
        <v>822.13328838167024</v>
      </c>
      <c r="BB52" s="52">
        <f ca="1">IF($F52&gt;$D$5,0,VLOOKUP($F52,$F$24:$BZ$44,BB$2-$E$2,FALSE)*$D$11*$D$14*(1+$D$13)^($F52-'הנחות עבודה'!$C$5)/$D$11)</f>
        <v>0</v>
      </c>
      <c r="BC52" s="42">
        <f ca="1">IF($F52&gt;$D$5,0,VLOOKUP($F52,$F$24:$BZ$44,BC$2-$E$2,FALSE)*$D$11*$D$14*(1+$D$13)^($F52-'הנחות עבודה'!$C$5)/$D$11)</f>
        <v>0</v>
      </c>
      <c r="BD52" s="44">
        <f ca="1">IF($F52&gt;$D$5,0,VLOOKUP($F52,$F$24:$BZ$44,BD$2-$E$2,FALSE)*$D$11*$D$14*(1+$D$13)^($F52-'הנחות עבודה'!$C$5)/$D$11)</f>
        <v>0</v>
      </c>
      <c r="BE52" s="44">
        <f ca="1">IF($F52&gt;$D$5,0,VLOOKUP($F52,$F$24:$BZ$44,BE$2-$E$2,FALSE)*$D$11*$D$14*(1+$D$13)^($F52-'הנחות עבודה'!$C$5)/$D$11)</f>
        <v>0</v>
      </c>
      <c r="BF52" s="44">
        <f ca="1">IF($F52&gt;$D$5,0,VLOOKUP($F52,$F$24:$BZ$44,BF$2-$E$2,FALSE)*$D$11*$D$14*(1+$D$13)^($F52-'הנחות עבודה'!$C$5)/$D$11)</f>
        <v>0</v>
      </c>
      <c r="BG52" s="44">
        <f ca="1">IF($F52&gt;$D$5,0,VLOOKUP($F52,$F$24:$BZ$44,BG$2-$E$2,FALSE)*$D$11*$D$14*(1+$D$13)^($F52-'הנחות עבודה'!$C$5)/$D$11)</f>
        <v>0</v>
      </c>
      <c r="BH52" s="44">
        <f ca="1">IF($F52&gt;$D$5,0,VLOOKUP($F52,$F$24:$BZ$44,BH$2-$E$2,FALSE)*$D$11*$D$14*(1+$D$13)^($F52-'הנחות עבודה'!$C$5)/$D$11)</f>
        <v>0</v>
      </c>
      <c r="BI52" s="42">
        <f ca="1">IF($F52&gt;$D$5,0,VLOOKUP($F52,$F$24:$BZ$44,BI$2-$E$2,FALSE)*$D$11*$D$14*(1+$D$13)^($F52-'הנחות עבודה'!$C$5)/$D$11)</f>
        <v>0</v>
      </c>
      <c r="BJ52" s="42">
        <f ca="1">IF($F52&gt;$D$5,0,VLOOKUP($F52,$F$24:$BZ$44,BJ$2-$E$2,FALSE)*$D$11*$D$14*(1+$D$13)^($F52-'הנחות עבודה'!$C$5)/$D$11)</f>
        <v>964.02870626719732</v>
      </c>
      <c r="BK52" s="42">
        <f ca="1">IF($F52&gt;$D$5,0,VLOOKUP($F52,$F$24:$BZ$44,BK$2-$E$2,FALSE)*$D$11*$D$14*(1+$D$13)^($F52-'הנחות עבודה'!$C$5)/$D$11)</f>
        <v>0</v>
      </c>
      <c r="BL52" s="42">
        <f ca="1">IF($F52&gt;$D$5,0,VLOOKUP($F52,$F$24:$BZ$44,BL$2-$E$2,FALSE)*$D$11*$D$14*(1+$D$13)^($F52-'הנחות עבודה'!$C$5)/$D$11)</f>
        <v>0</v>
      </c>
      <c r="BM52" s="42">
        <f ca="1">IF($F52&gt;$D$5,0,VLOOKUP($F52,$F$24:$BZ$44,BM$2-$E$2,FALSE)*$D$11*$D$14*(1+$D$13)^($F52-'הנחות עבודה'!$C$5)/$D$11)</f>
        <v>822.13328838167024</v>
      </c>
      <c r="BN52" s="42">
        <f ca="1">IF($F52&gt;$D$5,0,VLOOKUP($F52,$F$24:$BZ$44,BN$2-$E$2,FALSE)*$D$11*$D$14*(1+$D$13)^($F52-'הנחות עבודה'!$C$5)/$D$11)</f>
        <v>0</v>
      </c>
      <c r="BO52" s="52">
        <f ca="1">IF($F52&gt;$D$5,0,VLOOKUP($F52,$F$24:$BZ$44,BO$2-$E$2,FALSE)*$D$11*$D$14*(1+$D$13)^($F52-'הנחות עבודה'!$C$5)/$D$11)</f>
        <v>0</v>
      </c>
      <c r="BP52" s="127">
        <f ca="1">IF($F52&gt;$D$5,0,VLOOKUP($F52,$F$24:$BZ$44,BP$2-$E$2,FALSE)*$D$11*$D$14*(1+$D$13)^($F52-'הנחות עבודה'!$C$5)/$D$11)</f>
        <v>0</v>
      </c>
      <c r="BQ52" s="127">
        <f ca="1">IF($F52&gt;$D$5,0,VLOOKUP($F52,$F$24:$BZ$44,BQ$2-$E$2,FALSE)*$D$11*$D$14*(1+$D$13)^($F52-'הנחות עבודה'!$C$5)/$D$11)</f>
        <v>0</v>
      </c>
      <c r="BR52" s="127">
        <f ca="1">IF($F52&gt;$D$5,0,VLOOKUP($F52,$F$24:$BZ$44,BR$2-$E$2,FALSE)*$D$11*$D$14*(1+$D$13)^($F52-'הנחות עבודה'!$C$5)/$D$11)</f>
        <v>0</v>
      </c>
      <c r="BS52" s="127">
        <f ca="1">IF($F52&gt;$D$5,0,VLOOKUP($F52,$F$24:$BZ$44,BS$2-$E$2,FALSE)*$D$11*$D$14*(1+$D$13)^($F52-'הנחות עבודה'!$C$5)/$D$11)</f>
        <v>0</v>
      </c>
      <c r="BT52" s="127">
        <f ca="1">IF($F52&gt;$D$5,0,VLOOKUP($F52,$F$24:$BZ$44,BT$2-$E$2,FALSE)*$D$11*$D$14*(1+$D$13)^($F52-'הנחות עבודה'!$C$5)/$D$11)</f>
        <v>0</v>
      </c>
      <c r="BU52" s="52">
        <f ca="1">IF($F52&gt;$D$5,0,VLOOKUP($F52,$F$24:$BZ$44,BU$2-$E$2,FALSE)*$D$11*$D$14*(1+$D$13)^($F52-'הנחות עבודה'!$C$5)/$D$11)</f>
        <v>0</v>
      </c>
      <c r="BV52" s="52">
        <f ca="1">IF($F52&gt;$D$5,0,VLOOKUP($F52,$F$24:$BZ$44,BV$2-$E$2,FALSE)*$D$11*$D$14*(1+$D$13)^($F52-'הנחות עבודה'!$C$5)/$D$11)</f>
        <v>964.02870626719732</v>
      </c>
      <c r="BW52" s="52">
        <f ca="1">IF($F52&gt;$D$5,0,VLOOKUP($F52,$F$24:$BZ$44,BW$2-$E$2,FALSE)*$D$11*$D$14*(1+$D$13)^($F52-'הנחות עבודה'!$C$5)/$D$11)</f>
        <v>0</v>
      </c>
      <c r="BX52" s="52">
        <f ca="1">IF($F52&gt;$D$5,0,VLOOKUP($F52,$F$24:$BZ$44,BX$2-$E$2,FALSE)*$D$11*$D$14*(1+$D$13)^($F52-'הנחות עבודה'!$C$5)/$D$11)</f>
        <v>0</v>
      </c>
      <c r="BY52" s="52">
        <f ca="1">IF($F52&gt;$D$5,0,VLOOKUP($F52,$F$24:$BZ$44,BY$2-$E$2,FALSE)*$D$11*$D$14*(1+$D$13)^($F52-'הנחות עבודה'!$C$5)/$D$11)</f>
        <v>822.13328838167024</v>
      </c>
      <c r="BZ52" s="52">
        <f ca="1">IF($F52&gt;$D$5,0,VLOOKUP($F52,$F$24:$BZ$44,BZ$2-$E$2,FALSE)*$D$11*$D$14*(1+$D$13)^($F52-'הנחות עבודה'!$C$5)/$D$11)</f>
        <v>0</v>
      </c>
    </row>
    <row r="53" spans="6:78" ht="15.75">
      <c r="F53" s="10">
        <f t="shared" ref="F53:F71" si="125">F52+1</f>
        <v>2022</v>
      </c>
      <c r="G53" s="42">
        <f ca="1">IF($F53&gt;$D$5,0,VLOOKUP($F53,$F$24:$BZ$44,G$2-$E$2,FALSE)*$D$11*$D$14*(1+$D$13)^($F53-'הנחות עבודה'!$C$5)/$D$11)</f>
        <v>0</v>
      </c>
      <c r="H53" s="44">
        <f ca="1">IF($F53&gt;$D$5,0,VLOOKUP($F53,$F$24:$BZ$44,H$2-$E$2,FALSE)*$D$11*$D$14*(1+$D$13)^($F53-'הנחות עבודה'!$C$5)/$D$11)</f>
        <v>0</v>
      </c>
      <c r="I53" s="44">
        <f ca="1">IF($F53&gt;$D$5,0,VLOOKUP($F53,$F$24:$BZ$44,I$2-$E$2,FALSE)*$D$11*$D$14*(1+$D$13)^($F53-'הנחות עבודה'!$C$5)/$D$11)</f>
        <v>0</v>
      </c>
      <c r="J53" s="44">
        <f ca="1">IF($F53&gt;$D$5,0,VLOOKUP($F53,$F$24:$BZ$44,J$2-$E$2,FALSE)*$D$11*$D$14*(1+$D$13)^($F53-'הנחות עבודה'!$C$5)/$D$11)</f>
        <v>0</v>
      </c>
      <c r="K53" s="44">
        <f ca="1">IF($F53&gt;$D$5,0,VLOOKUP($F53,$F$24:$BZ$44,K$2-$E$2,FALSE)*$D$11*$D$14*(1+$D$13)^($F53-'הנחות עבודה'!$C$5)/$D$11)</f>
        <v>0</v>
      </c>
      <c r="L53" s="44">
        <f ca="1">IF($F53&gt;$D$5,0,VLOOKUP($F53,$F$24:$BZ$44,L$2-$E$2,FALSE)*$D$11*$D$14*(1+$D$13)^($F53-'הנחות עבודה'!$C$5)/$D$11)</f>
        <v>0</v>
      </c>
      <c r="M53" s="42">
        <f ca="1">IF($F53&gt;$D$5,0,VLOOKUP($F53,$F$24:$BZ$44,M$2-$E$2,FALSE)*$D$11*$D$14*(1+$D$13)^($F53-'הנחות עבודה'!$C$5)/$D$11)</f>
        <v>39.502790033750657</v>
      </c>
      <c r="N53" s="42">
        <f ca="1">IF($F53&gt;$D$5,0,VLOOKUP($F53,$F$24:$BZ$44,N$2-$E$2,FALSE)*$D$11*$D$14*(1+$D$13)^($F53-'הנחות עבודה'!$C$5)/$D$11)</f>
        <v>1040.4042859031053</v>
      </c>
      <c r="O53" s="42">
        <f ca="1">IF($F53&gt;$D$5,0,VLOOKUP($F53,$F$24:$BZ$44,O$2-$E$2,FALSE)*$D$11*$D$14*(1+$D$13)^($F53-'הנחות עבודה'!$C$5)/$D$11)</f>
        <v>0</v>
      </c>
      <c r="P53" s="42">
        <f ca="1">IF($F53&gt;$D$5,0,VLOOKUP($F53,$F$24:$BZ$44,P$2-$E$2,FALSE)*$D$11*$D$14*(1+$D$13)^($F53-'הנחות עבודה'!$C$5)/$D$11)</f>
        <v>0</v>
      </c>
      <c r="Q53" s="42">
        <f ca="1">IF($F53&gt;$D$5,0,VLOOKUP($F53,$F$24:$BZ$44,Q$2-$E$2,FALSE)*$D$11*$D$14*(1+$D$13)^($F53-'הנחות עבודה'!$C$5)/$D$11)</f>
        <v>787.86557096080196</v>
      </c>
      <c r="R53" s="42">
        <f ca="1">IF($F53&gt;$D$5,0,VLOOKUP($F53,$F$24:$BZ$44,R$2-$E$2,FALSE)*$D$11*$D$14*(1+$D$13)^($F53-'הנחות עבודה'!$C$5)/$D$11)</f>
        <v>0</v>
      </c>
      <c r="S53" s="52">
        <f ca="1">IF($F53&gt;$D$5,0,VLOOKUP($F53,$F$24:$BZ$44,S$2-$E$2,FALSE)*$D$11*$D$14*(1+$D$13)^($F53-'הנחות עבודה'!$C$5)/$D$11)</f>
        <v>0</v>
      </c>
      <c r="T53" s="127">
        <f ca="1">IF($F53&gt;$D$5,0,VLOOKUP($F53,$F$24:$BZ$44,T$2-$E$2,FALSE)*$D$11*$D$14*(1+$D$13)^($F53-'הנחות עבודה'!$C$5)/$D$11)</f>
        <v>0</v>
      </c>
      <c r="U53" s="127">
        <f ca="1">IF($F53&gt;$D$5,0,VLOOKUP($F53,$F$24:$BZ$44,U$2-$E$2,FALSE)*$D$11*$D$14*(1+$D$13)^($F53-'הנחות עבודה'!$C$5)/$D$11)</f>
        <v>0</v>
      </c>
      <c r="V53" s="127">
        <f ca="1">IF($F53&gt;$D$5,0,VLOOKUP($F53,$F$24:$BZ$44,V$2-$E$2,FALSE)*$D$11*$D$14*(1+$D$13)^($F53-'הנחות עבודה'!$C$5)/$D$11)</f>
        <v>0</v>
      </c>
      <c r="W53" s="127">
        <f ca="1">IF($F53&gt;$D$5,0,VLOOKUP($F53,$F$24:$BZ$44,W$2-$E$2,FALSE)*$D$11*$D$14*(1+$D$13)^($F53-'הנחות עבודה'!$C$5)/$D$11)</f>
        <v>0</v>
      </c>
      <c r="X53" s="127">
        <f ca="1">IF($F53&gt;$D$5,0,VLOOKUP($F53,$F$24:$BZ$44,X$2-$E$2,FALSE)*$D$11*$D$14*(1+$D$13)^($F53-'הנחות עבודה'!$C$5)/$D$11)</f>
        <v>0</v>
      </c>
      <c r="Y53" s="52">
        <f ca="1">IF($F53&gt;$D$5,0,VLOOKUP($F53,$F$24:$BZ$44,Y$2-$E$2,FALSE)*$D$11*$D$14*(1+$D$13)^($F53-'הנחות עבודה'!$C$5)/$D$11)</f>
        <v>39.502790033750657</v>
      </c>
      <c r="Z53" s="52">
        <f ca="1">IF($F53&gt;$D$5,0,VLOOKUP($F53,$F$24:$BZ$44,Z$2-$E$2,FALSE)*$D$11*$D$14*(1+$D$13)^($F53-'הנחות עבודה'!$C$5)/$D$11)</f>
        <v>1040.4042859031053</v>
      </c>
      <c r="AA53" s="52">
        <f ca="1">IF($F53&gt;$D$5,0,VLOOKUP($F53,$F$24:$BZ$44,AA$2-$E$2,FALSE)*$D$11*$D$14*(1+$D$13)^($F53-'הנחות עבודה'!$C$5)/$D$11)</f>
        <v>0</v>
      </c>
      <c r="AB53" s="52">
        <f ca="1">IF($F53&gt;$D$5,0,VLOOKUP($F53,$F$24:$BZ$44,AB$2-$E$2,FALSE)*$D$11*$D$14*(1+$D$13)^($F53-'הנחות עבודה'!$C$5)/$D$11)</f>
        <v>0</v>
      </c>
      <c r="AC53" s="52">
        <f ca="1">IF($F53&gt;$D$5,0,VLOOKUP($F53,$F$24:$BZ$44,AC$2-$E$2,FALSE)*$D$11*$D$14*(1+$D$13)^($F53-'הנחות עבודה'!$C$5)/$D$11)</f>
        <v>787.86557096080196</v>
      </c>
      <c r="AD53" s="52">
        <f ca="1">IF($F53&gt;$D$5,0,VLOOKUP($F53,$F$24:$BZ$44,AD$2-$E$2,FALSE)*$D$11*$D$14*(1+$D$13)^($F53-'הנחות עבודה'!$C$5)/$D$11)</f>
        <v>0</v>
      </c>
      <c r="AE53" s="42">
        <f ca="1">IF($F53&gt;$D$5,0,VLOOKUP($F53,$F$24:$BZ$44,AE$2-$E$2,FALSE)*$D$11*$D$14*(1+$D$13)^($F53-'הנחות עבודה'!$C$5)/$D$11)</f>
        <v>0</v>
      </c>
      <c r="AF53" s="44">
        <f ca="1">IF($F53&gt;$D$5,0,VLOOKUP($F53,$F$24:$BZ$44,AF$2-$E$2,FALSE)*$D$11*$D$14*(1+$D$13)^($F53-'הנחות עבודה'!$C$5)/$D$11)</f>
        <v>0</v>
      </c>
      <c r="AG53" s="44">
        <f ca="1">IF($F53&gt;$D$5,0,VLOOKUP($F53,$F$24:$BZ$44,AG$2-$E$2,FALSE)*$D$11*$D$14*(1+$D$13)^($F53-'הנחות עבודה'!$C$5)/$D$11)</f>
        <v>0</v>
      </c>
      <c r="AH53" s="44">
        <f ca="1">IF($F53&gt;$D$5,0,VLOOKUP($F53,$F$24:$BZ$44,AH$2-$E$2,FALSE)*$D$11*$D$14*(1+$D$13)^($F53-'הנחות עבודה'!$C$5)/$D$11)</f>
        <v>0</v>
      </c>
      <c r="AI53" s="44">
        <f ca="1">IF($F53&gt;$D$5,0,VLOOKUP($F53,$F$24:$BZ$44,AI$2-$E$2,FALSE)*$D$11*$D$14*(1+$D$13)^($F53-'הנחות עבודה'!$C$5)/$D$11)</f>
        <v>0</v>
      </c>
      <c r="AJ53" s="44">
        <f ca="1">IF($F53&gt;$D$5,0,VLOOKUP($F53,$F$24:$BZ$44,AJ$2-$E$2,FALSE)*$D$11*$D$14*(1+$D$13)^($F53-'הנחות עבודה'!$C$5)/$D$11)</f>
        <v>0</v>
      </c>
      <c r="AK53" s="42">
        <f ca="1">IF($F53&gt;$D$5,0,VLOOKUP($F53,$F$24:$BZ$44,AK$2-$E$2,FALSE)*$D$11*$D$14*(1+$D$13)^($F53-'הנחות עבודה'!$C$5)/$D$11)</f>
        <v>38.408549196597761</v>
      </c>
      <c r="AL53" s="42">
        <f ca="1">IF($F53&gt;$D$5,0,VLOOKUP($F53,$F$24:$BZ$44,AL$2-$E$2,FALSE)*$D$11*$D$14*(1+$D$13)^($F53-'הנחות עבודה'!$C$5)/$D$11)</f>
        <v>1012.7455529225124</v>
      </c>
      <c r="AM53" s="42">
        <f ca="1">IF($F53&gt;$D$5,0,VLOOKUP($F53,$F$24:$BZ$44,AM$2-$E$2,FALSE)*$D$11*$D$14*(1+$D$13)^($F53-'הנחות עבודה'!$C$5)/$D$11)</f>
        <v>0</v>
      </c>
      <c r="AN53" s="42">
        <f ca="1">IF($F53&gt;$D$5,0,VLOOKUP($F53,$F$24:$BZ$44,AN$2-$E$2,FALSE)*$D$11*$D$14*(1+$D$13)^($F53-'הנחות עבודה'!$C$5)/$D$11)</f>
        <v>0</v>
      </c>
      <c r="AO53" s="42">
        <f ca="1">IF($F53&gt;$D$5,0,VLOOKUP($F53,$F$24:$BZ$44,AO$2-$E$2,FALSE)*$D$11*$D$14*(1+$D$13)^($F53-'הנחות עבודה'!$C$5)/$D$11)</f>
        <v>787.89377342759087</v>
      </c>
      <c r="AP53" s="42">
        <f ca="1">IF($F53&gt;$D$5,0,VLOOKUP($F53,$F$24:$BZ$44,AP$2-$E$2,FALSE)*$D$11*$D$14*(1+$D$13)^($F53-'הנחות עבודה'!$C$5)/$D$11)</f>
        <v>0</v>
      </c>
      <c r="AQ53" s="52">
        <f ca="1">IF($F53&gt;$D$5,0,VLOOKUP($F53,$F$24:$BZ$44,AQ$2-$E$2,FALSE)*$D$11*$D$14*(1+$D$13)^($F53-'הנחות עבודה'!$C$5)/$D$11)</f>
        <v>0</v>
      </c>
      <c r="AR53" s="127">
        <f ca="1">IF($F53&gt;$D$5,0,VLOOKUP($F53,$F$24:$BZ$44,AR$2-$E$2,FALSE)*$D$11*$D$14*(1+$D$13)^($F53-'הנחות עבודה'!$C$5)/$D$11)</f>
        <v>0</v>
      </c>
      <c r="AS53" s="127">
        <f ca="1">IF($F53&gt;$D$5,0,VLOOKUP($F53,$F$24:$BZ$44,AS$2-$E$2,FALSE)*$D$11*$D$14*(1+$D$13)^($F53-'הנחות עבודה'!$C$5)/$D$11)</f>
        <v>0</v>
      </c>
      <c r="AT53" s="127">
        <f ca="1">IF($F53&gt;$D$5,0,VLOOKUP($F53,$F$24:$BZ$44,AT$2-$E$2,FALSE)*$D$11*$D$14*(1+$D$13)^($F53-'הנחות עבודה'!$C$5)/$D$11)</f>
        <v>0</v>
      </c>
      <c r="AU53" s="127">
        <f ca="1">IF($F53&gt;$D$5,0,VLOOKUP($F53,$F$24:$BZ$44,AU$2-$E$2,FALSE)*$D$11*$D$14*(1+$D$13)^($F53-'הנחות עבודה'!$C$5)/$D$11)</f>
        <v>0</v>
      </c>
      <c r="AV53" s="127">
        <f ca="1">IF($F53&gt;$D$5,0,VLOOKUP($F53,$F$24:$BZ$44,AV$2-$E$2,FALSE)*$D$11*$D$14*(1+$D$13)^($F53-'הנחות עבודה'!$C$5)/$D$11)</f>
        <v>0</v>
      </c>
      <c r="AW53" s="52">
        <f ca="1">IF($F53&gt;$D$5,0,VLOOKUP($F53,$F$24:$BZ$44,AW$2-$E$2,FALSE)*$D$11*$D$14*(1+$D$13)^($F53-'הנחות עבודה'!$C$5)/$D$11)</f>
        <v>38.408549196597761</v>
      </c>
      <c r="AX53" s="52">
        <f ca="1">IF($F53&gt;$D$5,0,VLOOKUP($F53,$F$24:$BZ$44,AX$2-$E$2,FALSE)*$D$11*$D$14*(1+$D$13)^($F53-'הנחות עבודה'!$C$5)/$D$11)</f>
        <v>1012.7455529225124</v>
      </c>
      <c r="AY53" s="52">
        <f ca="1">IF($F53&gt;$D$5,0,VLOOKUP($F53,$F$24:$BZ$44,AY$2-$E$2,FALSE)*$D$11*$D$14*(1+$D$13)^($F53-'הנחות עבודה'!$C$5)/$D$11)</f>
        <v>0</v>
      </c>
      <c r="AZ53" s="52">
        <f ca="1">IF($F53&gt;$D$5,0,VLOOKUP($F53,$F$24:$BZ$44,AZ$2-$E$2,FALSE)*$D$11*$D$14*(1+$D$13)^($F53-'הנחות עבודה'!$C$5)/$D$11)</f>
        <v>0</v>
      </c>
      <c r="BA53" s="52">
        <f ca="1">IF($F53&gt;$D$5,0,VLOOKUP($F53,$F$24:$BZ$44,BA$2-$E$2,FALSE)*$D$11*$D$14*(1+$D$13)^($F53-'הנחות עבודה'!$C$5)/$D$11)</f>
        <v>787.89377342759087</v>
      </c>
      <c r="BB53" s="52">
        <f ca="1">IF($F53&gt;$D$5,0,VLOOKUP($F53,$F$24:$BZ$44,BB$2-$E$2,FALSE)*$D$11*$D$14*(1+$D$13)^($F53-'הנחות עבודה'!$C$5)/$D$11)</f>
        <v>0</v>
      </c>
      <c r="BC53" s="42">
        <f ca="1">IF($F53&gt;$D$5,0,VLOOKUP($F53,$F$24:$BZ$44,BC$2-$E$2,FALSE)*$D$11*$D$14*(1+$D$13)^($F53-'הנחות עבודה'!$C$5)/$D$11)</f>
        <v>0</v>
      </c>
      <c r="BD53" s="44">
        <f ca="1">IF($F53&gt;$D$5,0,VLOOKUP($F53,$F$24:$BZ$44,BD$2-$E$2,FALSE)*$D$11*$D$14*(1+$D$13)^($F53-'הנחות עבודה'!$C$5)/$D$11)</f>
        <v>0</v>
      </c>
      <c r="BE53" s="44">
        <f ca="1">IF($F53&gt;$D$5,0,VLOOKUP($F53,$F$24:$BZ$44,BE$2-$E$2,FALSE)*$D$11*$D$14*(1+$D$13)^($F53-'הנחות עבודה'!$C$5)/$D$11)</f>
        <v>0</v>
      </c>
      <c r="BF53" s="44">
        <f ca="1">IF($F53&gt;$D$5,0,VLOOKUP($F53,$F$24:$BZ$44,BF$2-$E$2,FALSE)*$D$11*$D$14*(1+$D$13)^($F53-'הנחות עבודה'!$C$5)/$D$11)</f>
        <v>0</v>
      </c>
      <c r="BG53" s="44">
        <f ca="1">IF($F53&gt;$D$5,0,VLOOKUP($F53,$F$24:$BZ$44,BG$2-$E$2,FALSE)*$D$11*$D$14*(1+$D$13)^($F53-'הנחות עבודה'!$C$5)/$D$11)</f>
        <v>0</v>
      </c>
      <c r="BH53" s="44">
        <f ca="1">IF($F53&gt;$D$5,0,VLOOKUP($F53,$F$24:$BZ$44,BH$2-$E$2,FALSE)*$D$11*$D$14*(1+$D$13)^($F53-'הנחות עבודה'!$C$5)/$D$11)</f>
        <v>0</v>
      </c>
      <c r="BI53" s="42">
        <f ca="1">IF($F53&gt;$D$5,0,VLOOKUP($F53,$F$24:$BZ$44,BI$2-$E$2,FALSE)*$D$11*$D$14*(1+$D$13)^($F53-'הנחות עבודה'!$C$5)/$D$11)</f>
        <v>38.021314396610009</v>
      </c>
      <c r="BJ53" s="42">
        <f ca="1">IF($F53&gt;$D$5,0,VLOOKUP($F53,$F$24:$BZ$44,BJ$2-$E$2,FALSE)*$D$11*$D$14*(1+$D$13)^($F53-'הנחות עבודה'!$C$5)/$D$11)</f>
        <v>997.8628717351769</v>
      </c>
      <c r="BK53" s="42">
        <f ca="1">IF($F53&gt;$D$5,0,VLOOKUP($F53,$F$24:$BZ$44,BK$2-$E$2,FALSE)*$D$11*$D$14*(1+$D$13)^($F53-'הנחות עבודה'!$C$5)/$D$11)</f>
        <v>0</v>
      </c>
      <c r="BL53" s="42">
        <f ca="1">IF($F53&gt;$D$5,0,VLOOKUP($F53,$F$24:$BZ$44,BL$2-$E$2,FALSE)*$D$11*$D$14*(1+$D$13)^($F53-'הנחות עבודה'!$C$5)/$D$11)</f>
        <v>0</v>
      </c>
      <c r="BM53" s="42">
        <f ca="1">IF($F53&gt;$D$5,0,VLOOKUP($F53,$F$24:$BZ$44,BM$2-$E$2,FALSE)*$D$11*$D$14*(1+$D$13)^($F53-'הנחות עבודה'!$C$5)/$D$11)</f>
        <v>787.86459846194737</v>
      </c>
      <c r="BN53" s="42">
        <f ca="1">IF($F53&gt;$D$5,0,VLOOKUP($F53,$F$24:$BZ$44,BN$2-$E$2,FALSE)*$D$11*$D$14*(1+$D$13)^($F53-'הנחות עבודה'!$C$5)/$D$11)</f>
        <v>0</v>
      </c>
      <c r="BO53" s="52">
        <f ca="1">IF($F53&gt;$D$5,0,VLOOKUP($F53,$F$24:$BZ$44,BO$2-$E$2,FALSE)*$D$11*$D$14*(1+$D$13)^($F53-'הנחות עבודה'!$C$5)/$D$11)</f>
        <v>0</v>
      </c>
      <c r="BP53" s="127">
        <f ca="1">IF($F53&gt;$D$5,0,VLOOKUP($F53,$F$24:$BZ$44,BP$2-$E$2,FALSE)*$D$11*$D$14*(1+$D$13)^($F53-'הנחות עבודה'!$C$5)/$D$11)</f>
        <v>0</v>
      </c>
      <c r="BQ53" s="127">
        <f ca="1">IF($F53&gt;$D$5,0,VLOOKUP($F53,$F$24:$BZ$44,BQ$2-$E$2,FALSE)*$D$11*$D$14*(1+$D$13)^($F53-'הנחות עבודה'!$C$5)/$D$11)</f>
        <v>0</v>
      </c>
      <c r="BR53" s="127">
        <f ca="1">IF($F53&gt;$D$5,0,VLOOKUP($F53,$F$24:$BZ$44,BR$2-$E$2,FALSE)*$D$11*$D$14*(1+$D$13)^($F53-'הנחות עבודה'!$C$5)/$D$11)</f>
        <v>0</v>
      </c>
      <c r="BS53" s="127">
        <f ca="1">IF($F53&gt;$D$5,0,VLOOKUP($F53,$F$24:$BZ$44,BS$2-$E$2,FALSE)*$D$11*$D$14*(1+$D$13)^($F53-'הנחות עבודה'!$C$5)/$D$11)</f>
        <v>0</v>
      </c>
      <c r="BT53" s="127">
        <f ca="1">IF($F53&gt;$D$5,0,VLOOKUP($F53,$F$24:$BZ$44,BT$2-$E$2,FALSE)*$D$11*$D$14*(1+$D$13)^($F53-'הנחות עבודה'!$C$5)/$D$11)</f>
        <v>0</v>
      </c>
      <c r="BU53" s="52">
        <f ca="1">IF($F53&gt;$D$5,0,VLOOKUP($F53,$F$24:$BZ$44,BU$2-$E$2,FALSE)*$D$11*$D$14*(1+$D$13)^($F53-'הנחות עבודה'!$C$5)/$D$11)</f>
        <v>38.021314396610009</v>
      </c>
      <c r="BV53" s="52">
        <f ca="1">IF($F53&gt;$D$5,0,VLOOKUP($F53,$F$24:$BZ$44,BV$2-$E$2,FALSE)*$D$11*$D$14*(1+$D$13)^($F53-'הנחות עבודה'!$C$5)/$D$11)</f>
        <v>997.8628717351769</v>
      </c>
      <c r="BW53" s="52">
        <f ca="1">IF($F53&gt;$D$5,0,VLOOKUP($F53,$F$24:$BZ$44,BW$2-$E$2,FALSE)*$D$11*$D$14*(1+$D$13)^($F53-'הנחות עבודה'!$C$5)/$D$11)</f>
        <v>0</v>
      </c>
      <c r="BX53" s="52">
        <f ca="1">IF($F53&gt;$D$5,0,VLOOKUP($F53,$F$24:$BZ$44,BX$2-$E$2,FALSE)*$D$11*$D$14*(1+$D$13)^($F53-'הנחות עבודה'!$C$5)/$D$11)</f>
        <v>0</v>
      </c>
      <c r="BY53" s="52">
        <f ca="1">IF($F53&gt;$D$5,0,VLOOKUP($F53,$F$24:$BZ$44,BY$2-$E$2,FALSE)*$D$11*$D$14*(1+$D$13)^($F53-'הנחות עבודה'!$C$5)/$D$11)</f>
        <v>787.86459846194737</v>
      </c>
      <c r="BZ53" s="52">
        <f ca="1">IF($F53&gt;$D$5,0,VLOOKUP($F53,$F$24:$BZ$44,BZ$2-$E$2,FALSE)*$D$11*$D$14*(1+$D$13)^($F53-'הנחות עבודה'!$C$5)/$D$11)</f>
        <v>0</v>
      </c>
    </row>
    <row r="54" spans="6:78" ht="15.75">
      <c r="F54" s="10">
        <f t="shared" si="125"/>
        <v>2023</v>
      </c>
      <c r="G54" s="42">
        <f ca="1">IF($F54&gt;$D$5,0,VLOOKUP($F54,$F$24:$BZ$44,G$2-$E$2,FALSE)*$D$11*$D$14*(1+$D$13)^($F54-'הנחות עבודה'!$C$5)/$D$11)</f>
        <v>0</v>
      </c>
      <c r="H54" s="44">
        <f ca="1">IF($F54&gt;$D$5,0,VLOOKUP($F54,$F$24:$BZ$44,H$2-$E$2,FALSE)*$D$11*$D$14*(1+$D$13)^($F54-'הנחות עבודה'!$C$5)/$D$11)</f>
        <v>0</v>
      </c>
      <c r="I54" s="44">
        <f ca="1">IF($F54&gt;$D$5,0,VLOOKUP($F54,$F$24:$BZ$44,I$2-$E$2,FALSE)*$D$11*$D$14*(1+$D$13)^($F54-'הנחות עבודה'!$C$5)/$D$11)</f>
        <v>0</v>
      </c>
      <c r="J54" s="44">
        <f ca="1">IF($F54&gt;$D$5,0,VLOOKUP($F54,$F$24:$BZ$44,J$2-$E$2,FALSE)*$D$11*$D$14*(1+$D$13)^($F54-'הנחות עבודה'!$C$5)/$D$11)</f>
        <v>0</v>
      </c>
      <c r="K54" s="44">
        <f ca="1">IF($F54&gt;$D$5,0,VLOOKUP($F54,$F$24:$BZ$44,K$2-$E$2,FALSE)*$D$11*$D$14*(1+$D$13)^($F54-'הנחות עבודה'!$C$5)/$D$11)</f>
        <v>0</v>
      </c>
      <c r="L54" s="44">
        <f ca="1">IF($F54&gt;$D$5,0,VLOOKUP($F54,$F$24:$BZ$44,L$2-$E$2,FALSE)*$D$11*$D$14*(1+$D$13)^($F54-'הנחות עבודה'!$C$5)/$D$11)</f>
        <v>0</v>
      </c>
      <c r="M54" s="42">
        <f ca="1">IF($F54&gt;$D$5,0,VLOOKUP($F54,$F$24:$BZ$44,M$2-$E$2,FALSE)*$D$11*$D$14*(1+$D$13)^($F54-'הנחות עבודה'!$C$5)/$D$11)</f>
        <v>62.632456311977499</v>
      </c>
      <c r="N54" s="42">
        <f ca="1">IF($F54&gt;$D$5,0,VLOOKUP($F54,$F$24:$BZ$44,N$2-$E$2,FALSE)*$D$11*$D$14*(1+$D$13)^($F54-'הנחות עבודה'!$C$5)/$D$11)</f>
        <v>1192.4504113003243</v>
      </c>
      <c r="O54" s="42">
        <f ca="1">IF($F54&gt;$D$5,0,VLOOKUP($F54,$F$24:$BZ$44,O$2-$E$2,FALSE)*$D$11*$D$14*(1+$D$13)^($F54-'הנחות עבודה'!$C$5)/$D$11)</f>
        <v>0</v>
      </c>
      <c r="P54" s="42">
        <f ca="1">IF($F54&gt;$D$5,0,VLOOKUP($F54,$F$24:$BZ$44,P$2-$E$2,FALSE)*$D$11*$D$14*(1+$D$13)^($F54-'הנחות עבודה'!$C$5)/$D$11)</f>
        <v>0</v>
      </c>
      <c r="Q54" s="42">
        <f ca="1">IF($F54&gt;$D$5,0,VLOOKUP($F54,$F$24:$BZ$44,Q$2-$E$2,FALSE)*$D$11*$D$14*(1+$D$13)^($F54-'הנחות עבודה'!$C$5)/$D$11)</f>
        <v>565.43043785367331</v>
      </c>
      <c r="R54" s="42">
        <f ca="1">IF($F54&gt;$D$5,0,VLOOKUP($F54,$F$24:$BZ$44,R$2-$E$2,FALSE)*$D$11*$D$14*(1+$D$13)^($F54-'הנחות עבודה'!$C$5)/$D$11)</f>
        <v>0</v>
      </c>
      <c r="S54" s="52">
        <f ca="1">IF($F54&gt;$D$5,0,VLOOKUP($F54,$F$24:$BZ$44,S$2-$E$2,FALSE)*$D$11*$D$14*(1+$D$13)^($F54-'הנחות עבודה'!$C$5)/$D$11)</f>
        <v>0</v>
      </c>
      <c r="T54" s="127">
        <f ca="1">IF($F54&gt;$D$5,0,VLOOKUP($F54,$F$24:$BZ$44,T$2-$E$2,FALSE)*$D$11*$D$14*(1+$D$13)^($F54-'הנחות עבודה'!$C$5)/$D$11)</f>
        <v>0</v>
      </c>
      <c r="U54" s="127">
        <f ca="1">IF($F54&gt;$D$5,0,VLOOKUP($F54,$F$24:$BZ$44,U$2-$E$2,FALSE)*$D$11*$D$14*(1+$D$13)^($F54-'הנחות עבודה'!$C$5)/$D$11)</f>
        <v>0</v>
      </c>
      <c r="V54" s="127">
        <f ca="1">IF($F54&gt;$D$5,0,VLOOKUP($F54,$F$24:$BZ$44,V$2-$E$2,FALSE)*$D$11*$D$14*(1+$D$13)^($F54-'הנחות עבודה'!$C$5)/$D$11)</f>
        <v>0</v>
      </c>
      <c r="W54" s="127">
        <f ca="1">IF($F54&gt;$D$5,0,VLOOKUP($F54,$F$24:$BZ$44,W$2-$E$2,FALSE)*$D$11*$D$14*(1+$D$13)^($F54-'הנחות עבודה'!$C$5)/$D$11)</f>
        <v>0</v>
      </c>
      <c r="X54" s="127">
        <f ca="1">IF($F54&gt;$D$5,0,VLOOKUP($F54,$F$24:$BZ$44,X$2-$E$2,FALSE)*$D$11*$D$14*(1+$D$13)^($F54-'הנחות עבודה'!$C$5)/$D$11)</f>
        <v>0</v>
      </c>
      <c r="Y54" s="52">
        <f ca="1">IF($F54&gt;$D$5,0,VLOOKUP($F54,$F$24:$BZ$44,Y$2-$E$2,FALSE)*$D$11*$D$14*(1+$D$13)^($F54-'הנחות עבודה'!$C$5)/$D$11)</f>
        <v>62.632456311977499</v>
      </c>
      <c r="Z54" s="52">
        <f ca="1">IF($F54&gt;$D$5,0,VLOOKUP($F54,$F$24:$BZ$44,Z$2-$E$2,FALSE)*$D$11*$D$14*(1+$D$13)^($F54-'הנחות עבודה'!$C$5)/$D$11)</f>
        <v>1192.4504113003243</v>
      </c>
      <c r="AA54" s="52">
        <f ca="1">IF($F54&gt;$D$5,0,VLOOKUP($F54,$F$24:$BZ$44,AA$2-$E$2,FALSE)*$D$11*$D$14*(1+$D$13)^($F54-'הנחות עבודה'!$C$5)/$D$11)</f>
        <v>0</v>
      </c>
      <c r="AB54" s="52">
        <f ca="1">IF($F54&gt;$D$5,0,VLOOKUP($F54,$F$24:$BZ$44,AB$2-$E$2,FALSE)*$D$11*$D$14*(1+$D$13)^($F54-'הנחות עבודה'!$C$5)/$D$11)</f>
        <v>0</v>
      </c>
      <c r="AC54" s="52">
        <f ca="1">IF($F54&gt;$D$5,0,VLOOKUP($F54,$F$24:$BZ$44,AC$2-$E$2,FALSE)*$D$11*$D$14*(1+$D$13)^($F54-'הנחות עבודה'!$C$5)/$D$11)</f>
        <v>565.43043785367331</v>
      </c>
      <c r="AD54" s="52">
        <f ca="1">IF($F54&gt;$D$5,0,VLOOKUP($F54,$F$24:$BZ$44,AD$2-$E$2,FALSE)*$D$11*$D$14*(1+$D$13)^($F54-'הנחות עבודה'!$C$5)/$D$11)</f>
        <v>0</v>
      </c>
      <c r="AE54" s="42">
        <f ca="1">IF($F54&gt;$D$5,0,VLOOKUP($F54,$F$24:$BZ$44,AE$2-$E$2,FALSE)*$D$11*$D$14*(1+$D$13)^($F54-'הנחות עבודה'!$C$5)/$D$11)</f>
        <v>0</v>
      </c>
      <c r="AF54" s="44">
        <f ca="1">IF($F54&gt;$D$5,0,VLOOKUP($F54,$F$24:$BZ$44,AF$2-$E$2,FALSE)*$D$11*$D$14*(1+$D$13)^($F54-'הנחות עבודה'!$C$5)/$D$11)</f>
        <v>0</v>
      </c>
      <c r="AG54" s="44">
        <f ca="1">IF($F54&gt;$D$5,0,VLOOKUP($F54,$F$24:$BZ$44,AG$2-$E$2,FALSE)*$D$11*$D$14*(1+$D$13)^($F54-'הנחות עבודה'!$C$5)/$D$11)</f>
        <v>0</v>
      </c>
      <c r="AH54" s="44">
        <f ca="1">IF($F54&gt;$D$5,0,VLOOKUP($F54,$F$24:$BZ$44,AH$2-$E$2,FALSE)*$D$11*$D$14*(1+$D$13)^($F54-'הנחות עבודה'!$C$5)/$D$11)</f>
        <v>0</v>
      </c>
      <c r="AI54" s="44">
        <f ca="1">IF($F54&gt;$D$5,0,VLOOKUP($F54,$F$24:$BZ$44,AI$2-$E$2,FALSE)*$D$11*$D$14*(1+$D$13)^($F54-'הנחות עבודה'!$C$5)/$D$11)</f>
        <v>0</v>
      </c>
      <c r="AJ54" s="44">
        <f ca="1">IF($F54&gt;$D$5,0,VLOOKUP($F54,$F$24:$BZ$44,AJ$2-$E$2,FALSE)*$D$11*$D$14*(1+$D$13)^($F54-'הנחות עבודה'!$C$5)/$D$11)</f>
        <v>0</v>
      </c>
      <c r="AK54" s="42">
        <f ca="1">IF($F54&gt;$D$5,0,VLOOKUP($F54,$F$24:$BZ$44,AK$2-$E$2,FALSE)*$D$11*$D$14*(1+$D$13)^($F54-'הנחות עבודה'!$C$5)/$D$11)</f>
        <v>61.144472725105928</v>
      </c>
      <c r="AL54" s="42">
        <f ca="1">IF($F54&gt;$D$5,0,VLOOKUP($F54,$F$24:$BZ$44,AL$2-$E$2,FALSE)*$D$11*$D$14*(1+$D$13)^($F54-'הנחות עבודה'!$C$5)/$D$11)</f>
        <v>1148.3371907115009</v>
      </c>
      <c r="AM54" s="42">
        <f ca="1">IF($F54&gt;$D$5,0,VLOOKUP($F54,$F$24:$BZ$44,AM$2-$E$2,FALSE)*$D$11*$D$14*(1+$D$13)^($F54-'הנחות עבודה'!$C$5)/$D$11)</f>
        <v>0</v>
      </c>
      <c r="AN54" s="42">
        <f ca="1">IF($F54&gt;$D$5,0,VLOOKUP($F54,$F$24:$BZ$44,AN$2-$E$2,FALSE)*$D$11*$D$14*(1+$D$13)^($F54-'הנחות עבודה'!$C$5)/$D$11)</f>
        <v>0</v>
      </c>
      <c r="AO54" s="42">
        <f ca="1">IF($F54&gt;$D$5,0,VLOOKUP($F54,$F$24:$BZ$44,AO$2-$E$2,FALSE)*$D$11*$D$14*(1+$D$13)^($F54-'הנחות עבודה'!$C$5)/$D$11)</f>
        <v>565.24063442556053</v>
      </c>
      <c r="AP54" s="42">
        <f ca="1">IF($F54&gt;$D$5,0,VLOOKUP($F54,$F$24:$BZ$44,AP$2-$E$2,FALSE)*$D$11*$D$14*(1+$D$13)^($F54-'הנחות עבודה'!$C$5)/$D$11)</f>
        <v>0</v>
      </c>
      <c r="AQ54" s="52">
        <f ca="1">IF($F54&gt;$D$5,0,VLOOKUP($F54,$F$24:$BZ$44,AQ$2-$E$2,FALSE)*$D$11*$D$14*(1+$D$13)^($F54-'הנחות עבודה'!$C$5)/$D$11)</f>
        <v>0</v>
      </c>
      <c r="AR54" s="127">
        <f ca="1">IF($F54&gt;$D$5,0,VLOOKUP($F54,$F$24:$BZ$44,AR$2-$E$2,FALSE)*$D$11*$D$14*(1+$D$13)^($F54-'הנחות עבודה'!$C$5)/$D$11)</f>
        <v>0</v>
      </c>
      <c r="AS54" s="127">
        <f ca="1">IF($F54&gt;$D$5,0,VLOOKUP($F54,$F$24:$BZ$44,AS$2-$E$2,FALSE)*$D$11*$D$14*(1+$D$13)^($F54-'הנחות עבודה'!$C$5)/$D$11)</f>
        <v>0</v>
      </c>
      <c r="AT54" s="127">
        <f ca="1">IF($F54&gt;$D$5,0,VLOOKUP($F54,$F$24:$BZ$44,AT$2-$E$2,FALSE)*$D$11*$D$14*(1+$D$13)^($F54-'הנחות עבודה'!$C$5)/$D$11)</f>
        <v>0</v>
      </c>
      <c r="AU54" s="127">
        <f ca="1">IF($F54&gt;$D$5,0,VLOOKUP($F54,$F$24:$BZ$44,AU$2-$E$2,FALSE)*$D$11*$D$14*(1+$D$13)^($F54-'הנחות עבודה'!$C$5)/$D$11)</f>
        <v>0</v>
      </c>
      <c r="AV54" s="127">
        <f ca="1">IF($F54&gt;$D$5,0,VLOOKUP($F54,$F$24:$BZ$44,AV$2-$E$2,FALSE)*$D$11*$D$14*(1+$D$13)^($F54-'הנחות עבודה'!$C$5)/$D$11)</f>
        <v>0</v>
      </c>
      <c r="AW54" s="52">
        <f ca="1">IF($F54&gt;$D$5,0,VLOOKUP($F54,$F$24:$BZ$44,AW$2-$E$2,FALSE)*$D$11*$D$14*(1+$D$13)^($F54-'הנחות עבודה'!$C$5)/$D$11)</f>
        <v>61.144472725105928</v>
      </c>
      <c r="AX54" s="52">
        <f ca="1">IF($F54&gt;$D$5,0,VLOOKUP($F54,$F$24:$BZ$44,AX$2-$E$2,FALSE)*$D$11*$D$14*(1+$D$13)^($F54-'הנחות עבודה'!$C$5)/$D$11)</f>
        <v>1148.3371907115009</v>
      </c>
      <c r="AY54" s="52">
        <f ca="1">IF($F54&gt;$D$5,0,VLOOKUP($F54,$F$24:$BZ$44,AY$2-$E$2,FALSE)*$D$11*$D$14*(1+$D$13)^($F54-'הנחות עבודה'!$C$5)/$D$11)</f>
        <v>0</v>
      </c>
      <c r="AZ54" s="52">
        <f ca="1">IF($F54&gt;$D$5,0,VLOOKUP($F54,$F$24:$BZ$44,AZ$2-$E$2,FALSE)*$D$11*$D$14*(1+$D$13)^($F54-'הנחות עבודה'!$C$5)/$D$11)</f>
        <v>0</v>
      </c>
      <c r="BA54" s="52">
        <f ca="1">IF($F54&gt;$D$5,0,VLOOKUP($F54,$F$24:$BZ$44,BA$2-$E$2,FALSE)*$D$11*$D$14*(1+$D$13)^($F54-'הנחות עבודה'!$C$5)/$D$11)</f>
        <v>565.24063442556053</v>
      </c>
      <c r="BB54" s="52">
        <f ca="1">IF($F54&gt;$D$5,0,VLOOKUP($F54,$F$24:$BZ$44,BB$2-$E$2,FALSE)*$D$11*$D$14*(1+$D$13)^($F54-'הנחות עבודה'!$C$5)/$D$11)</f>
        <v>0</v>
      </c>
      <c r="BC54" s="42">
        <f ca="1">IF($F54&gt;$D$5,0,VLOOKUP($F54,$F$24:$BZ$44,BC$2-$E$2,FALSE)*$D$11*$D$14*(1+$D$13)^($F54-'הנחות עבודה'!$C$5)/$D$11)</f>
        <v>0</v>
      </c>
      <c r="BD54" s="44">
        <f ca="1">IF($F54&gt;$D$5,0,VLOOKUP($F54,$F$24:$BZ$44,BD$2-$E$2,FALSE)*$D$11*$D$14*(1+$D$13)^($F54-'הנחות עבודה'!$C$5)/$D$11)</f>
        <v>0</v>
      </c>
      <c r="BE54" s="44">
        <f ca="1">IF($F54&gt;$D$5,0,VLOOKUP($F54,$F$24:$BZ$44,BE$2-$E$2,FALSE)*$D$11*$D$14*(1+$D$13)^($F54-'הנחות עבודה'!$C$5)/$D$11)</f>
        <v>0</v>
      </c>
      <c r="BF54" s="44">
        <f ca="1">IF($F54&gt;$D$5,0,VLOOKUP($F54,$F$24:$BZ$44,BF$2-$E$2,FALSE)*$D$11*$D$14*(1+$D$13)^($F54-'הנחות עבודה'!$C$5)/$D$11)</f>
        <v>0</v>
      </c>
      <c r="BG54" s="44">
        <f ca="1">IF($F54&gt;$D$5,0,VLOOKUP($F54,$F$24:$BZ$44,BG$2-$E$2,FALSE)*$D$11*$D$14*(1+$D$13)^($F54-'הנחות עבודה'!$C$5)/$D$11)</f>
        <v>0</v>
      </c>
      <c r="BH54" s="44">
        <f ca="1">IF($F54&gt;$D$5,0,VLOOKUP($F54,$F$24:$BZ$44,BH$2-$E$2,FALSE)*$D$11*$D$14*(1+$D$13)^($F54-'הנחות עבודה'!$C$5)/$D$11)</f>
        <v>0</v>
      </c>
      <c r="BI54" s="42">
        <f ca="1">IF($F54&gt;$D$5,0,VLOOKUP($F54,$F$24:$BZ$44,BI$2-$E$2,FALSE)*$D$11*$D$14*(1+$D$13)^($F54-'הנחות עבודה'!$C$5)/$D$11)</f>
        <v>60.738659019595495</v>
      </c>
      <c r="BJ54" s="42">
        <f ca="1">IF($F54&gt;$D$5,0,VLOOKUP($F54,$F$24:$BZ$44,BJ$2-$E$2,FALSE)*$D$11*$D$14*(1+$D$13)^($F54-'הנחות עבודה'!$C$5)/$D$11)</f>
        <v>1124.1487764271646</v>
      </c>
      <c r="BK54" s="42">
        <f ca="1">IF($F54&gt;$D$5,0,VLOOKUP($F54,$F$24:$BZ$44,BK$2-$E$2,FALSE)*$D$11*$D$14*(1+$D$13)^($F54-'הנחות עבודה'!$C$5)/$D$11)</f>
        <v>0</v>
      </c>
      <c r="BL54" s="42">
        <f ca="1">IF($F54&gt;$D$5,0,VLOOKUP($F54,$F$24:$BZ$44,BL$2-$E$2,FALSE)*$D$11*$D$14*(1+$D$13)^($F54-'הנחות עבודה'!$C$5)/$D$11)</f>
        <v>0</v>
      </c>
      <c r="BM54" s="42">
        <f ca="1">IF($F54&gt;$D$5,0,VLOOKUP($F54,$F$24:$BZ$44,BM$2-$E$2,FALSE)*$D$11*$D$14*(1+$D$13)^($F54-'הנחות עבודה'!$C$5)/$D$11)</f>
        <v>565.25268543686934</v>
      </c>
      <c r="BN54" s="42">
        <f ca="1">IF($F54&gt;$D$5,0,VLOOKUP($F54,$F$24:$BZ$44,BN$2-$E$2,FALSE)*$D$11*$D$14*(1+$D$13)^($F54-'הנחות עבודה'!$C$5)/$D$11)</f>
        <v>0</v>
      </c>
      <c r="BO54" s="52">
        <f ca="1">IF($F54&gt;$D$5,0,VLOOKUP($F54,$F$24:$BZ$44,BO$2-$E$2,FALSE)*$D$11*$D$14*(1+$D$13)^($F54-'הנחות עבודה'!$C$5)/$D$11)</f>
        <v>0</v>
      </c>
      <c r="BP54" s="127">
        <f ca="1">IF($F54&gt;$D$5,0,VLOOKUP($F54,$F$24:$BZ$44,BP$2-$E$2,FALSE)*$D$11*$D$14*(1+$D$13)^($F54-'הנחות עבודה'!$C$5)/$D$11)</f>
        <v>0</v>
      </c>
      <c r="BQ54" s="127">
        <f ca="1">IF($F54&gt;$D$5,0,VLOOKUP($F54,$F$24:$BZ$44,BQ$2-$E$2,FALSE)*$D$11*$D$14*(1+$D$13)^($F54-'הנחות עבודה'!$C$5)/$D$11)</f>
        <v>0</v>
      </c>
      <c r="BR54" s="127">
        <f ca="1">IF($F54&gt;$D$5,0,VLOOKUP($F54,$F$24:$BZ$44,BR$2-$E$2,FALSE)*$D$11*$D$14*(1+$D$13)^($F54-'הנחות עבודה'!$C$5)/$D$11)</f>
        <v>0</v>
      </c>
      <c r="BS54" s="127">
        <f ca="1">IF($F54&gt;$D$5,0,VLOOKUP($F54,$F$24:$BZ$44,BS$2-$E$2,FALSE)*$D$11*$D$14*(1+$D$13)^($F54-'הנחות עבודה'!$C$5)/$D$11)</f>
        <v>0</v>
      </c>
      <c r="BT54" s="127">
        <f ca="1">IF($F54&gt;$D$5,0,VLOOKUP($F54,$F$24:$BZ$44,BT$2-$E$2,FALSE)*$D$11*$D$14*(1+$D$13)^($F54-'הנחות עבודה'!$C$5)/$D$11)</f>
        <v>0</v>
      </c>
      <c r="BU54" s="52">
        <f ca="1">IF($F54&gt;$D$5,0,VLOOKUP($F54,$F$24:$BZ$44,BU$2-$E$2,FALSE)*$D$11*$D$14*(1+$D$13)^($F54-'הנחות עבודה'!$C$5)/$D$11)</f>
        <v>60.738659019595495</v>
      </c>
      <c r="BV54" s="52">
        <f ca="1">IF($F54&gt;$D$5,0,VLOOKUP($F54,$F$24:$BZ$44,BV$2-$E$2,FALSE)*$D$11*$D$14*(1+$D$13)^($F54-'הנחות עבודה'!$C$5)/$D$11)</f>
        <v>1124.1487764271646</v>
      </c>
      <c r="BW54" s="52">
        <f ca="1">IF($F54&gt;$D$5,0,VLOOKUP($F54,$F$24:$BZ$44,BW$2-$E$2,FALSE)*$D$11*$D$14*(1+$D$13)^($F54-'הנחות עבודה'!$C$5)/$D$11)</f>
        <v>0</v>
      </c>
      <c r="BX54" s="52">
        <f ca="1">IF($F54&gt;$D$5,0,VLOOKUP($F54,$F$24:$BZ$44,BX$2-$E$2,FALSE)*$D$11*$D$14*(1+$D$13)^($F54-'הנחות עבודה'!$C$5)/$D$11)</f>
        <v>0</v>
      </c>
      <c r="BY54" s="52">
        <f ca="1">IF($F54&gt;$D$5,0,VLOOKUP($F54,$F$24:$BZ$44,BY$2-$E$2,FALSE)*$D$11*$D$14*(1+$D$13)^($F54-'הנחות עבודה'!$C$5)/$D$11)</f>
        <v>565.25268543686934</v>
      </c>
      <c r="BZ54" s="52">
        <f ca="1">IF($F54&gt;$D$5,0,VLOOKUP($F54,$F$24:$BZ$44,BZ$2-$E$2,FALSE)*$D$11*$D$14*(1+$D$13)^($F54-'הנחות עבודה'!$C$5)/$D$11)</f>
        <v>0</v>
      </c>
    </row>
    <row r="55" spans="6:78" ht="15.75">
      <c r="F55" s="10">
        <f t="shared" si="125"/>
        <v>2024</v>
      </c>
      <c r="G55" s="42">
        <f ca="1">IF($F55&gt;$D$5,0,VLOOKUP($F55,$F$24:$BZ$44,G$2-$E$2,FALSE)*$D$11*$D$14*(1+$D$13)^($F55-'הנחות עבודה'!$C$5)/$D$11)</f>
        <v>0</v>
      </c>
      <c r="H55" s="44">
        <f ca="1">IF($F55&gt;$D$5,0,VLOOKUP($F55,$F$24:$BZ$44,H$2-$E$2,FALSE)*$D$11*$D$14*(1+$D$13)^($F55-'הנחות עבודה'!$C$5)/$D$11)</f>
        <v>0</v>
      </c>
      <c r="I55" s="44">
        <f ca="1">IF($F55&gt;$D$5,0,VLOOKUP($F55,$F$24:$BZ$44,I$2-$E$2,FALSE)*$D$11*$D$14*(1+$D$13)^($F55-'הנחות עבודה'!$C$5)/$D$11)</f>
        <v>0</v>
      </c>
      <c r="J55" s="44">
        <f ca="1">IF($F55&gt;$D$5,0,VLOOKUP($F55,$F$24:$BZ$44,J$2-$E$2,FALSE)*$D$11*$D$14*(1+$D$13)^($F55-'הנחות עבודה'!$C$5)/$D$11)</f>
        <v>0</v>
      </c>
      <c r="K55" s="44">
        <f ca="1">IF($F55&gt;$D$5,0,VLOOKUP($F55,$F$24:$BZ$44,K$2-$E$2,FALSE)*$D$11*$D$14*(1+$D$13)^($F55-'הנחות עבודה'!$C$5)/$D$11)</f>
        <v>0</v>
      </c>
      <c r="L55" s="44">
        <f ca="1">IF($F55&gt;$D$5,0,VLOOKUP($F55,$F$24:$BZ$44,L$2-$E$2,FALSE)*$D$11*$D$14*(1+$D$13)^($F55-'הנחות עבודה'!$C$5)/$D$11)</f>
        <v>0</v>
      </c>
      <c r="M55" s="42">
        <f ca="1">IF($F55&gt;$D$5,0,VLOOKUP($F55,$F$24:$BZ$44,M$2-$E$2,FALSE)*$D$11*$D$14*(1+$D$13)^($F55-'הנחות עבודה'!$C$5)/$D$11)</f>
        <v>85.186678074386663</v>
      </c>
      <c r="N55" s="42">
        <f ca="1">IF($F55&gt;$D$5,0,VLOOKUP($F55,$F$24:$BZ$44,N$2-$E$2,FALSE)*$D$11*$D$14*(1+$D$13)^($F55-'הנחות עבודה'!$C$5)/$D$11)</f>
        <v>1281.3627273148297</v>
      </c>
      <c r="O55" s="42">
        <f ca="1">IF($F55&gt;$D$5,0,VLOOKUP($F55,$F$24:$BZ$44,O$2-$E$2,FALSE)*$D$11*$D$14*(1+$D$13)^($F55-'הנחות עבודה'!$C$5)/$D$11)</f>
        <v>0</v>
      </c>
      <c r="P55" s="42">
        <f ca="1">IF($F55&gt;$D$5,0,VLOOKUP($F55,$F$24:$BZ$44,P$2-$E$2,FALSE)*$D$11*$D$14*(1+$D$13)^($F55-'הנחות עבודה'!$C$5)/$D$11)</f>
        <v>0</v>
      </c>
      <c r="Q55" s="42">
        <f ca="1">IF($F55&gt;$D$5,0,VLOOKUP($F55,$F$24:$BZ$44,Q$2-$E$2,FALSE)*$D$11*$D$14*(1+$D$13)^($F55-'הנחות עבודה'!$C$5)/$D$11)</f>
        <v>495.45869671063366</v>
      </c>
      <c r="R55" s="42">
        <f ca="1">IF($F55&gt;$D$5,0,VLOOKUP($F55,$F$24:$BZ$44,R$2-$E$2,FALSE)*$D$11*$D$14*(1+$D$13)^($F55-'הנחות עבודה'!$C$5)/$D$11)</f>
        <v>0</v>
      </c>
      <c r="S55" s="52">
        <f ca="1">IF($F55&gt;$D$5,0,VLOOKUP($F55,$F$24:$BZ$44,S$2-$E$2,FALSE)*$D$11*$D$14*(1+$D$13)^($F55-'הנחות עבודה'!$C$5)/$D$11)</f>
        <v>0</v>
      </c>
      <c r="T55" s="127">
        <f ca="1">IF($F55&gt;$D$5,0,VLOOKUP($F55,$F$24:$BZ$44,T$2-$E$2,FALSE)*$D$11*$D$14*(1+$D$13)^($F55-'הנחות עבודה'!$C$5)/$D$11)</f>
        <v>0</v>
      </c>
      <c r="U55" s="127">
        <f ca="1">IF($F55&gt;$D$5,0,VLOOKUP($F55,$F$24:$BZ$44,U$2-$E$2,FALSE)*$D$11*$D$14*(1+$D$13)^($F55-'הנחות עבודה'!$C$5)/$D$11)</f>
        <v>0</v>
      </c>
      <c r="V55" s="127">
        <f ca="1">IF($F55&gt;$D$5,0,VLOOKUP($F55,$F$24:$BZ$44,V$2-$E$2,FALSE)*$D$11*$D$14*(1+$D$13)^($F55-'הנחות עבודה'!$C$5)/$D$11)</f>
        <v>0</v>
      </c>
      <c r="W55" s="127">
        <f ca="1">IF($F55&gt;$D$5,0,VLOOKUP($F55,$F$24:$BZ$44,W$2-$E$2,FALSE)*$D$11*$D$14*(1+$D$13)^($F55-'הנחות עבודה'!$C$5)/$D$11)</f>
        <v>0</v>
      </c>
      <c r="X55" s="127">
        <f ca="1">IF($F55&gt;$D$5,0,VLOOKUP($F55,$F$24:$BZ$44,X$2-$E$2,FALSE)*$D$11*$D$14*(1+$D$13)^($F55-'הנחות עבודה'!$C$5)/$D$11)</f>
        <v>0</v>
      </c>
      <c r="Y55" s="52">
        <f ca="1">IF($F55&gt;$D$5,0,VLOOKUP($F55,$F$24:$BZ$44,Y$2-$E$2,FALSE)*$D$11*$D$14*(1+$D$13)^($F55-'הנחות עבודה'!$C$5)/$D$11)</f>
        <v>85.186678074386663</v>
      </c>
      <c r="Z55" s="52">
        <f ca="1">IF($F55&gt;$D$5,0,VLOOKUP($F55,$F$24:$BZ$44,Z$2-$E$2,FALSE)*$D$11*$D$14*(1+$D$13)^($F55-'הנחות עבודה'!$C$5)/$D$11)</f>
        <v>1281.3627273148297</v>
      </c>
      <c r="AA55" s="52">
        <f ca="1">IF($F55&gt;$D$5,0,VLOOKUP($F55,$F$24:$BZ$44,AA$2-$E$2,FALSE)*$D$11*$D$14*(1+$D$13)^($F55-'הנחות עבודה'!$C$5)/$D$11)</f>
        <v>0</v>
      </c>
      <c r="AB55" s="52">
        <f ca="1">IF($F55&gt;$D$5,0,VLOOKUP($F55,$F$24:$BZ$44,AB$2-$E$2,FALSE)*$D$11*$D$14*(1+$D$13)^($F55-'הנחות עבודה'!$C$5)/$D$11)</f>
        <v>0</v>
      </c>
      <c r="AC55" s="52">
        <f ca="1">IF($F55&gt;$D$5,0,VLOOKUP($F55,$F$24:$BZ$44,AC$2-$E$2,FALSE)*$D$11*$D$14*(1+$D$13)^($F55-'הנחות עבודה'!$C$5)/$D$11)</f>
        <v>495.45869671063366</v>
      </c>
      <c r="AD55" s="52">
        <f ca="1">IF($F55&gt;$D$5,0,VLOOKUP($F55,$F$24:$BZ$44,AD$2-$E$2,FALSE)*$D$11*$D$14*(1+$D$13)^($F55-'הנחות עבודה'!$C$5)/$D$11)</f>
        <v>0</v>
      </c>
      <c r="AE55" s="42">
        <f ca="1">IF($F55&gt;$D$5,0,VLOOKUP($F55,$F$24:$BZ$44,AE$2-$E$2,FALSE)*$D$11*$D$14*(1+$D$13)^($F55-'הנחות עבודה'!$C$5)/$D$11)</f>
        <v>0</v>
      </c>
      <c r="AF55" s="44">
        <f ca="1">IF($F55&gt;$D$5,0,VLOOKUP($F55,$F$24:$BZ$44,AF$2-$E$2,FALSE)*$D$11*$D$14*(1+$D$13)^($F55-'הנחות עבודה'!$C$5)/$D$11)</f>
        <v>0</v>
      </c>
      <c r="AG55" s="44">
        <f ca="1">IF($F55&gt;$D$5,0,VLOOKUP($F55,$F$24:$BZ$44,AG$2-$E$2,FALSE)*$D$11*$D$14*(1+$D$13)^($F55-'הנחות עבודה'!$C$5)/$D$11)</f>
        <v>0</v>
      </c>
      <c r="AH55" s="44">
        <f ca="1">IF($F55&gt;$D$5,0,VLOOKUP($F55,$F$24:$BZ$44,AH$2-$E$2,FALSE)*$D$11*$D$14*(1+$D$13)^($F55-'הנחות עבודה'!$C$5)/$D$11)</f>
        <v>0</v>
      </c>
      <c r="AI55" s="44">
        <f ca="1">IF($F55&gt;$D$5,0,VLOOKUP($F55,$F$24:$BZ$44,AI$2-$E$2,FALSE)*$D$11*$D$14*(1+$D$13)^($F55-'הנחות עבודה'!$C$5)/$D$11)</f>
        <v>0</v>
      </c>
      <c r="AJ55" s="44">
        <f ca="1">IF($F55&gt;$D$5,0,VLOOKUP($F55,$F$24:$BZ$44,AJ$2-$E$2,FALSE)*$D$11*$D$14*(1+$D$13)^($F55-'הנחות עבודה'!$C$5)/$D$11)</f>
        <v>0</v>
      </c>
      <c r="AK55" s="42">
        <f ca="1">IF($F55&gt;$D$5,0,VLOOKUP($F55,$F$24:$BZ$44,AK$2-$E$2,FALSE)*$D$11*$D$14*(1+$D$13)^($F55-'הנחות עבודה'!$C$5)/$D$11)</f>
        <v>83.155236192707122</v>
      </c>
      <c r="AL55" s="42">
        <f ca="1">IF($F55&gt;$D$5,0,VLOOKUP($F55,$F$24:$BZ$44,AL$2-$E$2,FALSE)*$D$11*$D$14*(1+$D$13)^($F55-'הנחות עבודה'!$C$5)/$D$11)</f>
        <v>1219.4656761781246</v>
      </c>
      <c r="AM55" s="42">
        <f ca="1">IF($F55&gt;$D$5,0,VLOOKUP($F55,$F$24:$BZ$44,AM$2-$E$2,FALSE)*$D$11*$D$14*(1+$D$13)^($F55-'הנחות עבודה'!$C$5)/$D$11)</f>
        <v>0</v>
      </c>
      <c r="AN55" s="42">
        <f ca="1">IF($F55&gt;$D$5,0,VLOOKUP($F55,$F$24:$BZ$44,AN$2-$E$2,FALSE)*$D$11*$D$14*(1+$D$13)^($F55-'הנחות עבודה'!$C$5)/$D$11)</f>
        <v>0</v>
      </c>
      <c r="AO55" s="42">
        <f ca="1">IF($F55&gt;$D$5,0,VLOOKUP($F55,$F$24:$BZ$44,AO$2-$E$2,FALSE)*$D$11*$D$14*(1+$D$13)^($F55-'הנחות עבודה'!$C$5)/$D$11)</f>
        <v>494.29928628616022</v>
      </c>
      <c r="AP55" s="42">
        <f ca="1">IF($F55&gt;$D$5,0,VLOOKUP($F55,$F$24:$BZ$44,AP$2-$E$2,FALSE)*$D$11*$D$14*(1+$D$13)^($F55-'הנחות עבודה'!$C$5)/$D$11)</f>
        <v>0</v>
      </c>
      <c r="AQ55" s="52">
        <f ca="1">IF($F55&gt;$D$5,0,VLOOKUP($F55,$F$24:$BZ$44,AQ$2-$E$2,FALSE)*$D$11*$D$14*(1+$D$13)^($F55-'הנחות עבודה'!$C$5)/$D$11)</f>
        <v>0</v>
      </c>
      <c r="AR55" s="127">
        <f ca="1">IF($F55&gt;$D$5,0,VLOOKUP($F55,$F$24:$BZ$44,AR$2-$E$2,FALSE)*$D$11*$D$14*(1+$D$13)^($F55-'הנחות עבודה'!$C$5)/$D$11)</f>
        <v>0</v>
      </c>
      <c r="AS55" s="127">
        <f ca="1">IF($F55&gt;$D$5,0,VLOOKUP($F55,$F$24:$BZ$44,AS$2-$E$2,FALSE)*$D$11*$D$14*(1+$D$13)^($F55-'הנחות עבודה'!$C$5)/$D$11)</f>
        <v>0</v>
      </c>
      <c r="AT55" s="127">
        <f ca="1">IF($F55&gt;$D$5,0,VLOOKUP($F55,$F$24:$BZ$44,AT$2-$E$2,FALSE)*$D$11*$D$14*(1+$D$13)^($F55-'הנחות עבודה'!$C$5)/$D$11)</f>
        <v>0</v>
      </c>
      <c r="AU55" s="127">
        <f ca="1">IF($F55&gt;$D$5,0,VLOOKUP($F55,$F$24:$BZ$44,AU$2-$E$2,FALSE)*$D$11*$D$14*(1+$D$13)^($F55-'הנחות עבודה'!$C$5)/$D$11)</f>
        <v>0</v>
      </c>
      <c r="AV55" s="127">
        <f ca="1">IF($F55&gt;$D$5,0,VLOOKUP($F55,$F$24:$BZ$44,AV$2-$E$2,FALSE)*$D$11*$D$14*(1+$D$13)^($F55-'הנחות עבודה'!$C$5)/$D$11)</f>
        <v>0</v>
      </c>
      <c r="AW55" s="52">
        <f ca="1">IF($F55&gt;$D$5,0,VLOOKUP($F55,$F$24:$BZ$44,AW$2-$E$2,FALSE)*$D$11*$D$14*(1+$D$13)^($F55-'הנחות עבודה'!$C$5)/$D$11)</f>
        <v>83.155236192707122</v>
      </c>
      <c r="AX55" s="52">
        <f ca="1">IF($F55&gt;$D$5,0,VLOOKUP($F55,$F$24:$BZ$44,AX$2-$E$2,FALSE)*$D$11*$D$14*(1+$D$13)^($F55-'הנחות עבודה'!$C$5)/$D$11)</f>
        <v>1219.4656761781246</v>
      </c>
      <c r="AY55" s="52">
        <f ca="1">IF($F55&gt;$D$5,0,VLOOKUP($F55,$F$24:$BZ$44,AY$2-$E$2,FALSE)*$D$11*$D$14*(1+$D$13)^($F55-'הנחות עבודה'!$C$5)/$D$11)</f>
        <v>0</v>
      </c>
      <c r="AZ55" s="52">
        <f ca="1">IF($F55&gt;$D$5,0,VLOOKUP($F55,$F$24:$BZ$44,AZ$2-$E$2,FALSE)*$D$11*$D$14*(1+$D$13)^($F55-'הנחות עבודה'!$C$5)/$D$11)</f>
        <v>0</v>
      </c>
      <c r="BA55" s="52">
        <f ca="1">IF($F55&gt;$D$5,0,VLOOKUP($F55,$F$24:$BZ$44,BA$2-$E$2,FALSE)*$D$11*$D$14*(1+$D$13)^($F55-'הנחות עבודה'!$C$5)/$D$11)</f>
        <v>494.29928628616022</v>
      </c>
      <c r="BB55" s="52">
        <f ca="1">IF($F55&gt;$D$5,0,VLOOKUP($F55,$F$24:$BZ$44,BB$2-$E$2,FALSE)*$D$11*$D$14*(1+$D$13)^($F55-'הנחות עבודה'!$C$5)/$D$11)</f>
        <v>0</v>
      </c>
      <c r="BC55" s="42">
        <f ca="1">IF($F55&gt;$D$5,0,VLOOKUP($F55,$F$24:$BZ$44,BC$2-$E$2,FALSE)*$D$11*$D$14*(1+$D$13)^($F55-'הנחות עבודה'!$C$5)/$D$11)</f>
        <v>0</v>
      </c>
      <c r="BD55" s="44">
        <f ca="1">IF($F55&gt;$D$5,0,VLOOKUP($F55,$F$24:$BZ$44,BD$2-$E$2,FALSE)*$D$11*$D$14*(1+$D$13)^($F55-'הנחות עבודה'!$C$5)/$D$11)</f>
        <v>0</v>
      </c>
      <c r="BE55" s="44">
        <f ca="1">IF($F55&gt;$D$5,0,VLOOKUP($F55,$F$24:$BZ$44,BE$2-$E$2,FALSE)*$D$11*$D$14*(1+$D$13)^($F55-'הנחות עבודה'!$C$5)/$D$11)</f>
        <v>0</v>
      </c>
      <c r="BF55" s="44">
        <f ca="1">IF($F55&gt;$D$5,0,VLOOKUP($F55,$F$24:$BZ$44,BF$2-$E$2,FALSE)*$D$11*$D$14*(1+$D$13)^($F55-'הנחות עבודה'!$C$5)/$D$11)</f>
        <v>0</v>
      </c>
      <c r="BG55" s="44">
        <f ca="1">IF($F55&gt;$D$5,0,VLOOKUP($F55,$F$24:$BZ$44,BG$2-$E$2,FALSE)*$D$11*$D$14*(1+$D$13)^($F55-'הנחות עבודה'!$C$5)/$D$11)</f>
        <v>0</v>
      </c>
      <c r="BH55" s="44">
        <f ca="1">IF($F55&gt;$D$5,0,VLOOKUP($F55,$F$24:$BZ$44,BH$2-$E$2,FALSE)*$D$11*$D$14*(1+$D$13)^($F55-'הנחות עבודה'!$C$5)/$D$11)</f>
        <v>0</v>
      </c>
      <c r="BI55" s="42">
        <f ca="1">IF($F55&gt;$D$5,0,VLOOKUP($F55,$F$24:$BZ$44,BI$2-$E$2,FALSE)*$D$11*$D$14*(1+$D$13)^($F55-'הנחות עבודה'!$C$5)/$D$11)</f>
        <v>82.714235549185474</v>
      </c>
      <c r="BJ55" s="42">
        <f ca="1">IF($F55&gt;$D$5,0,VLOOKUP($F55,$F$24:$BZ$44,BJ$2-$E$2,FALSE)*$D$11*$D$14*(1+$D$13)^($F55-'הנחות עבודה'!$C$5)/$D$11)</f>
        <v>1185.1175204585832</v>
      </c>
      <c r="BK55" s="42">
        <f ca="1">IF($F55&gt;$D$5,0,VLOOKUP($F55,$F$24:$BZ$44,BK$2-$E$2,FALSE)*$D$11*$D$14*(1+$D$13)^($F55-'הנחות עבודה'!$C$5)/$D$11)</f>
        <v>0</v>
      </c>
      <c r="BL55" s="42">
        <f ca="1">IF($F55&gt;$D$5,0,VLOOKUP($F55,$F$24:$BZ$44,BL$2-$E$2,FALSE)*$D$11*$D$14*(1+$D$13)^($F55-'הנחות עבודה'!$C$5)/$D$11)</f>
        <v>0</v>
      </c>
      <c r="BM55" s="42">
        <f ca="1">IF($F55&gt;$D$5,0,VLOOKUP($F55,$F$24:$BZ$44,BM$2-$E$2,FALSE)*$D$11*$D$14*(1+$D$13)^($F55-'הנחות עבודה'!$C$5)/$D$11)</f>
        <v>494.04469303105452</v>
      </c>
      <c r="BN55" s="42">
        <f ca="1">IF($F55&gt;$D$5,0,VLOOKUP($F55,$F$24:$BZ$44,BN$2-$E$2,FALSE)*$D$11*$D$14*(1+$D$13)^($F55-'הנחות עבודה'!$C$5)/$D$11)</f>
        <v>0</v>
      </c>
      <c r="BO55" s="52">
        <f ca="1">IF($F55&gt;$D$5,0,VLOOKUP($F55,$F$24:$BZ$44,BO$2-$E$2,FALSE)*$D$11*$D$14*(1+$D$13)^($F55-'הנחות עבודה'!$C$5)/$D$11)</f>
        <v>0</v>
      </c>
      <c r="BP55" s="127">
        <f ca="1">IF($F55&gt;$D$5,0,VLOOKUP($F55,$F$24:$BZ$44,BP$2-$E$2,FALSE)*$D$11*$D$14*(1+$D$13)^($F55-'הנחות עבודה'!$C$5)/$D$11)</f>
        <v>0</v>
      </c>
      <c r="BQ55" s="127">
        <f ca="1">IF($F55&gt;$D$5,0,VLOOKUP($F55,$F$24:$BZ$44,BQ$2-$E$2,FALSE)*$D$11*$D$14*(1+$D$13)^($F55-'הנחות עבודה'!$C$5)/$D$11)</f>
        <v>0</v>
      </c>
      <c r="BR55" s="127">
        <f ca="1">IF($F55&gt;$D$5,0,VLOOKUP($F55,$F$24:$BZ$44,BR$2-$E$2,FALSE)*$D$11*$D$14*(1+$D$13)^($F55-'הנחות עבודה'!$C$5)/$D$11)</f>
        <v>0</v>
      </c>
      <c r="BS55" s="127">
        <f ca="1">IF($F55&gt;$D$5,0,VLOOKUP($F55,$F$24:$BZ$44,BS$2-$E$2,FALSE)*$D$11*$D$14*(1+$D$13)^($F55-'הנחות עבודה'!$C$5)/$D$11)</f>
        <v>0</v>
      </c>
      <c r="BT55" s="127">
        <f ca="1">IF($F55&gt;$D$5,0,VLOOKUP($F55,$F$24:$BZ$44,BT$2-$E$2,FALSE)*$D$11*$D$14*(1+$D$13)^($F55-'הנחות עבודה'!$C$5)/$D$11)</f>
        <v>0</v>
      </c>
      <c r="BU55" s="52">
        <f ca="1">IF($F55&gt;$D$5,0,VLOOKUP($F55,$F$24:$BZ$44,BU$2-$E$2,FALSE)*$D$11*$D$14*(1+$D$13)^($F55-'הנחות עבודה'!$C$5)/$D$11)</f>
        <v>82.714235549185474</v>
      </c>
      <c r="BV55" s="52">
        <f ca="1">IF($F55&gt;$D$5,0,VLOOKUP($F55,$F$24:$BZ$44,BV$2-$E$2,FALSE)*$D$11*$D$14*(1+$D$13)^($F55-'הנחות עבודה'!$C$5)/$D$11)</f>
        <v>1185.1175204585832</v>
      </c>
      <c r="BW55" s="52">
        <f ca="1">IF($F55&gt;$D$5,0,VLOOKUP($F55,$F$24:$BZ$44,BW$2-$E$2,FALSE)*$D$11*$D$14*(1+$D$13)^($F55-'הנחות עבודה'!$C$5)/$D$11)</f>
        <v>0</v>
      </c>
      <c r="BX55" s="52">
        <f ca="1">IF($F55&gt;$D$5,0,VLOOKUP($F55,$F$24:$BZ$44,BX$2-$E$2,FALSE)*$D$11*$D$14*(1+$D$13)^($F55-'הנחות עבודה'!$C$5)/$D$11)</f>
        <v>0</v>
      </c>
      <c r="BY55" s="52">
        <f ca="1">IF($F55&gt;$D$5,0,VLOOKUP($F55,$F$24:$BZ$44,BY$2-$E$2,FALSE)*$D$11*$D$14*(1+$D$13)^($F55-'הנחות עבודה'!$C$5)/$D$11)</f>
        <v>494.04469303105452</v>
      </c>
      <c r="BZ55" s="52">
        <f ca="1">IF($F55&gt;$D$5,0,VLOOKUP($F55,$F$24:$BZ$44,BZ$2-$E$2,FALSE)*$D$11*$D$14*(1+$D$13)^($F55-'הנחות עבודה'!$C$5)/$D$11)</f>
        <v>0</v>
      </c>
    </row>
    <row r="56" spans="6:78" ht="15.75">
      <c r="F56" s="10">
        <f t="shared" si="125"/>
        <v>2025</v>
      </c>
      <c r="G56" s="42">
        <f ca="1">IF($F56&gt;$D$5,0,VLOOKUP($F56,$F$24:$BZ$44,G$2-$E$2,FALSE)*$D$11*$D$14*(1+$D$13)^($F56-'הנחות עבודה'!$C$5)/$D$11)</f>
        <v>0</v>
      </c>
      <c r="H56" s="44">
        <f ca="1">IF($F56&gt;$D$5,0,VLOOKUP($F56,$F$24:$BZ$44,H$2-$E$2,FALSE)*$D$11*$D$14*(1+$D$13)^($F56-'הנחות עבודה'!$C$5)/$D$11)</f>
        <v>0</v>
      </c>
      <c r="I56" s="44">
        <f ca="1">IF($F56&gt;$D$5,0,VLOOKUP($F56,$F$24:$BZ$44,I$2-$E$2,FALSE)*$D$11*$D$14*(1+$D$13)^($F56-'הנחות עבודה'!$C$5)/$D$11)</f>
        <v>0</v>
      </c>
      <c r="J56" s="44">
        <f ca="1">IF($F56&gt;$D$5,0,VLOOKUP($F56,$F$24:$BZ$44,J$2-$E$2,FALSE)*$D$11*$D$14*(1+$D$13)^($F56-'הנחות עבודה'!$C$5)/$D$11)</f>
        <v>0</v>
      </c>
      <c r="K56" s="44">
        <f ca="1">IF($F56&gt;$D$5,0,VLOOKUP($F56,$F$24:$BZ$44,K$2-$E$2,FALSE)*$D$11*$D$14*(1+$D$13)^($F56-'הנחות עבודה'!$C$5)/$D$11)</f>
        <v>0</v>
      </c>
      <c r="L56" s="44">
        <f ca="1">IF($F56&gt;$D$5,0,VLOOKUP($F56,$F$24:$BZ$44,L$2-$E$2,FALSE)*$D$11*$D$14*(1+$D$13)^($F56-'הנחות עבודה'!$C$5)/$D$11)</f>
        <v>0</v>
      </c>
      <c r="M56" s="42">
        <f ca="1">IF($F56&gt;$D$5,0,VLOOKUP($F56,$F$24:$BZ$44,M$2-$E$2,FALSE)*$D$11*$D$14*(1+$D$13)^($F56-'הנחות עבודה'!$C$5)/$D$11)</f>
        <v>308.11877879438788</v>
      </c>
      <c r="N56" s="42">
        <f ca="1">IF($F56&gt;$D$5,0,VLOOKUP($F56,$F$24:$BZ$44,N$2-$E$2,FALSE)*$D$11*$D$14*(1+$D$13)^($F56-'הנחות עבודה'!$C$5)/$D$11)</f>
        <v>1364.0768190727292</v>
      </c>
      <c r="O56" s="42">
        <f ca="1">IF($F56&gt;$D$5,0,VLOOKUP($F56,$F$24:$BZ$44,O$2-$E$2,FALSE)*$D$11*$D$14*(1+$D$13)^($F56-'הנחות עבודה'!$C$5)/$D$11)</f>
        <v>0</v>
      </c>
      <c r="P56" s="42">
        <f ca="1">IF($F56&gt;$D$5,0,VLOOKUP($F56,$F$24:$BZ$44,P$2-$E$2,FALSE)*$D$11*$D$14*(1+$D$13)^($F56-'הנחות עבודה'!$C$5)/$D$11)</f>
        <v>0</v>
      </c>
      <c r="Q56" s="42">
        <f ca="1">IF($F56&gt;$D$5,0,VLOOKUP($F56,$F$24:$BZ$44,Q$2-$E$2,FALSE)*$D$11*$D$14*(1+$D$13)^($F56-'הנחות עבודה'!$C$5)/$D$11)</f>
        <v>148.32059389935131</v>
      </c>
      <c r="R56" s="42">
        <f ca="1">IF($F56&gt;$D$5,0,VLOOKUP($F56,$F$24:$BZ$44,R$2-$E$2,FALSE)*$D$11*$D$14*(1+$D$13)^($F56-'הנחות עבודה'!$C$5)/$D$11)</f>
        <v>0</v>
      </c>
      <c r="S56" s="52">
        <f ca="1">IF($F56&gt;$D$5,0,VLOOKUP($F56,$F$24:$BZ$44,S$2-$E$2,FALSE)*$D$11*$D$14*(1+$D$13)^($F56-'הנחות עבודה'!$C$5)/$D$11)</f>
        <v>0</v>
      </c>
      <c r="T56" s="127">
        <f ca="1">IF($F56&gt;$D$5,0,VLOOKUP($F56,$F$24:$BZ$44,T$2-$E$2,FALSE)*$D$11*$D$14*(1+$D$13)^($F56-'הנחות עבודה'!$C$5)/$D$11)</f>
        <v>0</v>
      </c>
      <c r="U56" s="127">
        <f ca="1">IF($F56&gt;$D$5,0,VLOOKUP($F56,$F$24:$BZ$44,U$2-$E$2,FALSE)*$D$11*$D$14*(1+$D$13)^($F56-'הנחות עבודה'!$C$5)/$D$11)</f>
        <v>0</v>
      </c>
      <c r="V56" s="127">
        <f ca="1">IF($F56&gt;$D$5,0,VLOOKUP($F56,$F$24:$BZ$44,V$2-$E$2,FALSE)*$D$11*$D$14*(1+$D$13)^($F56-'הנחות עבודה'!$C$5)/$D$11)</f>
        <v>0</v>
      </c>
      <c r="W56" s="127">
        <f ca="1">IF($F56&gt;$D$5,0,VLOOKUP($F56,$F$24:$BZ$44,W$2-$E$2,FALSE)*$D$11*$D$14*(1+$D$13)^($F56-'הנחות עבודה'!$C$5)/$D$11)</f>
        <v>0</v>
      </c>
      <c r="X56" s="127">
        <f ca="1">IF($F56&gt;$D$5,0,VLOOKUP($F56,$F$24:$BZ$44,X$2-$E$2,FALSE)*$D$11*$D$14*(1+$D$13)^($F56-'הנחות עבודה'!$C$5)/$D$11)</f>
        <v>0</v>
      </c>
      <c r="Y56" s="52">
        <f ca="1">IF($F56&gt;$D$5,0,VLOOKUP($F56,$F$24:$BZ$44,Y$2-$E$2,FALSE)*$D$11*$D$14*(1+$D$13)^($F56-'הנחות עבודה'!$C$5)/$D$11)</f>
        <v>308.11877879438788</v>
      </c>
      <c r="Z56" s="52">
        <f ca="1">IF($F56&gt;$D$5,0,VLOOKUP($F56,$F$24:$BZ$44,Z$2-$E$2,FALSE)*$D$11*$D$14*(1+$D$13)^($F56-'הנחות עבודה'!$C$5)/$D$11)</f>
        <v>1364.0768190727292</v>
      </c>
      <c r="AA56" s="52">
        <f ca="1">IF($F56&gt;$D$5,0,VLOOKUP($F56,$F$24:$BZ$44,AA$2-$E$2,FALSE)*$D$11*$D$14*(1+$D$13)^($F56-'הנחות עבודה'!$C$5)/$D$11)</f>
        <v>0</v>
      </c>
      <c r="AB56" s="52">
        <f ca="1">IF($F56&gt;$D$5,0,VLOOKUP($F56,$F$24:$BZ$44,AB$2-$E$2,FALSE)*$D$11*$D$14*(1+$D$13)^($F56-'הנחות עבודה'!$C$5)/$D$11)</f>
        <v>0</v>
      </c>
      <c r="AC56" s="52">
        <f ca="1">IF($F56&gt;$D$5,0,VLOOKUP($F56,$F$24:$BZ$44,AC$2-$E$2,FALSE)*$D$11*$D$14*(1+$D$13)^($F56-'הנחות עבודה'!$C$5)/$D$11)</f>
        <v>148.32059389935131</v>
      </c>
      <c r="AD56" s="52">
        <f ca="1">IF($F56&gt;$D$5,0,VLOOKUP($F56,$F$24:$BZ$44,AD$2-$E$2,FALSE)*$D$11*$D$14*(1+$D$13)^($F56-'הנחות עבודה'!$C$5)/$D$11)</f>
        <v>0</v>
      </c>
      <c r="AE56" s="42">
        <f ca="1">IF($F56&gt;$D$5,0,VLOOKUP($F56,$F$24:$BZ$44,AE$2-$E$2,FALSE)*$D$11*$D$14*(1+$D$13)^($F56-'הנחות עבודה'!$C$5)/$D$11)</f>
        <v>0</v>
      </c>
      <c r="AF56" s="44">
        <f ca="1">IF($F56&gt;$D$5,0,VLOOKUP($F56,$F$24:$BZ$44,AF$2-$E$2,FALSE)*$D$11*$D$14*(1+$D$13)^($F56-'הנחות עבודה'!$C$5)/$D$11)</f>
        <v>0</v>
      </c>
      <c r="AG56" s="44">
        <f ca="1">IF($F56&gt;$D$5,0,VLOOKUP($F56,$F$24:$BZ$44,AG$2-$E$2,FALSE)*$D$11*$D$14*(1+$D$13)^($F56-'הנחות עבודה'!$C$5)/$D$11)</f>
        <v>0</v>
      </c>
      <c r="AH56" s="44">
        <f ca="1">IF($F56&gt;$D$5,0,VLOOKUP($F56,$F$24:$BZ$44,AH$2-$E$2,FALSE)*$D$11*$D$14*(1+$D$13)^($F56-'הנחות עבודה'!$C$5)/$D$11)</f>
        <v>0</v>
      </c>
      <c r="AI56" s="44">
        <f ca="1">IF($F56&gt;$D$5,0,VLOOKUP($F56,$F$24:$BZ$44,AI$2-$E$2,FALSE)*$D$11*$D$14*(1+$D$13)^($F56-'הנחות עבודה'!$C$5)/$D$11)</f>
        <v>0</v>
      </c>
      <c r="AJ56" s="44">
        <f ca="1">IF($F56&gt;$D$5,0,VLOOKUP($F56,$F$24:$BZ$44,AJ$2-$E$2,FALSE)*$D$11*$D$14*(1+$D$13)^($F56-'הנחות עבודה'!$C$5)/$D$11)</f>
        <v>0</v>
      </c>
      <c r="AK56" s="42">
        <f ca="1">IF($F56&gt;$D$5,0,VLOOKUP($F56,$F$24:$BZ$44,AK$2-$E$2,FALSE)*$D$11*$D$14*(1+$D$13)^($F56-'הנחות עבודה'!$C$5)/$D$11)</f>
        <v>296.93800937643272</v>
      </c>
      <c r="AL56" s="42">
        <f ca="1">IF($F56&gt;$D$5,0,VLOOKUP($F56,$F$24:$BZ$44,AL$2-$E$2,FALSE)*$D$11*$D$14*(1+$D$13)^($F56-'הנחות עבודה'!$C$5)/$D$11)</f>
        <v>1286.9210537200022</v>
      </c>
      <c r="AM56" s="42">
        <f ca="1">IF($F56&gt;$D$5,0,VLOOKUP($F56,$F$24:$BZ$44,AM$2-$E$2,FALSE)*$D$11*$D$14*(1+$D$13)^($F56-'הנחות עבודה'!$C$5)/$D$11)</f>
        <v>0</v>
      </c>
      <c r="AN56" s="42">
        <f ca="1">IF($F56&gt;$D$5,0,VLOOKUP($F56,$F$24:$BZ$44,AN$2-$E$2,FALSE)*$D$11*$D$14*(1+$D$13)^($F56-'הנחות עבודה'!$C$5)/$D$11)</f>
        <v>0</v>
      </c>
      <c r="AO56" s="42">
        <f ca="1">IF($F56&gt;$D$5,0,VLOOKUP($F56,$F$24:$BZ$44,AO$2-$E$2,FALSE)*$D$11*$D$14*(1+$D$13)^($F56-'הנחות עבודה'!$C$5)/$D$11)</f>
        <v>148.09624054145559</v>
      </c>
      <c r="AP56" s="42">
        <f ca="1">IF($F56&gt;$D$5,0,VLOOKUP($F56,$F$24:$BZ$44,AP$2-$E$2,FALSE)*$D$11*$D$14*(1+$D$13)^($F56-'הנחות עבודה'!$C$5)/$D$11)</f>
        <v>0</v>
      </c>
      <c r="AQ56" s="52">
        <f ca="1">IF($F56&gt;$D$5,0,VLOOKUP($F56,$F$24:$BZ$44,AQ$2-$E$2,FALSE)*$D$11*$D$14*(1+$D$13)^($F56-'הנחות עבודה'!$C$5)/$D$11)</f>
        <v>0</v>
      </c>
      <c r="AR56" s="127">
        <f ca="1">IF($F56&gt;$D$5,0,VLOOKUP($F56,$F$24:$BZ$44,AR$2-$E$2,FALSE)*$D$11*$D$14*(1+$D$13)^($F56-'הנחות עבודה'!$C$5)/$D$11)</f>
        <v>0</v>
      </c>
      <c r="AS56" s="127">
        <f ca="1">IF($F56&gt;$D$5,0,VLOOKUP($F56,$F$24:$BZ$44,AS$2-$E$2,FALSE)*$D$11*$D$14*(1+$D$13)^($F56-'הנחות עבודה'!$C$5)/$D$11)</f>
        <v>0</v>
      </c>
      <c r="AT56" s="127">
        <f ca="1">IF($F56&gt;$D$5,0,VLOOKUP($F56,$F$24:$BZ$44,AT$2-$E$2,FALSE)*$D$11*$D$14*(1+$D$13)^($F56-'הנחות עבודה'!$C$5)/$D$11)</f>
        <v>0</v>
      </c>
      <c r="AU56" s="127">
        <f ca="1">IF($F56&gt;$D$5,0,VLOOKUP($F56,$F$24:$BZ$44,AU$2-$E$2,FALSE)*$D$11*$D$14*(1+$D$13)^($F56-'הנחות עבודה'!$C$5)/$D$11)</f>
        <v>0</v>
      </c>
      <c r="AV56" s="127">
        <f ca="1">IF($F56&gt;$D$5,0,VLOOKUP($F56,$F$24:$BZ$44,AV$2-$E$2,FALSE)*$D$11*$D$14*(1+$D$13)^($F56-'הנחות עבודה'!$C$5)/$D$11)</f>
        <v>0</v>
      </c>
      <c r="AW56" s="52">
        <f ca="1">IF($F56&gt;$D$5,0,VLOOKUP($F56,$F$24:$BZ$44,AW$2-$E$2,FALSE)*$D$11*$D$14*(1+$D$13)^($F56-'הנחות עבודה'!$C$5)/$D$11)</f>
        <v>296.93800937643272</v>
      </c>
      <c r="AX56" s="52">
        <f ca="1">IF($F56&gt;$D$5,0,VLOOKUP($F56,$F$24:$BZ$44,AX$2-$E$2,FALSE)*$D$11*$D$14*(1+$D$13)^($F56-'הנחות עבודה'!$C$5)/$D$11)</f>
        <v>1286.9210537200022</v>
      </c>
      <c r="AY56" s="52">
        <f ca="1">IF($F56&gt;$D$5,0,VLOOKUP($F56,$F$24:$BZ$44,AY$2-$E$2,FALSE)*$D$11*$D$14*(1+$D$13)^($F56-'הנחות עבודה'!$C$5)/$D$11)</f>
        <v>0</v>
      </c>
      <c r="AZ56" s="52">
        <f ca="1">IF($F56&gt;$D$5,0,VLOOKUP($F56,$F$24:$BZ$44,AZ$2-$E$2,FALSE)*$D$11*$D$14*(1+$D$13)^($F56-'הנחות עבודה'!$C$5)/$D$11)</f>
        <v>0</v>
      </c>
      <c r="BA56" s="52">
        <f ca="1">IF($F56&gt;$D$5,0,VLOOKUP($F56,$F$24:$BZ$44,BA$2-$E$2,FALSE)*$D$11*$D$14*(1+$D$13)^($F56-'הנחות עבודה'!$C$5)/$D$11)</f>
        <v>148.09624054145559</v>
      </c>
      <c r="BB56" s="52">
        <f ca="1">IF($F56&gt;$D$5,0,VLOOKUP($F56,$F$24:$BZ$44,BB$2-$E$2,FALSE)*$D$11*$D$14*(1+$D$13)^($F56-'הנחות עבודה'!$C$5)/$D$11)</f>
        <v>0</v>
      </c>
      <c r="BC56" s="42">
        <f ca="1">IF($F56&gt;$D$5,0,VLOOKUP($F56,$F$24:$BZ$44,BC$2-$E$2,FALSE)*$D$11*$D$14*(1+$D$13)^($F56-'הנחות עבודה'!$C$5)/$D$11)</f>
        <v>0</v>
      </c>
      <c r="BD56" s="44">
        <f ca="1">IF($F56&gt;$D$5,0,VLOOKUP($F56,$F$24:$BZ$44,BD$2-$E$2,FALSE)*$D$11*$D$14*(1+$D$13)^($F56-'הנחות עבודה'!$C$5)/$D$11)</f>
        <v>0</v>
      </c>
      <c r="BE56" s="44">
        <f ca="1">IF($F56&gt;$D$5,0,VLOOKUP($F56,$F$24:$BZ$44,BE$2-$E$2,FALSE)*$D$11*$D$14*(1+$D$13)^($F56-'הנחות עבודה'!$C$5)/$D$11)</f>
        <v>0</v>
      </c>
      <c r="BF56" s="44">
        <f ca="1">IF($F56&gt;$D$5,0,VLOOKUP($F56,$F$24:$BZ$44,BF$2-$E$2,FALSE)*$D$11*$D$14*(1+$D$13)^($F56-'הנחות עבודה'!$C$5)/$D$11)</f>
        <v>0</v>
      </c>
      <c r="BG56" s="44">
        <f ca="1">IF($F56&gt;$D$5,0,VLOOKUP($F56,$F$24:$BZ$44,BG$2-$E$2,FALSE)*$D$11*$D$14*(1+$D$13)^($F56-'הנחות עבודה'!$C$5)/$D$11)</f>
        <v>0</v>
      </c>
      <c r="BH56" s="44">
        <f ca="1">IF($F56&gt;$D$5,0,VLOOKUP($F56,$F$24:$BZ$44,BH$2-$E$2,FALSE)*$D$11*$D$14*(1+$D$13)^($F56-'הנחות עבודה'!$C$5)/$D$11)</f>
        <v>0</v>
      </c>
      <c r="BI56" s="42">
        <f ca="1">IF($F56&gt;$D$5,0,VLOOKUP($F56,$F$24:$BZ$44,BI$2-$E$2,FALSE)*$D$11*$D$14*(1+$D$13)^($F56-'הנחות עבודה'!$C$5)/$D$11)</f>
        <v>297.94974874602724</v>
      </c>
      <c r="BJ56" s="42">
        <f ca="1">IF($F56&gt;$D$5,0,VLOOKUP($F56,$F$24:$BZ$44,BJ$2-$E$2,FALSE)*$D$11*$D$14*(1+$D$13)^($F56-'הנחות עבודה'!$C$5)/$D$11)</f>
        <v>1239.9598855237598</v>
      </c>
      <c r="BK56" s="42">
        <f ca="1">IF($F56&gt;$D$5,0,VLOOKUP($F56,$F$24:$BZ$44,BK$2-$E$2,FALSE)*$D$11*$D$14*(1+$D$13)^($F56-'הנחות עבודה'!$C$5)/$D$11)</f>
        <v>0</v>
      </c>
      <c r="BL56" s="42">
        <f ca="1">IF($F56&gt;$D$5,0,VLOOKUP($F56,$F$24:$BZ$44,BL$2-$E$2,FALSE)*$D$11*$D$14*(1+$D$13)^($F56-'הנחות עבודה'!$C$5)/$D$11)</f>
        <v>0</v>
      </c>
      <c r="BM56" s="42">
        <f ca="1">IF($F56&gt;$D$5,0,VLOOKUP($F56,$F$24:$BZ$44,BM$2-$E$2,FALSE)*$D$11*$D$14*(1+$D$13)^($F56-'הנחות עבודה'!$C$5)/$D$11)</f>
        <v>147.83226391748761</v>
      </c>
      <c r="BN56" s="42">
        <f ca="1">IF($F56&gt;$D$5,0,VLOOKUP($F56,$F$24:$BZ$44,BN$2-$E$2,FALSE)*$D$11*$D$14*(1+$D$13)^($F56-'הנחות עבודה'!$C$5)/$D$11)</f>
        <v>0</v>
      </c>
      <c r="BO56" s="52">
        <f ca="1">IF($F56&gt;$D$5,0,VLOOKUP($F56,$F$24:$BZ$44,BO$2-$E$2,FALSE)*$D$11*$D$14*(1+$D$13)^($F56-'הנחות עבודה'!$C$5)/$D$11)</f>
        <v>0</v>
      </c>
      <c r="BP56" s="127">
        <f ca="1">IF($F56&gt;$D$5,0,VLOOKUP($F56,$F$24:$BZ$44,BP$2-$E$2,FALSE)*$D$11*$D$14*(1+$D$13)^($F56-'הנחות עבודה'!$C$5)/$D$11)</f>
        <v>0</v>
      </c>
      <c r="BQ56" s="127">
        <f ca="1">IF($F56&gt;$D$5,0,VLOOKUP($F56,$F$24:$BZ$44,BQ$2-$E$2,FALSE)*$D$11*$D$14*(1+$D$13)^($F56-'הנחות עבודה'!$C$5)/$D$11)</f>
        <v>0</v>
      </c>
      <c r="BR56" s="127">
        <f ca="1">IF($F56&gt;$D$5,0,VLOOKUP($F56,$F$24:$BZ$44,BR$2-$E$2,FALSE)*$D$11*$D$14*(1+$D$13)^($F56-'הנחות עבודה'!$C$5)/$D$11)</f>
        <v>0</v>
      </c>
      <c r="BS56" s="127">
        <f ca="1">IF($F56&gt;$D$5,0,VLOOKUP($F56,$F$24:$BZ$44,BS$2-$E$2,FALSE)*$D$11*$D$14*(1+$D$13)^($F56-'הנחות עבודה'!$C$5)/$D$11)</f>
        <v>0</v>
      </c>
      <c r="BT56" s="127">
        <f ca="1">IF($F56&gt;$D$5,0,VLOOKUP($F56,$F$24:$BZ$44,BT$2-$E$2,FALSE)*$D$11*$D$14*(1+$D$13)^($F56-'הנחות עבודה'!$C$5)/$D$11)</f>
        <v>0</v>
      </c>
      <c r="BU56" s="52">
        <f ca="1">IF($F56&gt;$D$5,0,VLOOKUP($F56,$F$24:$BZ$44,BU$2-$E$2,FALSE)*$D$11*$D$14*(1+$D$13)^($F56-'הנחות עבודה'!$C$5)/$D$11)</f>
        <v>297.94974874602724</v>
      </c>
      <c r="BV56" s="52">
        <f ca="1">IF($F56&gt;$D$5,0,VLOOKUP($F56,$F$24:$BZ$44,BV$2-$E$2,FALSE)*$D$11*$D$14*(1+$D$13)^($F56-'הנחות עבודה'!$C$5)/$D$11)</f>
        <v>1239.9598855237598</v>
      </c>
      <c r="BW56" s="52">
        <f ca="1">IF($F56&gt;$D$5,0,VLOOKUP($F56,$F$24:$BZ$44,BW$2-$E$2,FALSE)*$D$11*$D$14*(1+$D$13)^($F56-'הנחות עבודה'!$C$5)/$D$11)</f>
        <v>0</v>
      </c>
      <c r="BX56" s="52">
        <f ca="1">IF($F56&gt;$D$5,0,VLOOKUP($F56,$F$24:$BZ$44,BX$2-$E$2,FALSE)*$D$11*$D$14*(1+$D$13)^($F56-'הנחות עבודה'!$C$5)/$D$11)</f>
        <v>0</v>
      </c>
      <c r="BY56" s="52">
        <f ca="1">IF($F56&gt;$D$5,0,VLOOKUP($F56,$F$24:$BZ$44,BY$2-$E$2,FALSE)*$D$11*$D$14*(1+$D$13)^($F56-'הנחות עבודה'!$C$5)/$D$11)</f>
        <v>147.83226391748761</v>
      </c>
      <c r="BZ56" s="52">
        <f ca="1">IF($F56&gt;$D$5,0,VLOOKUP($F56,$F$24:$BZ$44,BZ$2-$E$2,FALSE)*$D$11*$D$14*(1+$D$13)^($F56-'הנחות עבודה'!$C$5)/$D$11)</f>
        <v>0</v>
      </c>
    </row>
    <row r="57" spans="6:78" ht="15.75">
      <c r="F57" s="10">
        <f t="shared" si="125"/>
        <v>2026</v>
      </c>
      <c r="G57" s="42">
        <f ca="1">IF($F57&gt;$D$5,0,VLOOKUP($F57,$F$24:$BZ$44,G$2-$E$2,FALSE)*$D$11*$D$14*(1+$D$13)^($F57-'הנחות עבודה'!$C$5)/$D$11)</f>
        <v>0</v>
      </c>
      <c r="H57" s="44">
        <f ca="1">IF($F57&gt;$D$5,0,VLOOKUP($F57,$F$24:$BZ$44,H$2-$E$2,FALSE)*$D$11*$D$14*(1+$D$13)^($F57-'הנחות עבודה'!$C$5)/$D$11)</f>
        <v>0</v>
      </c>
      <c r="I57" s="44">
        <f ca="1">IF($F57&gt;$D$5,0,VLOOKUP($F57,$F$24:$BZ$44,I$2-$E$2,FALSE)*$D$11*$D$14*(1+$D$13)^($F57-'הנחות עבודה'!$C$5)/$D$11)</f>
        <v>0</v>
      </c>
      <c r="J57" s="44">
        <f ca="1">IF($F57&gt;$D$5,0,VLOOKUP($F57,$F$24:$BZ$44,J$2-$E$2,FALSE)*$D$11*$D$14*(1+$D$13)^($F57-'הנחות עבודה'!$C$5)/$D$11)</f>
        <v>0</v>
      </c>
      <c r="K57" s="44">
        <f ca="1">IF($F57&gt;$D$5,0,VLOOKUP($F57,$F$24:$BZ$44,K$2-$E$2,FALSE)*$D$11*$D$14*(1+$D$13)^($F57-'הנחות עבודה'!$C$5)/$D$11)</f>
        <v>0</v>
      </c>
      <c r="L57" s="44">
        <f ca="1">IF($F57&gt;$D$5,0,VLOOKUP($F57,$F$24:$BZ$44,L$2-$E$2,FALSE)*$D$11*$D$14*(1+$D$13)^($F57-'הנחות עבודה'!$C$5)/$D$11)</f>
        <v>0</v>
      </c>
      <c r="M57" s="42">
        <f ca="1">IF($F57&gt;$D$5,0,VLOOKUP($F57,$F$24:$BZ$44,M$2-$E$2,FALSE)*$D$11*$D$14*(1+$D$13)^($F57-'הנחות עבודה'!$C$5)/$D$11)</f>
        <v>526.38997314620633</v>
      </c>
      <c r="N57" s="42">
        <f ca="1">IF($F57&gt;$D$5,0,VLOOKUP($F57,$F$24:$BZ$44,N$2-$E$2,FALSE)*$D$11*$D$14*(1+$D$13)^($F57-'הנחות עבודה'!$C$5)/$D$11)</f>
        <v>1364.060479985659</v>
      </c>
      <c r="O57" s="42">
        <f ca="1">IF($F57&gt;$D$5,0,VLOOKUP($F57,$F$24:$BZ$44,O$2-$E$2,FALSE)*$D$11*$D$14*(1+$D$13)^($F57-'הנחות עבודה'!$C$5)/$D$11)</f>
        <v>0</v>
      </c>
      <c r="P57" s="42">
        <f ca="1">IF($F57&gt;$D$5,0,VLOOKUP($F57,$F$24:$BZ$44,P$2-$E$2,FALSE)*$D$11*$D$14*(1+$D$13)^($F57-'הנחות עבודה'!$C$5)/$D$11)</f>
        <v>0</v>
      </c>
      <c r="Q57" s="42">
        <f ca="1">IF($F57&gt;$D$5,0,VLOOKUP($F57,$F$24:$BZ$44,Q$2-$E$2,FALSE)*$D$11*$D$14*(1+$D$13)^($F57-'הנחות עבודה'!$C$5)/$D$11)</f>
        <v>0</v>
      </c>
      <c r="R57" s="42">
        <f ca="1">IF($F57&gt;$D$5,0,VLOOKUP($F57,$F$24:$BZ$44,R$2-$E$2,FALSE)*$D$11*$D$14*(1+$D$13)^($F57-'הנחות עבודה'!$C$5)/$D$11)</f>
        <v>0</v>
      </c>
      <c r="S57" s="52">
        <f ca="1">IF($F57&gt;$D$5,0,VLOOKUP($F57,$F$24:$BZ$44,S$2-$E$2,FALSE)*$D$11*$D$14*(1+$D$13)^($F57-'הנחות עבודה'!$C$5)/$D$11)</f>
        <v>0</v>
      </c>
      <c r="T57" s="127">
        <f ca="1">IF($F57&gt;$D$5,0,VLOOKUP($F57,$F$24:$BZ$44,T$2-$E$2,FALSE)*$D$11*$D$14*(1+$D$13)^($F57-'הנחות עבודה'!$C$5)/$D$11)</f>
        <v>0</v>
      </c>
      <c r="U57" s="127">
        <f ca="1">IF($F57&gt;$D$5,0,VLOOKUP($F57,$F$24:$BZ$44,U$2-$E$2,FALSE)*$D$11*$D$14*(1+$D$13)^($F57-'הנחות עבודה'!$C$5)/$D$11)</f>
        <v>0</v>
      </c>
      <c r="V57" s="127">
        <f ca="1">IF($F57&gt;$D$5,0,VLOOKUP($F57,$F$24:$BZ$44,V$2-$E$2,FALSE)*$D$11*$D$14*(1+$D$13)^($F57-'הנחות עבודה'!$C$5)/$D$11)</f>
        <v>0</v>
      </c>
      <c r="W57" s="127">
        <f ca="1">IF($F57&gt;$D$5,0,VLOOKUP($F57,$F$24:$BZ$44,W$2-$E$2,FALSE)*$D$11*$D$14*(1+$D$13)^($F57-'הנחות עבודה'!$C$5)/$D$11)</f>
        <v>0</v>
      </c>
      <c r="X57" s="127">
        <f ca="1">IF($F57&gt;$D$5,0,VLOOKUP($F57,$F$24:$BZ$44,X$2-$E$2,FALSE)*$D$11*$D$14*(1+$D$13)^($F57-'הנחות עבודה'!$C$5)/$D$11)</f>
        <v>0</v>
      </c>
      <c r="Y57" s="52">
        <f ca="1">IF($F57&gt;$D$5,0,VLOOKUP($F57,$F$24:$BZ$44,Y$2-$E$2,FALSE)*$D$11*$D$14*(1+$D$13)^($F57-'הנחות עבודה'!$C$5)/$D$11)</f>
        <v>526.38997314620633</v>
      </c>
      <c r="Z57" s="52">
        <f ca="1">IF($F57&gt;$D$5,0,VLOOKUP($F57,$F$24:$BZ$44,Z$2-$E$2,FALSE)*$D$11*$D$14*(1+$D$13)^($F57-'הנחות עבודה'!$C$5)/$D$11)</f>
        <v>1364.060479985659</v>
      </c>
      <c r="AA57" s="52">
        <f ca="1">IF($F57&gt;$D$5,0,VLOOKUP($F57,$F$24:$BZ$44,AA$2-$E$2,FALSE)*$D$11*$D$14*(1+$D$13)^($F57-'הנחות עבודה'!$C$5)/$D$11)</f>
        <v>0</v>
      </c>
      <c r="AB57" s="52">
        <f ca="1">IF($F57&gt;$D$5,0,VLOOKUP($F57,$F$24:$BZ$44,AB$2-$E$2,FALSE)*$D$11*$D$14*(1+$D$13)^($F57-'הנחות עבודה'!$C$5)/$D$11)</f>
        <v>0</v>
      </c>
      <c r="AC57" s="52">
        <f ca="1">IF($F57&gt;$D$5,0,VLOOKUP($F57,$F$24:$BZ$44,AC$2-$E$2,FALSE)*$D$11*$D$14*(1+$D$13)^($F57-'הנחות עבודה'!$C$5)/$D$11)</f>
        <v>0</v>
      </c>
      <c r="AD57" s="52">
        <f ca="1">IF($F57&gt;$D$5,0,VLOOKUP($F57,$F$24:$BZ$44,AD$2-$E$2,FALSE)*$D$11*$D$14*(1+$D$13)^($F57-'הנחות עבודה'!$C$5)/$D$11)</f>
        <v>0</v>
      </c>
      <c r="AE57" s="42">
        <f ca="1">IF($F57&gt;$D$5,0,VLOOKUP($F57,$F$24:$BZ$44,AE$2-$E$2,FALSE)*$D$11*$D$14*(1+$D$13)^($F57-'הנחות עבודה'!$C$5)/$D$11)</f>
        <v>0</v>
      </c>
      <c r="AF57" s="44">
        <f ca="1">IF($F57&gt;$D$5,0,VLOOKUP($F57,$F$24:$BZ$44,AF$2-$E$2,FALSE)*$D$11*$D$14*(1+$D$13)^($F57-'הנחות עבודה'!$C$5)/$D$11)</f>
        <v>0</v>
      </c>
      <c r="AG57" s="44">
        <f ca="1">IF($F57&gt;$D$5,0,VLOOKUP($F57,$F$24:$BZ$44,AG$2-$E$2,FALSE)*$D$11*$D$14*(1+$D$13)^($F57-'הנחות עבודה'!$C$5)/$D$11)</f>
        <v>0</v>
      </c>
      <c r="AH57" s="44">
        <f ca="1">IF($F57&gt;$D$5,0,VLOOKUP($F57,$F$24:$BZ$44,AH$2-$E$2,FALSE)*$D$11*$D$14*(1+$D$13)^($F57-'הנחות עבודה'!$C$5)/$D$11)</f>
        <v>0</v>
      </c>
      <c r="AI57" s="44">
        <f ca="1">IF($F57&gt;$D$5,0,VLOOKUP($F57,$F$24:$BZ$44,AI$2-$E$2,FALSE)*$D$11*$D$14*(1+$D$13)^($F57-'הנחות עבודה'!$C$5)/$D$11)</f>
        <v>0</v>
      </c>
      <c r="AJ57" s="44">
        <f ca="1">IF($F57&gt;$D$5,0,VLOOKUP($F57,$F$24:$BZ$44,AJ$2-$E$2,FALSE)*$D$11*$D$14*(1+$D$13)^($F57-'הנחות עבודה'!$C$5)/$D$11)</f>
        <v>0</v>
      </c>
      <c r="AK57" s="42">
        <f ca="1">IF($F57&gt;$D$5,0,VLOOKUP($F57,$F$24:$BZ$44,AK$2-$E$2,FALSE)*$D$11*$D$14*(1+$D$13)^($F57-'הנחות עבודה'!$C$5)/$D$11)</f>
        <v>514.72615456283529</v>
      </c>
      <c r="AL57" s="42">
        <f ca="1">IF($F57&gt;$D$5,0,VLOOKUP($F57,$F$24:$BZ$44,AL$2-$E$2,FALSE)*$D$11*$D$14*(1+$D$13)^($F57-'הנחות עבודה'!$C$5)/$D$11)</f>
        <v>1267.9539063913821</v>
      </c>
      <c r="AM57" s="42">
        <f ca="1">IF($F57&gt;$D$5,0,VLOOKUP($F57,$F$24:$BZ$44,AM$2-$E$2,FALSE)*$D$11*$D$14*(1+$D$13)^($F57-'הנחות עבודה'!$C$5)/$D$11)</f>
        <v>0</v>
      </c>
      <c r="AN57" s="42">
        <f ca="1">IF($F57&gt;$D$5,0,VLOOKUP($F57,$F$24:$BZ$44,AN$2-$E$2,FALSE)*$D$11*$D$14*(1+$D$13)^($F57-'הנחות עבודה'!$C$5)/$D$11)</f>
        <v>0</v>
      </c>
      <c r="AO57" s="42">
        <f ca="1">IF($F57&gt;$D$5,0,VLOOKUP($F57,$F$24:$BZ$44,AO$2-$E$2,FALSE)*$D$11*$D$14*(1+$D$13)^($F57-'הנחות עבודה'!$C$5)/$D$11)</f>
        <v>0</v>
      </c>
      <c r="AP57" s="42">
        <f ca="1">IF($F57&gt;$D$5,0,VLOOKUP($F57,$F$24:$BZ$44,AP$2-$E$2,FALSE)*$D$11*$D$14*(1+$D$13)^($F57-'הנחות עבודה'!$C$5)/$D$11)</f>
        <v>0</v>
      </c>
      <c r="AQ57" s="52">
        <f ca="1">IF($F57&gt;$D$5,0,VLOOKUP($F57,$F$24:$BZ$44,AQ$2-$E$2,FALSE)*$D$11*$D$14*(1+$D$13)^($F57-'הנחות עבודה'!$C$5)/$D$11)</f>
        <v>0</v>
      </c>
      <c r="AR57" s="127">
        <f ca="1">IF($F57&gt;$D$5,0,VLOOKUP($F57,$F$24:$BZ$44,AR$2-$E$2,FALSE)*$D$11*$D$14*(1+$D$13)^($F57-'הנחות עבודה'!$C$5)/$D$11)</f>
        <v>0</v>
      </c>
      <c r="AS57" s="127">
        <f ca="1">IF($F57&gt;$D$5,0,VLOOKUP($F57,$F$24:$BZ$44,AS$2-$E$2,FALSE)*$D$11*$D$14*(1+$D$13)^($F57-'הנחות עבודה'!$C$5)/$D$11)</f>
        <v>0</v>
      </c>
      <c r="AT57" s="127">
        <f ca="1">IF($F57&gt;$D$5,0,VLOOKUP($F57,$F$24:$BZ$44,AT$2-$E$2,FALSE)*$D$11*$D$14*(1+$D$13)^($F57-'הנחות עבודה'!$C$5)/$D$11)</f>
        <v>0</v>
      </c>
      <c r="AU57" s="127">
        <f ca="1">IF($F57&gt;$D$5,0,VLOOKUP($F57,$F$24:$BZ$44,AU$2-$E$2,FALSE)*$D$11*$D$14*(1+$D$13)^($F57-'הנחות עבודה'!$C$5)/$D$11)</f>
        <v>0</v>
      </c>
      <c r="AV57" s="127">
        <f ca="1">IF($F57&gt;$D$5,0,VLOOKUP($F57,$F$24:$BZ$44,AV$2-$E$2,FALSE)*$D$11*$D$14*(1+$D$13)^($F57-'הנחות עבודה'!$C$5)/$D$11)</f>
        <v>0</v>
      </c>
      <c r="AW57" s="52">
        <f ca="1">IF($F57&gt;$D$5,0,VLOOKUP($F57,$F$24:$BZ$44,AW$2-$E$2,FALSE)*$D$11*$D$14*(1+$D$13)^($F57-'הנחות עבודה'!$C$5)/$D$11)</f>
        <v>514.72615456283529</v>
      </c>
      <c r="AX57" s="52">
        <f ca="1">IF($F57&gt;$D$5,0,VLOOKUP($F57,$F$24:$BZ$44,AX$2-$E$2,FALSE)*$D$11*$D$14*(1+$D$13)^($F57-'הנחות עבודה'!$C$5)/$D$11)</f>
        <v>1267.9539063913821</v>
      </c>
      <c r="AY57" s="52">
        <f ca="1">IF($F57&gt;$D$5,0,VLOOKUP($F57,$F$24:$BZ$44,AY$2-$E$2,FALSE)*$D$11*$D$14*(1+$D$13)^($F57-'הנחות עבודה'!$C$5)/$D$11)</f>
        <v>0</v>
      </c>
      <c r="AZ57" s="52">
        <f ca="1">IF($F57&gt;$D$5,0,VLOOKUP($F57,$F$24:$BZ$44,AZ$2-$E$2,FALSE)*$D$11*$D$14*(1+$D$13)^($F57-'הנחות עבודה'!$C$5)/$D$11)</f>
        <v>0</v>
      </c>
      <c r="BA57" s="52">
        <f ca="1">IF($F57&gt;$D$5,0,VLOOKUP($F57,$F$24:$BZ$44,BA$2-$E$2,FALSE)*$D$11*$D$14*(1+$D$13)^($F57-'הנחות עבודה'!$C$5)/$D$11)</f>
        <v>0</v>
      </c>
      <c r="BB57" s="52">
        <f ca="1">IF($F57&gt;$D$5,0,VLOOKUP($F57,$F$24:$BZ$44,BB$2-$E$2,FALSE)*$D$11*$D$14*(1+$D$13)^($F57-'הנחות עבודה'!$C$5)/$D$11)</f>
        <v>0</v>
      </c>
      <c r="BC57" s="42">
        <f ca="1">IF($F57&gt;$D$5,0,VLOOKUP($F57,$F$24:$BZ$44,BC$2-$E$2,FALSE)*$D$11*$D$14*(1+$D$13)^($F57-'הנחות עבודה'!$C$5)/$D$11)</f>
        <v>0</v>
      </c>
      <c r="BD57" s="44">
        <f ca="1">IF($F57&gt;$D$5,0,VLOOKUP($F57,$F$24:$BZ$44,BD$2-$E$2,FALSE)*$D$11*$D$14*(1+$D$13)^($F57-'הנחות עבודה'!$C$5)/$D$11)</f>
        <v>0</v>
      </c>
      <c r="BE57" s="44">
        <f ca="1">IF($F57&gt;$D$5,0,VLOOKUP($F57,$F$24:$BZ$44,BE$2-$E$2,FALSE)*$D$11*$D$14*(1+$D$13)^($F57-'הנחות עבודה'!$C$5)/$D$11)</f>
        <v>0</v>
      </c>
      <c r="BF57" s="44">
        <f ca="1">IF($F57&gt;$D$5,0,VLOOKUP($F57,$F$24:$BZ$44,BF$2-$E$2,FALSE)*$D$11*$D$14*(1+$D$13)^($F57-'הנחות עבודה'!$C$5)/$D$11)</f>
        <v>0</v>
      </c>
      <c r="BG57" s="44">
        <f ca="1">IF($F57&gt;$D$5,0,VLOOKUP($F57,$F$24:$BZ$44,BG$2-$E$2,FALSE)*$D$11*$D$14*(1+$D$13)^($F57-'הנחות עבודה'!$C$5)/$D$11)</f>
        <v>0</v>
      </c>
      <c r="BH57" s="44">
        <f ca="1">IF($F57&gt;$D$5,0,VLOOKUP($F57,$F$24:$BZ$44,BH$2-$E$2,FALSE)*$D$11*$D$14*(1+$D$13)^($F57-'הנחות עבודה'!$C$5)/$D$11)</f>
        <v>0</v>
      </c>
      <c r="BI57" s="42">
        <f ca="1">IF($F57&gt;$D$5,0,VLOOKUP($F57,$F$24:$BZ$44,BI$2-$E$2,FALSE)*$D$11*$D$14*(1+$D$13)^($F57-'הנחות עבודה'!$C$5)/$D$11)</f>
        <v>518.84297854122201</v>
      </c>
      <c r="BJ57" s="42">
        <f ca="1">IF($F57&gt;$D$5,0,VLOOKUP($F57,$F$24:$BZ$44,BJ$2-$E$2,FALSE)*$D$11*$D$14*(1+$D$13)^($F57-'הנחות עבודה'!$C$5)/$D$11)</f>
        <v>1205.9556404173672</v>
      </c>
      <c r="BK57" s="42">
        <f ca="1">IF($F57&gt;$D$5,0,VLOOKUP($F57,$F$24:$BZ$44,BK$2-$E$2,FALSE)*$D$11*$D$14*(1+$D$13)^($F57-'הנחות עבודה'!$C$5)/$D$11)</f>
        <v>0</v>
      </c>
      <c r="BL57" s="42">
        <f ca="1">IF($F57&gt;$D$5,0,VLOOKUP($F57,$F$24:$BZ$44,BL$2-$E$2,FALSE)*$D$11*$D$14*(1+$D$13)^($F57-'הנחות עבודה'!$C$5)/$D$11)</f>
        <v>0</v>
      </c>
      <c r="BM57" s="42">
        <f ca="1">IF($F57&gt;$D$5,0,VLOOKUP($F57,$F$24:$BZ$44,BM$2-$E$2,FALSE)*$D$11*$D$14*(1+$D$13)^($F57-'הנחות עבודה'!$C$5)/$D$11)</f>
        <v>0</v>
      </c>
      <c r="BN57" s="42">
        <f ca="1">IF($F57&gt;$D$5,0,VLOOKUP($F57,$F$24:$BZ$44,BN$2-$E$2,FALSE)*$D$11*$D$14*(1+$D$13)^($F57-'הנחות עבודה'!$C$5)/$D$11)</f>
        <v>0</v>
      </c>
      <c r="BO57" s="52">
        <f ca="1">IF($F57&gt;$D$5,0,VLOOKUP($F57,$F$24:$BZ$44,BO$2-$E$2,FALSE)*$D$11*$D$14*(1+$D$13)^($F57-'הנחות עבודה'!$C$5)/$D$11)</f>
        <v>0</v>
      </c>
      <c r="BP57" s="127">
        <f ca="1">IF($F57&gt;$D$5,0,VLOOKUP($F57,$F$24:$BZ$44,BP$2-$E$2,FALSE)*$D$11*$D$14*(1+$D$13)^($F57-'הנחות עבודה'!$C$5)/$D$11)</f>
        <v>0</v>
      </c>
      <c r="BQ57" s="127">
        <f ca="1">IF($F57&gt;$D$5,0,VLOOKUP($F57,$F$24:$BZ$44,BQ$2-$E$2,FALSE)*$D$11*$D$14*(1+$D$13)^($F57-'הנחות עבודה'!$C$5)/$D$11)</f>
        <v>0</v>
      </c>
      <c r="BR57" s="127">
        <f ca="1">IF($F57&gt;$D$5,0,VLOOKUP($F57,$F$24:$BZ$44,BR$2-$E$2,FALSE)*$D$11*$D$14*(1+$D$13)^($F57-'הנחות עבודה'!$C$5)/$D$11)</f>
        <v>0</v>
      </c>
      <c r="BS57" s="127">
        <f ca="1">IF($F57&gt;$D$5,0,VLOOKUP($F57,$F$24:$BZ$44,BS$2-$E$2,FALSE)*$D$11*$D$14*(1+$D$13)^($F57-'הנחות עבודה'!$C$5)/$D$11)</f>
        <v>0</v>
      </c>
      <c r="BT57" s="127">
        <f ca="1">IF($F57&gt;$D$5,0,VLOOKUP($F57,$F$24:$BZ$44,BT$2-$E$2,FALSE)*$D$11*$D$14*(1+$D$13)^($F57-'הנחות עבודה'!$C$5)/$D$11)</f>
        <v>0</v>
      </c>
      <c r="BU57" s="52">
        <f ca="1">IF($F57&gt;$D$5,0,VLOOKUP($F57,$F$24:$BZ$44,BU$2-$E$2,FALSE)*$D$11*$D$14*(1+$D$13)^($F57-'הנחות עבודה'!$C$5)/$D$11)</f>
        <v>518.84297854122201</v>
      </c>
      <c r="BV57" s="52">
        <f ca="1">IF($F57&gt;$D$5,0,VLOOKUP($F57,$F$24:$BZ$44,BV$2-$E$2,FALSE)*$D$11*$D$14*(1+$D$13)^($F57-'הנחות עבודה'!$C$5)/$D$11)</f>
        <v>1205.9556404173672</v>
      </c>
      <c r="BW57" s="52">
        <f ca="1">IF($F57&gt;$D$5,0,VLOOKUP($F57,$F$24:$BZ$44,BW$2-$E$2,FALSE)*$D$11*$D$14*(1+$D$13)^($F57-'הנחות עבודה'!$C$5)/$D$11)</f>
        <v>0</v>
      </c>
      <c r="BX57" s="52">
        <f ca="1">IF($F57&gt;$D$5,0,VLOOKUP($F57,$F$24:$BZ$44,BX$2-$E$2,FALSE)*$D$11*$D$14*(1+$D$13)^($F57-'הנחות עבודה'!$C$5)/$D$11)</f>
        <v>0</v>
      </c>
      <c r="BY57" s="52">
        <f ca="1">IF($F57&gt;$D$5,0,VLOOKUP($F57,$F$24:$BZ$44,BY$2-$E$2,FALSE)*$D$11*$D$14*(1+$D$13)^($F57-'הנחות עבודה'!$C$5)/$D$11)</f>
        <v>0</v>
      </c>
      <c r="BZ57" s="52">
        <f ca="1">IF($F57&gt;$D$5,0,VLOOKUP($F57,$F$24:$BZ$44,BZ$2-$E$2,FALSE)*$D$11*$D$14*(1+$D$13)^($F57-'הנחות עבודה'!$C$5)/$D$11)</f>
        <v>0</v>
      </c>
    </row>
    <row r="58" spans="6:78" ht="15.75">
      <c r="F58" s="10">
        <f t="shared" si="125"/>
        <v>2027</v>
      </c>
      <c r="G58" s="42">
        <f ca="1">IF($F58&gt;$D$5,0,VLOOKUP($F58,$F$24:$BZ$44,G$2-$E$2,FALSE)*$D$11*$D$14*(1+$D$13)^($F58-'הנחות עבודה'!$C$5)/$D$11)</f>
        <v>0</v>
      </c>
      <c r="H58" s="44">
        <f ca="1">IF($F58&gt;$D$5,0,VLOOKUP($F58,$F$24:$BZ$44,H$2-$E$2,FALSE)*$D$11*$D$14*(1+$D$13)^($F58-'הנחות עבודה'!$C$5)/$D$11)</f>
        <v>0</v>
      </c>
      <c r="I58" s="44">
        <f ca="1">IF($F58&gt;$D$5,0,VLOOKUP($F58,$F$24:$BZ$44,I$2-$E$2,FALSE)*$D$11*$D$14*(1+$D$13)^($F58-'הנחות עבודה'!$C$5)/$D$11)</f>
        <v>0</v>
      </c>
      <c r="J58" s="44">
        <f ca="1">IF($F58&gt;$D$5,0,VLOOKUP($F58,$F$24:$BZ$44,J$2-$E$2,FALSE)*$D$11*$D$14*(1+$D$13)^($F58-'הנחות עבודה'!$C$5)/$D$11)</f>
        <v>0</v>
      </c>
      <c r="K58" s="44">
        <f ca="1">IF($F58&gt;$D$5,0,VLOOKUP($F58,$F$24:$BZ$44,K$2-$E$2,FALSE)*$D$11*$D$14*(1+$D$13)^($F58-'הנחות עבודה'!$C$5)/$D$11)</f>
        <v>0</v>
      </c>
      <c r="L58" s="44">
        <f ca="1">IF($F58&gt;$D$5,0,VLOOKUP($F58,$F$24:$BZ$44,L$2-$E$2,FALSE)*$D$11*$D$14*(1+$D$13)^($F58-'הנחות עבודה'!$C$5)/$D$11)</f>
        <v>0</v>
      </c>
      <c r="M58" s="42">
        <f ca="1">IF($F58&gt;$D$5,0,VLOOKUP($F58,$F$24:$BZ$44,M$2-$E$2,FALSE)*$D$11*$D$14*(1+$D$13)^($F58-'הנחות עבודה'!$C$5)/$D$11)</f>
        <v>530.93941187120902</v>
      </c>
      <c r="N58" s="42">
        <f ca="1">IF($F58&gt;$D$5,0,VLOOKUP($F58,$F$24:$BZ$44,N$2-$E$2,FALSE)*$D$11*$D$14*(1+$D$13)^($F58-'הנחות עבודה'!$C$5)/$D$11)</f>
        <v>1449.4548684145432</v>
      </c>
      <c r="O58" s="42">
        <f ca="1">IF($F58&gt;$D$5,0,VLOOKUP($F58,$F$24:$BZ$44,O$2-$E$2,FALSE)*$D$11*$D$14*(1+$D$13)^($F58-'הנחות עבודה'!$C$5)/$D$11)</f>
        <v>0</v>
      </c>
      <c r="P58" s="42">
        <f ca="1">IF($F58&gt;$D$5,0,VLOOKUP($F58,$F$24:$BZ$44,P$2-$E$2,FALSE)*$D$11*$D$14*(1+$D$13)^($F58-'הנחות עבודה'!$C$5)/$D$11)</f>
        <v>0</v>
      </c>
      <c r="Q58" s="42">
        <f ca="1">IF($F58&gt;$D$5,0,VLOOKUP($F58,$F$24:$BZ$44,Q$2-$E$2,FALSE)*$D$11*$D$14*(1+$D$13)^($F58-'הנחות עבודה'!$C$5)/$D$11)</f>
        <v>0</v>
      </c>
      <c r="R58" s="42">
        <f ca="1">IF($F58&gt;$D$5,0,VLOOKUP($F58,$F$24:$BZ$44,R$2-$E$2,FALSE)*$D$11*$D$14*(1+$D$13)^($F58-'הנחות עבודה'!$C$5)/$D$11)</f>
        <v>0</v>
      </c>
      <c r="S58" s="52">
        <f ca="1">IF($F58&gt;$D$5,0,VLOOKUP($F58,$F$24:$BZ$44,S$2-$E$2,FALSE)*$D$11*$D$14*(1+$D$13)^($F58-'הנחות עבודה'!$C$5)/$D$11)</f>
        <v>0</v>
      </c>
      <c r="T58" s="127">
        <f ca="1">IF($F58&gt;$D$5,0,VLOOKUP($F58,$F$24:$BZ$44,T$2-$E$2,FALSE)*$D$11*$D$14*(1+$D$13)^($F58-'הנחות עבודה'!$C$5)/$D$11)</f>
        <v>0</v>
      </c>
      <c r="U58" s="127">
        <f ca="1">IF($F58&gt;$D$5,0,VLOOKUP($F58,$F$24:$BZ$44,U$2-$E$2,FALSE)*$D$11*$D$14*(1+$D$13)^($F58-'הנחות עבודה'!$C$5)/$D$11)</f>
        <v>0</v>
      </c>
      <c r="V58" s="127">
        <f ca="1">IF($F58&gt;$D$5,0,VLOOKUP($F58,$F$24:$BZ$44,V$2-$E$2,FALSE)*$D$11*$D$14*(1+$D$13)^($F58-'הנחות עבודה'!$C$5)/$D$11)</f>
        <v>0</v>
      </c>
      <c r="W58" s="127">
        <f ca="1">IF($F58&gt;$D$5,0,VLOOKUP($F58,$F$24:$BZ$44,W$2-$E$2,FALSE)*$D$11*$D$14*(1+$D$13)^($F58-'הנחות עבודה'!$C$5)/$D$11)</f>
        <v>0</v>
      </c>
      <c r="X58" s="127">
        <f ca="1">IF($F58&gt;$D$5,0,VLOOKUP($F58,$F$24:$BZ$44,X$2-$E$2,FALSE)*$D$11*$D$14*(1+$D$13)^($F58-'הנחות עבודה'!$C$5)/$D$11)</f>
        <v>0</v>
      </c>
      <c r="Y58" s="52">
        <f ca="1">IF($F58&gt;$D$5,0,VLOOKUP($F58,$F$24:$BZ$44,Y$2-$E$2,FALSE)*$D$11*$D$14*(1+$D$13)^($F58-'הנחות עבודה'!$C$5)/$D$11)</f>
        <v>530.93941187120902</v>
      </c>
      <c r="Z58" s="52">
        <f ca="1">IF($F58&gt;$D$5,0,VLOOKUP($F58,$F$24:$BZ$44,Z$2-$E$2,FALSE)*$D$11*$D$14*(1+$D$13)^($F58-'הנחות עבודה'!$C$5)/$D$11)</f>
        <v>1449.4548684145432</v>
      </c>
      <c r="AA58" s="52">
        <f ca="1">IF($F58&gt;$D$5,0,VLOOKUP($F58,$F$24:$BZ$44,AA$2-$E$2,FALSE)*$D$11*$D$14*(1+$D$13)^($F58-'הנחות עבודה'!$C$5)/$D$11)</f>
        <v>0</v>
      </c>
      <c r="AB58" s="52">
        <f ca="1">IF($F58&gt;$D$5,0,VLOOKUP($F58,$F$24:$BZ$44,AB$2-$E$2,FALSE)*$D$11*$D$14*(1+$D$13)^($F58-'הנחות עבודה'!$C$5)/$D$11)</f>
        <v>0</v>
      </c>
      <c r="AC58" s="52">
        <f ca="1">IF($F58&gt;$D$5,0,VLOOKUP($F58,$F$24:$BZ$44,AC$2-$E$2,FALSE)*$D$11*$D$14*(1+$D$13)^($F58-'הנחות עבודה'!$C$5)/$D$11)</f>
        <v>0</v>
      </c>
      <c r="AD58" s="52">
        <f ca="1">IF($F58&gt;$D$5,0,VLOOKUP($F58,$F$24:$BZ$44,AD$2-$E$2,FALSE)*$D$11*$D$14*(1+$D$13)^($F58-'הנחות עבודה'!$C$5)/$D$11)</f>
        <v>0</v>
      </c>
      <c r="AE58" s="42">
        <f ca="1">IF($F58&gt;$D$5,0,VLOOKUP($F58,$F$24:$BZ$44,AE$2-$E$2,FALSE)*$D$11*$D$14*(1+$D$13)^($F58-'הנחות עבודה'!$C$5)/$D$11)</f>
        <v>0</v>
      </c>
      <c r="AF58" s="44">
        <f ca="1">IF($F58&gt;$D$5,0,VLOOKUP($F58,$F$24:$BZ$44,AF$2-$E$2,FALSE)*$D$11*$D$14*(1+$D$13)^($F58-'הנחות עבודה'!$C$5)/$D$11)</f>
        <v>0</v>
      </c>
      <c r="AG58" s="44">
        <f ca="1">IF($F58&gt;$D$5,0,VLOOKUP($F58,$F$24:$BZ$44,AG$2-$E$2,FALSE)*$D$11*$D$14*(1+$D$13)^($F58-'הנחות עבודה'!$C$5)/$D$11)</f>
        <v>0</v>
      </c>
      <c r="AH58" s="44">
        <f ca="1">IF($F58&gt;$D$5,0,VLOOKUP($F58,$F$24:$BZ$44,AH$2-$E$2,FALSE)*$D$11*$D$14*(1+$D$13)^($F58-'הנחות עבודה'!$C$5)/$D$11)</f>
        <v>0</v>
      </c>
      <c r="AI58" s="44">
        <f ca="1">IF($F58&gt;$D$5,0,VLOOKUP($F58,$F$24:$BZ$44,AI$2-$E$2,FALSE)*$D$11*$D$14*(1+$D$13)^($F58-'הנחות עבודה'!$C$5)/$D$11)</f>
        <v>0</v>
      </c>
      <c r="AJ58" s="44">
        <f ca="1">IF($F58&gt;$D$5,0,VLOOKUP($F58,$F$24:$BZ$44,AJ$2-$E$2,FALSE)*$D$11*$D$14*(1+$D$13)^($F58-'הנחות עבודה'!$C$5)/$D$11)</f>
        <v>0</v>
      </c>
      <c r="AK58" s="42">
        <f ca="1">IF($F58&gt;$D$5,0,VLOOKUP($F58,$F$24:$BZ$44,AK$2-$E$2,FALSE)*$D$11*$D$14*(1+$D$13)^($F58-'הנחות עבודה'!$C$5)/$D$11)</f>
        <v>526.79155040448927</v>
      </c>
      <c r="AL58" s="42">
        <f ca="1">IF($F58&gt;$D$5,0,VLOOKUP($F58,$F$24:$BZ$44,AL$2-$E$2,FALSE)*$D$11*$D$14*(1+$D$13)^($F58-'הנחות עבודה'!$C$5)/$D$11)</f>
        <v>1327.0865307923889</v>
      </c>
      <c r="AM58" s="42">
        <f ca="1">IF($F58&gt;$D$5,0,VLOOKUP($F58,$F$24:$BZ$44,AM$2-$E$2,FALSE)*$D$11*$D$14*(1+$D$13)^($F58-'הנחות עבודה'!$C$5)/$D$11)</f>
        <v>0</v>
      </c>
      <c r="AN58" s="42">
        <f ca="1">IF($F58&gt;$D$5,0,VLOOKUP($F58,$F$24:$BZ$44,AN$2-$E$2,FALSE)*$D$11*$D$14*(1+$D$13)^($F58-'הנחות עבודה'!$C$5)/$D$11)</f>
        <v>0</v>
      </c>
      <c r="AO58" s="42">
        <f ca="1">IF($F58&gt;$D$5,0,VLOOKUP($F58,$F$24:$BZ$44,AO$2-$E$2,FALSE)*$D$11*$D$14*(1+$D$13)^($F58-'הנחות עבודה'!$C$5)/$D$11)</f>
        <v>0</v>
      </c>
      <c r="AP58" s="42">
        <f ca="1">IF($F58&gt;$D$5,0,VLOOKUP($F58,$F$24:$BZ$44,AP$2-$E$2,FALSE)*$D$11*$D$14*(1+$D$13)^($F58-'הנחות עבודה'!$C$5)/$D$11)</f>
        <v>0</v>
      </c>
      <c r="AQ58" s="52">
        <f ca="1">IF($F58&gt;$D$5,0,VLOOKUP($F58,$F$24:$BZ$44,AQ$2-$E$2,FALSE)*$D$11*$D$14*(1+$D$13)^($F58-'הנחות עבודה'!$C$5)/$D$11)</f>
        <v>0</v>
      </c>
      <c r="AR58" s="127">
        <f ca="1">IF($F58&gt;$D$5,0,VLOOKUP($F58,$F$24:$BZ$44,AR$2-$E$2,FALSE)*$D$11*$D$14*(1+$D$13)^($F58-'הנחות עבודה'!$C$5)/$D$11)</f>
        <v>0</v>
      </c>
      <c r="AS58" s="127">
        <f ca="1">IF($F58&gt;$D$5,0,VLOOKUP($F58,$F$24:$BZ$44,AS$2-$E$2,FALSE)*$D$11*$D$14*(1+$D$13)^($F58-'הנחות עבודה'!$C$5)/$D$11)</f>
        <v>0</v>
      </c>
      <c r="AT58" s="127">
        <f ca="1">IF($F58&gt;$D$5,0,VLOOKUP($F58,$F$24:$BZ$44,AT$2-$E$2,FALSE)*$D$11*$D$14*(1+$D$13)^($F58-'הנחות עבודה'!$C$5)/$D$11)</f>
        <v>0</v>
      </c>
      <c r="AU58" s="127">
        <f ca="1">IF($F58&gt;$D$5,0,VLOOKUP($F58,$F$24:$BZ$44,AU$2-$E$2,FALSE)*$D$11*$D$14*(1+$D$13)^($F58-'הנחות עבודה'!$C$5)/$D$11)</f>
        <v>0</v>
      </c>
      <c r="AV58" s="127">
        <f ca="1">IF($F58&gt;$D$5,0,VLOOKUP($F58,$F$24:$BZ$44,AV$2-$E$2,FALSE)*$D$11*$D$14*(1+$D$13)^($F58-'הנחות עבודה'!$C$5)/$D$11)</f>
        <v>0</v>
      </c>
      <c r="AW58" s="52">
        <f ca="1">IF($F58&gt;$D$5,0,VLOOKUP($F58,$F$24:$BZ$44,AW$2-$E$2,FALSE)*$D$11*$D$14*(1+$D$13)^($F58-'הנחות עבודה'!$C$5)/$D$11)</f>
        <v>526.79155040448927</v>
      </c>
      <c r="AX58" s="52">
        <f ca="1">IF($F58&gt;$D$5,0,VLOOKUP($F58,$F$24:$BZ$44,AX$2-$E$2,FALSE)*$D$11*$D$14*(1+$D$13)^($F58-'הנחות עבודה'!$C$5)/$D$11)</f>
        <v>1327.0865307923889</v>
      </c>
      <c r="AY58" s="52">
        <f ca="1">IF($F58&gt;$D$5,0,VLOOKUP($F58,$F$24:$BZ$44,AY$2-$E$2,FALSE)*$D$11*$D$14*(1+$D$13)^($F58-'הנחות עבודה'!$C$5)/$D$11)</f>
        <v>0</v>
      </c>
      <c r="AZ58" s="52">
        <f ca="1">IF($F58&gt;$D$5,0,VLOOKUP($F58,$F$24:$BZ$44,AZ$2-$E$2,FALSE)*$D$11*$D$14*(1+$D$13)^($F58-'הנחות עבודה'!$C$5)/$D$11)</f>
        <v>0</v>
      </c>
      <c r="BA58" s="52">
        <f ca="1">IF($F58&gt;$D$5,0,VLOOKUP($F58,$F$24:$BZ$44,BA$2-$E$2,FALSE)*$D$11*$D$14*(1+$D$13)^($F58-'הנחות עבודה'!$C$5)/$D$11)</f>
        <v>0</v>
      </c>
      <c r="BB58" s="52">
        <f ca="1">IF($F58&gt;$D$5,0,VLOOKUP($F58,$F$24:$BZ$44,BB$2-$E$2,FALSE)*$D$11*$D$14*(1+$D$13)^($F58-'הנחות עבודה'!$C$5)/$D$11)</f>
        <v>0</v>
      </c>
      <c r="BC58" s="42">
        <f ca="1">IF($F58&gt;$D$5,0,VLOOKUP($F58,$F$24:$BZ$44,BC$2-$E$2,FALSE)*$D$11*$D$14*(1+$D$13)^($F58-'הנחות עבודה'!$C$5)/$D$11)</f>
        <v>0</v>
      </c>
      <c r="BD58" s="44">
        <f ca="1">IF($F58&gt;$D$5,0,VLOOKUP($F58,$F$24:$BZ$44,BD$2-$E$2,FALSE)*$D$11*$D$14*(1+$D$13)^($F58-'הנחות עבודה'!$C$5)/$D$11)</f>
        <v>0</v>
      </c>
      <c r="BE58" s="44">
        <f ca="1">IF($F58&gt;$D$5,0,VLOOKUP($F58,$F$24:$BZ$44,BE$2-$E$2,FALSE)*$D$11*$D$14*(1+$D$13)^($F58-'הנחות עבודה'!$C$5)/$D$11)</f>
        <v>0</v>
      </c>
      <c r="BF58" s="44">
        <f ca="1">IF($F58&gt;$D$5,0,VLOOKUP($F58,$F$24:$BZ$44,BF$2-$E$2,FALSE)*$D$11*$D$14*(1+$D$13)^($F58-'הנחות עבודה'!$C$5)/$D$11)</f>
        <v>0</v>
      </c>
      <c r="BG58" s="44">
        <f ca="1">IF($F58&gt;$D$5,0,VLOOKUP($F58,$F$24:$BZ$44,BG$2-$E$2,FALSE)*$D$11*$D$14*(1+$D$13)^($F58-'הנחות עבודה'!$C$5)/$D$11)</f>
        <v>0</v>
      </c>
      <c r="BH58" s="44">
        <f ca="1">IF($F58&gt;$D$5,0,VLOOKUP($F58,$F$24:$BZ$44,BH$2-$E$2,FALSE)*$D$11*$D$14*(1+$D$13)^($F58-'הנחות עבודה'!$C$5)/$D$11)</f>
        <v>0</v>
      </c>
      <c r="BI58" s="42">
        <f ca="1">IF($F58&gt;$D$5,0,VLOOKUP($F58,$F$24:$BZ$44,BI$2-$E$2,FALSE)*$D$11*$D$14*(1+$D$13)^($F58-'הנחות עבודה'!$C$5)/$D$11)</f>
        <v>534.2556406132295</v>
      </c>
      <c r="BJ58" s="42">
        <f ca="1">IF($F58&gt;$D$5,0,VLOOKUP($F58,$F$24:$BZ$44,BJ$2-$E$2,FALSE)*$D$11*$D$14*(1+$D$13)^($F58-'הנחות עבודה'!$C$5)/$D$11)</f>
        <v>1248.6014915166672</v>
      </c>
      <c r="BK58" s="42">
        <f ca="1">IF($F58&gt;$D$5,0,VLOOKUP($F58,$F$24:$BZ$44,BK$2-$E$2,FALSE)*$D$11*$D$14*(1+$D$13)^($F58-'הנחות עבודה'!$C$5)/$D$11)</f>
        <v>0</v>
      </c>
      <c r="BL58" s="42">
        <f ca="1">IF($F58&gt;$D$5,0,VLOOKUP($F58,$F$24:$BZ$44,BL$2-$E$2,FALSE)*$D$11*$D$14*(1+$D$13)^($F58-'הנחות עבודה'!$C$5)/$D$11)</f>
        <v>0</v>
      </c>
      <c r="BM58" s="42">
        <f ca="1">IF($F58&gt;$D$5,0,VLOOKUP($F58,$F$24:$BZ$44,BM$2-$E$2,FALSE)*$D$11*$D$14*(1+$D$13)^($F58-'הנחות עבודה'!$C$5)/$D$11)</f>
        <v>0</v>
      </c>
      <c r="BN58" s="42">
        <f ca="1">IF($F58&gt;$D$5,0,VLOOKUP($F58,$F$24:$BZ$44,BN$2-$E$2,FALSE)*$D$11*$D$14*(1+$D$13)^($F58-'הנחות עבודה'!$C$5)/$D$11)</f>
        <v>0</v>
      </c>
      <c r="BO58" s="52">
        <f ca="1">IF($F58&gt;$D$5,0,VLOOKUP($F58,$F$24:$BZ$44,BO$2-$E$2,FALSE)*$D$11*$D$14*(1+$D$13)^($F58-'הנחות עבודה'!$C$5)/$D$11)</f>
        <v>0</v>
      </c>
      <c r="BP58" s="127">
        <f ca="1">IF($F58&gt;$D$5,0,VLOOKUP($F58,$F$24:$BZ$44,BP$2-$E$2,FALSE)*$D$11*$D$14*(1+$D$13)^($F58-'הנחות עבודה'!$C$5)/$D$11)</f>
        <v>0</v>
      </c>
      <c r="BQ58" s="127">
        <f ca="1">IF($F58&gt;$D$5,0,VLOOKUP($F58,$F$24:$BZ$44,BQ$2-$E$2,FALSE)*$D$11*$D$14*(1+$D$13)^($F58-'הנחות עבודה'!$C$5)/$D$11)</f>
        <v>0</v>
      </c>
      <c r="BR58" s="127">
        <f ca="1">IF($F58&gt;$D$5,0,VLOOKUP($F58,$F$24:$BZ$44,BR$2-$E$2,FALSE)*$D$11*$D$14*(1+$D$13)^($F58-'הנחות עבודה'!$C$5)/$D$11)</f>
        <v>0</v>
      </c>
      <c r="BS58" s="127">
        <f ca="1">IF($F58&gt;$D$5,0,VLOOKUP($F58,$F$24:$BZ$44,BS$2-$E$2,FALSE)*$D$11*$D$14*(1+$D$13)^($F58-'הנחות עבודה'!$C$5)/$D$11)</f>
        <v>0</v>
      </c>
      <c r="BT58" s="127">
        <f ca="1">IF($F58&gt;$D$5,0,VLOOKUP($F58,$F$24:$BZ$44,BT$2-$E$2,FALSE)*$D$11*$D$14*(1+$D$13)^($F58-'הנחות עבודה'!$C$5)/$D$11)</f>
        <v>0</v>
      </c>
      <c r="BU58" s="52">
        <f ca="1">IF($F58&gt;$D$5,0,VLOOKUP($F58,$F$24:$BZ$44,BU$2-$E$2,FALSE)*$D$11*$D$14*(1+$D$13)^($F58-'הנחות עבודה'!$C$5)/$D$11)</f>
        <v>534.2556406132295</v>
      </c>
      <c r="BV58" s="52">
        <f ca="1">IF($F58&gt;$D$5,0,VLOOKUP($F58,$F$24:$BZ$44,BV$2-$E$2,FALSE)*$D$11*$D$14*(1+$D$13)^($F58-'הנחות עבודה'!$C$5)/$D$11)</f>
        <v>1248.6014915166672</v>
      </c>
      <c r="BW58" s="52">
        <f ca="1">IF($F58&gt;$D$5,0,VLOOKUP($F58,$F$24:$BZ$44,BW$2-$E$2,FALSE)*$D$11*$D$14*(1+$D$13)^($F58-'הנחות עבודה'!$C$5)/$D$11)</f>
        <v>0</v>
      </c>
      <c r="BX58" s="52">
        <f ca="1">IF($F58&gt;$D$5,0,VLOOKUP($F58,$F$24:$BZ$44,BX$2-$E$2,FALSE)*$D$11*$D$14*(1+$D$13)^($F58-'הנחות עבודה'!$C$5)/$D$11)</f>
        <v>0</v>
      </c>
      <c r="BY58" s="52">
        <f ca="1">IF($F58&gt;$D$5,0,VLOOKUP($F58,$F$24:$BZ$44,BY$2-$E$2,FALSE)*$D$11*$D$14*(1+$D$13)^($F58-'הנחות עבודה'!$C$5)/$D$11)</f>
        <v>0</v>
      </c>
      <c r="BZ58" s="52">
        <f ca="1">IF($F58&gt;$D$5,0,VLOOKUP($F58,$F$24:$BZ$44,BZ$2-$E$2,FALSE)*$D$11*$D$14*(1+$D$13)^($F58-'הנחות עבודה'!$C$5)/$D$11)</f>
        <v>0</v>
      </c>
    </row>
    <row r="59" spans="6:78" ht="15.75">
      <c r="F59" s="10">
        <f t="shared" si="125"/>
        <v>2028</v>
      </c>
      <c r="G59" s="42">
        <f ca="1">IF($F59&gt;$D$5,0,VLOOKUP($F59,$F$24:$BZ$44,G$2-$E$2,FALSE)*$D$11*$D$14*(1+$D$13)^($F59-'הנחות עבודה'!$C$5)/$D$11)</f>
        <v>0</v>
      </c>
      <c r="H59" s="44">
        <f ca="1">IF($F59&gt;$D$5,0,VLOOKUP($F59,$F$24:$BZ$44,H$2-$E$2,FALSE)*$D$11*$D$14*(1+$D$13)^($F59-'הנחות עבודה'!$C$5)/$D$11)</f>
        <v>0</v>
      </c>
      <c r="I59" s="44">
        <f ca="1">IF($F59&gt;$D$5,0,VLOOKUP($F59,$F$24:$BZ$44,I$2-$E$2,FALSE)*$D$11*$D$14*(1+$D$13)^($F59-'הנחות עבודה'!$C$5)/$D$11)</f>
        <v>0</v>
      </c>
      <c r="J59" s="44">
        <f ca="1">IF($F59&gt;$D$5,0,VLOOKUP($F59,$F$24:$BZ$44,J$2-$E$2,FALSE)*$D$11*$D$14*(1+$D$13)^($F59-'הנחות עבודה'!$C$5)/$D$11)</f>
        <v>0</v>
      </c>
      <c r="K59" s="44">
        <f ca="1">IF($F59&gt;$D$5,0,VLOOKUP($F59,$F$24:$BZ$44,K$2-$E$2,FALSE)*$D$11*$D$14*(1+$D$13)^($F59-'הנחות עבודה'!$C$5)/$D$11)</f>
        <v>0</v>
      </c>
      <c r="L59" s="44">
        <f ca="1">IF($F59&gt;$D$5,0,VLOOKUP($F59,$F$24:$BZ$44,L$2-$E$2,FALSE)*$D$11*$D$14*(1+$D$13)^($F59-'הנחות עבודה'!$C$5)/$D$11)</f>
        <v>0</v>
      </c>
      <c r="M59" s="42">
        <f ca="1">IF($F59&gt;$D$5,0,VLOOKUP($F59,$F$24:$BZ$44,M$2-$E$2,FALSE)*$D$11*$D$14*(1+$D$13)^($F59-'הנחות עבודה'!$C$5)/$D$11)</f>
        <v>536.95042705917365</v>
      </c>
      <c r="N59" s="42">
        <f ca="1">IF($F59&gt;$D$5,0,VLOOKUP($F59,$F$24:$BZ$44,N$2-$E$2,FALSE)*$D$11*$D$14*(1+$D$13)^($F59-'הנחות עבודה'!$C$5)/$D$11)</f>
        <v>1533.0181752285473</v>
      </c>
      <c r="O59" s="42">
        <f ca="1">IF($F59&gt;$D$5,0,VLOOKUP($F59,$F$24:$BZ$44,O$2-$E$2,FALSE)*$D$11*$D$14*(1+$D$13)^($F59-'הנחות עבודה'!$C$5)/$D$11)</f>
        <v>0</v>
      </c>
      <c r="P59" s="42">
        <f ca="1">IF($F59&gt;$D$5,0,VLOOKUP($F59,$F$24:$BZ$44,P$2-$E$2,FALSE)*$D$11*$D$14*(1+$D$13)^($F59-'הנחות עבודה'!$C$5)/$D$11)</f>
        <v>0</v>
      </c>
      <c r="Q59" s="42">
        <f ca="1">IF($F59&gt;$D$5,0,VLOOKUP($F59,$F$24:$BZ$44,Q$2-$E$2,FALSE)*$D$11*$D$14*(1+$D$13)^($F59-'הנחות עבודה'!$C$5)/$D$11)</f>
        <v>0</v>
      </c>
      <c r="R59" s="42">
        <f ca="1">IF($F59&gt;$D$5,0,VLOOKUP($F59,$F$24:$BZ$44,R$2-$E$2,FALSE)*$D$11*$D$14*(1+$D$13)^($F59-'הנחות עבודה'!$C$5)/$D$11)</f>
        <v>0</v>
      </c>
      <c r="S59" s="52">
        <f ca="1">IF($F59&gt;$D$5,0,VLOOKUP($F59,$F$24:$BZ$44,S$2-$E$2,FALSE)*$D$11*$D$14*(1+$D$13)^($F59-'הנחות עבודה'!$C$5)/$D$11)</f>
        <v>0</v>
      </c>
      <c r="T59" s="127">
        <f ca="1">IF($F59&gt;$D$5,0,VLOOKUP($F59,$F$24:$BZ$44,T$2-$E$2,FALSE)*$D$11*$D$14*(1+$D$13)^($F59-'הנחות עבודה'!$C$5)/$D$11)</f>
        <v>0</v>
      </c>
      <c r="U59" s="127">
        <f ca="1">IF($F59&gt;$D$5,0,VLOOKUP($F59,$F$24:$BZ$44,U$2-$E$2,FALSE)*$D$11*$D$14*(1+$D$13)^($F59-'הנחות עבודה'!$C$5)/$D$11)</f>
        <v>0</v>
      </c>
      <c r="V59" s="127">
        <f ca="1">IF($F59&gt;$D$5,0,VLOOKUP($F59,$F$24:$BZ$44,V$2-$E$2,FALSE)*$D$11*$D$14*(1+$D$13)^($F59-'הנחות עבודה'!$C$5)/$D$11)</f>
        <v>0</v>
      </c>
      <c r="W59" s="127">
        <f ca="1">IF($F59&gt;$D$5,0,VLOOKUP($F59,$F$24:$BZ$44,W$2-$E$2,FALSE)*$D$11*$D$14*(1+$D$13)^($F59-'הנחות עבודה'!$C$5)/$D$11)</f>
        <v>0</v>
      </c>
      <c r="X59" s="127">
        <f ca="1">IF($F59&gt;$D$5,0,VLOOKUP($F59,$F$24:$BZ$44,X$2-$E$2,FALSE)*$D$11*$D$14*(1+$D$13)^($F59-'הנחות עבודה'!$C$5)/$D$11)</f>
        <v>0</v>
      </c>
      <c r="Y59" s="52">
        <f ca="1">IF($F59&gt;$D$5,0,VLOOKUP($F59,$F$24:$BZ$44,Y$2-$E$2,FALSE)*$D$11*$D$14*(1+$D$13)^($F59-'הנחות עבודה'!$C$5)/$D$11)</f>
        <v>536.95042705917365</v>
      </c>
      <c r="Z59" s="52">
        <f ca="1">IF($F59&gt;$D$5,0,VLOOKUP($F59,$F$24:$BZ$44,Z$2-$E$2,FALSE)*$D$11*$D$14*(1+$D$13)^($F59-'הנחות עבודה'!$C$5)/$D$11)</f>
        <v>1533.0181752285473</v>
      </c>
      <c r="AA59" s="52">
        <f ca="1">IF($F59&gt;$D$5,0,VLOOKUP($F59,$F$24:$BZ$44,AA$2-$E$2,FALSE)*$D$11*$D$14*(1+$D$13)^($F59-'הנחות עבודה'!$C$5)/$D$11)</f>
        <v>0</v>
      </c>
      <c r="AB59" s="52">
        <f ca="1">IF($F59&gt;$D$5,0,VLOOKUP($F59,$F$24:$BZ$44,AB$2-$E$2,FALSE)*$D$11*$D$14*(1+$D$13)^($F59-'הנחות עבודה'!$C$5)/$D$11)</f>
        <v>0</v>
      </c>
      <c r="AC59" s="52">
        <f ca="1">IF($F59&gt;$D$5,0,VLOOKUP($F59,$F$24:$BZ$44,AC$2-$E$2,FALSE)*$D$11*$D$14*(1+$D$13)^($F59-'הנחות עבודה'!$C$5)/$D$11)</f>
        <v>0</v>
      </c>
      <c r="AD59" s="52">
        <f ca="1">IF($F59&gt;$D$5,0,VLOOKUP($F59,$F$24:$BZ$44,AD$2-$E$2,FALSE)*$D$11*$D$14*(1+$D$13)^($F59-'הנחות עבודה'!$C$5)/$D$11)</f>
        <v>0</v>
      </c>
      <c r="AE59" s="42">
        <f ca="1">IF($F59&gt;$D$5,0,VLOOKUP($F59,$F$24:$BZ$44,AE$2-$E$2,FALSE)*$D$11*$D$14*(1+$D$13)^($F59-'הנחות עבודה'!$C$5)/$D$11)</f>
        <v>0</v>
      </c>
      <c r="AF59" s="44">
        <f ca="1">IF($F59&gt;$D$5,0,VLOOKUP($F59,$F$24:$BZ$44,AF$2-$E$2,FALSE)*$D$11*$D$14*(1+$D$13)^($F59-'הנחות עבודה'!$C$5)/$D$11)</f>
        <v>0</v>
      </c>
      <c r="AG59" s="44">
        <f ca="1">IF($F59&gt;$D$5,0,VLOOKUP($F59,$F$24:$BZ$44,AG$2-$E$2,FALSE)*$D$11*$D$14*(1+$D$13)^($F59-'הנחות עבודה'!$C$5)/$D$11)</f>
        <v>0</v>
      </c>
      <c r="AH59" s="44">
        <f ca="1">IF($F59&gt;$D$5,0,VLOOKUP($F59,$F$24:$BZ$44,AH$2-$E$2,FALSE)*$D$11*$D$14*(1+$D$13)^($F59-'הנחות עבודה'!$C$5)/$D$11)</f>
        <v>0</v>
      </c>
      <c r="AI59" s="44">
        <f ca="1">IF($F59&gt;$D$5,0,VLOOKUP($F59,$F$24:$BZ$44,AI$2-$E$2,FALSE)*$D$11*$D$14*(1+$D$13)^($F59-'הנחות עבודה'!$C$5)/$D$11)</f>
        <v>0</v>
      </c>
      <c r="AJ59" s="44">
        <f ca="1">IF($F59&gt;$D$5,0,VLOOKUP($F59,$F$24:$BZ$44,AJ$2-$E$2,FALSE)*$D$11*$D$14*(1+$D$13)^($F59-'הנחות עבודה'!$C$5)/$D$11)</f>
        <v>0</v>
      </c>
      <c r="AK59" s="42">
        <f ca="1">IF($F59&gt;$D$5,0,VLOOKUP($F59,$F$24:$BZ$44,AK$2-$E$2,FALSE)*$D$11*$D$14*(1+$D$13)^($F59-'הנחות עבודה'!$C$5)/$D$11)</f>
        <v>548.49432417899777</v>
      </c>
      <c r="AL59" s="42">
        <f ca="1">IF($F59&gt;$D$5,0,VLOOKUP($F59,$F$24:$BZ$44,AL$2-$E$2,FALSE)*$D$11*$D$14*(1+$D$13)^($F59-'הנחות עבודה'!$C$5)/$D$11)</f>
        <v>1377.0801885121568</v>
      </c>
      <c r="AM59" s="42">
        <f ca="1">IF($F59&gt;$D$5,0,VLOOKUP($F59,$F$24:$BZ$44,AM$2-$E$2,FALSE)*$D$11*$D$14*(1+$D$13)^($F59-'הנחות עבודה'!$C$5)/$D$11)</f>
        <v>0</v>
      </c>
      <c r="AN59" s="42">
        <f ca="1">IF($F59&gt;$D$5,0,VLOOKUP($F59,$F$24:$BZ$44,AN$2-$E$2,FALSE)*$D$11*$D$14*(1+$D$13)^($F59-'הנחות עבודה'!$C$5)/$D$11)</f>
        <v>0</v>
      </c>
      <c r="AO59" s="42">
        <f ca="1">IF($F59&gt;$D$5,0,VLOOKUP($F59,$F$24:$BZ$44,AO$2-$E$2,FALSE)*$D$11*$D$14*(1+$D$13)^($F59-'הנחות עבודה'!$C$5)/$D$11)</f>
        <v>0</v>
      </c>
      <c r="AP59" s="42">
        <f ca="1">IF($F59&gt;$D$5,0,VLOOKUP($F59,$F$24:$BZ$44,AP$2-$E$2,FALSE)*$D$11*$D$14*(1+$D$13)^($F59-'הנחות עבודה'!$C$5)/$D$11)</f>
        <v>0</v>
      </c>
      <c r="AQ59" s="52">
        <f ca="1">IF($F59&gt;$D$5,0,VLOOKUP($F59,$F$24:$BZ$44,AQ$2-$E$2,FALSE)*$D$11*$D$14*(1+$D$13)^($F59-'הנחות עבודה'!$C$5)/$D$11)</f>
        <v>0</v>
      </c>
      <c r="AR59" s="127">
        <f ca="1">IF($F59&gt;$D$5,0,VLOOKUP($F59,$F$24:$BZ$44,AR$2-$E$2,FALSE)*$D$11*$D$14*(1+$D$13)^($F59-'הנחות עבודה'!$C$5)/$D$11)</f>
        <v>0</v>
      </c>
      <c r="AS59" s="127">
        <f ca="1">IF($F59&gt;$D$5,0,VLOOKUP($F59,$F$24:$BZ$44,AS$2-$E$2,FALSE)*$D$11*$D$14*(1+$D$13)^($F59-'הנחות עבודה'!$C$5)/$D$11)</f>
        <v>0</v>
      </c>
      <c r="AT59" s="127">
        <f ca="1">IF($F59&gt;$D$5,0,VLOOKUP($F59,$F$24:$BZ$44,AT$2-$E$2,FALSE)*$D$11*$D$14*(1+$D$13)^($F59-'הנחות עבודה'!$C$5)/$D$11)</f>
        <v>0</v>
      </c>
      <c r="AU59" s="127">
        <f ca="1">IF($F59&gt;$D$5,0,VLOOKUP($F59,$F$24:$BZ$44,AU$2-$E$2,FALSE)*$D$11*$D$14*(1+$D$13)^($F59-'הנחות עבודה'!$C$5)/$D$11)</f>
        <v>0</v>
      </c>
      <c r="AV59" s="127">
        <f ca="1">IF($F59&gt;$D$5,0,VLOOKUP($F59,$F$24:$BZ$44,AV$2-$E$2,FALSE)*$D$11*$D$14*(1+$D$13)^($F59-'הנחות עבודה'!$C$5)/$D$11)</f>
        <v>0</v>
      </c>
      <c r="AW59" s="52">
        <f ca="1">IF($F59&gt;$D$5,0,VLOOKUP($F59,$F$24:$BZ$44,AW$2-$E$2,FALSE)*$D$11*$D$14*(1+$D$13)^($F59-'הנחות עבודה'!$C$5)/$D$11)</f>
        <v>548.49432417899777</v>
      </c>
      <c r="AX59" s="52">
        <f ca="1">IF($F59&gt;$D$5,0,VLOOKUP($F59,$F$24:$BZ$44,AX$2-$E$2,FALSE)*$D$11*$D$14*(1+$D$13)^($F59-'הנחות עבודה'!$C$5)/$D$11)</f>
        <v>1377.0801885121568</v>
      </c>
      <c r="AY59" s="52">
        <f ca="1">IF($F59&gt;$D$5,0,VLOOKUP($F59,$F$24:$BZ$44,AY$2-$E$2,FALSE)*$D$11*$D$14*(1+$D$13)^($F59-'הנחות עבודה'!$C$5)/$D$11)</f>
        <v>0</v>
      </c>
      <c r="AZ59" s="52">
        <f ca="1">IF($F59&gt;$D$5,0,VLOOKUP($F59,$F$24:$BZ$44,AZ$2-$E$2,FALSE)*$D$11*$D$14*(1+$D$13)^($F59-'הנחות עבודה'!$C$5)/$D$11)</f>
        <v>0</v>
      </c>
      <c r="BA59" s="52">
        <f ca="1">IF($F59&gt;$D$5,0,VLOOKUP($F59,$F$24:$BZ$44,BA$2-$E$2,FALSE)*$D$11*$D$14*(1+$D$13)^($F59-'הנחות עבודה'!$C$5)/$D$11)</f>
        <v>0</v>
      </c>
      <c r="BB59" s="52">
        <f ca="1">IF($F59&gt;$D$5,0,VLOOKUP($F59,$F$24:$BZ$44,BB$2-$E$2,FALSE)*$D$11*$D$14*(1+$D$13)^($F59-'הנחות עבודה'!$C$5)/$D$11)</f>
        <v>0</v>
      </c>
      <c r="BC59" s="42">
        <f ca="1">IF($F59&gt;$D$5,0,VLOOKUP($F59,$F$24:$BZ$44,BC$2-$E$2,FALSE)*$D$11*$D$14*(1+$D$13)^($F59-'הנחות עבודה'!$C$5)/$D$11)</f>
        <v>0</v>
      </c>
      <c r="BD59" s="44">
        <f ca="1">IF($F59&gt;$D$5,0,VLOOKUP($F59,$F$24:$BZ$44,BD$2-$E$2,FALSE)*$D$11*$D$14*(1+$D$13)^($F59-'הנחות עבודה'!$C$5)/$D$11)</f>
        <v>0</v>
      </c>
      <c r="BE59" s="44">
        <f ca="1">IF($F59&gt;$D$5,0,VLOOKUP($F59,$F$24:$BZ$44,BE$2-$E$2,FALSE)*$D$11*$D$14*(1+$D$13)^($F59-'הנחות עבודה'!$C$5)/$D$11)</f>
        <v>0</v>
      </c>
      <c r="BF59" s="44">
        <f ca="1">IF($F59&gt;$D$5,0,VLOOKUP($F59,$F$24:$BZ$44,BF$2-$E$2,FALSE)*$D$11*$D$14*(1+$D$13)^($F59-'הנחות עבודה'!$C$5)/$D$11)</f>
        <v>0</v>
      </c>
      <c r="BG59" s="44">
        <f ca="1">IF($F59&gt;$D$5,0,VLOOKUP($F59,$F$24:$BZ$44,BG$2-$E$2,FALSE)*$D$11*$D$14*(1+$D$13)^($F59-'הנחות עבודה'!$C$5)/$D$11)</f>
        <v>0</v>
      </c>
      <c r="BH59" s="44">
        <f ca="1">IF($F59&gt;$D$5,0,VLOOKUP($F59,$F$24:$BZ$44,BH$2-$E$2,FALSE)*$D$11*$D$14*(1+$D$13)^($F59-'הנחות עבודה'!$C$5)/$D$11)</f>
        <v>0</v>
      </c>
      <c r="BI59" s="42">
        <f ca="1">IF($F59&gt;$D$5,0,VLOOKUP($F59,$F$24:$BZ$44,BI$2-$E$2,FALSE)*$D$11*$D$14*(1+$D$13)^($F59-'הנחות עבודה'!$C$5)/$D$11)</f>
        <v>560.83354254439769</v>
      </c>
      <c r="BJ59" s="42">
        <f ca="1">IF($F59&gt;$D$5,0,VLOOKUP($F59,$F$24:$BZ$44,BJ$2-$E$2,FALSE)*$D$11*$D$14*(1+$D$13)^($F59-'הנחות עבודה'!$C$5)/$D$11)</f>
        <v>1279.7693951139377</v>
      </c>
      <c r="BK59" s="42">
        <f ca="1">IF($F59&gt;$D$5,0,VLOOKUP($F59,$F$24:$BZ$44,BK$2-$E$2,FALSE)*$D$11*$D$14*(1+$D$13)^($F59-'הנחות עבודה'!$C$5)/$D$11)</f>
        <v>0</v>
      </c>
      <c r="BL59" s="42">
        <f ca="1">IF($F59&gt;$D$5,0,VLOOKUP($F59,$F$24:$BZ$44,BL$2-$E$2,FALSE)*$D$11*$D$14*(1+$D$13)^($F59-'הנחות עבודה'!$C$5)/$D$11)</f>
        <v>0</v>
      </c>
      <c r="BM59" s="42">
        <f ca="1">IF($F59&gt;$D$5,0,VLOOKUP($F59,$F$24:$BZ$44,BM$2-$E$2,FALSE)*$D$11*$D$14*(1+$D$13)^($F59-'הנחות עבודה'!$C$5)/$D$11)</f>
        <v>0</v>
      </c>
      <c r="BN59" s="42">
        <f ca="1">IF($F59&gt;$D$5,0,VLOOKUP($F59,$F$24:$BZ$44,BN$2-$E$2,FALSE)*$D$11*$D$14*(1+$D$13)^($F59-'הנחות עבודה'!$C$5)/$D$11)</f>
        <v>0</v>
      </c>
      <c r="BO59" s="52">
        <f ca="1">IF($F59&gt;$D$5,0,VLOOKUP($F59,$F$24:$BZ$44,BO$2-$E$2,FALSE)*$D$11*$D$14*(1+$D$13)^($F59-'הנחות עבודה'!$C$5)/$D$11)</f>
        <v>0</v>
      </c>
      <c r="BP59" s="127">
        <f ca="1">IF($F59&gt;$D$5,0,VLOOKUP($F59,$F$24:$BZ$44,BP$2-$E$2,FALSE)*$D$11*$D$14*(1+$D$13)^($F59-'הנחות עבודה'!$C$5)/$D$11)</f>
        <v>0</v>
      </c>
      <c r="BQ59" s="127">
        <f ca="1">IF($F59&gt;$D$5,0,VLOOKUP($F59,$F$24:$BZ$44,BQ$2-$E$2,FALSE)*$D$11*$D$14*(1+$D$13)^($F59-'הנחות עבודה'!$C$5)/$D$11)</f>
        <v>0</v>
      </c>
      <c r="BR59" s="127">
        <f ca="1">IF($F59&gt;$D$5,0,VLOOKUP($F59,$F$24:$BZ$44,BR$2-$E$2,FALSE)*$D$11*$D$14*(1+$D$13)^($F59-'הנחות עבודה'!$C$5)/$D$11)</f>
        <v>0</v>
      </c>
      <c r="BS59" s="127">
        <f ca="1">IF($F59&gt;$D$5,0,VLOOKUP($F59,$F$24:$BZ$44,BS$2-$E$2,FALSE)*$D$11*$D$14*(1+$D$13)^($F59-'הנחות עבודה'!$C$5)/$D$11)</f>
        <v>0</v>
      </c>
      <c r="BT59" s="127">
        <f ca="1">IF($F59&gt;$D$5,0,VLOOKUP($F59,$F$24:$BZ$44,BT$2-$E$2,FALSE)*$D$11*$D$14*(1+$D$13)^($F59-'הנחות עבודה'!$C$5)/$D$11)</f>
        <v>0</v>
      </c>
      <c r="BU59" s="52">
        <f ca="1">IF($F59&gt;$D$5,0,VLOOKUP($F59,$F$24:$BZ$44,BU$2-$E$2,FALSE)*$D$11*$D$14*(1+$D$13)^($F59-'הנחות עבודה'!$C$5)/$D$11)</f>
        <v>560.83354254439769</v>
      </c>
      <c r="BV59" s="52">
        <f ca="1">IF($F59&gt;$D$5,0,VLOOKUP($F59,$F$24:$BZ$44,BV$2-$E$2,FALSE)*$D$11*$D$14*(1+$D$13)^($F59-'הנחות עבודה'!$C$5)/$D$11)</f>
        <v>1279.7693951139377</v>
      </c>
      <c r="BW59" s="52">
        <f ca="1">IF($F59&gt;$D$5,0,VLOOKUP($F59,$F$24:$BZ$44,BW$2-$E$2,FALSE)*$D$11*$D$14*(1+$D$13)^($F59-'הנחות עבודה'!$C$5)/$D$11)</f>
        <v>0</v>
      </c>
      <c r="BX59" s="52">
        <f ca="1">IF($F59&gt;$D$5,0,VLOOKUP($F59,$F$24:$BZ$44,BX$2-$E$2,FALSE)*$D$11*$D$14*(1+$D$13)^($F59-'הנחות עבודה'!$C$5)/$D$11)</f>
        <v>0</v>
      </c>
      <c r="BY59" s="52">
        <f ca="1">IF($F59&gt;$D$5,0,VLOOKUP($F59,$F$24:$BZ$44,BY$2-$E$2,FALSE)*$D$11*$D$14*(1+$D$13)^($F59-'הנחות עבודה'!$C$5)/$D$11)</f>
        <v>0</v>
      </c>
      <c r="BZ59" s="52">
        <f ca="1">IF($F59&gt;$D$5,0,VLOOKUP($F59,$F$24:$BZ$44,BZ$2-$E$2,FALSE)*$D$11*$D$14*(1+$D$13)^($F59-'הנחות עבודה'!$C$5)/$D$11)</f>
        <v>0</v>
      </c>
    </row>
    <row r="60" spans="6:78" ht="15.75">
      <c r="F60" s="10">
        <f t="shared" si="125"/>
        <v>2029</v>
      </c>
      <c r="G60" s="42">
        <f ca="1">IF($F60&gt;$D$5,0,VLOOKUP($F60,$F$24:$BZ$44,G$2-$E$2,FALSE)*$D$11*$D$14*(1+$D$13)^($F60-'הנחות עבודה'!$C$5)/$D$11)</f>
        <v>0</v>
      </c>
      <c r="H60" s="44">
        <f ca="1">IF($F60&gt;$D$5,0,VLOOKUP($F60,$F$24:$BZ$44,H$2-$E$2,FALSE)*$D$11*$D$14*(1+$D$13)^($F60-'הנחות עבודה'!$C$5)/$D$11)</f>
        <v>0</v>
      </c>
      <c r="I60" s="44">
        <f ca="1">IF($F60&gt;$D$5,0,VLOOKUP($F60,$F$24:$BZ$44,I$2-$E$2,FALSE)*$D$11*$D$14*(1+$D$13)^($F60-'הנחות עבודה'!$C$5)/$D$11)</f>
        <v>0</v>
      </c>
      <c r="J60" s="44">
        <f ca="1">IF($F60&gt;$D$5,0,VLOOKUP($F60,$F$24:$BZ$44,J$2-$E$2,FALSE)*$D$11*$D$14*(1+$D$13)^($F60-'הנחות עבודה'!$C$5)/$D$11)</f>
        <v>0</v>
      </c>
      <c r="K60" s="44">
        <f ca="1">IF($F60&gt;$D$5,0,VLOOKUP($F60,$F$24:$BZ$44,K$2-$E$2,FALSE)*$D$11*$D$14*(1+$D$13)^($F60-'הנחות עבודה'!$C$5)/$D$11)</f>
        <v>0</v>
      </c>
      <c r="L60" s="44">
        <f ca="1">IF($F60&gt;$D$5,0,VLOOKUP($F60,$F$24:$BZ$44,L$2-$E$2,FALSE)*$D$11*$D$14*(1+$D$13)^($F60-'הנחות עבודה'!$C$5)/$D$11)</f>
        <v>0</v>
      </c>
      <c r="M60" s="42">
        <f ca="1">IF($F60&gt;$D$5,0,VLOOKUP($F60,$F$24:$BZ$44,M$2-$E$2,FALSE)*$D$11*$D$14*(1+$D$13)^($F60-'הנחות עבודה'!$C$5)/$D$11)</f>
        <v>556.72183950234842</v>
      </c>
      <c r="N60" s="42">
        <f ca="1">IF($F60&gt;$D$5,0,VLOOKUP($F60,$F$24:$BZ$44,N$2-$E$2,FALSE)*$D$11*$D$14*(1+$D$13)^($F60-'הנחות עבודה'!$C$5)/$D$11)</f>
        <v>1622.2985820023587</v>
      </c>
      <c r="O60" s="42">
        <f ca="1">IF($F60&gt;$D$5,0,VLOOKUP($F60,$F$24:$BZ$44,O$2-$E$2,FALSE)*$D$11*$D$14*(1+$D$13)^($F60-'הנחות עבודה'!$C$5)/$D$11)</f>
        <v>0</v>
      </c>
      <c r="P60" s="42">
        <f ca="1">IF($F60&gt;$D$5,0,VLOOKUP($F60,$F$24:$BZ$44,P$2-$E$2,FALSE)*$D$11*$D$14*(1+$D$13)^($F60-'הנחות עבודה'!$C$5)/$D$11)</f>
        <v>0</v>
      </c>
      <c r="Q60" s="42">
        <f ca="1">IF($F60&gt;$D$5,0,VLOOKUP($F60,$F$24:$BZ$44,Q$2-$E$2,FALSE)*$D$11*$D$14*(1+$D$13)^($F60-'הנחות עבודה'!$C$5)/$D$11)</f>
        <v>0</v>
      </c>
      <c r="R60" s="42">
        <f ca="1">IF($F60&gt;$D$5,0,VLOOKUP($F60,$F$24:$BZ$44,R$2-$E$2,FALSE)*$D$11*$D$14*(1+$D$13)^($F60-'הנחות עבודה'!$C$5)/$D$11)</f>
        <v>0</v>
      </c>
      <c r="S60" s="52">
        <f ca="1">IF($F60&gt;$D$5,0,VLOOKUP($F60,$F$24:$BZ$44,S$2-$E$2,FALSE)*$D$11*$D$14*(1+$D$13)^($F60-'הנחות עבודה'!$C$5)/$D$11)</f>
        <v>0</v>
      </c>
      <c r="T60" s="127">
        <f ca="1">IF($F60&gt;$D$5,0,VLOOKUP($F60,$F$24:$BZ$44,T$2-$E$2,FALSE)*$D$11*$D$14*(1+$D$13)^($F60-'הנחות עבודה'!$C$5)/$D$11)</f>
        <v>0</v>
      </c>
      <c r="U60" s="127">
        <f ca="1">IF($F60&gt;$D$5,0,VLOOKUP($F60,$F$24:$BZ$44,U$2-$E$2,FALSE)*$D$11*$D$14*(1+$D$13)^($F60-'הנחות עבודה'!$C$5)/$D$11)</f>
        <v>0</v>
      </c>
      <c r="V60" s="127">
        <f ca="1">IF($F60&gt;$D$5,0,VLOOKUP($F60,$F$24:$BZ$44,V$2-$E$2,FALSE)*$D$11*$D$14*(1+$D$13)^($F60-'הנחות עבודה'!$C$5)/$D$11)</f>
        <v>0</v>
      </c>
      <c r="W60" s="127">
        <f ca="1">IF($F60&gt;$D$5,0,VLOOKUP($F60,$F$24:$BZ$44,W$2-$E$2,FALSE)*$D$11*$D$14*(1+$D$13)^($F60-'הנחות עבודה'!$C$5)/$D$11)</f>
        <v>0</v>
      </c>
      <c r="X60" s="127">
        <f ca="1">IF($F60&gt;$D$5,0,VLOOKUP($F60,$F$24:$BZ$44,X$2-$E$2,FALSE)*$D$11*$D$14*(1+$D$13)^($F60-'הנחות עבודה'!$C$5)/$D$11)</f>
        <v>0</v>
      </c>
      <c r="Y60" s="52">
        <f ca="1">IF($F60&gt;$D$5,0,VLOOKUP($F60,$F$24:$BZ$44,Y$2-$E$2,FALSE)*$D$11*$D$14*(1+$D$13)^($F60-'הנחות עבודה'!$C$5)/$D$11)</f>
        <v>556.72183950234842</v>
      </c>
      <c r="Z60" s="52">
        <f ca="1">IF($F60&gt;$D$5,0,VLOOKUP($F60,$F$24:$BZ$44,Z$2-$E$2,FALSE)*$D$11*$D$14*(1+$D$13)^($F60-'הנחות עבודה'!$C$5)/$D$11)</f>
        <v>1622.2985820023587</v>
      </c>
      <c r="AA60" s="52">
        <f ca="1">IF($F60&gt;$D$5,0,VLOOKUP($F60,$F$24:$BZ$44,AA$2-$E$2,FALSE)*$D$11*$D$14*(1+$D$13)^($F60-'הנחות עבודה'!$C$5)/$D$11)</f>
        <v>0</v>
      </c>
      <c r="AB60" s="52">
        <f ca="1">IF($F60&gt;$D$5,0,VLOOKUP($F60,$F$24:$BZ$44,AB$2-$E$2,FALSE)*$D$11*$D$14*(1+$D$13)^($F60-'הנחות עבודה'!$C$5)/$D$11)</f>
        <v>0</v>
      </c>
      <c r="AC60" s="52">
        <f ca="1">IF($F60&gt;$D$5,0,VLOOKUP($F60,$F$24:$BZ$44,AC$2-$E$2,FALSE)*$D$11*$D$14*(1+$D$13)^($F60-'הנחות עבודה'!$C$5)/$D$11)</f>
        <v>0</v>
      </c>
      <c r="AD60" s="52">
        <f ca="1">IF($F60&gt;$D$5,0,VLOOKUP($F60,$F$24:$BZ$44,AD$2-$E$2,FALSE)*$D$11*$D$14*(1+$D$13)^($F60-'הנחות עבודה'!$C$5)/$D$11)</f>
        <v>0</v>
      </c>
      <c r="AE60" s="42">
        <f ca="1">IF($F60&gt;$D$5,0,VLOOKUP($F60,$F$24:$BZ$44,AE$2-$E$2,FALSE)*$D$11*$D$14*(1+$D$13)^($F60-'הנחות עבודה'!$C$5)/$D$11)</f>
        <v>0</v>
      </c>
      <c r="AF60" s="44">
        <f ca="1">IF($F60&gt;$D$5,0,VLOOKUP($F60,$F$24:$BZ$44,AF$2-$E$2,FALSE)*$D$11*$D$14*(1+$D$13)^($F60-'הנחות עבודה'!$C$5)/$D$11)</f>
        <v>0</v>
      </c>
      <c r="AG60" s="44">
        <f ca="1">IF($F60&gt;$D$5,0,VLOOKUP($F60,$F$24:$BZ$44,AG$2-$E$2,FALSE)*$D$11*$D$14*(1+$D$13)^($F60-'הנחות עבודה'!$C$5)/$D$11)</f>
        <v>0</v>
      </c>
      <c r="AH60" s="44">
        <f ca="1">IF($F60&gt;$D$5,0,VLOOKUP($F60,$F$24:$BZ$44,AH$2-$E$2,FALSE)*$D$11*$D$14*(1+$D$13)^($F60-'הנחות עבודה'!$C$5)/$D$11)</f>
        <v>0</v>
      </c>
      <c r="AI60" s="44">
        <f ca="1">IF($F60&gt;$D$5,0,VLOOKUP($F60,$F$24:$BZ$44,AI$2-$E$2,FALSE)*$D$11*$D$14*(1+$D$13)^($F60-'הנחות עבודה'!$C$5)/$D$11)</f>
        <v>0</v>
      </c>
      <c r="AJ60" s="44">
        <f ca="1">IF($F60&gt;$D$5,0,VLOOKUP($F60,$F$24:$BZ$44,AJ$2-$E$2,FALSE)*$D$11*$D$14*(1+$D$13)^($F60-'הנחות עבודה'!$C$5)/$D$11)</f>
        <v>0</v>
      </c>
      <c r="AK60" s="42">
        <f ca="1">IF($F60&gt;$D$5,0,VLOOKUP($F60,$F$24:$BZ$44,AK$2-$E$2,FALSE)*$D$11*$D$14*(1+$D$13)^($F60-'הנחות עבודה'!$C$5)/$D$11)</f>
        <v>576.38351612099393</v>
      </c>
      <c r="AL60" s="42">
        <f ca="1">IF($F60&gt;$D$5,0,VLOOKUP($F60,$F$24:$BZ$44,AL$2-$E$2,FALSE)*$D$11*$D$14*(1+$D$13)^($F60-'הנחות עבודה'!$C$5)/$D$11)</f>
        <v>1434.720313787114</v>
      </c>
      <c r="AM60" s="42">
        <f ca="1">IF($F60&gt;$D$5,0,VLOOKUP($F60,$F$24:$BZ$44,AM$2-$E$2,FALSE)*$D$11*$D$14*(1+$D$13)^($F60-'הנחות עבודה'!$C$5)/$D$11)</f>
        <v>0</v>
      </c>
      <c r="AN60" s="42">
        <f ca="1">IF($F60&gt;$D$5,0,VLOOKUP($F60,$F$24:$BZ$44,AN$2-$E$2,FALSE)*$D$11*$D$14*(1+$D$13)^($F60-'הנחות עבודה'!$C$5)/$D$11)</f>
        <v>0</v>
      </c>
      <c r="AO60" s="42">
        <f ca="1">IF($F60&gt;$D$5,0,VLOOKUP($F60,$F$24:$BZ$44,AO$2-$E$2,FALSE)*$D$11*$D$14*(1+$D$13)^($F60-'הנחות עבודה'!$C$5)/$D$11)</f>
        <v>0</v>
      </c>
      <c r="AP60" s="42">
        <f ca="1">IF($F60&gt;$D$5,0,VLOOKUP($F60,$F$24:$BZ$44,AP$2-$E$2,FALSE)*$D$11*$D$14*(1+$D$13)^($F60-'הנחות עבודה'!$C$5)/$D$11)</f>
        <v>0</v>
      </c>
      <c r="AQ60" s="52">
        <f ca="1">IF($F60&gt;$D$5,0,VLOOKUP($F60,$F$24:$BZ$44,AQ$2-$E$2,FALSE)*$D$11*$D$14*(1+$D$13)^($F60-'הנחות עבודה'!$C$5)/$D$11)</f>
        <v>0</v>
      </c>
      <c r="AR60" s="127">
        <f ca="1">IF($F60&gt;$D$5,0,VLOOKUP($F60,$F$24:$BZ$44,AR$2-$E$2,FALSE)*$D$11*$D$14*(1+$D$13)^($F60-'הנחות עבודה'!$C$5)/$D$11)</f>
        <v>0</v>
      </c>
      <c r="AS60" s="127">
        <f ca="1">IF($F60&gt;$D$5,0,VLOOKUP($F60,$F$24:$BZ$44,AS$2-$E$2,FALSE)*$D$11*$D$14*(1+$D$13)^($F60-'הנחות עבודה'!$C$5)/$D$11)</f>
        <v>0</v>
      </c>
      <c r="AT60" s="127">
        <f ca="1">IF($F60&gt;$D$5,0,VLOOKUP($F60,$F$24:$BZ$44,AT$2-$E$2,FALSE)*$D$11*$D$14*(1+$D$13)^($F60-'הנחות עבודה'!$C$5)/$D$11)</f>
        <v>0</v>
      </c>
      <c r="AU60" s="127">
        <f ca="1">IF($F60&gt;$D$5,0,VLOOKUP($F60,$F$24:$BZ$44,AU$2-$E$2,FALSE)*$D$11*$D$14*(1+$D$13)^($F60-'הנחות עבודה'!$C$5)/$D$11)</f>
        <v>0</v>
      </c>
      <c r="AV60" s="127">
        <f ca="1">IF($F60&gt;$D$5,0,VLOOKUP($F60,$F$24:$BZ$44,AV$2-$E$2,FALSE)*$D$11*$D$14*(1+$D$13)^($F60-'הנחות עבודה'!$C$5)/$D$11)</f>
        <v>0</v>
      </c>
      <c r="AW60" s="52">
        <f ca="1">IF($F60&gt;$D$5,0,VLOOKUP($F60,$F$24:$BZ$44,AW$2-$E$2,FALSE)*$D$11*$D$14*(1+$D$13)^($F60-'הנחות עבודה'!$C$5)/$D$11)</f>
        <v>576.38351612099393</v>
      </c>
      <c r="AX60" s="52">
        <f ca="1">IF($F60&gt;$D$5,0,VLOOKUP($F60,$F$24:$BZ$44,AX$2-$E$2,FALSE)*$D$11*$D$14*(1+$D$13)^($F60-'הנחות עבודה'!$C$5)/$D$11)</f>
        <v>1434.720313787114</v>
      </c>
      <c r="AY60" s="52">
        <f ca="1">IF($F60&gt;$D$5,0,VLOOKUP($F60,$F$24:$BZ$44,AY$2-$E$2,FALSE)*$D$11*$D$14*(1+$D$13)^($F60-'הנחות עבודה'!$C$5)/$D$11)</f>
        <v>0</v>
      </c>
      <c r="AZ60" s="52">
        <f ca="1">IF($F60&gt;$D$5,0,VLOOKUP($F60,$F$24:$BZ$44,AZ$2-$E$2,FALSE)*$D$11*$D$14*(1+$D$13)^($F60-'הנחות עבודה'!$C$5)/$D$11)</f>
        <v>0</v>
      </c>
      <c r="BA60" s="52">
        <f ca="1">IF($F60&gt;$D$5,0,VLOOKUP($F60,$F$24:$BZ$44,BA$2-$E$2,FALSE)*$D$11*$D$14*(1+$D$13)^($F60-'הנחות עבודה'!$C$5)/$D$11)</f>
        <v>0</v>
      </c>
      <c r="BB60" s="52">
        <f ca="1">IF($F60&gt;$D$5,0,VLOOKUP($F60,$F$24:$BZ$44,BB$2-$E$2,FALSE)*$D$11*$D$14*(1+$D$13)^($F60-'הנחות עבודה'!$C$5)/$D$11)</f>
        <v>0</v>
      </c>
      <c r="BC60" s="42">
        <f ca="1">IF($F60&gt;$D$5,0,VLOOKUP($F60,$F$24:$BZ$44,BC$2-$E$2,FALSE)*$D$11*$D$14*(1+$D$13)^($F60-'הנחות עבודה'!$C$5)/$D$11)</f>
        <v>0</v>
      </c>
      <c r="BD60" s="44">
        <f ca="1">IF($F60&gt;$D$5,0,VLOOKUP($F60,$F$24:$BZ$44,BD$2-$E$2,FALSE)*$D$11*$D$14*(1+$D$13)^($F60-'הנחות עבודה'!$C$5)/$D$11)</f>
        <v>0</v>
      </c>
      <c r="BE60" s="44">
        <f ca="1">IF($F60&gt;$D$5,0,VLOOKUP($F60,$F$24:$BZ$44,BE$2-$E$2,FALSE)*$D$11*$D$14*(1+$D$13)^($F60-'הנחות עבודה'!$C$5)/$D$11)</f>
        <v>0</v>
      </c>
      <c r="BF60" s="44">
        <f ca="1">IF($F60&gt;$D$5,0,VLOOKUP($F60,$F$24:$BZ$44,BF$2-$E$2,FALSE)*$D$11*$D$14*(1+$D$13)^($F60-'הנחות עבודה'!$C$5)/$D$11)</f>
        <v>0</v>
      </c>
      <c r="BG60" s="44">
        <f ca="1">IF($F60&gt;$D$5,0,VLOOKUP($F60,$F$24:$BZ$44,BG$2-$E$2,FALSE)*$D$11*$D$14*(1+$D$13)^($F60-'הנחות עבודה'!$C$5)/$D$11)</f>
        <v>0</v>
      </c>
      <c r="BH60" s="44">
        <f ca="1">IF($F60&gt;$D$5,0,VLOOKUP($F60,$F$24:$BZ$44,BH$2-$E$2,FALSE)*$D$11*$D$14*(1+$D$13)^($F60-'הנחות עבודה'!$C$5)/$D$11)</f>
        <v>0</v>
      </c>
      <c r="BI60" s="42">
        <f ca="1">IF($F60&gt;$D$5,0,VLOOKUP($F60,$F$24:$BZ$44,BI$2-$E$2,FALSE)*$D$11*$D$14*(1+$D$13)^($F60-'הנחות עבודה'!$C$5)/$D$11)</f>
        <v>591.15345002882714</v>
      </c>
      <c r="BJ60" s="42">
        <f ca="1">IF($F60&gt;$D$5,0,VLOOKUP($F60,$F$24:$BZ$44,BJ$2-$E$2,FALSE)*$D$11*$D$14*(1+$D$13)^($F60-'הנחות עבודה'!$C$5)/$D$11)</f>
        <v>1317.9924049234012</v>
      </c>
      <c r="BK60" s="42">
        <f ca="1">IF($F60&gt;$D$5,0,VLOOKUP($F60,$F$24:$BZ$44,BK$2-$E$2,FALSE)*$D$11*$D$14*(1+$D$13)^($F60-'הנחות עבודה'!$C$5)/$D$11)</f>
        <v>0</v>
      </c>
      <c r="BL60" s="42">
        <f ca="1">IF($F60&gt;$D$5,0,VLOOKUP($F60,$F$24:$BZ$44,BL$2-$E$2,FALSE)*$D$11*$D$14*(1+$D$13)^($F60-'הנחות עבודה'!$C$5)/$D$11)</f>
        <v>0</v>
      </c>
      <c r="BM60" s="42">
        <f ca="1">IF($F60&gt;$D$5,0,VLOOKUP($F60,$F$24:$BZ$44,BM$2-$E$2,FALSE)*$D$11*$D$14*(1+$D$13)^($F60-'הנחות עבודה'!$C$5)/$D$11)</f>
        <v>0</v>
      </c>
      <c r="BN60" s="42">
        <f ca="1">IF($F60&gt;$D$5,0,VLOOKUP($F60,$F$24:$BZ$44,BN$2-$E$2,FALSE)*$D$11*$D$14*(1+$D$13)^($F60-'הנחות עבודה'!$C$5)/$D$11)</f>
        <v>0</v>
      </c>
      <c r="BO60" s="52">
        <f ca="1">IF($F60&gt;$D$5,0,VLOOKUP($F60,$F$24:$BZ$44,BO$2-$E$2,FALSE)*$D$11*$D$14*(1+$D$13)^($F60-'הנחות עבודה'!$C$5)/$D$11)</f>
        <v>0</v>
      </c>
      <c r="BP60" s="127">
        <f ca="1">IF($F60&gt;$D$5,0,VLOOKUP($F60,$F$24:$BZ$44,BP$2-$E$2,FALSE)*$D$11*$D$14*(1+$D$13)^($F60-'הנחות עבודה'!$C$5)/$D$11)</f>
        <v>0</v>
      </c>
      <c r="BQ60" s="127">
        <f ca="1">IF($F60&gt;$D$5,0,VLOOKUP($F60,$F$24:$BZ$44,BQ$2-$E$2,FALSE)*$D$11*$D$14*(1+$D$13)^($F60-'הנחות עבודה'!$C$5)/$D$11)</f>
        <v>0</v>
      </c>
      <c r="BR60" s="127">
        <f ca="1">IF($F60&gt;$D$5,0,VLOOKUP($F60,$F$24:$BZ$44,BR$2-$E$2,FALSE)*$D$11*$D$14*(1+$D$13)^($F60-'הנחות עבודה'!$C$5)/$D$11)</f>
        <v>0</v>
      </c>
      <c r="BS60" s="127">
        <f ca="1">IF($F60&gt;$D$5,0,VLOOKUP($F60,$F$24:$BZ$44,BS$2-$E$2,FALSE)*$D$11*$D$14*(1+$D$13)^($F60-'הנחות עבודה'!$C$5)/$D$11)</f>
        <v>0</v>
      </c>
      <c r="BT60" s="127">
        <f ca="1">IF($F60&gt;$D$5,0,VLOOKUP($F60,$F$24:$BZ$44,BT$2-$E$2,FALSE)*$D$11*$D$14*(1+$D$13)^($F60-'הנחות עבודה'!$C$5)/$D$11)</f>
        <v>0</v>
      </c>
      <c r="BU60" s="52">
        <f ca="1">IF($F60&gt;$D$5,0,VLOOKUP($F60,$F$24:$BZ$44,BU$2-$E$2,FALSE)*$D$11*$D$14*(1+$D$13)^($F60-'הנחות עבודה'!$C$5)/$D$11)</f>
        <v>591.15345002882714</v>
      </c>
      <c r="BV60" s="52">
        <f ca="1">IF($F60&gt;$D$5,0,VLOOKUP($F60,$F$24:$BZ$44,BV$2-$E$2,FALSE)*$D$11*$D$14*(1+$D$13)^($F60-'הנחות עבודה'!$C$5)/$D$11)</f>
        <v>1317.9924049234012</v>
      </c>
      <c r="BW60" s="52">
        <f ca="1">IF($F60&gt;$D$5,0,VLOOKUP($F60,$F$24:$BZ$44,BW$2-$E$2,FALSE)*$D$11*$D$14*(1+$D$13)^($F60-'הנחות עבודה'!$C$5)/$D$11)</f>
        <v>0</v>
      </c>
      <c r="BX60" s="52">
        <f ca="1">IF($F60&gt;$D$5,0,VLOOKUP($F60,$F$24:$BZ$44,BX$2-$E$2,FALSE)*$D$11*$D$14*(1+$D$13)^($F60-'הנחות עבודה'!$C$5)/$D$11)</f>
        <v>0</v>
      </c>
      <c r="BY60" s="52">
        <f ca="1">IF($F60&gt;$D$5,0,VLOOKUP($F60,$F$24:$BZ$44,BY$2-$E$2,FALSE)*$D$11*$D$14*(1+$D$13)^($F60-'הנחות עבודה'!$C$5)/$D$11)</f>
        <v>0</v>
      </c>
      <c r="BZ60" s="52">
        <f ca="1">IF($F60&gt;$D$5,0,VLOOKUP($F60,$F$24:$BZ$44,BZ$2-$E$2,FALSE)*$D$11*$D$14*(1+$D$13)^($F60-'הנחות עבודה'!$C$5)/$D$11)</f>
        <v>0</v>
      </c>
    </row>
    <row r="61" spans="6:78" ht="15.75">
      <c r="F61" s="10">
        <f t="shared" si="125"/>
        <v>2030</v>
      </c>
      <c r="G61" s="42">
        <f ca="1">IF($F61&gt;$D$5,0,VLOOKUP($F61,$F$24:$BZ$44,G$2-$E$2,FALSE)*$D$11*$D$14*(1+$D$13)^($F61-'הנחות עבודה'!$C$5)/$D$11)</f>
        <v>0</v>
      </c>
      <c r="H61" s="44">
        <f ca="1">IF($F61&gt;$D$5,0,VLOOKUP($F61,$F$24:$BZ$44,H$2-$E$2,FALSE)*$D$11*$D$14*(1+$D$13)^($F61-'הנחות עבודה'!$C$5)/$D$11)</f>
        <v>0</v>
      </c>
      <c r="I61" s="44">
        <f ca="1">IF($F61&gt;$D$5,0,VLOOKUP($F61,$F$24:$BZ$44,I$2-$E$2,FALSE)*$D$11*$D$14*(1+$D$13)^($F61-'הנחות עבודה'!$C$5)/$D$11)</f>
        <v>0</v>
      </c>
      <c r="J61" s="44">
        <f ca="1">IF($F61&gt;$D$5,0,VLOOKUP($F61,$F$24:$BZ$44,J$2-$E$2,FALSE)*$D$11*$D$14*(1+$D$13)^($F61-'הנחות עבודה'!$C$5)/$D$11)</f>
        <v>0</v>
      </c>
      <c r="K61" s="44">
        <f ca="1">IF($F61&gt;$D$5,0,VLOOKUP($F61,$F$24:$BZ$44,K$2-$E$2,FALSE)*$D$11*$D$14*(1+$D$13)^($F61-'הנחות עבודה'!$C$5)/$D$11)</f>
        <v>0</v>
      </c>
      <c r="L61" s="44">
        <f ca="1">IF($F61&gt;$D$5,0,VLOOKUP($F61,$F$24:$BZ$44,L$2-$E$2,FALSE)*$D$11*$D$14*(1+$D$13)^($F61-'הנחות עבודה'!$C$5)/$D$11)</f>
        <v>0</v>
      </c>
      <c r="M61" s="42">
        <f ca="1">IF($F61&gt;$D$5,0,VLOOKUP($F61,$F$24:$BZ$44,M$2-$E$2,FALSE)*$D$11*$D$14*(1+$D$13)^($F61-'הנחות עבודה'!$C$5)/$D$11)</f>
        <v>569.21166297851494</v>
      </c>
      <c r="N61" s="42">
        <f ca="1">IF($F61&gt;$D$5,0,VLOOKUP($F61,$F$24:$BZ$44,N$2-$E$2,FALSE)*$D$11*$D$14*(1+$D$13)^($F61-'הנחות עבודה'!$C$5)/$D$11)</f>
        <v>1716.5021757695986</v>
      </c>
      <c r="O61" s="42">
        <f ca="1">IF($F61&gt;$D$5,0,VLOOKUP($F61,$F$24:$BZ$44,O$2-$E$2,FALSE)*$D$11*$D$14*(1+$D$13)^($F61-'הנחות עבודה'!$C$5)/$D$11)</f>
        <v>0</v>
      </c>
      <c r="P61" s="42">
        <f ca="1">IF($F61&gt;$D$5,0,VLOOKUP($F61,$F$24:$BZ$44,P$2-$E$2,FALSE)*$D$11*$D$14*(1+$D$13)^($F61-'הנחות עבודה'!$C$5)/$D$11)</f>
        <v>0</v>
      </c>
      <c r="Q61" s="42">
        <f ca="1">IF($F61&gt;$D$5,0,VLOOKUP($F61,$F$24:$BZ$44,Q$2-$E$2,FALSE)*$D$11*$D$14*(1+$D$13)^($F61-'הנחות עבודה'!$C$5)/$D$11)</f>
        <v>0</v>
      </c>
      <c r="R61" s="42">
        <f ca="1">IF($F61&gt;$D$5,0,VLOOKUP($F61,$F$24:$BZ$44,R$2-$E$2,FALSE)*$D$11*$D$14*(1+$D$13)^($F61-'הנחות עבודה'!$C$5)/$D$11)</f>
        <v>0</v>
      </c>
      <c r="S61" s="52">
        <f ca="1">IF($F61&gt;$D$5,0,VLOOKUP($F61,$F$24:$BZ$44,S$2-$E$2,FALSE)*$D$11*$D$14*(1+$D$13)^($F61-'הנחות עבודה'!$C$5)/$D$11)</f>
        <v>0</v>
      </c>
      <c r="T61" s="127">
        <f ca="1">IF($F61&gt;$D$5,0,VLOOKUP($F61,$F$24:$BZ$44,T$2-$E$2,FALSE)*$D$11*$D$14*(1+$D$13)^($F61-'הנחות עבודה'!$C$5)/$D$11)</f>
        <v>0</v>
      </c>
      <c r="U61" s="127">
        <f ca="1">IF($F61&gt;$D$5,0,VLOOKUP($F61,$F$24:$BZ$44,U$2-$E$2,FALSE)*$D$11*$D$14*(1+$D$13)^($F61-'הנחות עבודה'!$C$5)/$D$11)</f>
        <v>0</v>
      </c>
      <c r="V61" s="127">
        <f ca="1">IF($F61&gt;$D$5,0,VLOOKUP($F61,$F$24:$BZ$44,V$2-$E$2,FALSE)*$D$11*$D$14*(1+$D$13)^($F61-'הנחות עבודה'!$C$5)/$D$11)</f>
        <v>0</v>
      </c>
      <c r="W61" s="127">
        <f ca="1">IF($F61&gt;$D$5,0,VLOOKUP($F61,$F$24:$BZ$44,W$2-$E$2,FALSE)*$D$11*$D$14*(1+$D$13)^($F61-'הנחות עבודה'!$C$5)/$D$11)</f>
        <v>0</v>
      </c>
      <c r="X61" s="127">
        <f ca="1">IF($F61&gt;$D$5,0,VLOOKUP($F61,$F$24:$BZ$44,X$2-$E$2,FALSE)*$D$11*$D$14*(1+$D$13)^($F61-'הנחות עבודה'!$C$5)/$D$11)</f>
        <v>0</v>
      </c>
      <c r="Y61" s="52">
        <f ca="1">IF($F61&gt;$D$5,0,VLOOKUP($F61,$F$24:$BZ$44,Y$2-$E$2,FALSE)*$D$11*$D$14*(1+$D$13)^($F61-'הנחות עבודה'!$C$5)/$D$11)</f>
        <v>569.21166297851494</v>
      </c>
      <c r="Z61" s="52">
        <f ca="1">IF($F61&gt;$D$5,0,VLOOKUP($F61,$F$24:$BZ$44,Z$2-$E$2,FALSE)*$D$11*$D$14*(1+$D$13)^($F61-'הנחות עבודה'!$C$5)/$D$11)</f>
        <v>1716.5021757695986</v>
      </c>
      <c r="AA61" s="52">
        <f ca="1">IF($F61&gt;$D$5,0,VLOOKUP($F61,$F$24:$BZ$44,AA$2-$E$2,FALSE)*$D$11*$D$14*(1+$D$13)^($F61-'הנחות עבודה'!$C$5)/$D$11)</f>
        <v>0</v>
      </c>
      <c r="AB61" s="52">
        <f ca="1">IF($F61&gt;$D$5,0,VLOOKUP($F61,$F$24:$BZ$44,AB$2-$E$2,FALSE)*$D$11*$D$14*(1+$D$13)^($F61-'הנחות עבודה'!$C$5)/$D$11)</f>
        <v>0</v>
      </c>
      <c r="AC61" s="52">
        <f ca="1">IF($F61&gt;$D$5,0,VLOOKUP($F61,$F$24:$BZ$44,AC$2-$E$2,FALSE)*$D$11*$D$14*(1+$D$13)^($F61-'הנחות עבודה'!$C$5)/$D$11)</f>
        <v>0</v>
      </c>
      <c r="AD61" s="52">
        <f ca="1">IF($F61&gt;$D$5,0,VLOOKUP($F61,$F$24:$BZ$44,AD$2-$E$2,FALSE)*$D$11*$D$14*(1+$D$13)^($F61-'הנחות עבודה'!$C$5)/$D$11)</f>
        <v>0</v>
      </c>
      <c r="AE61" s="42">
        <f ca="1">IF($F61&gt;$D$5,0,VLOOKUP($F61,$F$24:$BZ$44,AE$2-$E$2,FALSE)*$D$11*$D$14*(1+$D$13)^($F61-'הנחות עבודה'!$C$5)/$D$11)</f>
        <v>0</v>
      </c>
      <c r="AF61" s="44">
        <f ca="1">IF($F61&gt;$D$5,0,VLOOKUP($F61,$F$24:$BZ$44,AF$2-$E$2,FALSE)*$D$11*$D$14*(1+$D$13)^($F61-'הנחות עבודה'!$C$5)/$D$11)</f>
        <v>0</v>
      </c>
      <c r="AG61" s="44">
        <f ca="1">IF($F61&gt;$D$5,0,VLOOKUP($F61,$F$24:$BZ$44,AG$2-$E$2,FALSE)*$D$11*$D$14*(1+$D$13)^($F61-'הנחות עבודה'!$C$5)/$D$11)</f>
        <v>0</v>
      </c>
      <c r="AH61" s="44">
        <f ca="1">IF($F61&gt;$D$5,0,VLOOKUP($F61,$F$24:$BZ$44,AH$2-$E$2,FALSE)*$D$11*$D$14*(1+$D$13)^($F61-'הנחות עבודה'!$C$5)/$D$11)</f>
        <v>0</v>
      </c>
      <c r="AI61" s="44">
        <f ca="1">IF($F61&gt;$D$5,0,VLOOKUP($F61,$F$24:$BZ$44,AI$2-$E$2,FALSE)*$D$11*$D$14*(1+$D$13)^($F61-'הנחות עבודה'!$C$5)/$D$11)</f>
        <v>0</v>
      </c>
      <c r="AJ61" s="44">
        <f ca="1">IF($F61&gt;$D$5,0,VLOOKUP($F61,$F$24:$BZ$44,AJ$2-$E$2,FALSE)*$D$11*$D$14*(1+$D$13)^($F61-'הנחות עבודה'!$C$5)/$D$11)</f>
        <v>0</v>
      </c>
      <c r="AK61" s="42">
        <f ca="1">IF($F61&gt;$D$5,0,VLOOKUP($F61,$F$24:$BZ$44,AK$2-$E$2,FALSE)*$D$11*$D$14*(1+$D$13)^($F61-'הנחות עבודה'!$C$5)/$D$11)</f>
        <v>603.0027999388999</v>
      </c>
      <c r="AL61" s="42">
        <f ca="1">IF($F61&gt;$D$5,0,VLOOKUP($F61,$F$24:$BZ$44,AL$2-$E$2,FALSE)*$D$11*$D$14*(1+$D$13)^($F61-'הנחות עבודה'!$C$5)/$D$11)</f>
        <v>1490.9575251625481</v>
      </c>
      <c r="AM61" s="42">
        <f ca="1">IF($F61&gt;$D$5,0,VLOOKUP($F61,$F$24:$BZ$44,AM$2-$E$2,FALSE)*$D$11*$D$14*(1+$D$13)^($F61-'הנחות עבודה'!$C$5)/$D$11)</f>
        <v>0</v>
      </c>
      <c r="AN61" s="42">
        <f ca="1">IF($F61&gt;$D$5,0,VLOOKUP($F61,$F$24:$BZ$44,AN$2-$E$2,FALSE)*$D$11*$D$14*(1+$D$13)^($F61-'הנחות עבודה'!$C$5)/$D$11)</f>
        <v>0</v>
      </c>
      <c r="AO61" s="42">
        <f ca="1">IF($F61&gt;$D$5,0,VLOOKUP($F61,$F$24:$BZ$44,AO$2-$E$2,FALSE)*$D$11*$D$14*(1+$D$13)^($F61-'הנחות עבודה'!$C$5)/$D$11)</f>
        <v>0</v>
      </c>
      <c r="AP61" s="42">
        <f ca="1">IF($F61&gt;$D$5,0,VLOOKUP($F61,$F$24:$BZ$44,AP$2-$E$2,FALSE)*$D$11*$D$14*(1+$D$13)^($F61-'הנחות עבודה'!$C$5)/$D$11)</f>
        <v>0</v>
      </c>
      <c r="AQ61" s="52">
        <f ca="1">IF($F61&gt;$D$5,0,VLOOKUP($F61,$F$24:$BZ$44,AQ$2-$E$2,FALSE)*$D$11*$D$14*(1+$D$13)^($F61-'הנחות עבודה'!$C$5)/$D$11)</f>
        <v>0</v>
      </c>
      <c r="AR61" s="127">
        <f ca="1">IF($F61&gt;$D$5,0,VLOOKUP($F61,$F$24:$BZ$44,AR$2-$E$2,FALSE)*$D$11*$D$14*(1+$D$13)^($F61-'הנחות עבודה'!$C$5)/$D$11)</f>
        <v>0</v>
      </c>
      <c r="AS61" s="127">
        <f ca="1">IF($F61&gt;$D$5,0,VLOOKUP($F61,$F$24:$BZ$44,AS$2-$E$2,FALSE)*$D$11*$D$14*(1+$D$13)^($F61-'הנחות עבודה'!$C$5)/$D$11)</f>
        <v>0</v>
      </c>
      <c r="AT61" s="127">
        <f ca="1">IF($F61&gt;$D$5,0,VLOOKUP($F61,$F$24:$BZ$44,AT$2-$E$2,FALSE)*$D$11*$D$14*(1+$D$13)^($F61-'הנחות עבודה'!$C$5)/$D$11)</f>
        <v>0</v>
      </c>
      <c r="AU61" s="127">
        <f ca="1">IF($F61&gt;$D$5,0,VLOOKUP($F61,$F$24:$BZ$44,AU$2-$E$2,FALSE)*$D$11*$D$14*(1+$D$13)^($F61-'הנחות עבודה'!$C$5)/$D$11)</f>
        <v>0</v>
      </c>
      <c r="AV61" s="127">
        <f ca="1">IF($F61&gt;$D$5,0,VLOOKUP($F61,$F$24:$BZ$44,AV$2-$E$2,FALSE)*$D$11*$D$14*(1+$D$13)^($F61-'הנחות עבודה'!$C$5)/$D$11)</f>
        <v>0</v>
      </c>
      <c r="AW61" s="52">
        <f ca="1">IF($F61&gt;$D$5,0,VLOOKUP($F61,$F$24:$BZ$44,AW$2-$E$2,FALSE)*$D$11*$D$14*(1+$D$13)^($F61-'הנחות עבודה'!$C$5)/$D$11)</f>
        <v>603.0027999388999</v>
      </c>
      <c r="AX61" s="52">
        <f ca="1">IF($F61&gt;$D$5,0,VLOOKUP($F61,$F$24:$BZ$44,AX$2-$E$2,FALSE)*$D$11*$D$14*(1+$D$13)^($F61-'הנחות עבודה'!$C$5)/$D$11)</f>
        <v>1490.9575251625481</v>
      </c>
      <c r="AY61" s="52">
        <f ca="1">IF($F61&gt;$D$5,0,VLOOKUP($F61,$F$24:$BZ$44,AY$2-$E$2,FALSE)*$D$11*$D$14*(1+$D$13)^($F61-'הנחות עבודה'!$C$5)/$D$11)</f>
        <v>0</v>
      </c>
      <c r="AZ61" s="52">
        <f ca="1">IF($F61&gt;$D$5,0,VLOOKUP($F61,$F$24:$BZ$44,AZ$2-$E$2,FALSE)*$D$11*$D$14*(1+$D$13)^($F61-'הנחות עבודה'!$C$5)/$D$11)</f>
        <v>0</v>
      </c>
      <c r="BA61" s="52">
        <f ca="1">IF($F61&gt;$D$5,0,VLOOKUP($F61,$F$24:$BZ$44,BA$2-$E$2,FALSE)*$D$11*$D$14*(1+$D$13)^($F61-'הנחות עבודה'!$C$5)/$D$11)</f>
        <v>0</v>
      </c>
      <c r="BB61" s="52">
        <f ca="1">IF($F61&gt;$D$5,0,VLOOKUP($F61,$F$24:$BZ$44,BB$2-$E$2,FALSE)*$D$11*$D$14*(1+$D$13)^($F61-'הנחות עבודה'!$C$5)/$D$11)</f>
        <v>0</v>
      </c>
      <c r="BC61" s="42">
        <f ca="1">IF($F61&gt;$D$5,0,VLOOKUP($F61,$F$24:$BZ$44,BC$2-$E$2,FALSE)*$D$11*$D$14*(1+$D$13)^($F61-'הנחות עבודה'!$C$5)/$D$11)</f>
        <v>0</v>
      </c>
      <c r="BD61" s="44">
        <f ca="1">IF($F61&gt;$D$5,0,VLOOKUP($F61,$F$24:$BZ$44,BD$2-$E$2,FALSE)*$D$11*$D$14*(1+$D$13)^($F61-'הנחות עבודה'!$C$5)/$D$11)</f>
        <v>0</v>
      </c>
      <c r="BE61" s="44">
        <f ca="1">IF($F61&gt;$D$5,0,VLOOKUP($F61,$F$24:$BZ$44,BE$2-$E$2,FALSE)*$D$11*$D$14*(1+$D$13)^($F61-'הנחות עבודה'!$C$5)/$D$11)</f>
        <v>0</v>
      </c>
      <c r="BF61" s="44">
        <f ca="1">IF($F61&gt;$D$5,0,VLOOKUP($F61,$F$24:$BZ$44,BF$2-$E$2,FALSE)*$D$11*$D$14*(1+$D$13)^($F61-'הנחות עבודה'!$C$5)/$D$11)</f>
        <v>0</v>
      </c>
      <c r="BG61" s="44">
        <f ca="1">IF($F61&gt;$D$5,0,VLOOKUP($F61,$F$24:$BZ$44,BG$2-$E$2,FALSE)*$D$11*$D$14*(1+$D$13)^($F61-'הנחות עבודה'!$C$5)/$D$11)</f>
        <v>0</v>
      </c>
      <c r="BH61" s="44">
        <f ca="1">IF($F61&gt;$D$5,0,VLOOKUP($F61,$F$24:$BZ$44,BH$2-$E$2,FALSE)*$D$11*$D$14*(1+$D$13)^($F61-'הנחות עבודה'!$C$5)/$D$11)</f>
        <v>0</v>
      </c>
      <c r="BI61" s="42">
        <f ca="1">IF($F61&gt;$D$5,0,VLOOKUP($F61,$F$24:$BZ$44,BI$2-$E$2,FALSE)*$D$11*$D$14*(1+$D$13)^($F61-'הנחות עבודה'!$C$5)/$D$11)</f>
        <v>614.24916942806533</v>
      </c>
      <c r="BJ61" s="42">
        <f ca="1">IF($F61&gt;$D$5,0,VLOOKUP($F61,$F$24:$BZ$44,BJ$2-$E$2,FALSE)*$D$11*$D$14*(1+$D$13)^($F61-'הנחות עבודה'!$C$5)/$D$11)</f>
        <v>1357.4669764760788</v>
      </c>
      <c r="BK61" s="42">
        <f ca="1">IF($F61&gt;$D$5,0,VLOOKUP($F61,$F$24:$BZ$44,BK$2-$E$2,FALSE)*$D$11*$D$14*(1+$D$13)^($F61-'הנחות עבודה'!$C$5)/$D$11)</f>
        <v>0</v>
      </c>
      <c r="BL61" s="42">
        <f ca="1">IF($F61&gt;$D$5,0,VLOOKUP($F61,$F$24:$BZ$44,BL$2-$E$2,FALSE)*$D$11*$D$14*(1+$D$13)^($F61-'הנחות עבודה'!$C$5)/$D$11)</f>
        <v>0</v>
      </c>
      <c r="BM61" s="42">
        <f ca="1">IF($F61&gt;$D$5,0,VLOOKUP($F61,$F$24:$BZ$44,BM$2-$E$2,FALSE)*$D$11*$D$14*(1+$D$13)^($F61-'הנחות עבודה'!$C$5)/$D$11)</f>
        <v>0</v>
      </c>
      <c r="BN61" s="42">
        <f ca="1">IF($F61&gt;$D$5,0,VLOOKUP($F61,$F$24:$BZ$44,BN$2-$E$2,FALSE)*$D$11*$D$14*(1+$D$13)^($F61-'הנחות עבודה'!$C$5)/$D$11)</f>
        <v>0</v>
      </c>
      <c r="BO61" s="52">
        <f ca="1">IF($F61&gt;$D$5,0,VLOOKUP($F61,$F$24:$BZ$44,BO$2-$E$2,FALSE)*$D$11*$D$14*(1+$D$13)^($F61-'הנחות עבודה'!$C$5)/$D$11)</f>
        <v>0</v>
      </c>
      <c r="BP61" s="127">
        <f ca="1">IF($F61&gt;$D$5,0,VLOOKUP($F61,$F$24:$BZ$44,BP$2-$E$2,FALSE)*$D$11*$D$14*(1+$D$13)^($F61-'הנחות עבודה'!$C$5)/$D$11)</f>
        <v>0</v>
      </c>
      <c r="BQ61" s="127">
        <f ca="1">IF($F61&gt;$D$5,0,VLOOKUP($F61,$F$24:$BZ$44,BQ$2-$E$2,FALSE)*$D$11*$D$14*(1+$D$13)^($F61-'הנחות עבודה'!$C$5)/$D$11)</f>
        <v>0</v>
      </c>
      <c r="BR61" s="127">
        <f ca="1">IF($F61&gt;$D$5,0,VLOOKUP($F61,$F$24:$BZ$44,BR$2-$E$2,FALSE)*$D$11*$D$14*(1+$D$13)^($F61-'הנחות עבודה'!$C$5)/$D$11)</f>
        <v>0</v>
      </c>
      <c r="BS61" s="127">
        <f ca="1">IF($F61&gt;$D$5,0,VLOOKUP($F61,$F$24:$BZ$44,BS$2-$E$2,FALSE)*$D$11*$D$14*(1+$D$13)^($F61-'הנחות עבודה'!$C$5)/$D$11)</f>
        <v>0</v>
      </c>
      <c r="BT61" s="127">
        <f ca="1">IF($F61&gt;$D$5,0,VLOOKUP($F61,$F$24:$BZ$44,BT$2-$E$2,FALSE)*$D$11*$D$14*(1+$D$13)^($F61-'הנחות עבודה'!$C$5)/$D$11)</f>
        <v>0</v>
      </c>
      <c r="BU61" s="52">
        <f ca="1">IF($F61&gt;$D$5,0,VLOOKUP($F61,$F$24:$BZ$44,BU$2-$E$2,FALSE)*$D$11*$D$14*(1+$D$13)^($F61-'הנחות עבודה'!$C$5)/$D$11)</f>
        <v>614.24916942806533</v>
      </c>
      <c r="BV61" s="52">
        <f ca="1">IF($F61&gt;$D$5,0,VLOOKUP($F61,$F$24:$BZ$44,BV$2-$E$2,FALSE)*$D$11*$D$14*(1+$D$13)^($F61-'הנחות עבודה'!$C$5)/$D$11)</f>
        <v>1357.4669764760788</v>
      </c>
      <c r="BW61" s="52">
        <f ca="1">IF($F61&gt;$D$5,0,VLOOKUP($F61,$F$24:$BZ$44,BW$2-$E$2,FALSE)*$D$11*$D$14*(1+$D$13)^($F61-'הנחות עבודה'!$C$5)/$D$11)</f>
        <v>0</v>
      </c>
      <c r="BX61" s="52">
        <f ca="1">IF($F61&gt;$D$5,0,VLOOKUP($F61,$F$24:$BZ$44,BX$2-$E$2,FALSE)*$D$11*$D$14*(1+$D$13)^($F61-'הנחות עבודה'!$C$5)/$D$11)</f>
        <v>0</v>
      </c>
      <c r="BY61" s="52">
        <f ca="1">IF($F61&gt;$D$5,0,VLOOKUP($F61,$F$24:$BZ$44,BY$2-$E$2,FALSE)*$D$11*$D$14*(1+$D$13)^($F61-'הנחות עבודה'!$C$5)/$D$11)</f>
        <v>0</v>
      </c>
      <c r="BZ61" s="52">
        <f ca="1">IF($F61&gt;$D$5,0,VLOOKUP($F61,$F$24:$BZ$44,BZ$2-$E$2,FALSE)*$D$11*$D$14*(1+$D$13)^($F61-'הנחות עבודה'!$C$5)/$D$11)</f>
        <v>0</v>
      </c>
    </row>
    <row r="62" spans="6:78" ht="15.75">
      <c r="F62" s="10">
        <f t="shared" si="125"/>
        <v>2031</v>
      </c>
      <c r="G62" s="42">
        <f ca="1">IF($F62&gt;$D$5,0,VLOOKUP($F62,$F$24:$BZ$44,G$2-$E$2,FALSE)*$D$11*$D$14*(1+$D$13)^($F62-'הנחות עבודה'!$C$5)/$D$11)</f>
        <v>0</v>
      </c>
      <c r="H62" s="44">
        <f ca="1">IF($F62&gt;$D$5,0,VLOOKUP($F62,$F$24:$BZ$44,H$2-$E$2,FALSE)*$D$11*$D$14*(1+$D$13)^($F62-'הנחות עבודה'!$C$5)/$D$11)</f>
        <v>0</v>
      </c>
      <c r="I62" s="44">
        <f ca="1">IF($F62&gt;$D$5,0,VLOOKUP($F62,$F$24:$BZ$44,I$2-$E$2,FALSE)*$D$11*$D$14*(1+$D$13)^($F62-'הנחות עבודה'!$C$5)/$D$11)</f>
        <v>0</v>
      </c>
      <c r="J62" s="44">
        <f ca="1">IF($F62&gt;$D$5,0,VLOOKUP($F62,$F$24:$BZ$44,J$2-$E$2,FALSE)*$D$11*$D$14*(1+$D$13)^($F62-'הנחות עבודה'!$C$5)/$D$11)</f>
        <v>0</v>
      </c>
      <c r="K62" s="44">
        <f ca="1">IF($F62&gt;$D$5,0,VLOOKUP($F62,$F$24:$BZ$44,K$2-$E$2,FALSE)*$D$11*$D$14*(1+$D$13)^($F62-'הנחות עבודה'!$C$5)/$D$11)</f>
        <v>0</v>
      </c>
      <c r="L62" s="44">
        <f ca="1">IF($F62&gt;$D$5,0,VLOOKUP($F62,$F$24:$BZ$44,L$2-$E$2,FALSE)*$D$11*$D$14*(1+$D$13)^($F62-'הנחות עבודה'!$C$5)/$D$11)</f>
        <v>0</v>
      </c>
      <c r="M62" s="42">
        <f ca="1">IF($F62&gt;$D$5,0,VLOOKUP($F62,$F$24:$BZ$44,M$2-$E$2,FALSE)*$D$11*$D$14*(1+$D$13)^($F62-'הנחות עבודה'!$C$5)/$D$11)</f>
        <v>585.62390493062435</v>
      </c>
      <c r="N62" s="42">
        <f ca="1">IF($F62&gt;$D$5,0,VLOOKUP($F62,$F$24:$BZ$44,N$2-$E$2,FALSE)*$D$11*$D$14*(1+$D$13)^($F62-'הנחות עבודה'!$C$5)/$D$11)</f>
        <v>1854.790720940121</v>
      </c>
      <c r="O62" s="42">
        <f ca="1">IF($F62&gt;$D$5,0,VLOOKUP($F62,$F$24:$BZ$44,O$2-$E$2,FALSE)*$D$11*$D$14*(1+$D$13)^($F62-'הנחות עבודה'!$C$5)/$D$11)</f>
        <v>0</v>
      </c>
      <c r="P62" s="42">
        <f ca="1">IF($F62&gt;$D$5,0,VLOOKUP($F62,$F$24:$BZ$44,P$2-$E$2,FALSE)*$D$11*$D$14*(1+$D$13)^($F62-'הנחות עבודה'!$C$5)/$D$11)</f>
        <v>0</v>
      </c>
      <c r="Q62" s="42">
        <f ca="1">IF($F62&gt;$D$5,0,VLOOKUP($F62,$F$24:$BZ$44,Q$2-$E$2,FALSE)*$D$11*$D$14*(1+$D$13)^($F62-'הנחות עבודה'!$C$5)/$D$11)</f>
        <v>0</v>
      </c>
      <c r="R62" s="42">
        <f ca="1">IF($F62&gt;$D$5,0,VLOOKUP($F62,$F$24:$BZ$44,R$2-$E$2,FALSE)*$D$11*$D$14*(1+$D$13)^($F62-'הנחות עבודה'!$C$5)/$D$11)</f>
        <v>0</v>
      </c>
      <c r="S62" s="52">
        <f ca="1">IF($F62&gt;$D$5,0,VLOOKUP($F62,$F$24:$BZ$44,S$2-$E$2,FALSE)*$D$11*$D$14*(1+$D$13)^($F62-'הנחות עבודה'!$C$5)/$D$11)</f>
        <v>0</v>
      </c>
      <c r="T62" s="127">
        <f ca="1">IF($F62&gt;$D$5,0,VLOOKUP($F62,$F$24:$BZ$44,T$2-$E$2,FALSE)*$D$11*$D$14*(1+$D$13)^($F62-'הנחות עבודה'!$C$5)/$D$11)</f>
        <v>0</v>
      </c>
      <c r="U62" s="127">
        <f ca="1">IF($F62&gt;$D$5,0,VLOOKUP($F62,$F$24:$BZ$44,U$2-$E$2,FALSE)*$D$11*$D$14*(1+$D$13)^($F62-'הנחות עבודה'!$C$5)/$D$11)</f>
        <v>0</v>
      </c>
      <c r="V62" s="127">
        <f ca="1">IF($F62&gt;$D$5,0,VLOOKUP($F62,$F$24:$BZ$44,V$2-$E$2,FALSE)*$D$11*$D$14*(1+$D$13)^($F62-'הנחות עבודה'!$C$5)/$D$11)</f>
        <v>0</v>
      </c>
      <c r="W62" s="127">
        <f ca="1">IF($F62&gt;$D$5,0,VLOOKUP($F62,$F$24:$BZ$44,W$2-$E$2,FALSE)*$D$11*$D$14*(1+$D$13)^($F62-'הנחות עבודה'!$C$5)/$D$11)</f>
        <v>0</v>
      </c>
      <c r="X62" s="127">
        <f ca="1">IF($F62&gt;$D$5,0,VLOOKUP($F62,$F$24:$BZ$44,X$2-$E$2,FALSE)*$D$11*$D$14*(1+$D$13)^($F62-'הנחות עבודה'!$C$5)/$D$11)</f>
        <v>0</v>
      </c>
      <c r="Y62" s="52">
        <f ca="1">IF($F62&gt;$D$5,0,VLOOKUP($F62,$F$24:$BZ$44,Y$2-$E$2,FALSE)*$D$11*$D$14*(1+$D$13)^($F62-'הנחות עבודה'!$C$5)/$D$11)</f>
        <v>585.62390493062435</v>
      </c>
      <c r="Z62" s="52">
        <f ca="1">IF($F62&gt;$D$5,0,VLOOKUP($F62,$F$24:$BZ$44,Z$2-$E$2,FALSE)*$D$11*$D$14*(1+$D$13)^($F62-'הנחות עבודה'!$C$5)/$D$11)</f>
        <v>1854.790720940121</v>
      </c>
      <c r="AA62" s="52">
        <f ca="1">IF($F62&gt;$D$5,0,VLOOKUP($F62,$F$24:$BZ$44,AA$2-$E$2,FALSE)*$D$11*$D$14*(1+$D$13)^($F62-'הנחות עבודה'!$C$5)/$D$11)</f>
        <v>0</v>
      </c>
      <c r="AB62" s="52">
        <f ca="1">IF($F62&gt;$D$5,0,VLOOKUP($F62,$F$24:$BZ$44,AB$2-$E$2,FALSE)*$D$11*$D$14*(1+$D$13)^($F62-'הנחות עבודה'!$C$5)/$D$11)</f>
        <v>0</v>
      </c>
      <c r="AC62" s="52">
        <f ca="1">IF($F62&gt;$D$5,0,VLOOKUP($F62,$F$24:$BZ$44,AC$2-$E$2,FALSE)*$D$11*$D$14*(1+$D$13)^($F62-'הנחות עבודה'!$C$5)/$D$11)</f>
        <v>0</v>
      </c>
      <c r="AD62" s="52">
        <f ca="1">IF($F62&gt;$D$5,0,VLOOKUP($F62,$F$24:$BZ$44,AD$2-$E$2,FALSE)*$D$11*$D$14*(1+$D$13)^($F62-'הנחות עבודה'!$C$5)/$D$11)</f>
        <v>0</v>
      </c>
      <c r="AE62" s="42">
        <f ca="1">IF($F62&gt;$D$5,0,VLOOKUP($F62,$F$24:$BZ$44,AE$2-$E$2,FALSE)*$D$11*$D$14*(1+$D$13)^($F62-'הנחות עבודה'!$C$5)/$D$11)</f>
        <v>0</v>
      </c>
      <c r="AF62" s="44">
        <f ca="1">IF($F62&gt;$D$5,0,VLOOKUP($F62,$F$24:$BZ$44,AF$2-$E$2,FALSE)*$D$11*$D$14*(1+$D$13)^($F62-'הנחות עבודה'!$C$5)/$D$11)</f>
        <v>0</v>
      </c>
      <c r="AG62" s="44">
        <f ca="1">IF($F62&gt;$D$5,0,VLOOKUP($F62,$F$24:$BZ$44,AG$2-$E$2,FALSE)*$D$11*$D$14*(1+$D$13)^($F62-'הנחות עבודה'!$C$5)/$D$11)</f>
        <v>0</v>
      </c>
      <c r="AH62" s="44">
        <f ca="1">IF($F62&gt;$D$5,0,VLOOKUP($F62,$F$24:$BZ$44,AH$2-$E$2,FALSE)*$D$11*$D$14*(1+$D$13)^($F62-'הנחות עבודה'!$C$5)/$D$11)</f>
        <v>0</v>
      </c>
      <c r="AI62" s="44">
        <f ca="1">IF($F62&gt;$D$5,0,VLOOKUP($F62,$F$24:$BZ$44,AI$2-$E$2,FALSE)*$D$11*$D$14*(1+$D$13)^($F62-'הנחות עבודה'!$C$5)/$D$11)</f>
        <v>0</v>
      </c>
      <c r="AJ62" s="44">
        <f ca="1">IF($F62&gt;$D$5,0,VLOOKUP($F62,$F$24:$BZ$44,AJ$2-$E$2,FALSE)*$D$11*$D$14*(1+$D$13)^($F62-'הנחות עבודה'!$C$5)/$D$11)</f>
        <v>0</v>
      </c>
      <c r="AK62" s="42">
        <f ca="1">IF($F62&gt;$D$5,0,VLOOKUP($F62,$F$24:$BZ$44,AK$2-$E$2,FALSE)*$D$11*$D$14*(1+$D$13)^($F62-'הנחות עבודה'!$C$5)/$D$11)</f>
        <v>622.08449126671303</v>
      </c>
      <c r="AL62" s="42">
        <f ca="1">IF($F62&gt;$D$5,0,VLOOKUP($F62,$F$24:$BZ$44,AL$2-$E$2,FALSE)*$D$11*$D$14*(1+$D$13)^($F62-'הנחות עבודה'!$C$5)/$D$11)</f>
        <v>1622.2120220399484</v>
      </c>
      <c r="AM62" s="42">
        <f ca="1">IF($F62&gt;$D$5,0,VLOOKUP($F62,$F$24:$BZ$44,AM$2-$E$2,FALSE)*$D$11*$D$14*(1+$D$13)^($F62-'הנחות עבודה'!$C$5)/$D$11)</f>
        <v>0</v>
      </c>
      <c r="AN62" s="42">
        <f ca="1">IF($F62&gt;$D$5,0,VLOOKUP($F62,$F$24:$BZ$44,AN$2-$E$2,FALSE)*$D$11*$D$14*(1+$D$13)^($F62-'הנחות עבודה'!$C$5)/$D$11)</f>
        <v>0</v>
      </c>
      <c r="AO62" s="42">
        <f ca="1">IF($F62&gt;$D$5,0,VLOOKUP($F62,$F$24:$BZ$44,AO$2-$E$2,FALSE)*$D$11*$D$14*(1+$D$13)^($F62-'הנחות עבודה'!$C$5)/$D$11)</f>
        <v>0</v>
      </c>
      <c r="AP62" s="42">
        <f ca="1">IF($F62&gt;$D$5,0,VLOOKUP($F62,$F$24:$BZ$44,AP$2-$E$2,FALSE)*$D$11*$D$14*(1+$D$13)^($F62-'הנחות עבודה'!$C$5)/$D$11)</f>
        <v>0</v>
      </c>
      <c r="AQ62" s="52">
        <f ca="1">IF($F62&gt;$D$5,0,VLOOKUP($F62,$F$24:$BZ$44,AQ$2-$E$2,FALSE)*$D$11*$D$14*(1+$D$13)^($F62-'הנחות עבודה'!$C$5)/$D$11)</f>
        <v>0</v>
      </c>
      <c r="AR62" s="127">
        <f ca="1">IF($F62&gt;$D$5,0,VLOOKUP($F62,$F$24:$BZ$44,AR$2-$E$2,FALSE)*$D$11*$D$14*(1+$D$13)^($F62-'הנחות עבודה'!$C$5)/$D$11)</f>
        <v>0</v>
      </c>
      <c r="AS62" s="127">
        <f ca="1">IF($F62&gt;$D$5,0,VLOOKUP($F62,$F$24:$BZ$44,AS$2-$E$2,FALSE)*$D$11*$D$14*(1+$D$13)^($F62-'הנחות עבודה'!$C$5)/$D$11)</f>
        <v>0</v>
      </c>
      <c r="AT62" s="127">
        <f ca="1">IF($F62&gt;$D$5,0,VLOOKUP($F62,$F$24:$BZ$44,AT$2-$E$2,FALSE)*$D$11*$D$14*(1+$D$13)^($F62-'הנחות עבודה'!$C$5)/$D$11)</f>
        <v>0</v>
      </c>
      <c r="AU62" s="127">
        <f ca="1">IF($F62&gt;$D$5,0,VLOOKUP($F62,$F$24:$BZ$44,AU$2-$E$2,FALSE)*$D$11*$D$14*(1+$D$13)^($F62-'הנחות עבודה'!$C$5)/$D$11)</f>
        <v>0</v>
      </c>
      <c r="AV62" s="127">
        <f ca="1">IF($F62&gt;$D$5,0,VLOOKUP($F62,$F$24:$BZ$44,AV$2-$E$2,FALSE)*$D$11*$D$14*(1+$D$13)^($F62-'הנחות עבודה'!$C$5)/$D$11)</f>
        <v>0</v>
      </c>
      <c r="AW62" s="52">
        <f ca="1">IF($F62&gt;$D$5,0,VLOOKUP($F62,$F$24:$BZ$44,AW$2-$E$2,FALSE)*$D$11*$D$14*(1+$D$13)^($F62-'הנחות עבודה'!$C$5)/$D$11)</f>
        <v>622.08449126671303</v>
      </c>
      <c r="AX62" s="52">
        <f ca="1">IF($F62&gt;$D$5,0,VLOOKUP($F62,$F$24:$BZ$44,AX$2-$E$2,FALSE)*$D$11*$D$14*(1+$D$13)^($F62-'הנחות עבודה'!$C$5)/$D$11)</f>
        <v>1622.2120220399484</v>
      </c>
      <c r="AY62" s="52">
        <f ca="1">IF($F62&gt;$D$5,0,VLOOKUP($F62,$F$24:$BZ$44,AY$2-$E$2,FALSE)*$D$11*$D$14*(1+$D$13)^($F62-'הנחות עבודה'!$C$5)/$D$11)</f>
        <v>0</v>
      </c>
      <c r="AZ62" s="52">
        <f ca="1">IF($F62&gt;$D$5,0,VLOOKUP($F62,$F$24:$BZ$44,AZ$2-$E$2,FALSE)*$D$11*$D$14*(1+$D$13)^($F62-'הנחות עבודה'!$C$5)/$D$11)</f>
        <v>0</v>
      </c>
      <c r="BA62" s="52">
        <f ca="1">IF($F62&gt;$D$5,0,VLOOKUP($F62,$F$24:$BZ$44,BA$2-$E$2,FALSE)*$D$11*$D$14*(1+$D$13)^($F62-'הנחות עבודה'!$C$5)/$D$11)</f>
        <v>0</v>
      </c>
      <c r="BB62" s="52">
        <f ca="1">IF($F62&gt;$D$5,0,VLOOKUP($F62,$F$24:$BZ$44,BB$2-$E$2,FALSE)*$D$11*$D$14*(1+$D$13)^($F62-'הנחות עבודה'!$C$5)/$D$11)</f>
        <v>0</v>
      </c>
      <c r="BC62" s="42">
        <f ca="1">IF($F62&gt;$D$5,0,VLOOKUP($F62,$F$24:$BZ$44,BC$2-$E$2,FALSE)*$D$11*$D$14*(1+$D$13)^($F62-'הנחות עבודה'!$C$5)/$D$11)</f>
        <v>0</v>
      </c>
      <c r="BD62" s="44">
        <f ca="1">IF($F62&gt;$D$5,0,VLOOKUP($F62,$F$24:$BZ$44,BD$2-$E$2,FALSE)*$D$11*$D$14*(1+$D$13)^($F62-'הנחות עבודה'!$C$5)/$D$11)</f>
        <v>0</v>
      </c>
      <c r="BE62" s="44">
        <f ca="1">IF($F62&gt;$D$5,0,VLOOKUP($F62,$F$24:$BZ$44,BE$2-$E$2,FALSE)*$D$11*$D$14*(1+$D$13)^($F62-'הנחות עבודה'!$C$5)/$D$11)</f>
        <v>0</v>
      </c>
      <c r="BF62" s="44">
        <f ca="1">IF($F62&gt;$D$5,0,VLOOKUP($F62,$F$24:$BZ$44,BF$2-$E$2,FALSE)*$D$11*$D$14*(1+$D$13)^($F62-'הנחות עבודה'!$C$5)/$D$11)</f>
        <v>0</v>
      </c>
      <c r="BG62" s="44">
        <f ca="1">IF($F62&gt;$D$5,0,VLOOKUP($F62,$F$24:$BZ$44,BG$2-$E$2,FALSE)*$D$11*$D$14*(1+$D$13)^($F62-'הנחות עבודה'!$C$5)/$D$11)</f>
        <v>0</v>
      </c>
      <c r="BH62" s="44">
        <f ca="1">IF($F62&gt;$D$5,0,VLOOKUP($F62,$F$24:$BZ$44,BH$2-$E$2,FALSE)*$D$11*$D$14*(1+$D$13)^($F62-'הנחות עבודה'!$C$5)/$D$11)</f>
        <v>0</v>
      </c>
      <c r="BI62" s="42">
        <f ca="1">IF($F62&gt;$D$5,0,VLOOKUP($F62,$F$24:$BZ$44,BI$2-$E$2,FALSE)*$D$11*$D$14*(1+$D$13)^($F62-'הנחות עבודה'!$C$5)/$D$11)</f>
        <v>634.95074734440698</v>
      </c>
      <c r="BJ62" s="42">
        <f ca="1">IF($F62&gt;$D$5,0,VLOOKUP($F62,$F$24:$BZ$44,BJ$2-$E$2,FALSE)*$D$11*$D$14*(1+$D$13)^($F62-'הנחות עבודה'!$C$5)/$D$11)</f>
        <v>1483.5312952317663</v>
      </c>
      <c r="BK62" s="42">
        <f ca="1">IF($F62&gt;$D$5,0,VLOOKUP($F62,$F$24:$BZ$44,BK$2-$E$2,FALSE)*$D$11*$D$14*(1+$D$13)^($F62-'הנחות עבודה'!$C$5)/$D$11)</f>
        <v>0</v>
      </c>
      <c r="BL62" s="42">
        <f ca="1">IF($F62&gt;$D$5,0,VLOOKUP($F62,$F$24:$BZ$44,BL$2-$E$2,FALSE)*$D$11*$D$14*(1+$D$13)^($F62-'הנחות עבודה'!$C$5)/$D$11)</f>
        <v>0</v>
      </c>
      <c r="BM62" s="42">
        <f ca="1">IF($F62&gt;$D$5,0,VLOOKUP($F62,$F$24:$BZ$44,BM$2-$E$2,FALSE)*$D$11*$D$14*(1+$D$13)^($F62-'הנחות עבודה'!$C$5)/$D$11)</f>
        <v>0</v>
      </c>
      <c r="BN62" s="42">
        <f ca="1">IF($F62&gt;$D$5,0,VLOOKUP($F62,$F$24:$BZ$44,BN$2-$E$2,FALSE)*$D$11*$D$14*(1+$D$13)^($F62-'הנחות עבודה'!$C$5)/$D$11)</f>
        <v>0</v>
      </c>
      <c r="BO62" s="52">
        <f ca="1">IF($F62&gt;$D$5,0,VLOOKUP($F62,$F$24:$BZ$44,BO$2-$E$2,FALSE)*$D$11*$D$14*(1+$D$13)^($F62-'הנחות עבודה'!$C$5)/$D$11)</f>
        <v>0</v>
      </c>
      <c r="BP62" s="127">
        <f ca="1">IF($F62&gt;$D$5,0,VLOOKUP($F62,$F$24:$BZ$44,BP$2-$E$2,FALSE)*$D$11*$D$14*(1+$D$13)^($F62-'הנחות עבודה'!$C$5)/$D$11)</f>
        <v>0</v>
      </c>
      <c r="BQ62" s="127">
        <f ca="1">IF($F62&gt;$D$5,0,VLOOKUP($F62,$F$24:$BZ$44,BQ$2-$E$2,FALSE)*$D$11*$D$14*(1+$D$13)^($F62-'הנחות עבודה'!$C$5)/$D$11)</f>
        <v>0</v>
      </c>
      <c r="BR62" s="127">
        <f ca="1">IF($F62&gt;$D$5,0,VLOOKUP($F62,$F$24:$BZ$44,BR$2-$E$2,FALSE)*$D$11*$D$14*(1+$D$13)^($F62-'הנחות עבודה'!$C$5)/$D$11)</f>
        <v>0</v>
      </c>
      <c r="BS62" s="127">
        <f ca="1">IF($F62&gt;$D$5,0,VLOOKUP($F62,$F$24:$BZ$44,BS$2-$E$2,FALSE)*$D$11*$D$14*(1+$D$13)^($F62-'הנחות עבודה'!$C$5)/$D$11)</f>
        <v>0</v>
      </c>
      <c r="BT62" s="127">
        <f ca="1">IF($F62&gt;$D$5,0,VLOOKUP($F62,$F$24:$BZ$44,BT$2-$E$2,FALSE)*$D$11*$D$14*(1+$D$13)^($F62-'הנחות עבודה'!$C$5)/$D$11)</f>
        <v>0</v>
      </c>
      <c r="BU62" s="52">
        <f ca="1">IF($F62&gt;$D$5,0,VLOOKUP($F62,$F$24:$BZ$44,BU$2-$E$2,FALSE)*$D$11*$D$14*(1+$D$13)^($F62-'הנחות עבודה'!$C$5)/$D$11)</f>
        <v>634.95074734440698</v>
      </c>
      <c r="BV62" s="52">
        <f ca="1">IF($F62&gt;$D$5,0,VLOOKUP($F62,$F$24:$BZ$44,BV$2-$E$2,FALSE)*$D$11*$D$14*(1+$D$13)^($F62-'הנחות עבודה'!$C$5)/$D$11)</f>
        <v>1483.5312952317663</v>
      </c>
      <c r="BW62" s="52">
        <f ca="1">IF($F62&gt;$D$5,0,VLOOKUP($F62,$F$24:$BZ$44,BW$2-$E$2,FALSE)*$D$11*$D$14*(1+$D$13)^($F62-'הנחות עבודה'!$C$5)/$D$11)</f>
        <v>0</v>
      </c>
      <c r="BX62" s="52">
        <f ca="1">IF($F62&gt;$D$5,0,VLOOKUP($F62,$F$24:$BZ$44,BX$2-$E$2,FALSE)*$D$11*$D$14*(1+$D$13)^($F62-'הנחות עבודה'!$C$5)/$D$11)</f>
        <v>0</v>
      </c>
      <c r="BY62" s="52">
        <f ca="1">IF($F62&gt;$D$5,0,VLOOKUP($F62,$F$24:$BZ$44,BY$2-$E$2,FALSE)*$D$11*$D$14*(1+$D$13)^($F62-'הנחות עבודה'!$C$5)/$D$11)</f>
        <v>0</v>
      </c>
      <c r="BZ62" s="52">
        <f ca="1">IF($F62&gt;$D$5,0,VLOOKUP($F62,$F$24:$BZ$44,BZ$2-$E$2,FALSE)*$D$11*$D$14*(1+$D$13)^($F62-'הנחות עבודה'!$C$5)/$D$11)</f>
        <v>0</v>
      </c>
    </row>
    <row r="63" spans="6:78" ht="15.75">
      <c r="F63" s="10">
        <f t="shared" si="125"/>
        <v>2032</v>
      </c>
      <c r="G63" s="42">
        <f ca="1">IF($F63&gt;$D$5,0,VLOOKUP($F63,$F$24:$BZ$44,G$2-$E$2,FALSE)*$D$11*$D$14*(1+$D$13)^($F63-'הנחות עבודה'!$C$5)/$D$11)</f>
        <v>0</v>
      </c>
      <c r="H63" s="44">
        <f ca="1">IF($F63&gt;$D$5,0,VLOOKUP($F63,$F$24:$BZ$44,H$2-$E$2,FALSE)*$D$11*$D$14*(1+$D$13)^($F63-'הנחות עבודה'!$C$5)/$D$11)</f>
        <v>0</v>
      </c>
      <c r="I63" s="44">
        <f ca="1">IF($F63&gt;$D$5,0,VLOOKUP($F63,$F$24:$BZ$44,I$2-$E$2,FALSE)*$D$11*$D$14*(1+$D$13)^($F63-'הנחות עבודה'!$C$5)/$D$11)</f>
        <v>0</v>
      </c>
      <c r="J63" s="44">
        <f ca="1">IF($F63&gt;$D$5,0,VLOOKUP($F63,$F$24:$BZ$44,J$2-$E$2,FALSE)*$D$11*$D$14*(1+$D$13)^($F63-'הנחות עבודה'!$C$5)/$D$11)</f>
        <v>0</v>
      </c>
      <c r="K63" s="44">
        <f ca="1">IF($F63&gt;$D$5,0,VLOOKUP($F63,$F$24:$BZ$44,K$2-$E$2,FALSE)*$D$11*$D$14*(1+$D$13)^($F63-'הנחות עבודה'!$C$5)/$D$11)</f>
        <v>0</v>
      </c>
      <c r="L63" s="44">
        <f ca="1">IF($F63&gt;$D$5,0,VLOOKUP($F63,$F$24:$BZ$44,L$2-$E$2,FALSE)*$D$11*$D$14*(1+$D$13)^($F63-'הנחות עבודה'!$C$5)/$D$11)</f>
        <v>0</v>
      </c>
      <c r="M63" s="42">
        <f ca="1">IF($F63&gt;$D$5,0,VLOOKUP($F63,$F$24:$BZ$44,M$2-$E$2,FALSE)*$D$11*$D$14*(1+$D$13)^($F63-'הנחות עבודה'!$C$5)/$D$11)</f>
        <v>604.46419826693716</v>
      </c>
      <c r="N63" s="42">
        <f ca="1">IF($F63&gt;$D$5,0,VLOOKUP($F63,$F$24:$BZ$44,N$2-$E$2,FALSE)*$D$11*$D$14*(1+$D$13)^($F63-'הנחות עבודה'!$C$5)/$D$11)</f>
        <v>2001.37966276772</v>
      </c>
      <c r="O63" s="42">
        <f ca="1">IF($F63&gt;$D$5,0,VLOOKUP($F63,$F$24:$BZ$44,O$2-$E$2,FALSE)*$D$11*$D$14*(1+$D$13)^($F63-'הנחות עבודה'!$C$5)/$D$11)</f>
        <v>0</v>
      </c>
      <c r="P63" s="42">
        <f ca="1">IF($F63&gt;$D$5,0,VLOOKUP($F63,$F$24:$BZ$44,P$2-$E$2,FALSE)*$D$11*$D$14*(1+$D$13)^($F63-'הנחות עבודה'!$C$5)/$D$11)</f>
        <v>0</v>
      </c>
      <c r="Q63" s="42">
        <f ca="1">IF($F63&gt;$D$5,0,VLOOKUP($F63,$F$24:$BZ$44,Q$2-$E$2,FALSE)*$D$11*$D$14*(1+$D$13)^($F63-'הנחות עבודה'!$C$5)/$D$11)</f>
        <v>0</v>
      </c>
      <c r="R63" s="42">
        <f ca="1">IF($F63&gt;$D$5,0,VLOOKUP($F63,$F$24:$BZ$44,R$2-$E$2,FALSE)*$D$11*$D$14*(1+$D$13)^($F63-'הנחות עבודה'!$C$5)/$D$11)</f>
        <v>0</v>
      </c>
      <c r="S63" s="52">
        <f ca="1">IF($F63&gt;$D$5,0,VLOOKUP($F63,$F$24:$BZ$44,S$2-$E$2,FALSE)*$D$11*$D$14*(1+$D$13)^($F63-'הנחות עבודה'!$C$5)/$D$11)</f>
        <v>0</v>
      </c>
      <c r="T63" s="127">
        <f ca="1">IF($F63&gt;$D$5,0,VLOOKUP($F63,$F$24:$BZ$44,T$2-$E$2,FALSE)*$D$11*$D$14*(1+$D$13)^($F63-'הנחות עבודה'!$C$5)/$D$11)</f>
        <v>0</v>
      </c>
      <c r="U63" s="127">
        <f ca="1">IF($F63&gt;$D$5,0,VLOOKUP($F63,$F$24:$BZ$44,U$2-$E$2,FALSE)*$D$11*$D$14*(1+$D$13)^($F63-'הנחות עבודה'!$C$5)/$D$11)</f>
        <v>0</v>
      </c>
      <c r="V63" s="127">
        <f ca="1">IF($F63&gt;$D$5,0,VLOOKUP($F63,$F$24:$BZ$44,V$2-$E$2,FALSE)*$D$11*$D$14*(1+$D$13)^($F63-'הנחות עבודה'!$C$5)/$D$11)</f>
        <v>0</v>
      </c>
      <c r="W63" s="127">
        <f ca="1">IF($F63&gt;$D$5,0,VLOOKUP($F63,$F$24:$BZ$44,W$2-$E$2,FALSE)*$D$11*$D$14*(1+$D$13)^($F63-'הנחות עבודה'!$C$5)/$D$11)</f>
        <v>0</v>
      </c>
      <c r="X63" s="127">
        <f ca="1">IF($F63&gt;$D$5,0,VLOOKUP($F63,$F$24:$BZ$44,X$2-$E$2,FALSE)*$D$11*$D$14*(1+$D$13)^($F63-'הנחות עבודה'!$C$5)/$D$11)</f>
        <v>0</v>
      </c>
      <c r="Y63" s="52">
        <f ca="1">IF($F63&gt;$D$5,0,VLOOKUP($F63,$F$24:$BZ$44,Y$2-$E$2,FALSE)*$D$11*$D$14*(1+$D$13)^($F63-'הנחות עבודה'!$C$5)/$D$11)</f>
        <v>604.46419826693716</v>
      </c>
      <c r="Z63" s="52">
        <f ca="1">IF($F63&gt;$D$5,0,VLOOKUP($F63,$F$24:$BZ$44,Z$2-$E$2,FALSE)*$D$11*$D$14*(1+$D$13)^($F63-'הנחות עבודה'!$C$5)/$D$11)</f>
        <v>2001.37966276772</v>
      </c>
      <c r="AA63" s="52">
        <f ca="1">IF($F63&gt;$D$5,0,VLOOKUP($F63,$F$24:$BZ$44,AA$2-$E$2,FALSE)*$D$11*$D$14*(1+$D$13)^($F63-'הנחות עבודה'!$C$5)/$D$11)</f>
        <v>0</v>
      </c>
      <c r="AB63" s="52">
        <f ca="1">IF($F63&gt;$D$5,0,VLOOKUP($F63,$F$24:$BZ$44,AB$2-$E$2,FALSE)*$D$11*$D$14*(1+$D$13)^($F63-'הנחות עבודה'!$C$5)/$D$11)</f>
        <v>0</v>
      </c>
      <c r="AC63" s="52">
        <f ca="1">IF($F63&gt;$D$5,0,VLOOKUP($F63,$F$24:$BZ$44,AC$2-$E$2,FALSE)*$D$11*$D$14*(1+$D$13)^($F63-'הנחות עבודה'!$C$5)/$D$11)</f>
        <v>0</v>
      </c>
      <c r="AD63" s="52">
        <f ca="1">IF($F63&gt;$D$5,0,VLOOKUP($F63,$F$24:$BZ$44,AD$2-$E$2,FALSE)*$D$11*$D$14*(1+$D$13)^($F63-'הנחות עבודה'!$C$5)/$D$11)</f>
        <v>0</v>
      </c>
      <c r="AE63" s="42">
        <f ca="1">IF($F63&gt;$D$5,0,VLOOKUP($F63,$F$24:$BZ$44,AE$2-$E$2,FALSE)*$D$11*$D$14*(1+$D$13)^($F63-'הנחות עבודה'!$C$5)/$D$11)</f>
        <v>0</v>
      </c>
      <c r="AF63" s="44">
        <f ca="1">IF($F63&gt;$D$5,0,VLOOKUP($F63,$F$24:$BZ$44,AF$2-$E$2,FALSE)*$D$11*$D$14*(1+$D$13)^($F63-'הנחות עבודה'!$C$5)/$D$11)</f>
        <v>0</v>
      </c>
      <c r="AG63" s="44">
        <f ca="1">IF($F63&gt;$D$5,0,VLOOKUP($F63,$F$24:$BZ$44,AG$2-$E$2,FALSE)*$D$11*$D$14*(1+$D$13)^($F63-'הנחות עבודה'!$C$5)/$D$11)</f>
        <v>0</v>
      </c>
      <c r="AH63" s="44">
        <f ca="1">IF($F63&gt;$D$5,0,VLOOKUP($F63,$F$24:$BZ$44,AH$2-$E$2,FALSE)*$D$11*$D$14*(1+$D$13)^($F63-'הנחות עבודה'!$C$5)/$D$11)</f>
        <v>0</v>
      </c>
      <c r="AI63" s="44">
        <f ca="1">IF($F63&gt;$D$5,0,VLOOKUP($F63,$F$24:$BZ$44,AI$2-$E$2,FALSE)*$D$11*$D$14*(1+$D$13)^($F63-'הנחות עבודה'!$C$5)/$D$11)</f>
        <v>0</v>
      </c>
      <c r="AJ63" s="44">
        <f ca="1">IF($F63&gt;$D$5,0,VLOOKUP($F63,$F$24:$BZ$44,AJ$2-$E$2,FALSE)*$D$11*$D$14*(1+$D$13)^($F63-'הנחות עבודה'!$C$5)/$D$11)</f>
        <v>0</v>
      </c>
      <c r="AK63" s="42">
        <f ca="1">IF($F63&gt;$D$5,0,VLOOKUP($F63,$F$24:$BZ$44,AK$2-$E$2,FALSE)*$D$11*$D$14*(1+$D$13)^($F63-'הנחות עבודה'!$C$5)/$D$11)</f>
        <v>644.8817848346165</v>
      </c>
      <c r="AL63" s="42">
        <f ca="1">IF($F63&gt;$D$5,0,VLOOKUP($F63,$F$24:$BZ$44,AL$2-$E$2,FALSE)*$D$11*$D$14*(1+$D$13)^($F63-'הנחות עבודה'!$C$5)/$D$11)</f>
        <v>1760.6261159090748</v>
      </c>
      <c r="AM63" s="42">
        <f ca="1">IF($F63&gt;$D$5,0,VLOOKUP($F63,$F$24:$BZ$44,AM$2-$E$2,FALSE)*$D$11*$D$14*(1+$D$13)^($F63-'הנחות עבודה'!$C$5)/$D$11)</f>
        <v>0</v>
      </c>
      <c r="AN63" s="42">
        <f ca="1">IF($F63&gt;$D$5,0,VLOOKUP($F63,$F$24:$BZ$44,AN$2-$E$2,FALSE)*$D$11*$D$14*(1+$D$13)^($F63-'הנחות עבודה'!$C$5)/$D$11)</f>
        <v>0</v>
      </c>
      <c r="AO63" s="42">
        <f ca="1">IF($F63&gt;$D$5,0,VLOOKUP($F63,$F$24:$BZ$44,AO$2-$E$2,FALSE)*$D$11*$D$14*(1+$D$13)^($F63-'הנחות עבודה'!$C$5)/$D$11)</f>
        <v>0</v>
      </c>
      <c r="AP63" s="42">
        <f ca="1">IF($F63&gt;$D$5,0,VLOOKUP($F63,$F$24:$BZ$44,AP$2-$E$2,FALSE)*$D$11*$D$14*(1+$D$13)^($F63-'הנחות עבודה'!$C$5)/$D$11)</f>
        <v>0</v>
      </c>
      <c r="AQ63" s="52">
        <f ca="1">IF($F63&gt;$D$5,0,VLOOKUP($F63,$F$24:$BZ$44,AQ$2-$E$2,FALSE)*$D$11*$D$14*(1+$D$13)^($F63-'הנחות עבודה'!$C$5)/$D$11)</f>
        <v>0</v>
      </c>
      <c r="AR63" s="127">
        <f ca="1">IF($F63&gt;$D$5,0,VLOOKUP($F63,$F$24:$BZ$44,AR$2-$E$2,FALSE)*$D$11*$D$14*(1+$D$13)^($F63-'הנחות עבודה'!$C$5)/$D$11)</f>
        <v>0</v>
      </c>
      <c r="AS63" s="127">
        <f ca="1">IF($F63&gt;$D$5,0,VLOOKUP($F63,$F$24:$BZ$44,AS$2-$E$2,FALSE)*$D$11*$D$14*(1+$D$13)^($F63-'הנחות עבודה'!$C$5)/$D$11)</f>
        <v>0</v>
      </c>
      <c r="AT63" s="127">
        <f ca="1">IF($F63&gt;$D$5,0,VLOOKUP($F63,$F$24:$BZ$44,AT$2-$E$2,FALSE)*$D$11*$D$14*(1+$D$13)^($F63-'הנחות עבודה'!$C$5)/$D$11)</f>
        <v>0</v>
      </c>
      <c r="AU63" s="127">
        <f ca="1">IF($F63&gt;$D$5,0,VLOOKUP($F63,$F$24:$BZ$44,AU$2-$E$2,FALSE)*$D$11*$D$14*(1+$D$13)^($F63-'הנחות עבודה'!$C$5)/$D$11)</f>
        <v>0</v>
      </c>
      <c r="AV63" s="127">
        <f ca="1">IF($F63&gt;$D$5,0,VLOOKUP($F63,$F$24:$BZ$44,AV$2-$E$2,FALSE)*$D$11*$D$14*(1+$D$13)^($F63-'הנחות עבודה'!$C$5)/$D$11)</f>
        <v>0</v>
      </c>
      <c r="AW63" s="52">
        <f ca="1">IF($F63&gt;$D$5,0,VLOOKUP($F63,$F$24:$BZ$44,AW$2-$E$2,FALSE)*$D$11*$D$14*(1+$D$13)^($F63-'הנחות עבודה'!$C$5)/$D$11)</f>
        <v>644.8817848346165</v>
      </c>
      <c r="AX63" s="52">
        <f ca="1">IF($F63&gt;$D$5,0,VLOOKUP($F63,$F$24:$BZ$44,AX$2-$E$2,FALSE)*$D$11*$D$14*(1+$D$13)^($F63-'הנחות עבודה'!$C$5)/$D$11)</f>
        <v>1760.6261159090748</v>
      </c>
      <c r="AY63" s="52">
        <f ca="1">IF($F63&gt;$D$5,0,VLOOKUP($F63,$F$24:$BZ$44,AY$2-$E$2,FALSE)*$D$11*$D$14*(1+$D$13)^($F63-'הנחות עבודה'!$C$5)/$D$11)</f>
        <v>0</v>
      </c>
      <c r="AZ63" s="52">
        <f ca="1">IF($F63&gt;$D$5,0,VLOOKUP($F63,$F$24:$BZ$44,AZ$2-$E$2,FALSE)*$D$11*$D$14*(1+$D$13)^($F63-'הנחות עבודה'!$C$5)/$D$11)</f>
        <v>0</v>
      </c>
      <c r="BA63" s="52">
        <f ca="1">IF($F63&gt;$D$5,0,VLOOKUP($F63,$F$24:$BZ$44,BA$2-$E$2,FALSE)*$D$11*$D$14*(1+$D$13)^($F63-'הנחות עבודה'!$C$5)/$D$11)</f>
        <v>0</v>
      </c>
      <c r="BB63" s="52">
        <f ca="1">IF($F63&gt;$D$5,0,VLOOKUP($F63,$F$24:$BZ$44,BB$2-$E$2,FALSE)*$D$11*$D$14*(1+$D$13)^($F63-'הנחות עבודה'!$C$5)/$D$11)</f>
        <v>0</v>
      </c>
      <c r="BC63" s="42">
        <f ca="1">IF($F63&gt;$D$5,0,VLOOKUP($F63,$F$24:$BZ$44,BC$2-$E$2,FALSE)*$D$11*$D$14*(1+$D$13)^($F63-'הנחות עבודה'!$C$5)/$D$11)</f>
        <v>0</v>
      </c>
      <c r="BD63" s="44">
        <f ca="1">IF($F63&gt;$D$5,0,VLOOKUP($F63,$F$24:$BZ$44,BD$2-$E$2,FALSE)*$D$11*$D$14*(1+$D$13)^($F63-'הנחות עבודה'!$C$5)/$D$11)</f>
        <v>0</v>
      </c>
      <c r="BE63" s="44">
        <f ca="1">IF($F63&gt;$D$5,0,VLOOKUP($F63,$F$24:$BZ$44,BE$2-$E$2,FALSE)*$D$11*$D$14*(1+$D$13)^($F63-'הנחות עבודה'!$C$5)/$D$11)</f>
        <v>0</v>
      </c>
      <c r="BF63" s="44">
        <f ca="1">IF($F63&gt;$D$5,0,VLOOKUP($F63,$F$24:$BZ$44,BF$2-$E$2,FALSE)*$D$11*$D$14*(1+$D$13)^($F63-'הנחות עבודה'!$C$5)/$D$11)</f>
        <v>0</v>
      </c>
      <c r="BG63" s="44">
        <f ca="1">IF($F63&gt;$D$5,0,VLOOKUP($F63,$F$24:$BZ$44,BG$2-$E$2,FALSE)*$D$11*$D$14*(1+$D$13)^($F63-'הנחות עבודה'!$C$5)/$D$11)</f>
        <v>0</v>
      </c>
      <c r="BH63" s="44">
        <f ca="1">IF($F63&gt;$D$5,0,VLOOKUP($F63,$F$24:$BZ$44,BH$2-$E$2,FALSE)*$D$11*$D$14*(1+$D$13)^($F63-'הנחות עבודה'!$C$5)/$D$11)</f>
        <v>0</v>
      </c>
      <c r="BI63" s="42">
        <f ca="1">IF($F63&gt;$D$5,0,VLOOKUP($F63,$F$24:$BZ$44,BI$2-$E$2,FALSE)*$D$11*$D$14*(1+$D$13)^($F63-'הנחות עבודה'!$C$5)/$D$11)</f>
        <v>659.68656295480491</v>
      </c>
      <c r="BJ63" s="42">
        <f ca="1">IF($F63&gt;$D$5,0,VLOOKUP($F63,$F$24:$BZ$44,BJ$2-$E$2,FALSE)*$D$11*$D$14*(1+$D$13)^($F63-'הנחות עבודה'!$C$5)/$D$11)</f>
        <v>1617.3001544659714</v>
      </c>
      <c r="BK63" s="42">
        <f ca="1">IF($F63&gt;$D$5,0,VLOOKUP($F63,$F$24:$BZ$44,BK$2-$E$2,FALSE)*$D$11*$D$14*(1+$D$13)^($F63-'הנחות עבודה'!$C$5)/$D$11)</f>
        <v>0</v>
      </c>
      <c r="BL63" s="42">
        <f ca="1">IF($F63&gt;$D$5,0,VLOOKUP($F63,$F$24:$BZ$44,BL$2-$E$2,FALSE)*$D$11*$D$14*(1+$D$13)^($F63-'הנחות עבודה'!$C$5)/$D$11)</f>
        <v>0</v>
      </c>
      <c r="BM63" s="42">
        <f ca="1">IF($F63&gt;$D$5,0,VLOOKUP($F63,$F$24:$BZ$44,BM$2-$E$2,FALSE)*$D$11*$D$14*(1+$D$13)^($F63-'הנחות עבודה'!$C$5)/$D$11)</f>
        <v>0</v>
      </c>
      <c r="BN63" s="42">
        <f ca="1">IF($F63&gt;$D$5,0,VLOOKUP($F63,$F$24:$BZ$44,BN$2-$E$2,FALSE)*$D$11*$D$14*(1+$D$13)^($F63-'הנחות עבודה'!$C$5)/$D$11)</f>
        <v>0</v>
      </c>
      <c r="BO63" s="52">
        <f ca="1">IF($F63&gt;$D$5,0,VLOOKUP($F63,$F$24:$BZ$44,BO$2-$E$2,FALSE)*$D$11*$D$14*(1+$D$13)^($F63-'הנחות עבודה'!$C$5)/$D$11)</f>
        <v>0</v>
      </c>
      <c r="BP63" s="127">
        <f ca="1">IF($F63&gt;$D$5,0,VLOOKUP($F63,$F$24:$BZ$44,BP$2-$E$2,FALSE)*$D$11*$D$14*(1+$D$13)^($F63-'הנחות עבודה'!$C$5)/$D$11)</f>
        <v>0</v>
      </c>
      <c r="BQ63" s="127">
        <f ca="1">IF($F63&gt;$D$5,0,VLOOKUP($F63,$F$24:$BZ$44,BQ$2-$E$2,FALSE)*$D$11*$D$14*(1+$D$13)^($F63-'הנחות עבודה'!$C$5)/$D$11)</f>
        <v>0</v>
      </c>
      <c r="BR63" s="127">
        <f ca="1">IF($F63&gt;$D$5,0,VLOOKUP($F63,$F$24:$BZ$44,BR$2-$E$2,FALSE)*$D$11*$D$14*(1+$D$13)^($F63-'הנחות עבודה'!$C$5)/$D$11)</f>
        <v>0</v>
      </c>
      <c r="BS63" s="127">
        <f ca="1">IF($F63&gt;$D$5,0,VLOOKUP($F63,$F$24:$BZ$44,BS$2-$E$2,FALSE)*$D$11*$D$14*(1+$D$13)^($F63-'הנחות עבודה'!$C$5)/$D$11)</f>
        <v>0</v>
      </c>
      <c r="BT63" s="127">
        <f ca="1">IF($F63&gt;$D$5,0,VLOOKUP($F63,$F$24:$BZ$44,BT$2-$E$2,FALSE)*$D$11*$D$14*(1+$D$13)^($F63-'הנחות עבודה'!$C$5)/$D$11)</f>
        <v>0</v>
      </c>
      <c r="BU63" s="52">
        <f ca="1">IF($F63&gt;$D$5,0,VLOOKUP($F63,$F$24:$BZ$44,BU$2-$E$2,FALSE)*$D$11*$D$14*(1+$D$13)^($F63-'הנחות עבודה'!$C$5)/$D$11)</f>
        <v>659.68656295480491</v>
      </c>
      <c r="BV63" s="52">
        <f ca="1">IF($F63&gt;$D$5,0,VLOOKUP($F63,$F$24:$BZ$44,BV$2-$E$2,FALSE)*$D$11*$D$14*(1+$D$13)^($F63-'הנחות עבודה'!$C$5)/$D$11)</f>
        <v>1617.3001544659714</v>
      </c>
      <c r="BW63" s="52">
        <f ca="1">IF($F63&gt;$D$5,0,VLOOKUP($F63,$F$24:$BZ$44,BW$2-$E$2,FALSE)*$D$11*$D$14*(1+$D$13)^($F63-'הנחות עבודה'!$C$5)/$D$11)</f>
        <v>0</v>
      </c>
      <c r="BX63" s="52">
        <f ca="1">IF($F63&gt;$D$5,0,VLOOKUP($F63,$F$24:$BZ$44,BX$2-$E$2,FALSE)*$D$11*$D$14*(1+$D$13)^($F63-'הנחות עבודה'!$C$5)/$D$11)</f>
        <v>0</v>
      </c>
      <c r="BY63" s="52">
        <f ca="1">IF($F63&gt;$D$5,0,VLOOKUP($F63,$F$24:$BZ$44,BY$2-$E$2,FALSE)*$D$11*$D$14*(1+$D$13)^($F63-'הנחות עבודה'!$C$5)/$D$11)</f>
        <v>0</v>
      </c>
      <c r="BZ63" s="52">
        <f ca="1">IF($F63&gt;$D$5,0,VLOOKUP($F63,$F$24:$BZ$44,BZ$2-$E$2,FALSE)*$D$11*$D$14*(1+$D$13)^($F63-'הנחות עבודה'!$C$5)/$D$11)</f>
        <v>0</v>
      </c>
    </row>
    <row r="64" spans="6:78" ht="15.75">
      <c r="F64" s="10">
        <f t="shared" si="125"/>
        <v>2033</v>
      </c>
      <c r="G64" s="42">
        <f ca="1">IF($F64&gt;$D$5,0,VLOOKUP($F64,$F$24:$BZ$44,G$2-$E$2,FALSE)*$D$11*$D$14*(1+$D$13)^($F64-'הנחות עבודה'!$C$5)/$D$11)</f>
        <v>0</v>
      </c>
      <c r="H64" s="44">
        <f ca="1">IF($F64&gt;$D$5,0,VLOOKUP($F64,$F$24:$BZ$44,H$2-$E$2,FALSE)*$D$11*$D$14*(1+$D$13)^($F64-'הנחות עבודה'!$C$5)/$D$11)</f>
        <v>0</v>
      </c>
      <c r="I64" s="44">
        <f ca="1">IF($F64&gt;$D$5,0,VLOOKUP($F64,$F$24:$BZ$44,I$2-$E$2,FALSE)*$D$11*$D$14*(1+$D$13)^($F64-'הנחות עבודה'!$C$5)/$D$11)</f>
        <v>0</v>
      </c>
      <c r="J64" s="44">
        <f ca="1">IF($F64&gt;$D$5,0,VLOOKUP($F64,$F$24:$BZ$44,J$2-$E$2,FALSE)*$D$11*$D$14*(1+$D$13)^($F64-'הנחות עבודה'!$C$5)/$D$11)</f>
        <v>0</v>
      </c>
      <c r="K64" s="44">
        <f ca="1">IF($F64&gt;$D$5,0,VLOOKUP($F64,$F$24:$BZ$44,K$2-$E$2,FALSE)*$D$11*$D$14*(1+$D$13)^($F64-'הנחות עבודה'!$C$5)/$D$11)</f>
        <v>0</v>
      </c>
      <c r="L64" s="44">
        <f ca="1">IF($F64&gt;$D$5,0,VLOOKUP($F64,$F$24:$BZ$44,L$2-$E$2,FALSE)*$D$11*$D$14*(1+$D$13)^($F64-'הנחות עבודה'!$C$5)/$D$11)</f>
        <v>0</v>
      </c>
      <c r="M64" s="42">
        <f ca="1">IF($F64&gt;$D$5,0,VLOOKUP($F64,$F$24:$BZ$44,M$2-$E$2,FALSE)*$D$11*$D$14*(1+$D$13)^($F64-'הנחות עבודה'!$C$5)/$D$11)</f>
        <v>637.11928458513273</v>
      </c>
      <c r="N64" s="42">
        <f ca="1">IF($F64&gt;$D$5,0,VLOOKUP($F64,$F$24:$BZ$44,N$2-$E$2,FALSE)*$D$11*$D$14*(1+$D$13)^($F64-'הנחות עבודה'!$C$5)/$D$11)</f>
        <v>2149.0213680878683</v>
      </c>
      <c r="O64" s="42">
        <f ca="1">IF($F64&gt;$D$5,0,VLOOKUP($F64,$F$24:$BZ$44,O$2-$E$2,FALSE)*$D$11*$D$14*(1+$D$13)^($F64-'הנחות עבודה'!$C$5)/$D$11)</f>
        <v>0</v>
      </c>
      <c r="P64" s="42">
        <f ca="1">IF($F64&gt;$D$5,0,VLOOKUP($F64,$F$24:$BZ$44,P$2-$E$2,FALSE)*$D$11*$D$14*(1+$D$13)^($F64-'הנחות עבודה'!$C$5)/$D$11)</f>
        <v>0</v>
      </c>
      <c r="Q64" s="42">
        <f ca="1">IF($F64&gt;$D$5,0,VLOOKUP($F64,$F$24:$BZ$44,Q$2-$E$2,FALSE)*$D$11*$D$14*(1+$D$13)^($F64-'הנחות עבודה'!$C$5)/$D$11)</f>
        <v>0</v>
      </c>
      <c r="R64" s="42">
        <f ca="1">IF($F64&gt;$D$5,0,VLOOKUP($F64,$F$24:$BZ$44,R$2-$E$2,FALSE)*$D$11*$D$14*(1+$D$13)^($F64-'הנחות עבודה'!$C$5)/$D$11)</f>
        <v>0</v>
      </c>
      <c r="S64" s="52">
        <f ca="1">IF($F64&gt;$D$5,0,VLOOKUP($F64,$F$24:$BZ$44,S$2-$E$2,FALSE)*$D$11*$D$14*(1+$D$13)^($F64-'הנחות עבודה'!$C$5)/$D$11)</f>
        <v>0</v>
      </c>
      <c r="T64" s="127">
        <f ca="1">IF($F64&gt;$D$5,0,VLOOKUP($F64,$F$24:$BZ$44,T$2-$E$2,FALSE)*$D$11*$D$14*(1+$D$13)^($F64-'הנחות עבודה'!$C$5)/$D$11)</f>
        <v>0</v>
      </c>
      <c r="U64" s="127">
        <f ca="1">IF($F64&gt;$D$5,0,VLOOKUP($F64,$F$24:$BZ$44,U$2-$E$2,FALSE)*$D$11*$D$14*(1+$D$13)^($F64-'הנחות עבודה'!$C$5)/$D$11)</f>
        <v>0</v>
      </c>
      <c r="V64" s="127">
        <f ca="1">IF($F64&gt;$D$5,0,VLOOKUP($F64,$F$24:$BZ$44,V$2-$E$2,FALSE)*$D$11*$D$14*(1+$D$13)^($F64-'הנחות עבודה'!$C$5)/$D$11)</f>
        <v>0</v>
      </c>
      <c r="W64" s="127">
        <f ca="1">IF($F64&gt;$D$5,0,VLOOKUP($F64,$F$24:$BZ$44,W$2-$E$2,FALSE)*$D$11*$D$14*(1+$D$13)^($F64-'הנחות עבודה'!$C$5)/$D$11)</f>
        <v>0</v>
      </c>
      <c r="X64" s="127">
        <f ca="1">IF($F64&gt;$D$5,0,VLOOKUP($F64,$F$24:$BZ$44,X$2-$E$2,FALSE)*$D$11*$D$14*(1+$D$13)^($F64-'הנחות עבודה'!$C$5)/$D$11)</f>
        <v>0</v>
      </c>
      <c r="Y64" s="52">
        <f ca="1">IF($F64&gt;$D$5,0,VLOOKUP($F64,$F$24:$BZ$44,Y$2-$E$2,FALSE)*$D$11*$D$14*(1+$D$13)^($F64-'הנחות עבודה'!$C$5)/$D$11)</f>
        <v>637.11928458513273</v>
      </c>
      <c r="Z64" s="52">
        <f ca="1">IF($F64&gt;$D$5,0,VLOOKUP($F64,$F$24:$BZ$44,Z$2-$E$2,FALSE)*$D$11*$D$14*(1+$D$13)^($F64-'הנחות עבודה'!$C$5)/$D$11)</f>
        <v>2149.0213680878683</v>
      </c>
      <c r="AA64" s="52">
        <f ca="1">IF($F64&gt;$D$5,0,VLOOKUP($F64,$F$24:$BZ$44,AA$2-$E$2,FALSE)*$D$11*$D$14*(1+$D$13)^($F64-'הנחות עבודה'!$C$5)/$D$11)</f>
        <v>0</v>
      </c>
      <c r="AB64" s="52">
        <f ca="1">IF($F64&gt;$D$5,0,VLOOKUP($F64,$F$24:$BZ$44,AB$2-$E$2,FALSE)*$D$11*$D$14*(1+$D$13)^($F64-'הנחות עבודה'!$C$5)/$D$11)</f>
        <v>0</v>
      </c>
      <c r="AC64" s="52">
        <f ca="1">IF($F64&gt;$D$5,0,VLOOKUP($F64,$F$24:$BZ$44,AC$2-$E$2,FALSE)*$D$11*$D$14*(1+$D$13)^($F64-'הנחות עבודה'!$C$5)/$D$11)</f>
        <v>0</v>
      </c>
      <c r="AD64" s="52">
        <f ca="1">IF($F64&gt;$D$5,0,VLOOKUP($F64,$F$24:$BZ$44,AD$2-$E$2,FALSE)*$D$11*$D$14*(1+$D$13)^($F64-'הנחות עבודה'!$C$5)/$D$11)</f>
        <v>0</v>
      </c>
      <c r="AE64" s="42">
        <f ca="1">IF($F64&gt;$D$5,0,VLOOKUP($F64,$F$24:$BZ$44,AE$2-$E$2,FALSE)*$D$11*$D$14*(1+$D$13)^($F64-'הנחות עבודה'!$C$5)/$D$11)</f>
        <v>0</v>
      </c>
      <c r="AF64" s="44">
        <f ca="1">IF($F64&gt;$D$5,0,VLOOKUP($F64,$F$24:$BZ$44,AF$2-$E$2,FALSE)*$D$11*$D$14*(1+$D$13)^($F64-'הנחות עבודה'!$C$5)/$D$11)</f>
        <v>0</v>
      </c>
      <c r="AG64" s="44">
        <f ca="1">IF($F64&gt;$D$5,0,VLOOKUP($F64,$F$24:$BZ$44,AG$2-$E$2,FALSE)*$D$11*$D$14*(1+$D$13)^($F64-'הנחות עבודה'!$C$5)/$D$11)</f>
        <v>0</v>
      </c>
      <c r="AH64" s="44">
        <f ca="1">IF($F64&gt;$D$5,0,VLOOKUP($F64,$F$24:$BZ$44,AH$2-$E$2,FALSE)*$D$11*$D$14*(1+$D$13)^($F64-'הנחות עבודה'!$C$5)/$D$11)</f>
        <v>0</v>
      </c>
      <c r="AI64" s="44">
        <f ca="1">IF($F64&gt;$D$5,0,VLOOKUP($F64,$F$24:$BZ$44,AI$2-$E$2,FALSE)*$D$11*$D$14*(1+$D$13)^($F64-'הנחות עבודה'!$C$5)/$D$11)</f>
        <v>0</v>
      </c>
      <c r="AJ64" s="44">
        <f ca="1">IF($F64&gt;$D$5,0,VLOOKUP($F64,$F$24:$BZ$44,AJ$2-$E$2,FALSE)*$D$11*$D$14*(1+$D$13)^($F64-'הנחות עבודה'!$C$5)/$D$11)</f>
        <v>0</v>
      </c>
      <c r="AK64" s="42">
        <f ca="1">IF($F64&gt;$D$5,0,VLOOKUP($F64,$F$24:$BZ$44,AK$2-$E$2,FALSE)*$D$11*$D$14*(1+$D$13)^($F64-'הנחות עבודה'!$C$5)/$D$11)</f>
        <v>678.85004375064341</v>
      </c>
      <c r="AL64" s="42">
        <f ca="1">IF($F64&gt;$D$5,0,VLOOKUP($F64,$F$24:$BZ$44,AL$2-$E$2,FALSE)*$D$11*$D$14*(1+$D$13)^($F64-'הנחות עבודה'!$C$5)/$D$11)</f>
        <v>1901.6407947872851</v>
      </c>
      <c r="AM64" s="42">
        <f ca="1">IF($F64&gt;$D$5,0,VLOOKUP($F64,$F$24:$BZ$44,AM$2-$E$2,FALSE)*$D$11*$D$14*(1+$D$13)^($F64-'הנחות עבודה'!$C$5)/$D$11)</f>
        <v>0</v>
      </c>
      <c r="AN64" s="42">
        <f ca="1">IF($F64&gt;$D$5,0,VLOOKUP($F64,$F$24:$BZ$44,AN$2-$E$2,FALSE)*$D$11*$D$14*(1+$D$13)^($F64-'הנחות עבודה'!$C$5)/$D$11)</f>
        <v>0</v>
      </c>
      <c r="AO64" s="42">
        <f ca="1">IF($F64&gt;$D$5,0,VLOOKUP($F64,$F$24:$BZ$44,AO$2-$E$2,FALSE)*$D$11*$D$14*(1+$D$13)^($F64-'הנחות עבודה'!$C$5)/$D$11)</f>
        <v>0</v>
      </c>
      <c r="AP64" s="42">
        <f ca="1">IF($F64&gt;$D$5,0,VLOOKUP($F64,$F$24:$BZ$44,AP$2-$E$2,FALSE)*$D$11*$D$14*(1+$D$13)^($F64-'הנחות עבודה'!$C$5)/$D$11)</f>
        <v>0</v>
      </c>
      <c r="AQ64" s="52">
        <f ca="1">IF($F64&gt;$D$5,0,VLOOKUP($F64,$F$24:$BZ$44,AQ$2-$E$2,FALSE)*$D$11*$D$14*(1+$D$13)^($F64-'הנחות עבודה'!$C$5)/$D$11)</f>
        <v>0</v>
      </c>
      <c r="AR64" s="127">
        <f ca="1">IF($F64&gt;$D$5,0,VLOOKUP($F64,$F$24:$BZ$44,AR$2-$E$2,FALSE)*$D$11*$D$14*(1+$D$13)^($F64-'הנחות עבודה'!$C$5)/$D$11)</f>
        <v>0</v>
      </c>
      <c r="AS64" s="127">
        <f ca="1">IF($F64&gt;$D$5,0,VLOOKUP($F64,$F$24:$BZ$44,AS$2-$E$2,FALSE)*$D$11*$D$14*(1+$D$13)^($F64-'הנחות עבודה'!$C$5)/$D$11)</f>
        <v>0</v>
      </c>
      <c r="AT64" s="127">
        <f ca="1">IF($F64&gt;$D$5,0,VLOOKUP($F64,$F$24:$BZ$44,AT$2-$E$2,FALSE)*$D$11*$D$14*(1+$D$13)^($F64-'הנחות עבודה'!$C$5)/$D$11)</f>
        <v>0</v>
      </c>
      <c r="AU64" s="127">
        <f ca="1">IF($F64&gt;$D$5,0,VLOOKUP($F64,$F$24:$BZ$44,AU$2-$E$2,FALSE)*$D$11*$D$14*(1+$D$13)^($F64-'הנחות עבודה'!$C$5)/$D$11)</f>
        <v>0</v>
      </c>
      <c r="AV64" s="127">
        <f ca="1">IF($F64&gt;$D$5,0,VLOOKUP($F64,$F$24:$BZ$44,AV$2-$E$2,FALSE)*$D$11*$D$14*(1+$D$13)^($F64-'הנחות עבודה'!$C$5)/$D$11)</f>
        <v>0</v>
      </c>
      <c r="AW64" s="52">
        <f ca="1">IF($F64&gt;$D$5,0,VLOOKUP($F64,$F$24:$BZ$44,AW$2-$E$2,FALSE)*$D$11*$D$14*(1+$D$13)^($F64-'הנחות עבודה'!$C$5)/$D$11)</f>
        <v>678.85004375064341</v>
      </c>
      <c r="AX64" s="52">
        <f ca="1">IF($F64&gt;$D$5,0,VLOOKUP($F64,$F$24:$BZ$44,AX$2-$E$2,FALSE)*$D$11*$D$14*(1+$D$13)^($F64-'הנחות עבודה'!$C$5)/$D$11)</f>
        <v>1901.6407947872851</v>
      </c>
      <c r="AY64" s="52">
        <f ca="1">IF($F64&gt;$D$5,0,VLOOKUP($F64,$F$24:$BZ$44,AY$2-$E$2,FALSE)*$D$11*$D$14*(1+$D$13)^($F64-'הנחות עבודה'!$C$5)/$D$11)</f>
        <v>0</v>
      </c>
      <c r="AZ64" s="52">
        <f ca="1">IF($F64&gt;$D$5,0,VLOOKUP($F64,$F$24:$BZ$44,AZ$2-$E$2,FALSE)*$D$11*$D$14*(1+$D$13)^($F64-'הנחות עבודה'!$C$5)/$D$11)</f>
        <v>0</v>
      </c>
      <c r="BA64" s="52">
        <f ca="1">IF($F64&gt;$D$5,0,VLOOKUP($F64,$F$24:$BZ$44,BA$2-$E$2,FALSE)*$D$11*$D$14*(1+$D$13)^($F64-'הנחות עבודה'!$C$5)/$D$11)</f>
        <v>0</v>
      </c>
      <c r="BB64" s="52">
        <f ca="1">IF($F64&gt;$D$5,0,VLOOKUP($F64,$F$24:$BZ$44,BB$2-$E$2,FALSE)*$D$11*$D$14*(1+$D$13)^($F64-'הנחות עבודה'!$C$5)/$D$11)</f>
        <v>0</v>
      </c>
      <c r="BC64" s="42">
        <f ca="1">IF($F64&gt;$D$5,0,VLOOKUP($F64,$F$24:$BZ$44,BC$2-$E$2,FALSE)*$D$11*$D$14*(1+$D$13)^($F64-'הנחות עבודה'!$C$5)/$D$11)</f>
        <v>0</v>
      </c>
      <c r="BD64" s="44">
        <f ca="1">IF($F64&gt;$D$5,0,VLOOKUP($F64,$F$24:$BZ$44,BD$2-$E$2,FALSE)*$D$11*$D$14*(1+$D$13)^($F64-'הנחות עבודה'!$C$5)/$D$11)</f>
        <v>0</v>
      </c>
      <c r="BE64" s="44">
        <f ca="1">IF($F64&gt;$D$5,0,VLOOKUP($F64,$F$24:$BZ$44,BE$2-$E$2,FALSE)*$D$11*$D$14*(1+$D$13)^($F64-'הנחות עבודה'!$C$5)/$D$11)</f>
        <v>0</v>
      </c>
      <c r="BF64" s="44">
        <f ca="1">IF($F64&gt;$D$5,0,VLOOKUP($F64,$F$24:$BZ$44,BF$2-$E$2,FALSE)*$D$11*$D$14*(1+$D$13)^($F64-'הנחות עבודה'!$C$5)/$D$11)</f>
        <v>0</v>
      </c>
      <c r="BG64" s="44">
        <f ca="1">IF($F64&gt;$D$5,0,VLOOKUP($F64,$F$24:$BZ$44,BG$2-$E$2,FALSE)*$D$11*$D$14*(1+$D$13)^($F64-'הנחות עבודה'!$C$5)/$D$11)</f>
        <v>0</v>
      </c>
      <c r="BH64" s="44">
        <f ca="1">IF($F64&gt;$D$5,0,VLOOKUP($F64,$F$24:$BZ$44,BH$2-$E$2,FALSE)*$D$11*$D$14*(1+$D$13)^($F64-'הנחות עבודה'!$C$5)/$D$11)</f>
        <v>0</v>
      </c>
      <c r="BI64" s="42">
        <f ca="1">IF($F64&gt;$D$5,0,VLOOKUP($F64,$F$24:$BZ$44,BI$2-$E$2,FALSE)*$D$11*$D$14*(1+$D$13)^($F64-'הנחות עבודה'!$C$5)/$D$11)</f>
        <v>696.43163638211479</v>
      </c>
      <c r="BJ64" s="42">
        <f ca="1">IF($F64&gt;$D$5,0,VLOOKUP($F64,$F$24:$BZ$44,BJ$2-$E$2,FALSE)*$D$11*$D$14*(1+$D$13)^($F64-'הנחות עבודה'!$C$5)/$D$11)</f>
        <v>1752.9338780657911</v>
      </c>
      <c r="BK64" s="42">
        <f ca="1">IF($F64&gt;$D$5,0,VLOOKUP($F64,$F$24:$BZ$44,BK$2-$E$2,FALSE)*$D$11*$D$14*(1+$D$13)^($F64-'הנחות עבודה'!$C$5)/$D$11)</f>
        <v>0</v>
      </c>
      <c r="BL64" s="42">
        <f ca="1">IF($F64&gt;$D$5,0,VLOOKUP($F64,$F$24:$BZ$44,BL$2-$E$2,FALSE)*$D$11*$D$14*(1+$D$13)^($F64-'הנחות עבודה'!$C$5)/$D$11)</f>
        <v>0</v>
      </c>
      <c r="BM64" s="42">
        <f ca="1">IF($F64&gt;$D$5,0,VLOOKUP($F64,$F$24:$BZ$44,BM$2-$E$2,FALSE)*$D$11*$D$14*(1+$D$13)^($F64-'הנחות עבודה'!$C$5)/$D$11)</f>
        <v>0</v>
      </c>
      <c r="BN64" s="42">
        <f ca="1">IF($F64&gt;$D$5,0,VLOOKUP($F64,$F$24:$BZ$44,BN$2-$E$2,FALSE)*$D$11*$D$14*(1+$D$13)^($F64-'הנחות עבודה'!$C$5)/$D$11)</f>
        <v>0</v>
      </c>
      <c r="BO64" s="52">
        <f ca="1">IF($F64&gt;$D$5,0,VLOOKUP($F64,$F$24:$BZ$44,BO$2-$E$2,FALSE)*$D$11*$D$14*(1+$D$13)^($F64-'הנחות עבודה'!$C$5)/$D$11)</f>
        <v>0</v>
      </c>
      <c r="BP64" s="127">
        <f ca="1">IF($F64&gt;$D$5,0,VLOOKUP($F64,$F$24:$BZ$44,BP$2-$E$2,FALSE)*$D$11*$D$14*(1+$D$13)^($F64-'הנחות עבודה'!$C$5)/$D$11)</f>
        <v>0</v>
      </c>
      <c r="BQ64" s="127">
        <f ca="1">IF($F64&gt;$D$5,0,VLOOKUP($F64,$F$24:$BZ$44,BQ$2-$E$2,FALSE)*$D$11*$D$14*(1+$D$13)^($F64-'הנחות עבודה'!$C$5)/$D$11)</f>
        <v>0</v>
      </c>
      <c r="BR64" s="127">
        <f ca="1">IF($F64&gt;$D$5,0,VLOOKUP($F64,$F$24:$BZ$44,BR$2-$E$2,FALSE)*$D$11*$D$14*(1+$D$13)^($F64-'הנחות עבודה'!$C$5)/$D$11)</f>
        <v>0</v>
      </c>
      <c r="BS64" s="127">
        <f ca="1">IF($F64&gt;$D$5,0,VLOOKUP($F64,$F$24:$BZ$44,BS$2-$E$2,FALSE)*$D$11*$D$14*(1+$D$13)^($F64-'הנחות עבודה'!$C$5)/$D$11)</f>
        <v>0</v>
      </c>
      <c r="BT64" s="127">
        <f ca="1">IF($F64&gt;$D$5,0,VLOOKUP($F64,$F$24:$BZ$44,BT$2-$E$2,FALSE)*$D$11*$D$14*(1+$D$13)^($F64-'הנחות עבודה'!$C$5)/$D$11)</f>
        <v>0</v>
      </c>
      <c r="BU64" s="52">
        <f ca="1">IF($F64&gt;$D$5,0,VLOOKUP($F64,$F$24:$BZ$44,BU$2-$E$2,FALSE)*$D$11*$D$14*(1+$D$13)^($F64-'הנחות עבודה'!$C$5)/$D$11)</f>
        <v>696.43163638211479</v>
      </c>
      <c r="BV64" s="52">
        <f ca="1">IF($F64&gt;$D$5,0,VLOOKUP($F64,$F$24:$BZ$44,BV$2-$E$2,FALSE)*$D$11*$D$14*(1+$D$13)^($F64-'הנחות עבודה'!$C$5)/$D$11)</f>
        <v>1752.9338780657911</v>
      </c>
      <c r="BW64" s="52">
        <f ca="1">IF($F64&gt;$D$5,0,VLOOKUP($F64,$F$24:$BZ$44,BW$2-$E$2,FALSE)*$D$11*$D$14*(1+$D$13)^($F64-'הנחות עבודה'!$C$5)/$D$11)</f>
        <v>0</v>
      </c>
      <c r="BX64" s="52">
        <f ca="1">IF($F64&gt;$D$5,0,VLOOKUP($F64,$F$24:$BZ$44,BX$2-$E$2,FALSE)*$D$11*$D$14*(1+$D$13)^($F64-'הנחות עבודה'!$C$5)/$D$11)</f>
        <v>0</v>
      </c>
      <c r="BY64" s="52">
        <f ca="1">IF($F64&gt;$D$5,0,VLOOKUP($F64,$F$24:$BZ$44,BY$2-$E$2,FALSE)*$D$11*$D$14*(1+$D$13)^($F64-'הנחות עבודה'!$C$5)/$D$11)</f>
        <v>0</v>
      </c>
      <c r="BZ64" s="52">
        <f ca="1">IF($F64&gt;$D$5,0,VLOOKUP($F64,$F$24:$BZ$44,BZ$2-$E$2,FALSE)*$D$11*$D$14*(1+$D$13)^($F64-'הנחות עבודה'!$C$5)/$D$11)</f>
        <v>0</v>
      </c>
    </row>
    <row r="65" spans="6:78" ht="15.75">
      <c r="F65" s="10">
        <f t="shared" si="125"/>
        <v>2034</v>
      </c>
      <c r="G65" s="42">
        <f ca="1">IF($F65&gt;$D$5,0,VLOOKUP($F65,$F$24:$BZ$44,G$2-$E$2,FALSE)*$D$11*$D$14*(1+$D$13)^($F65-'הנחות עבודה'!$C$5)/$D$11)</f>
        <v>0</v>
      </c>
      <c r="H65" s="44">
        <f ca="1">IF($F65&gt;$D$5,0,VLOOKUP($F65,$F$24:$BZ$44,H$2-$E$2,FALSE)*$D$11*$D$14*(1+$D$13)^($F65-'הנחות עבודה'!$C$5)/$D$11)</f>
        <v>0</v>
      </c>
      <c r="I65" s="44">
        <f ca="1">IF($F65&gt;$D$5,0,VLOOKUP($F65,$F$24:$BZ$44,I$2-$E$2,FALSE)*$D$11*$D$14*(1+$D$13)^($F65-'הנחות עבודה'!$C$5)/$D$11)</f>
        <v>0</v>
      </c>
      <c r="J65" s="44">
        <f ca="1">IF($F65&gt;$D$5,0,VLOOKUP($F65,$F$24:$BZ$44,J$2-$E$2,FALSE)*$D$11*$D$14*(1+$D$13)^($F65-'הנחות עבודה'!$C$5)/$D$11)</f>
        <v>0</v>
      </c>
      <c r="K65" s="44">
        <f ca="1">IF($F65&gt;$D$5,0,VLOOKUP($F65,$F$24:$BZ$44,K$2-$E$2,FALSE)*$D$11*$D$14*(1+$D$13)^($F65-'הנחות עבודה'!$C$5)/$D$11)</f>
        <v>0</v>
      </c>
      <c r="L65" s="44">
        <f ca="1">IF($F65&gt;$D$5,0,VLOOKUP($F65,$F$24:$BZ$44,L$2-$E$2,FALSE)*$D$11*$D$14*(1+$D$13)^($F65-'הנחות עבודה'!$C$5)/$D$11)</f>
        <v>0</v>
      </c>
      <c r="M65" s="42">
        <f ca="1">IF($F65&gt;$D$5,0,VLOOKUP($F65,$F$24:$BZ$44,M$2-$E$2,FALSE)*$D$11*$D$14*(1+$D$13)^($F65-'הנחות עבודה'!$C$5)/$D$11)</f>
        <v>654.64543975925619</v>
      </c>
      <c r="N65" s="42">
        <f ca="1">IF($F65&gt;$D$5,0,VLOOKUP($F65,$F$24:$BZ$44,N$2-$E$2,FALSE)*$D$11*$D$14*(1+$D$13)^($F65-'הנחות עבודה'!$C$5)/$D$11)</f>
        <v>2318.3531765128382</v>
      </c>
      <c r="O65" s="42">
        <f ca="1">IF($F65&gt;$D$5,0,VLOOKUP($F65,$F$24:$BZ$44,O$2-$E$2,FALSE)*$D$11*$D$14*(1+$D$13)^($F65-'הנחות עבודה'!$C$5)/$D$11)</f>
        <v>0</v>
      </c>
      <c r="P65" s="42">
        <f ca="1">IF($F65&gt;$D$5,0,VLOOKUP($F65,$F$24:$BZ$44,P$2-$E$2,FALSE)*$D$11*$D$14*(1+$D$13)^($F65-'הנחות עבודה'!$C$5)/$D$11)</f>
        <v>0</v>
      </c>
      <c r="Q65" s="42">
        <f ca="1">IF($F65&gt;$D$5,0,VLOOKUP($F65,$F$24:$BZ$44,Q$2-$E$2,FALSE)*$D$11*$D$14*(1+$D$13)^($F65-'הנחות עבודה'!$C$5)/$D$11)</f>
        <v>0</v>
      </c>
      <c r="R65" s="42">
        <f ca="1">IF($F65&gt;$D$5,0,VLOOKUP($F65,$F$24:$BZ$44,R$2-$E$2,FALSE)*$D$11*$D$14*(1+$D$13)^($F65-'הנחות עבודה'!$C$5)/$D$11)</f>
        <v>0</v>
      </c>
      <c r="S65" s="52">
        <f ca="1">IF($F65&gt;$D$5,0,VLOOKUP($F65,$F$24:$BZ$44,S$2-$E$2,FALSE)*$D$11*$D$14*(1+$D$13)^($F65-'הנחות עבודה'!$C$5)/$D$11)</f>
        <v>0</v>
      </c>
      <c r="T65" s="127">
        <f ca="1">IF($F65&gt;$D$5,0,VLOOKUP($F65,$F$24:$BZ$44,T$2-$E$2,FALSE)*$D$11*$D$14*(1+$D$13)^($F65-'הנחות עבודה'!$C$5)/$D$11)</f>
        <v>0</v>
      </c>
      <c r="U65" s="127">
        <f ca="1">IF($F65&gt;$D$5,0,VLOOKUP($F65,$F$24:$BZ$44,U$2-$E$2,FALSE)*$D$11*$D$14*(1+$D$13)^($F65-'הנחות עבודה'!$C$5)/$D$11)</f>
        <v>0</v>
      </c>
      <c r="V65" s="127">
        <f ca="1">IF($F65&gt;$D$5,0,VLOOKUP($F65,$F$24:$BZ$44,V$2-$E$2,FALSE)*$D$11*$D$14*(1+$D$13)^($F65-'הנחות עבודה'!$C$5)/$D$11)</f>
        <v>0</v>
      </c>
      <c r="W65" s="127">
        <f ca="1">IF($F65&gt;$D$5,0,VLOOKUP($F65,$F$24:$BZ$44,W$2-$E$2,FALSE)*$D$11*$D$14*(1+$D$13)^($F65-'הנחות עבודה'!$C$5)/$D$11)</f>
        <v>0</v>
      </c>
      <c r="X65" s="127">
        <f ca="1">IF($F65&gt;$D$5,0,VLOOKUP($F65,$F$24:$BZ$44,X$2-$E$2,FALSE)*$D$11*$D$14*(1+$D$13)^($F65-'הנחות עבודה'!$C$5)/$D$11)</f>
        <v>0</v>
      </c>
      <c r="Y65" s="52">
        <f ca="1">IF($F65&gt;$D$5,0,VLOOKUP($F65,$F$24:$BZ$44,Y$2-$E$2,FALSE)*$D$11*$D$14*(1+$D$13)^($F65-'הנחות עבודה'!$C$5)/$D$11)</f>
        <v>654.64543975925619</v>
      </c>
      <c r="Z65" s="52">
        <f ca="1">IF($F65&gt;$D$5,0,VLOOKUP($F65,$F$24:$BZ$44,Z$2-$E$2,FALSE)*$D$11*$D$14*(1+$D$13)^($F65-'הנחות עבודה'!$C$5)/$D$11)</f>
        <v>2318.3531765128382</v>
      </c>
      <c r="AA65" s="52">
        <f ca="1">IF($F65&gt;$D$5,0,VLOOKUP($F65,$F$24:$BZ$44,AA$2-$E$2,FALSE)*$D$11*$D$14*(1+$D$13)^($F65-'הנחות עבודה'!$C$5)/$D$11)</f>
        <v>0</v>
      </c>
      <c r="AB65" s="52">
        <f ca="1">IF($F65&gt;$D$5,0,VLOOKUP($F65,$F$24:$BZ$44,AB$2-$E$2,FALSE)*$D$11*$D$14*(1+$D$13)^($F65-'הנחות עבודה'!$C$5)/$D$11)</f>
        <v>0</v>
      </c>
      <c r="AC65" s="52">
        <f ca="1">IF($F65&gt;$D$5,0,VLOOKUP($F65,$F$24:$BZ$44,AC$2-$E$2,FALSE)*$D$11*$D$14*(1+$D$13)^($F65-'הנחות עבודה'!$C$5)/$D$11)</f>
        <v>0</v>
      </c>
      <c r="AD65" s="52">
        <f ca="1">IF($F65&gt;$D$5,0,VLOOKUP($F65,$F$24:$BZ$44,AD$2-$E$2,FALSE)*$D$11*$D$14*(1+$D$13)^($F65-'הנחות עבודה'!$C$5)/$D$11)</f>
        <v>0</v>
      </c>
      <c r="AE65" s="42">
        <f ca="1">IF($F65&gt;$D$5,0,VLOOKUP($F65,$F$24:$BZ$44,AE$2-$E$2,FALSE)*$D$11*$D$14*(1+$D$13)^($F65-'הנחות עבודה'!$C$5)/$D$11)</f>
        <v>0</v>
      </c>
      <c r="AF65" s="44">
        <f ca="1">IF($F65&gt;$D$5,0,VLOOKUP($F65,$F$24:$BZ$44,AF$2-$E$2,FALSE)*$D$11*$D$14*(1+$D$13)^($F65-'הנחות עבודה'!$C$5)/$D$11)</f>
        <v>0</v>
      </c>
      <c r="AG65" s="44">
        <f ca="1">IF($F65&gt;$D$5,0,VLOOKUP($F65,$F$24:$BZ$44,AG$2-$E$2,FALSE)*$D$11*$D$14*(1+$D$13)^($F65-'הנחות עבודה'!$C$5)/$D$11)</f>
        <v>0</v>
      </c>
      <c r="AH65" s="44">
        <f ca="1">IF($F65&gt;$D$5,0,VLOOKUP($F65,$F$24:$BZ$44,AH$2-$E$2,FALSE)*$D$11*$D$14*(1+$D$13)^($F65-'הנחות עבודה'!$C$5)/$D$11)</f>
        <v>0</v>
      </c>
      <c r="AI65" s="44">
        <f ca="1">IF($F65&gt;$D$5,0,VLOOKUP($F65,$F$24:$BZ$44,AI$2-$E$2,FALSE)*$D$11*$D$14*(1+$D$13)^($F65-'הנחות עבודה'!$C$5)/$D$11)</f>
        <v>0</v>
      </c>
      <c r="AJ65" s="44">
        <f ca="1">IF($F65&gt;$D$5,0,VLOOKUP($F65,$F$24:$BZ$44,AJ$2-$E$2,FALSE)*$D$11*$D$14*(1+$D$13)^($F65-'הנחות עבודה'!$C$5)/$D$11)</f>
        <v>0</v>
      </c>
      <c r="AK65" s="42">
        <f ca="1">IF($F65&gt;$D$5,0,VLOOKUP($F65,$F$24:$BZ$44,AK$2-$E$2,FALSE)*$D$11*$D$14*(1+$D$13)^($F65-'הנחות עבודה'!$C$5)/$D$11)</f>
        <v>698.16975655400938</v>
      </c>
      <c r="AL65" s="42">
        <f ca="1">IF($F65&gt;$D$5,0,VLOOKUP($F65,$F$24:$BZ$44,AL$2-$E$2,FALSE)*$D$11*$D$14*(1+$D$13)^($F65-'הנחות עבודה'!$C$5)/$D$11)</f>
        <v>2063.9379646256434</v>
      </c>
      <c r="AM65" s="42">
        <f ca="1">IF($F65&gt;$D$5,0,VLOOKUP($F65,$F$24:$BZ$44,AM$2-$E$2,FALSE)*$D$11*$D$14*(1+$D$13)^($F65-'הנחות עבודה'!$C$5)/$D$11)</f>
        <v>0</v>
      </c>
      <c r="AN65" s="42">
        <f ca="1">IF($F65&gt;$D$5,0,VLOOKUP($F65,$F$24:$BZ$44,AN$2-$E$2,FALSE)*$D$11*$D$14*(1+$D$13)^($F65-'הנחות עבודה'!$C$5)/$D$11)</f>
        <v>0</v>
      </c>
      <c r="AO65" s="42">
        <f ca="1">IF($F65&gt;$D$5,0,VLOOKUP($F65,$F$24:$BZ$44,AO$2-$E$2,FALSE)*$D$11*$D$14*(1+$D$13)^($F65-'הנחות עבודה'!$C$5)/$D$11)</f>
        <v>0</v>
      </c>
      <c r="AP65" s="42">
        <f ca="1">IF($F65&gt;$D$5,0,VLOOKUP($F65,$F$24:$BZ$44,AP$2-$E$2,FALSE)*$D$11*$D$14*(1+$D$13)^($F65-'הנחות עבודה'!$C$5)/$D$11)</f>
        <v>0</v>
      </c>
      <c r="AQ65" s="52">
        <f ca="1">IF($F65&gt;$D$5,0,VLOOKUP($F65,$F$24:$BZ$44,AQ$2-$E$2,FALSE)*$D$11*$D$14*(1+$D$13)^($F65-'הנחות עבודה'!$C$5)/$D$11)</f>
        <v>0</v>
      </c>
      <c r="AR65" s="127">
        <f ca="1">IF($F65&gt;$D$5,0,VLOOKUP($F65,$F$24:$BZ$44,AR$2-$E$2,FALSE)*$D$11*$D$14*(1+$D$13)^($F65-'הנחות עבודה'!$C$5)/$D$11)</f>
        <v>0</v>
      </c>
      <c r="AS65" s="127">
        <f ca="1">IF($F65&gt;$D$5,0,VLOOKUP($F65,$F$24:$BZ$44,AS$2-$E$2,FALSE)*$D$11*$D$14*(1+$D$13)^($F65-'הנחות עבודה'!$C$5)/$D$11)</f>
        <v>0</v>
      </c>
      <c r="AT65" s="127">
        <f ca="1">IF($F65&gt;$D$5,0,VLOOKUP($F65,$F$24:$BZ$44,AT$2-$E$2,FALSE)*$D$11*$D$14*(1+$D$13)^($F65-'הנחות עבודה'!$C$5)/$D$11)</f>
        <v>0</v>
      </c>
      <c r="AU65" s="127">
        <f ca="1">IF($F65&gt;$D$5,0,VLOOKUP($F65,$F$24:$BZ$44,AU$2-$E$2,FALSE)*$D$11*$D$14*(1+$D$13)^($F65-'הנחות עבודה'!$C$5)/$D$11)</f>
        <v>0</v>
      </c>
      <c r="AV65" s="127">
        <f ca="1">IF($F65&gt;$D$5,0,VLOOKUP($F65,$F$24:$BZ$44,AV$2-$E$2,FALSE)*$D$11*$D$14*(1+$D$13)^($F65-'הנחות עבודה'!$C$5)/$D$11)</f>
        <v>0</v>
      </c>
      <c r="AW65" s="52">
        <f ca="1">IF($F65&gt;$D$5,0,VLOOKUP($F65,$F$24:$BZ$44,AW$2-$E$2,FALSE)*$D$11*$D$14*(1+$D$13)^($F65-'הנחות עבודה'!$C$5)/$D$11)</f>
        <v>698.16975655400938</v>
      </c>
      <c r="AX65" s="52">
        <f ca="1">IF($F65&gt;$D$5,0,VLOOKUP($F65,$F$24:$BZ$44,AX$2-$E$2,FALSE)*$D$11*$D$14*(1+$D$13)^($F65-'הנחות עבודה'!$C$5)/$D$11)</f>
        <v>2063.9379646256434</v>
      </c>
      <c r="AY65" s="52">
        <f ca="1">IF($F65&gt;$D$5,0,VLOOKUP($F65,$F$24:$BZ$44,AY$2-$E$2,FALSE)*$D$11*$D$14*(1+$D$13)^($F65-'הנחות עבודה'!$C$5)/$D$11)</f>
        <v>0</v>
      </c>
      <c r="AZ65" s="52">
        <f ca="1">IF($F65&gt;$D$5,0,VLOOKUP($F65,$F$24:$BZ$44,AZ$2-$E$2,FALSE)*$D$11*$D$14*(1+$D$13)^($F65-'הנחות עבודה'!$C$5)/$D$11)</f>
        <v>0</v>
      </c>
      <c r="BA65" s="52">
        <f ca="1">IF($F65&gt;$D$5,0,VLOOKUP($F65,$F$24:$BZ$44,BA$2-$E$2,FALSE)*$D$11*$D$14*(1+$D$13)^($F65-'הנחות עבודה'!$C$5)/$D$11)</f>
        <v>0</v>
      </c>
      <c r="BB65" s="52">
        <f ca="1">IF($F65&gt;$D$5,0,VLOOKUP($F65,$F$24:$BZ$44,BB$2-$E$2,FALSE)*$D$11*$D$14*(1+$D$13)^($F65-'הנחות עבודה'!$C$5)/$D$11)</f>
        <v>0</v>
      </c>
      <c r="BC65" s="42">
        <f ca="1">IF($F65&gt;$D$5,0,VLOOKUP($F65,$F$24:$BZ$44,BC$2-$E$2,FALSE)*$D$11*$D$14*(1+$D$13)^($F65-'הנחות עבודה'!$C$5)/$D$11)</f>
        <v>0</v>
      </c>
      <c r="BD65" s="44">
        <f ca="1">IF($F65&gt;$D$5,0,VLOOKUP($F65,$F$24:$BZ$44,BD$2-$E$2,FALSE)*$D$11*$D$14*(1+$D$13)^($F65-'הנחות עבודה'!$C$5)/$D$11)</f>
        <v>0</v>
      </c>
      <c r="BE65" s="44">
        <f ca="1">IF($F65&gt;$D$5,0,VLOOKUP($F65,$F$24:$BZ$44,BE$2-$E$2,FALSE)*$D$11*$D$14*(1+$D$13)^($F65-'הנחות עבודה'!$C$5)/$D$11)</f>
        <v>0</v>
      </c>
      <c r="BF65" s="44">
        <f ca="1">IF($F65&gt;$D$5,0,VLOOKUP($F65,$F$24:$BZ$44,BF$2-$E$2,FALSE)*$D$11*$D$14*(1+$D$13)^($F65-'הנחות עבודה'!$C$5)/$D$11)</f>
        <v>0</v>
      </c>
      <c r="BG65" s="44">
        <f ca="1">IF($F65&gt;$D$5,0,VLOOKUP($F65,$F$24:$BZ$44,BG$2-$E$2,FALSE)*$D$11*$D$14*(1+$D$13)^($F65-'הנחות עבודה'!$C$5)/$D$11)</f>
        <v>0</v>
      </c>
      <c r="BH65" s="44">
        <f ca="1">IF($F65&gt;$D$5,0,VLOOKUP($F65,$F$24:$BZ$44,BH$2-$E$2,FALSE)*$D$11*$D$14*(1+$D$13)^($F65-'הנחות עבודה'!$C$5)/$D$11)</f>
        <v>0</v>
      </c>
      <c r="BI65" s="42">
        <f ca="1">IF($F65&gt;$D$5,0,VLOOKUP($F65,$F$24:$BZ$44,BI$2-$E$2,FALSE)*$D$11*$D$14*(1+$D$13)^($F65-'הנחות עבודה'!$C$5)/$D$11)</f>
        <v>715.16658433331634</v>
      </c>
      <c r="BJ65" s="42">
        <f ca="1">IF($F65&gt;$D$5,0,VLOOKUP($F65,$F$24:$BZ$44,BJ$2-$E$2,FALSE)*$D$11*$D$14*(1+$D$13)^($F65-'הנחות עבודה'!$C$5)/$D$11)</f>
        <v>1912.0659994224789</v>
      </c>
      <c r="BK65" s="42">
        <f ca="1">IF($F65&gt;$D$5,0,VLOOKUP($F65,$F$24:$BZ$44,BK$2-$E$2,FALSE)*$D$11*$D$14*(1+$D$13)^($F65-'הנחות עבודה'!$C$5)/$D$11)</f>
        <v>0</v>
      </c>
      <c r="BL65" s="42">
        <f ca="1">IF($F65&gt;$D$5,0,VLOOKUP($F65,$F$24:$BZ$44,BL$2-$E$2,FALSE)*$D$11*$D$14*(1+$D$13)^($F65-'הנחות עבודה'!$C$5)/$D$11)</f>
        <v>0</v>
      </c>
      <c r="BM65" s="42">
        <f ca="1">IF($F65&gt;$D$5,0,VLOOKUP($F65,$F$24:$BZ$44,BM$2-$E$2,FALSE)*$D$11*$D$14*(1+$D$13)^($F65-'הנחות עבודה'!$C$5)/$D$11)</f>
        <v>0</v>
      </c>
      <c r="BN65" s="42">
        <f ca="1">IF($F65&gt;$D$5,0,VLOOKUP($F65,$F$24:$BZ$44,BN$2-$E$2,FALSE)*$D$11*$D$14*(1+$D$13)^($F65-'הנחות עבודה'!$C$5)/$D$11)</f>
        <v>0</v>
      </c>
      <c r="BO65" s="52">
        <f ca="1">IF($F65&gt;$D$5,0,VLOOKUP($F65,$F$24:$BZ$44,BO$2-$E$2,FALSE)*$D$11*$D$14*(1+$D$13)^($F65-'הנחות עבודה'!$C$5)/$D$11)</f>
        <v>0</v>
      </c>
      <c r="BP65" s="127">
        <f ca="1">IF($F65&gt;$D$5,0,VLOOKUP($F65,$F$24:$BZ$44,BP$2-$E$2,FALSE)*$D$11*$D$14*(1+$D$13)^($F65-'הנחות עבודה'!$C$5)/$D$11)</f>
        <v>0</v>
      </c>
      <c r="BQ65" s="127">
        <f ca="1">IF($F65&gt;$D$5,0,VLOOKUP($F65,$F$24:$BZ$44,BQ$2-$E$2,FALSE)*$D$11*$D$14*(1+$D$13)^($F65-'הנחות עבודה'!$C$5)/$D$11)</f>
        <v>0</v>
      </c>
      <c r="BR65" s="127">
        <f ca="1">IF($F65&gt;$D$5,0,VLOOKUP($F65,$F$24:$BZ$44,BR$2-$E$2,FALSE)*$D$11*$D$14*(1+$D$13)^($F65-'הנחות עבודה'!$C$5)/$D$11)</f>
        <v>0</v>
      </c>
      <c r="BS65" s="127">
        <f ca="1">IF($F65&gt;$D$5,0,VLOOKUP($F65,$F$24:$BZ$44,BS$2-$E$2,FALSE)*$D$11*$D$14*(1+$D$13)^($F65-'הנחות עבודה'!$C$5)/$D$11)</f>
        <v>0</v>
      </c>
      <c r="BT65" s="127">
        <f ca="1">IF($F65&gt;$D$5,0,VLOOKUP($F65,$F$24:$BZ$44,BT$2-$E$2,FALSE)*$D$11*$D$14*(1+$D$13)^($F65-'הנחות עבודה'!$C$5)/$D$11)</f>
        <v>0</v>
      </c>
      <c r="BU65" s="52">
        <f ca="1">IF($F65&gt;$D$5,0,VLOOKUP($F65,$F$24:$BZ$44,BU$2-$E$2,FALSE)*$D$11*$D$14*(1+$D$13)^($F65-'הנחות עבודה'!$C$5)/$D$11)</f>
        <v>715.16658433331634</v>
      </c>
      <c r="BV65" s="52">
        <f ca="1">IF($F65&gt;$D$5,0,VLOOKUP($F65,$F$24:$BZ$44,BV$2-$E$2,FALSE)*$D$11*$D$14*(1+$D$13)^($F65-'הנחות עבודה'!$C$5)/$D$11)</f>
        <v>1912.0659994224789</v>
      </c>
      <c r="BW65" s="52">
        <f ca="1">IF($F65&gt;$D$5,0,VLOOKUP($F65,$F$24:$BZ$44,BW$2-$E$2,FALSE)*$D$11*$D$14*(1+$D$13)^($F65-'הנחות עבודה'!$C$5)/$D$11)</f>
        <v>0</v>
      </c>
      <c r="BX65" s="52">
        <f ca="1">IF($F65&gt;$D$5,0,VLOOKUP($F65,$F$24:$BZ$44,BX$2-$E$2,FALSE)*$D$11*$D$14*(1+$D$13)^($F65-'הנחות עבודה'!$C$5)/$D$11)</f>
        <v>0</v>
      </c>
      <c r="BY65" s="52">
        <f ca="1">IF($F65&gt;$D$5,0,VLOOKUP($F65,$F$24:$BZ$44,BY$2-$E$2,FALSE)*$D$11*$D$14*(1+$D$13)^($F65-'הנחות עבודה'!$C$5)/$D$11)</f>
        <v>0</v>
      </c>
      <c r="BZ65" s="52">
        <f ca="1">IF($F65&gt;$D$5,0,VLOOKUP($F65,$F$24:$BZ$44,BZ$2-$E$2,FALSE)*$D$11*$D$14*(1+$D$13)^($F65-'הנחות עבודה'!$C$5)/$D$11)</f>
        <v>0</v>
      </c>
    </row>
    <row r="66" spans="6:78" ht="15.75">
      <c r="F66" s="10">
        <f t="shared" si="125"/>
        <v>2035</v>
      </c>
      <c r="G66" s="42">
        <f ca="1">IF($F66&gt;$D$5,0,VLOOKUP($F66,$F$24:$BZ$44,G$2-$E$2,FALSE)*$D$11*$D$14*(1+$D$13)^($F66-'הנחות עבודה'!$C$5)/$D$11)</f>
        <v>0</v>
      </c>
      <c r="H66" s="44">
        <f ca="1">IF($F66&gt;$D$5,0,VLOOKUP($F66,$F$24:$BZ$44,H$2-$E$2,FALSE)*$D$11*$D$14*(1+$D$13)^($F66-'הנחות עבודה'!$C$5)/$D$11)</f>
        <v>0</v>
      </c>
      <c r="I66" s="44">
        <f ca="1">IF($F66&gt;$D$5,0,VLOOKUP($F66,$F$24:$BZ$44,I$2-$E$2,FALSE)*$D$11*$D$14*(1+$D$13)^($F66-'הנחות עבודה'!$C$5)/$D$11)</f>
        <v>0</v>
      </c>
      <c r="J66" s="44">
        <f ca="1">IF($F66&gt;$D$5,0,VLOOKUP($F66,$F$24:$BZ$44,J$2-$E$2,FALSE)*$D$11*$D$14*(1+$D$13)^($F66-'הנחות עבודה'!$C$5)/$D$11)</f>
        <v>0</v>
      </c>
      <c r="K66" s="44">
        <f ca="1">IF($F66&gt;$D$5,0,VLOOKUP($F66,$F$24:$BZ$44,K$2-$E$2,FALSE)*$D$11*$D$14*(1+$D$13)^($F66-'הנחות עבודה'!$C$5)/$D$11)</f>
        <v>0</v>
      </c>
      <c r="L66" s="44">
        <f ca="1">IF($F66&gt;$D$5,0,VLOOKUP($F66,$F$24:$BZ$44,L$2-$E$2,FALSE)*$D$11*$D$14*(1+$D$13)^($F66-'הנחות עבודה'!$C$5)/$D$11)</f>
        <v>0</v>
      </c>
      <c r="M66" s="42">
        <f ca="1">IF($F66&gt;$D$5,0,VLOOKUP($F66,$F$24:$BZ$44,M$2-$E$2,FALSE)*$D$11*$D$14*(1+$D$13)^($F66-'הנחות עבודה'!$C$5)/$D$11)</f>
        <v>680.37804289105225</v>
      </c>
      <c r="N66" s="42">
        <f ca="1">IF($F66&gt;$D$5,0,VLOOKUP($F66,$F$24:$BZ$44,N$2-$E$2,FALSE)*$D$11*$D$14*(1+$D$13)^($F66-'הנחות עבודה'!$C$5)/$D$11)</f>
        <v>2494.0682153579701</v>
      </c>
      <c r="O66" s="42">
        <f ca="1">IF($F66&gt;$D$5,0,VLOOKUP($F66,$F$24:$BZ$44,O$2-$E$2,FALSE)*$D$11*$D$14*(1+$D$13)^($F66-'הנחות עבודה'!$C$5)/$D$11)</f>
        <v>0</v>
      </c>
      <c r="P66" s="42">
        <f ca="1">IF($F66&gt;$D$5,0,VLOOKUP($F66,$F$24:$BZ$44,P$2-$E$2,FALSE)*$D$11*$D$14*(1+$D$13)^($F66-'הנחות עבודה'!$C$5)/$D$11)</f>
        <v>0</v>
      </c>
      <c r="Q66" s="42">
        <f ca="1">IF($F66&gt;$D$5,0,VLOOKUP($F66,$F$24:$BZ$44,Q$2-$E$2,FALSE)*$D$11*$D$14*(1+$D$13)^($F66-'הנחות עבודה'!$C$5)/$D$11)</f>
        <v>0</v>
      </c>
      <c r="R66" s="42">
        <f ca="1">IF($F66&gt;$D$5,0,VLOOKUP($F66,$F$24:$BZ$44,R$2-$E$2,FALSE)*$D$11*$D$14*(1+$D$13)^($F66-'הנחות עבודה'!$C$5)/$D$11)</f>
        <v>0</v>
      </c>
      <c r="S66" s="52">
        <f ca="1">IF($F66&gt;$D$5,0,VLOOKUP($F66,$F$24:$BZ$44,S$2-$E$2,FALSE)*$D$11*$D$14*(1+$D$13)^($F66-'הנחות עבודה'!$C$5)/$D$11)</f>
        <v>0</v>
      </c>
      <c r="T66" s="127">
        <f ca="1">IF($F66&gt;$D$5,0,VLOOKUP($F66,$F$24:$BZ$44,T$2-$E$2,FALSE)*$D$11*$D$14*(1+$D$13)^($F66-'הנחות עבודה'!$C$5)/$D$11)</f>
        <v>0</v>
      </c>
      <c r="U66" s="127">
        <f ca="1">IF($F66&gt;$D$5,0,VLOOKUP($F66,$F$24:$BZ$44,U$2-$E$2,FALSE)*$D$11*$D$14*(1+$D$13)^($F66-'הנחות עבודה'!$C$5)/$D$11)</f>
        <v>0</v>
      </c>
      <c r="V66" s="127">
        <f ca="1">IF($F66&gt;$D$5,0,VLOOKUP($F66,$F$24:$BZ$44,V$2-$E$2,FALSE)*$D$11*$D$14*(1+$D$13)^($F66-'הנחות עבודה'!$C$5)/$D$11)</f>
        <v>0</v>
      </c>
      <c r="W66" s="127">
        <f ca="1">IF($F66&gt;$D$5,0,VLOOKUP($F66,$F$24:$BZ$44,W$2-$E$2,FALSE)*$D$11*$D$14*(1+$D$13)^($F66-'הנחות עבודה'!$C$5)/$D$11)</f>
        <v>0</v>
      </c>
      <c r="X66" s="127">
        <f ca="1">IF($F66&gt;$D$5,0,VLOOKUP($F66,$F$24:$BZ$44,X$2-$E$2,FALSE)*$D$11*$D$14*(1+$D$13)^($F66-'הנחות עבודה'!$C$5)/$D$11)</f>
        <v>0</v>
      </c>
      <c r="Y66" s="52">
        <f ca="1">IF($F66&gt;$D$5,0,VLOOKUP($F66,$F$24:$BZ$44,Y$2-$E$2,FALSE)*$D$11*$D$14*(1+$D$13)^($F66-'הנחות עבודה'!$C$5)/$D$11)</f>
        <v>680.37804289105225</v>
      </c>
      <c r="Z66" s="52">
        <f ca="1">IF($F66&gt;$D$5,0,VLOOKUP($F66,$F$24:$BZ$44,Z$2-$E$2,FALSE)*$D$11*$D$14*(1+$D$13)^($F66-'הנחות עבודה'!$C$5)/$D$11)</f>
        <v>2494.0682153579701</v>
      </c>
      <c r="AA66" s="52">
        <f ca="1">IF($F66&gt;$D$5,0,VLOOKUP($F66,$F$24:$BZ$44,AA$2-$E$2,FALSE)*$D$11*$D$14*(1+$D$13)^($F66-'הנחות עבודה'!$C$5)/$D$11)</f>
        <v>0</v>
      </c>
      <c r="AB66" s="52">
        <f ca="1">IF($F66&gt;$D$5,0,VLOOKUP($F66,$F$24:$BZ$44,AB$2-$E$2,FALSE)*$D$11*$D$14*(1+$D$13)^($F66-'הנחות עבודה'!$C$5)/$D$11)</f>
        <v>0</v>
      </c>
      <c r="AC66" s="52">
        <f ca="1">IF($F66&gt;$D$5,0,VLOOKUP($F66,$F$24:$BZ$44,AC$2-$E$2,FALSE)*$D$11*$D$14*(1+$D$13)^($F66-'הנחות עבודה'!$C$5)/$D$11)</f>
        <v>0</v>
      </c>
      <c r="AD66" s="52">
        <f ca="1">IF($F66&gt;$D$5,0,VLOOKUP($F66,$F$24:$BZ$44,AD$2-$E$2,FALSE)*$D$11*$D$14*(1+$D$13)^($F66-'הנחות עבודה'!$C$5)/$D$11)</f>
        <v>0</v>
      </c>
      <c r="AE66" s="42">
        <f ca="1">IF($F66&gt;$D$5,0,VLOOKUP($F66,$F$24:$BZ$44,AE$2-$E$2,FALSE)*$D$11*$D$14*(1+$D$13)^($F66-'הנחות עבודה'!$C$5)/$D$11)</f>
        <v>0</v>
      </c>
      <c r="AF66" s="44">
        <f ca="1">IF($F66&gt;$D$5,0,VLOOKUP($F66,$F$24:$BZ$44,AF$2-$E$2,FALSE)*$D$11*$D$14*(1+$D$13)^($F66-'הנחות עבודה'!$C$5)/$D$11)</f>
        <v>0</v>
      </c>
      <c r="AG66" s="44">
        <f ca="1">IF($F66&gt;$D$5,0,VLOOKUP($F66,$F$24:$BZ$44,AG$2-$E$2,FALSE)*$D$11*$D$14*(1+$D$13)^($F66-'הנחות עבודה'!$C$5)/$D$11)</f>
        <v>0</v>
      </c>
      <c r="AH66" s="44">
        <f ca="1">IF($F66&gt;$D$5,0,VLOOKUP($F66,$F$24:$BZ$44,AH$2-$E$2,FALSE)*$D$11*$D$14*(1+$D$13)^($F66-'הנחות עבודה'!$C$5)/$D$11)</f>
        <v>0</v>
      </c>
      <c r="AI66" s="44">
        <f ca="1">IF($F66&gt;$D$5,0,VLOOKUP($F66,$F$24:$BZ$44,AI$2-$E$2,FALSE)*$D$11*$D$14*(1+$D$13)^($F66-'הנחות עבודה'!$C$5)/$D$11)</f>
        <v>0</v>
      </c>
      <c r="AJ66" s="44">
        <f ca="1">IF($F66&gt;$D$5,0,VLOOKUP($F66,$F$24:$BZ$44,AJ$2-$E$2,FALSE)*$D$11*$D$14*(1+$D$13)^($F66-'הנחות עבודה'!$C$5)/$D$11)</f>
        <v>0</v>
      </c>
      <c r="AK66" s="42">
        <f ca="1">IF($F66&gt;$D$5,0,VLOOKUP($F66,$F$24:$BZ$44,AK$2-$E$2,FALSE)*$D$11*$D$14*(1+$D$13)^($F66-'הנחות עבודה'!$C$5)/$D$11)</f>
        <v>727.23667261798516</v>
      </c>
      <c r="AL66" s="42">
        <f ca="1">IF($F66&gt;$D$5,0,VLOOKUP($F66,$F$24:$BZ$44,AL$2-$E$2,FALSE)*$D$11*$D$14*(1+$D$13)^($F66-'הנחות עבודה'!$C$5)/$D$11)</f>
        <v>2231.5773338396903</v>
      </c>
      <c r="AM66" s="42">
        <f ca="1">IF($F66&gt;$D$5,0,VLOOKUP($F66,$F$24:$BZ$44,AM$2-$E$2,FALSE)*$D$11*$D$14*(1+$D$13)^($F66-'הנחות עבודה'!$C$5)/$D$11)</f>
        <v>0</v>
      </c>
      <c r="AN66" s="42">
        <f ca="1">IF($F66&gt;$D$5,0,VLOOKUP($F66,$F$24:$BZ$44,AN$2-$E$2,FALSE)*$D$11*$D$14*(1+$D$13)^($F66-'הנחות עבודה'!$C$5)/$D$11)</f>
        <v>0</v>
      </c>
      <c r="AO66" s="42">
        <f ca="1">IF($F66&gt;$D$5,0,VLOOKUP($F66,$F$24:$BZ$44,AO$2-$E$2,FALSE)*$D$11*$D$14*(1+$D$13)^($F66-'הנחות עבודה'!$C$5)/$D$11)</f>
        <v>0</v>
      </c>
      <c r="AP66" s="42">
        <f ca="1">IF($F66&gt;$D$5,0,VLOOKUP($F66,$F$24:$BZ$44,AP$2-$E$2,FALSE)*$D$11*$D$14*(1+$D$13)^($F66-'הנחות עבודה'!$C$5)/$D$11)</f>
        <v>0</v>
      </c>
      <c r="AQ66" s="52">
        <f ca="1">IF($F66&gt;$D$5,0,VLOOKUP($F66,$F$24:$BZ$44,AQ$2-$E$2,FALSE)*$D$11*$D$14*(1+$D$13)^($F66-'הנחות עבודה'!$C$5)/$D$11)</f>
        <v>0</v>
      </c>
      <c r="AR66" s="127">
        <f ca="1">IF($F66&gt;$D$5,0,VLOOKUP($F66,$F$24:$BZ$44,AR$2-$E$2,FALSE)*$D$11*$D$14*(1+$D$13)^($F66-'הנחות עבודה'!$C$5)/$D$11)</f>
        <v>0</v>
      </c>
      <c r="AS66" s="127">
        <f ca="1">IF($F66&gt;$D$5,0,VLOOKUP($F66,$F$24:$BZ$44,AS$2-$E$2,FALSE)*$D$11*$D$14*(1+$D$13)^($F66-'הנחות עבודה'!$C$5)/$D$11)</f>
        <v>0</v>
      </c>
      <c r="AT66" s="127">
        <f ca="1">IF($F66&gt;$D$5,0,VLOOKUP($F66,$F$24:$BZ$44,AT$2-$E$2,FALSE)*$D$11*$D$14*(1+$D$13)^($F66-'הנחות עבודה'!$C$5)/$D$11)</f>
        <v>0</v>
      </c>
      <c r="AU66" s="127">
        <f ca="1">IF($F66&gt;$D$5,0,VLOOKUP($F66,$F$24:$BZ$44,AU$2-$E$2,FALSE)*$D$11*$D$14*(1+$D$13)^($F66-'הנחות עבודה'!$C$5)/$D$11)</f>
        <v>0</v>
      </c>
      <c r="AV66" s="127">
        <f ca="1">IF($F66&gt;$D$5,0,VLOOKUP($F66,$F$24:$BZ$44,AV$2-$E$2,FALSE)*$D$11*$D$14*(1+$D$13)^($F66-'הנחות עבודה'!$C$5)/$D$11)</f>
        <v>0</v>
      </c>
      <c r="AW66" s="52">
        <f ca="1">IF($F66&gt;$D$5,0,VLOOKUP($F66,$F$24:$BZ$44,AW$2-$E$2,FALSE)*$D$11*$D$14*(1+$D$13)^($F66-'הנחות עבודה'!$C$5)/$D$11)</f>
        <v>727.23667261798516</v>
      </c>
      <c r="AX66" s="52">
        <f ca="1">IF($F66&gt;$D$5,0,VLOOKUP($F66,$F$24:$BZ$44,AX$2-$E$2,FALSE)*$D$11*$D$14*(1+$D$13)^($F66-'הנחות עבודה'!$C$5)/$D$11)</f>
        <v>2231.5773338396903</v>
      </c>
      <c r="AY66" s="52">
        <f ca="1">IF($F66&gt;$D$5,0,VLOOKUP($F66,$F$24:$BZ$44,AY$2-$E$2,FALSE)*$D$11*$D$14*(1+$D$13)^($F66-'הנחות עבודה'!$C$5)/$D$11)</f>
        <v>0</v>
      </c>
      <c r="AZ66" s="52">
        <f ca="1">IF($F66&gt;$D$5,0,VLOOKUP($F66,$F$24:$BZ$44,AZ$2-$E$2,FALSE)*$D$11*$D$14*(1+$D$13)^($F66-'הנחות עבודה'!$C$5)/$D$11)</f>
        <v>0</v>
      </c>
      <c r="BA66" s="52">
        <f ca="1">IF($F66&gt;$D$5,0,VLOOKUP($F66,$F$24:$BZ$44,BA$2-$E$2,FALSE)*$D$11*$D$14*(1+$D$13)^($F66-'הנחות עבודה'!$C$5)/$D$11)</f>
        <v>0</v>
      </c>
      <c r="BB66" s="52">
        <f ca="1">IF($F66&gt;$D$5,0,VLOOKUP($F66,$F$24:$BZ$44,BB$2-$E$2,FALSE)*$D$11*$D$14*(1+$D$13)^($F66-'הנחות עבודה'!$C$5)/$D$11)</f>
        <v>0</v>
      </c>
      <c r="BC66" s="42">
        <f ca="1">IF($F66&gt;$D$5,0,VLOOKUP($F66,$F$24:$BZ$44,BC$2-$E$2,FALSE)*$D$11*$D$14*(1+$D$13)^($F66-'הנחות עבודה'!$C$5)/$D$11)</f>
        <v>0</v>
      </c>
      <c r="BD66" s="44">
        <f ca="1">IF($F66&gt;$D$5,0,VLOOKUP($F66,$F$24:$BZ$44,BD$2-$E$2,FALSE)*$D$11*$D$14*(1+$D$13)^($F66-'הנחות עבודה'!$C$5)/$D$11)</f>
        <v>0</v>
      </c>
      <c r="BE66" s="44">
        <f ca="1">IF($F66&gt;$D$5,0,VLOOKUP($F66,$F$24:$BZ$44,BE$2-$E$2,FALSE)*$D$11*$D$14*(1+$D$13)^($F66-'הנחות עבודה'!$C$5)/$D$11)</f>
        <v>0</v>
      </c>
      <c r="BF66" s="44">
        <f ca="1">IF($F66&gt;$D$5,0,VLOOKUP($F66,$F$24:$BZ$44,BF$2-$E$2,FALSE)*$D$11*$D$14*(1+$D$13)^($F66-'הנחות עבודה'!$C$5)/$D$11)</f>
        <v>0</v>
      </c>
      <c r="BG66" s="44">
        <f ca="1">IF($F66&gt;$D$5,0,VLOOKUP($F66,$F$24:$BZ$44,BG$2-$E$2,FALSE)*$D$11*$D$14*(1+$D$13)^($F66-'הנחות עבודה'!$C$5)/$D$11)</f>
        <v>0</v>
      </c>
      <c r="BH66" s="44">
        <f ca="1">IF($F66&gt;$D$5,0,VLOOKUP($F66,$F$24:$BZ$44,BH$2-$E$2,FALSE)*$D$11*$D$14*(1+$D$13)^($F66-'הנחות עבודה'!$C$5)/$D$11)</f>
        <v>0</v>
      </c>
      <c r="BI66" s="42">
        <f ca="1">IF($F66&gt;$D$5,0,VLOOKUP($F66,$F$24:$BZ$44,BI$2-$E$2,FALSE)*$D$11*$D$14*(1+$D$13)^($F66-'הנחות עבודה'!$C$5)/$D$11)</f>
        <v>742.78884272263429</v>
      </c>
      <c r="BJ66" s="42">
        <f ca="1">IF($F66&gt;$D$5,0,VLOOKUP($F66,$F$24:$BZ$44,BJ$2-$E$2,FALSE)*$D$11*$D$14*(1+$D$13)^($F66-'הנחות עבודה'!$C$5)/$D$11)</f>
        <v>2076.8035559755886</v>
      </c>
      <c r="BK66" s="42">
        <f ca="1">IF($F66&gt;$D$5,0,VLOOKUP($F66,$F$24:$BZ$44,BK$2-$E$2,FALSE)*$D$11*$D$14*(1+$D$13)^($F66-'הנחות עבודה'!$C$5)/$D$11)</f>
        <v>0</v>
      </c>
      <c r="BL66" s="42">
        <f ca="1">IF($F66&gt;$D$5,0,VLOOKUP($F66,$F$24:$BZ$44,BL$2-$E$2,FALSE)*$D$11*$D$14*(1+$D$13)^($F66-'הנחות עבודה'!$C$5)/$D$11)</f>
        <v>0</v>
      </c>
      <c r="BM66" s="42">
        <f ca="1">IF($F66&gt;$D$5,0,VLOOKUP($F66,$F$24:$BZ$44,BM$2-$E$2,FALSE)*$D$11*$D$14*(1+$D$13)^($F66-'הנחות עבודה'!$C$5)/$D$11)</f>
        <v>0</v>
      </c>
      <c r="BN66" s="42">
        <f ca="1">IF($F66&gt;$D$5,0,VLOOKUP($F66,$F$24:$BZ$44,BN$2-$E$2,FALSE)*$D$11*$D$14*(1+$D$13)^($F66-'הנחות עבודה'!$C$5)/$D$11)</f>
        <v>0</v>
      </c>
      <c r="BO66" s="52">
        <f ca="1">IF($F66&gt;$D$5,0,VLOOKUP($F66,$F$24:$BZ$44,BO$2-$E$2,FALSE)*$D$11*$D$14*(1+$D$13)^($F66-'הנחות עבודה'!$C$5)/$D$11)</f>
        <v>0</v>
      </c>
      <c r="BP66" s="127">
        <f ca="1">IF($F66&gt;$D$5,0,VLOOKUP($F66,$F$24:$BZ$44,BP$2-$E$2,FALSE)*$D$11*$D$14*(1+$D$13)^($F66-'הנחות עבודה'!$C$5)/$D$11)</f>
        <v>0</v>
      </c>
      <c r="BQ66" s="127">
        <f ca="1">IF($F66&gt;$D$5,0,VLOOKUP($F66,$F$24:$BZ$44,BQ$2-$E$2,FALSE)*$D$11*$D$14*(1+$D$13)^($F66-'הנחות עבודה'!$C$5)/$D$11)</f>
        <v>0</v>
      </c>
      <c r="BR66" s="127">
        <f ca="1">IF($F66&gt;$D$5,0,VLOOKUP($F66,$F$24:$BZ$44,BR$2-$E$2,FALSE)*$D$11*$D$14*(1+$D$13)^($F66-'הנחות עבודה'!$C$5)/$D$11)</f>
        <v>0</v>
      </c>
      <c r="BS66" s="127">
        <f ca="1">IF($F66&gt;$D$5,0,VLOOKUP($F66,$F$24:$BZ$44,BS$2-$E$2,FALSE)*$D$11*$D$14*(1+$D$13)^($F66-'הנחות עבודה'!$C$5)/$D$11)</f>
        <v>0</v>
      </c>
      <c r="BT66" s="127">
        <f ca="1">IF($F66&gt;$D$5,0,VLOOKUP($F66,$F$24:$BZ$44,BT$2-$E$2,FALSE)*$D$11*$D$14*(1+$D$13)^($F66-'הנחות עבודה'!$C$5)/$D$11)</f>
        <v>0</v>
      </c>
      <c r="BU66" s="52">
        <f ca="1">IF($F66&gt;$D$5,0,VLOOKUP($F66,$F$24:$BZ$44,BU$2-$E$2,FALSE)*$D$11*$D$14*(1+$D$13)^($F66-'הנחות עבודה'!$C$5)/$D$11)</f>
        <v>742.78884272263429</v>
      </c>
      <c r="BV66" s="52">
        <f ca="1">IF($F66&gt;$D$5,0,VLOOKUP($F66,$F$24:$BZ$44,BV$2-$E$2,FALSE)*$D$11*$D$14*(1+$D$13)^($F66-'הנחות עבודה'!$C$5)/$D$11)</f>
        <v>2076.8035559755886</v>
      </c>
      <c r="BW66" s="52">
        <f ca="1">IF($F66&gt;$D$5,0,VLOOKUP($F66,$F$24:$BZ$44,BW$2-$E$2,FALSE)*$D$11*$D$14*(1+$D$13)^($F66-'הנחות עבודה'!$C$5)/$D$11)</f>
        <v>0</v>
      </c>
      <c r="BX66" s="52">
        <f ca="1">IF($F66&gt;$D$5,0,VLOOKUP($F66,$F$24:$BZ$44,BX$2-$E$2,FALSE)*$D$11*$D$14*(1+$D$13)^($F66-'הנחות עבודה'!$C$5)/$D$11)</f>
        <v>0</v>
      </c>
      <c r="BY66" s="52">
        <f ca="1">IF($F66&gt;$D$5,0,VLOOKUP($F66,$F$24:$BZ$44,BY$2-$E$2,FALSE)*$D$11*$D$14*(1+$D$13)^($F66-'הנחות עבודה'!$C$5)/$D$11)</f>
        <v>0</v>
      </c>
      <c r="BZ66" s="52">
        <f ca="1">IF($F66&gt;$D$5,0,VLOOKUP($F66,$F$24:$BZ$44,BZ$2-$E$2,FALSE)*$D$11*$D$14*(1+$D$13)^($F66-'הנחות עבודה'!$C$5)/$D$11)</f>
        <v>0</v>
      </c>
    </row>
    <row r="67" spans="6:78" ht="15.75">
      <c r="F67" s="10">
        <f t="shared" si="125"/>
        <v>2036</v>
      </c>
      <c r="G67" s="42">
        <f ca="1">IF($F67&gt;$D$5,0,VLOOKUP($F67,$F$24:$BZ$44,G$2-$E$2,FALSE)*$D$11*$D$14*(1+$D$13)^($F67-'הנחות עבודה'!$C$5)/$D$11)</f>
        <v>0</v>
      </c>
      <c r="H67" s="44">
        <f ca="1">IF($F67&gt;$D$5,0,VLOOKUP($F67,$F$24:$BZ$44,H$2-$E$2,FALSE)*$D$11*$D$14*(1+$D$13)^($F67-'הנחות עבודה'!$C$5)/$D$11)</f>
        <v>0</v>
      </c>
      <c r="I67" s="44">
        <f ca="1">IF($F67&gt;$D$5,0,VLOOKUP($F67,$F$24:$BZ$44,I$2-$E$2,FALSE)*$D$11*$D$14*(1+$D$13)^($F67-'הנחות עבודה'!$C$5)/$D$11)</f>
        <v>0</v>
      </c>
      <c r="J67" s="44">
        <f ca="1">IF($F67&gt;$D$5,0,VLOOKUP($F67,$F$24:$BZ$44,J$2-$E$2,FALSE)*$D$11*$D$14*(1+$D$13)^($F67-'הנחות עבודה'!$C$5)/$D$11)</f>
        <v>0</v>
      </c>
      <c r="K67" s="44">
        <f ca="1">IF($F67&gt;$D$5,0,VLOOKUP($F67,$F$24:$BZ$44,K$2-$E$2,FALSE)*$D$11*$D$14*(1+$D$13)^($F67-'הנחות עבודה'!$C$5)/$D$11)</f>
        <v>0</v>
      </c>
      <c r="L67" s="44">
        <f ca="1">IF($F67&gt;$D$5,0,VLOOKUP($F67,$F$24:$BZ$44,L$2-$E$2,FALSE)*$D$11*$D$14*(1+$D$13)^($F67-'הנחות עבודה'!$C$5)/$D$11)</f>
        <v>0</v>
      </c>
      <c r="M67" s="42">
        <f ca="1">IF($F67&gt;$D$5,0,VLOOKUP($F67,$F$24:$BZ$44,M$2-$E$2,FALSE)*$D$11*$D$14*(1+$D$13)^($F67-'הנחות עבודה'!$C$5)/$D$11)</f>
        <v>717.07556020980917</v>
      </c>
      <c r="N67" s="42">
        <f ca="1">IF($F67&gt;$D$5,0,VLOOKUP($F67,$F$24:$BZ$44,N$2-$E$2,FALSE)*$D$11*$D$14*(1+$D$13)^($F67-'הנחות עבודה'!$C$5)/$D$11)</f>
        <v>2675.1148023268161</v>
      </c>
      <c r="O67" s="42">
        <f ca="1">IF($F67&gt;$D$5,0,VLOOKUP($F67,$F$24:$BZ$44,O$2-$E$2,FALSE)*$D$11*$D$14*(1+$D$13)^($F67-'הנחות עבודה'!$C$5)/$D$11)</f>
        <v>0</v>
      </c>
      <c r="P67" s="42">
        <f ca="1">IF($F67&gt;$D$5,0,VLOOKUP($F67,$F$24:$BZ$44,P$2-$E$2,FALSE)*$D$11*$D$14*(1+$D$13)^($F67-'הנחות עבודה'!$C$5)/$D$11)</f>
        <v>0</v>
      </c>
      <c r="Q67" s="42">
        <f ca="1">IF($F67&gt;$D$5,0,VLOOKUP($F67,$F$24:$BZ$44,Q$2-$E$2,FALSE)*$D$11*$D$14*(1+$D$13)^($F67-'הנחות עבודה'!$C$5)/$D$11)</f>
        <v>0</v>
      </c>
      <c r="R67" s="42">
        <f ca="1">IF($F67&gt;$D$5,0,VLOOKUP($F67,$F$24:$BZ$44,R$2-$E$2,FALSE)*$D$11*$D$14*(1+$D$13)^($F67-'הנחות עבודה'!$C$5)/$D$11)</f>
        <v>0</v>
      </c>
      <c r="S67" s="52">
        <f ca="1">IF($F67&gt;$D$5,0,VLOOKUP($F67,$F$24:$BZ$44,S$2-$E$2,FALSE)*$D$11*$D$14*(1+$D$13)^($F67-'הנחות עבודה'!$C$5)/$D$11)</f>
        <v>0</v>
      </c>
      <c r="T67" s="127">
        <f ca="1">IF($F67&gt;$D$5,0,VLOOKUP($F67,$F$24:$BZ$44,T$2-$E$2,FALSE)*$D$11*$D$14*(1+$D$13)^($F67-'הנחות עבודה'!$C$5)/$D$11)</f>
        <v>0</v>
      </c>
      <c r="U67" s="127">
        <f ca="1">IF($F67&gt;$D$5,0,VLOOKUP($F67,$F$24:$BZ$44,U$2-$E$2,FALSE)*$D$11*$D$14*(1+$D$13)^($F67-'הנחות עבודה'!$C$5)/$D$11)</f>
        <v>0</v>
      </c>
      <c r="V67" s="127">
        <f ca="1">IF($F67&gt;$D$5,0,VLOOKUP($F67,$F$24:$BZ$44,V$2-$E$2,FALSE)*$D$11*$D$14*(1+$D$13)^($F67-'הנחות עבודה'!$C$5)/$D$11)</f>
        <v>0</v>
      </c>
      <c r="W67" s="127">
        <f ca="1">IF($F67&gt;$D$5,0,VLOOKUP($F67,$F$24:$BZ$44,W$2-$E$2,FALSE)*$D$11*$D$14*(1+$D$13)^($F67-'הנחות עבודה'!$C$5)/$D$11)</f>
        <v>0</v>
      </c>
      <c r="X67" s="127">
        <f ca="1">IF($F67&gt;$D$5,0,VLOOKUP($F67,$F$24:$BZ$44,X$2-$E$2,FALSE)*$D$11*$D$14*(1+$D$13)^($F67-'הנחות עבודה'!$C$5)/$D$11)</f>
        <v>0</v>
      </c>
      <c r="Y67" s="52">
        <f ca="1">IF($F67&gt;$D$5,0,VLOOKUP($F67,$F$24:$BZ$44,Y$2-$E$2,FALSE)*$D$11*$D$14*(1+$D$13)^($F67-'הנחות עבודה'!$C$5)/$D$11)</f>
        <v>717.07556020980917</v>
      </c>
      <c r="Z67" s="52">
        <f ca="1">IF($F67&gt;$D$5,0,VLOOKUP($F67,$F$24:$BZ$44,Z$2-$E$2,FALSE)*$D$11*$D$14*(1+$D$13)^($F67-'הנחות עבודה'!$C$5)/$D$11)</f>
        <v>2675.1148023268161</v>
      </c>
      <c r="AA67" s="52">
        <f ca="1">IF($F67&gt;$D$5,0,VLOOKUP($F67,$F$24:$BZ$44,AA$2-$E$2,FALSE)*$D$11*$D$14*(1+$D$13)^($F67-'הנחות עבודה'!$C$5)/$D$11)</f>
        <v>0</v>
      </c>
      <c r="AB67" s="52">
        <f ca="1">IF($F67&gt;$D$5,0,VLOOKUP($F67,$F$24:$BZ$44,AB$2-$E$2,FALSE)*$D$11*$D$14*(1+$D$13)^($F67-'הנחות עבודה'!$C$5)/$D$11)</f>
        <v>0</v>
      </c>
      <c r="AC67" s="52">
        <f ca="1">IF($F67&gt;$D$5,0,VLOOKUP($F67,$F$24:$BZ$44,AC$2-$E$2,FALSE)*$D$11*$D$14*(1+$D$13)^($F67-'הנחות עבודה'!$C$5)/$D$11)</f>
        <v>0</v>
      </c>
      <c r="AD67" s="52">
        <f ca="1">IF($F67&gt;$D$5,0,VLOOKUP($F67,$F$24:$BZ$44,AD$2-$E$2,FALSE)*$D$11*$D$14*(1+$D$13)^($F67-'הנחות עבודה'!$C$5)/$D$11)</f>
        <v>0</v>
      </c>
      <c r="AE67" s="42">
        <f ca="1">IF($F67&gt;$D$5,0,VLOOKUP($F67,$F$24:$BZ$44,AE$2-$E$2,FALSE)*$D$11*$D$14*(1+$D$13)^($F67-'הנחות עבודה'!$C$5)/$D$11)</f>
        <v>0</v>
      </c>
      <c r="AF67" s="44">
        <f ca="1">IF($F67&gt;$D$5,0,VLOOKUP($F67,$F$24:$BZ$44,AF$2-$E$2,FALSE)*$D$11*$D$14*(1+$D$13)^($F67-'הנחות עבודה'!$C$5)/$D$11)</f>
        <v>0</v>
      </c>
      <c r="AG67" s="44">
        <f ca="1">IF($F67&gt;$D$5,0,VLOOKUP($F67,$F$24:$BZ$44,AG$2-$E$2,FALSE)*$D$11*$D$14*(1+$D$13)^($F67-'הנחות עבודה'!$C$5)/$D$11)</f>
        <v>0</v>
      </c>
      <c r="AH67" s="44">
        <f ca="1">IF($F67&gt;$D$5,0,VLOOKUP($F67,$F$24:$BZ$44,AH$2-$E$2,FALSE)*$D$11*$D$14*(1+$D$13)^($F67-'הנחות עבודה'!$C$5)/$D$11)</f>
        <v>0</v>
      </c>
      <c r="AI67" s="44">
        <f ca="1">IF($F67&gt;$D$5,0,VLOOKUP($F67,$F$24:$BZ$44,AI$2-$E$2,FALSE)*$D$11*$D$14*(1+$D$13)^($F67-'הנחות עבודה'!$C$5)/$D$11)</f>
        <v>0</v>
      </c>
      <c r="AJ67" s="44">
        <f ca="1">IF($F67&gt;$D$5,0,VLOOKUP($F67,$F$24:$BZ$44,AJ$2-$E$2,FALSE)*$D$11*$D$14*(1+$D$13)^($F67-'הנחות עבודה'!$C$5)/$D$11)</f>
        <v>0</v>
      </c>
      <c r="AK67" s="42">
        <f ca="1">IF($F67&gt;$D$5,0,VLOOKUP($F67,$F$24:$BZ$44,AK$2-$E$2,FALSE)*$D$11*$D$14*(1+$D$13)^($F67-'הנחות עבודה'!$C$5)/$D$11)</f>
        <v>758.63096146263706</v>
      </c>
      <c r="AL67" s="42">
        <f ca="1">IF($F67&gt;$D$5,0,VLOOKUP($F67,$F$24:$BZ$44,AL$2-$E$2,FALSE)*$D$11*$D$14*(1+$D$13)^($F67-'הנחות עבודה'!$C$5)/$D$11)</f>
        <v>2410.0365190650509</v>
      </c>
      <c r="AM67" s="42">
        <f ca="1">IF($F67&gt;$D$5,0,VLOOKUP($F67,$F$24:$BZ$44,AM$2-$E$2,FALSE)*$D$11*$D$14*(1+$D$13)^($F67-'הנחות עבודה'!$C$5)/$D$11)</f>
        <v>0</v>
      </c>
      <c r="AN67" s="42">
        <f ca="1">IF($F67&gt;$D$5,0,VLOOKUP($F67,$F$24:$BZ$44,AN$2-$E$2,FALSE)*$D$11*$D$14*(1+$D$13)^($F67-'הנחות עבודה'!$C$5)/$D$11)</f>
        <v>0</v>
      </c>
      <c r="AO67" s="42">
        <f ca="1">IF($F67&gt;$D$5,0,VLOOKUP($F67,$F$24:$BZ$44,AO$2-$E$2,FALSE)*$D$11*$D$14*(1+$D$13)^($F67-'הנחות עבודה'!$C$5)/$D$11)</f>
        <v>0</v>
      </c>
      <c r="AP67" s="42">
        <f ca="1">IF($F67&gt;$D$5,0,VLOOKUP($F67,$F$24:$BZ$44,AP$2-$E$2,FALSE)*$D$11*$D$14*(1+$D$13)^($F67-'הנחות עבודה'!$C$5)/$D$11)</f>
        <v>0</v>
      </c>
      <c r="AQ67" s="52">
        <f ca="1">IF($F67&gt;$D$5,0,VLOOKUP($F67,$F$24:$BZ$44,AQ$2-$E$2,FALSE)*$D$11*$D$14*(1+$D$13)^($F67-'הנחות עבודה'!$C$5)/$D$11)</f>
        <v>0</v>
      </c>
      <c r="AR67" s="127">
        <f ca="1">IF($F67&gt;$D$5,0,VLOOKUP($F67,$F$24:$BZ$44,AR$2-$E$2,FALSE)*$D$11*$D$14*(1+$D$13)^($F67-'הנחות עבודה'!$C$5)/$D$11)</f>
        <v>0</v>
      </c>
      <c r="AS67" s="127">
        <f ca="1">IF($F67&gt;$D$5,0,VLOOKUP($F67,$F$24:$BZ$44,AS$2-$E$2,FALSE)*$D$11*$D$14*(1+$D$13)^($F67-'הנחות עבודה'!$C$5)/$D$11)</f>
        <v>0</v>
      </c>
      <c r="AT67" s="127">
        <f ca="1">IF($F67&gt;$D$5,0,VLOOKUP($F67,$F$24:$BZ$44,AT$2-$E$2,FALSE)*$D$11*$D$14*(1+$D$13)^($F67-'הנחות עבודה'!$C$5)/$D$11)</f>
        <v>0</v>
      </c>
      <c r="AU67" s="127">
        <f ca="1">IF($F67&gt;$D$5,0,VLOOKUP($F67,$F$24:$BZ$44,AU$2-$E$2,FALSE)*$D$11*$D$14*(1+$D$13)^($F67-'הנחות עבודה'!$C$5)/$D$11)</f>
        <v>0</v>
      </c>
      <c r="AV67" s="127">
        <f ca="1">IF($F67&gt;$D$5,0,VLOOKUP($F67,$F$24:$BZ$44,AV$2-$E$2,FALSE)*$D$11*$D$14*(1+$D$13)^($F67-'הנחות עבודה'!$C$5)/$D$11)</f>
        <v>0</v>
      </c>
      <c r="AW67" s="52">
        <f ca="1">IF($F67&gt;$D$5,0,VLOOKUP($F67,$F$24:$BZ$44,AW$2-$E$2,FALSE)*$D$11*$D$14*(1+$D$13)^($F67-'הנחות עבודה'!$C$5)/$D$11)</f>
        <v>758.63096146263706</v>
      </c>
      <c r="AX67" s="52">
        <f ca="1">IF($F67&gt;$D$5,0,VLOOKUP($F67,$F$24:$BZ$44,AX$2-$E$2,FALSE)*$D$11*$D$14*(1+$D$13)^($F67-'הנחות עבודה'!$C$5)/$D$11)</f>
        <v>2410.0365190650509</v>
      </c>
      <c r="AY67" s="52">
        <f ca="1">IF($F67&gt;$D$5,0,VLOOKUP($F67,$F$24:$BZ$44,AY$2-$E$2,FALSE)*$D$11*$D$14*(1+$D$13)^($F67-'הנחות עבודה'!$C$5)/$D$11)</f>
        <v>0</v>
      </c>
      <c r="AZ67" s="52">
        <f ca="1">IF($F67&gt;$D$5,0,VLOOKUP($F67,$F$24:$BZ$44,AZ$2-$E$2,FALSE)*$D$11*$D$14*(1+$D$13)^($F67-'הנחות עבודה'!$C$5)/$D$11)</f>
        <v>0</v>
      </c>
      <c r="BA67" s="52">
        <f ca="1">IF($F67&gt;$D$5,0,VLOOKUP($F67,$F$24:$BZ$44,BA$2-$E$2,FALSE)*$D$11*$D$14*(1+$D$13)^($F67-'הנחות עבודה'!$C$5)/$D$11)</f>
        <v>0</v>
      </c>
      <c r="BB67" s="52">
        <f ca="1">IF($F67&gt;$D$5,0,VLOOKUP($F67,$F$24:$BZ$44,BB$2-$E$2,FALSE)*$D$11*$D$14*(1+$D$13)^($F67-'הנחות עבודה'!$C$5)/$D$11)</f>
        <v>0</v>
      </c>
      <c r="BC67" s="42">
        <f ca="1">IF($F67&gt;$D$5,0,VLOOKUP($F67,$F$24:$BZ$44,BC$2-$E$2,FALSE)*$D$11*$D$14*(1+$D$13)^($F67-'הנחות עבודה'!$C$5)/$D$11)</f>
        <v>0</v>
      </c>
      <c r="BD67" s="44">
        <f ca="1">IF($F67&gt;$D$5,0,VLOOKUP($F67,$F$24:$BZ$44,BD$2-$E$2,FALSE)*$D$11*$D$14*(1+$D$13)^($F67-'הנחות עבודה'!$C$5)/$D$11)</f>
        <v>0</v>
      </c>
      <c r="BE67" s="44">
        <f ca="1">IF($F67&gt;$D$5,0,VLOOKUP($F67,$F$24:$BZ$44,BE$2-$E$2,FALSE)*$D$11*$D$14*(1+$D$13)^($F67-'הנחות עבודה'!$C$5)/$D$11)</f>
        <v>0</v>
      </c>
      <c r="BF67" s="44">
        <f ca="1">IF($F67&gt;$D$5,0,VLOOKUP($F67,$F$24:$BZ$44,BF$2-$E$2,FALSE)*$D$11*$D$14*(1+$D$13)^($F67-'הנחות עבודה'!$C$5)/$D$11)</f>
        <v>0</v>
      </c>
      <c r="BG67" s="44">
        <f ca="1">IF($F67&gt;$D$5,0,VLOOKUP($F67,$F$24:$BZ$44,BG$2-$E$2,FALSE)*$D$11*$D$14*(1+$D$13)^($F67-'הנחות עבודה'!$C$5)/$D$11)</f>
        <v>0</v>
      </c>
      <c r="BH67" s="44">
        <f ca="1">IF($F67&gt;$D$5,0,VLOOKUP($F67,$F$24:$BZ$44,BH$2-$E$2,FALSE)*$D$11*$D$14*(1+$D$13)^($F67-'הנחות עבודה'!$C$5)/$D$11)</f>
        <v>0</v>
      </c>
      <c r="BI67" s="42">
        <f ca="1">IF($F67&gt;$D$5,0,VLOOKUP($F67,$F$24:$BZ$44,BI$2-$E$2,FALSE)*$D$11*$D$14*(1+$D$13)^($F67-'הנחות עבודה'!$C$5)/$D$11)</f>
        <v>774.25117775493732</v>
      </c>
      <c r="BJ67" s="42">
        <f ca="1">IF($F67&gt;$D$5,0,VLOOKUP($F67,$F$24:$BZ$44,BJ$2-$E$2,FALSE)*$D$11*$D$14*(1+$D$13)^($F67-'הנחות עבודה'!$C$5)/$D$11)</f>
        <v>2251.3738375918656</v>
      </c>
      <c r="BK67" s="42">
        <f ca="1">IF($F67&gt;$D$5,0,VLOOKUP($F67,$F$24:$BZ$44,BK$2-$E$2,FALSE)*$D$11*$D$14*(1+$D$13)^($F67-'הנחות עבודה'!$C$5)/$D$11)</f>
        <v>0</v>
      </c>
      <c r="BL67" s="42">
        <f ca="1">IF($F67&gt;$D$5,0,VLOOKUP($F67,$F$24:$BZ$44,BL$2-$E$2,FALSE)*$D$11*$D$14*(1+$D$13)^($F67-'הנחות עבודה'!$C$5)/$D$11)</f>
        <v>0</v>
      </c>
      <c r="BM67" s="42">
        <f ca="1">IF($F67&gt;$D$5,0,VLOOKUP($F67,$F$24:$BZ$44,BM$2-$E$2,FALSE)*$D$11*$D$14*(1+$D$13)^($F67-'הנחות עבודה'!$C$5)/$D$11)</f>
        <v>0</v>
      </c>
      <c r="BN67" s="42">
        <f ca="1">IF($F67&gt;$D$5,0,VLOOKUP($F67,$F$24:$BZ$44,BN$2-$E$2,FALSE)*$D$11*$D$14*(1+$D$13)^($F67-'הנחות עבודה'!$C$5)/$D$11)</f>
        <v>0</v>
      </c>
      <c r="BO67" s="52">
        <f ca="1">IF($F67&gt;$D$5,0,VLOOKUP($F67,$F$24:$BZ$44,BO$2-$E$2,FALSE)*$D$11*$D$14*(1+$D$13)^($F67-'הנחות עבודה'!$C$5)/$D$11)</f>
        <v>0</v>
      </c>
      <c r="BP67" s="127">
        <f ca="1">IF($F67&gt;$D$5,0,VLOOKUP($F67,$F$24:$BZ$44,BP$2-$E$2,FALSE)*$D$11*$D$14*(1+$D$13)^($F67-'הנחות עבודה'!$C$5)/$D$11)</f>
        <v>0</v>
      </c>
      <c r="BQ67" s="127">
        <f ca="1">IF($F67&gt;$D$5,0,VLOOKUP($F67,$F$24:$BZ$44,BQ$2-$E$2,FALSE)*$D$11*$D$14*(1+$D$13)^($F67-'הנחות עבודה'!$C$5)/$D$11)</f>
        <v>0</v>
      </c>
      <c r="BR67" s="127">
        <f ca="1">IF($F67&gt;$D$5,0,VLOOKUP($F67,$F$24:$BZ$44,BR$2-$E$2,FALSE)*$D$11*$D$14*(1+$D$13)^($F67-'הנחות עבודה'!$C$5)/$D$11)</f>
        <v>0</v>
      </c>
      <c r="BS67" s="127">
        <f ca="1">IF($F67&gt;$D$5,0,VLOOKUP($F67,$F$24:$BZ$44,BS$2-$E$2,FALSE)*$D$11*$D$14*(1+$D$13)^($F67-'הנחות עבודה'!$C$5)/$D$11)</f>
        <v>0</v>
      </c>
      <c r="BT67" s="127">
        <f ca="1">IF($F67&gt;$D$5,0,VLOOKUP($F67,$F$24:$BZ$44,BT$2-$E$2,FALSE)*$D$11*$D$14*(1+$D$13)^($F67-'הנחות עבודה'!$C$5)/$D$11)</f>
        <v>0</v>
      </c>
      <c r="BU67" s="52">
        <f ca="1">IF($F67&gt;$D$5,0,VLOOKUP($F67,$F$24:$BZ$44,BU$2-$E$2,FALSE)*$D$11*$D$14*(1+$D$13)^($F67-'הנחות עבודה'!$C$5)/$D$11)</f>
        <v>774.25117775493732</v>
      </c>
      <c r="BV67" s="52">
        <f ca="1">IF($F67&gt;$D$5,0,VLOOKUP($F67,$F$24:$BZ$44,BV$2-$E$2,FALSE)*$D$11*$D$14*(1+$D$13)^($F67-'הנחות עבודה'!$C$5)/$D$11)</f>
        <v>2251.3738375918656</v>
      </c>
      <c r="BW67" s="52">
        <f ca="1">IF($F67&gt;$D$5,0,VLOOKUP($F67,$F$24:$BZ$44,BW$2-$E$2,FALSE)*$D$11*$D$14*(1+$D$13)^($F67-'הנחות עבודה'!$C$5)/$D$11)</f>
        <v>0</v>
      </c>
      <c r="BX67" s="52">
        <f ca="1">IF($F67&gt;$D$5,0,VLOOKUP($F67,$F$24:$BZ$44,BX$2-$E$2,FALSE)*$D$11*$D$14*(1+$D$13)^($F67-'הנחות עבודה'!$C$5)/$D$11)</f>
        <v>0</v>
      </c>
      <c r="BY67" s="52">
        <f ca="1">IF($F67&gt;$D$5,0,VLOOKUP($F67,$F$24:$BZ$44,BY$2-$E$2,FALSE)*$D$11*$D$14*(1+$D$13)^($F67-'הנחות עבודה'!$C$5)/$D$11)</f>
        <v>0</v>
      </c>
      <c r="BZ67" s="52">
        <f ca="1">IF($F67&gt;$D$5,0,VLOOKUP($F67,$F$24:$BZ$44,BZ$2-$E$2,FALSE)*$D$11*$D$14*(1+$D$13)^($F67-'הנחות עבודה'!$C$5)/$D$11)</f>
        <v>0</v>
      </c>
    </row>
    <row r="68" spans="6:78" ht="15.75">
      <c r="F68" s="10">
        <f t="shared" si="125"/>
        <v>2037</v>
      </c>
      <c r="G68" s="42">
        <f ca="1">IF($F68&gt;$D$5,0,VLOOKUP($F68,$F$24:$BZ$44,G$2-$E$2,FALSE)*$D$11*$D$14*(1+$D$13)^($F68-'הנחות עבודה'!$C$5)/$D$11)</f>
        <v>0</v>
      </c>
      <c r="H68" s="44">
        <f ca="1">IF($F68&gt;$D$5,0,VLOOKUP($F68,$F$24:$BZ$44,H$2-$E$2,FALSE)*$D$11*$D$14*(1+$D$13)^($F68-'הנחות עבודה'!$C$5)/$D$11)</f>
        <v>0</v>
      </c>
      <c r="I68" s="44">
        <f ca="1">IF($F68&gt;$D$5,0,VLOOKUP($F68,$F$24:$BZ$44,I$2-$E$2,FALSE)*$D$11*$D$14*(1+$D$13)^($F68-'הנחות עבודה'!$C$5)/$D$11)</f>
        <v>0</v>
      </c>
      <c r="J68" s="44">
        <f ca="1">IF($F68&gt;$D$5,0,VLOOKUP($F68,$F$24:$BZ$44,J$2-$E$2,FALSE)*$D$11*$D$14*(1+$D$13)^($F68-'הנחות עבודה'!$C$5)/$D$11)</f>
        <v>0</v>
      </c>
      <c r="K68" s="44">
        <f ca="1">IF($F68&gt;$D$5,0,VLOOKUP($F68,$F$24:$BZ$44,K$2-$E$2,FALSE)*$D$11*$D$14*(1+$D$13)^($F68-'הנחות עבודה'!$C$5)/$D$11)</f>
        <v>0</v>
      </c>
      <c r="L68" s="44">
        <f ca="1">IF($F68&gt;$D$5,0,VLOOKUP($F68,$F$24:$BZ$44,L$2-$E$2,FALSE)*$D$11*$D$14*(1+$D$13)^($F68-'הנחות עבודה'!$C$5)/$D$11)</f>
        <v>0</v>
      </c>
      <c r="M68" s="42">
        <f ca="1">IF($F68&gt;$D$5,0,VLOOKUP($F68,$F$24:$BZ$44,M$2-$E$2,FALSE)*$D$11*$D$14*(1+$D$13)^($F68-'הנחות עבודה'!$C$5)/$D$11)</f>
        <v>748.80472255608504</v>
      </c>
      <c r="N68" s="42">
        <f ca="1">IF($F68&gt;$D$5,0,VLOOKUP($F68,$F$24:$BZ$44,N$2-$E$2,FALSE)*$D$11*$D$14*(1+$D$13)^($F68-'הנחות עבודה'!$C$5)/$D$11)</f>
        <v>2873.1311710050159</v>
      </c>
      <c r="O68" s="42">
        <f ca="1">IF($F68&gt;$D$5,0,VLOOKUP($F68,$F$24:$BZ$44,O$2-$E$2,FALSE)*$D$11*$D$14*(1+$D$13)^($F68-'הנחות עבודה'!$C$5)/$D$11)</f>
        <v>0</v>
      </c>
      <c r="P68" s="42">
        <f ca="1">IF($F68&gt;$D$5,0,VLOOKUP($F68,$F$24:$BZ$44,P$2-$E$2,FALSE)*$D$11*$D$14*(1+$D$13)^($F68-'הנחות עבודה'!$C$5)/$D$11)</f>
        <v>0</v>
      </c>
      <c r="Q68" s="42">
        <f ca="1">IF($F68&gt;$D$5,0,VLOOKUP($F68,$F$24:$BZ$44,Q$2-$E$2,FALSE)*$D$11*$D$14*(1+$D$13)^($F68-'הנחות עבודה'!$C$5)/$D$11)</f>
        <v>0</v>
      </c>
      <c r="R68" s="42">
        <f ca="1">IF($F68&gt;$D$5,0,VLOOKUP($F68,$F$24:$BZ$44,R$2-$E$2,FALSE)*$D$11*$D$14*(1+$D$13)^($F68-'הנחות עבודה'!$C$5)/$D$11)</f>
        <v>0</v>
      </c>
      <c r="S68" s="52">
        <f ca="1">IF($F68&gt;$D$5,0,VLOOKUP($F68,$F$24:$BZ$44,S$2-$E$2,FALSE)*$D$11*$D$14*(1+$D$13)^($F68-'הנחות עבודה'!$C$5)/$D$11)</f>
        <v>0</v>
      </c>
      <c r="T68" s="127">
        <f ca="1">IF($F68&gt;$D$5,0,VLOOKUP($F68,$F$24:$BZ$44,T$2-$E$2,FALSE)*$D$11*$D$14*(1+$D$13)^($F68-'הנחות עבודה'!$C$5)/$D$11)</f>
        <v>0</v>
      </c>
      <c r="U68" s="127">
        <f ca="1">IF($F68&gt;$D$5,0,VLOOKUP($F68,$F$24:$BZ$44,U$2-$E$2,FALSE)*$D$11*$D$14*(1+$D$13)^($F68-'הנחות עבודה'!$C$5)/$D$11)</f>
        <v>0</v>
      </c>
      <c r="V68" s="127">
        <f ca="1">IF($F68&gt;$D$5,0,VLOOKUP($F68,$F$24:$BZ$44,V$2-$E$2,FALSE)*$D$11*$D$14*(1+$D$13)^($F68-'הנחות עבודה'!$C$5)/$D$11)</f>
        <v>0</v>
      </c>
      <c r="W68" s="127">
        <f ca="1">IF($F68&gt;$D$5,0,VLOOKUP($F68,$F$24:$BZ$44,W$2-$E$2,FALSE)*$D$11*$D$14*(1+$D$13)^($F68-'הנחות עבודה'!$C$5)/$D$11)</f>
        <v>0</v>
      </c>
      <c r="X68" s="127">
        <f ca="1">IF($F68&gt;$D$5,0,VLOOKUP($F68,$F$24:$BZ$44,X$2-$E$2,FALSE)*$D$11*$D$14*(1+$D$13)^($F68-'הנחות עבודה'!$C$5)/$D$11)</f>
        <v>0</v>
      </c>
      <c r="Y68" s="52">
        <f ca="1">IF($F68&gt;$D$5,0,VLOOKUP($F68,$F$24:$BZ$44,Y$2-$E$2,FALSE)*$D$11*$D$14*(1+$D$13)^($F68-'הנחות עבודה'!$C$5)/$D$11)</f>
        <v>748.80472255608504</v>
      </c>
      <c r="Z68" s="52">
        <f ca="1">IF($F68&gt;$D$5,0,VLOOKUP($F68,$F$24:$BZ$44,Z$2-$E$2,FALSE)*$D$11*$D$14*(1+$D$13)^($F68-'הנחות עבודה'!$C$5)/$D$11)</f>
        <v>2873.1311710050159</v>
      </c>
      <c r="AA68" s="52">
        <f ca="1">IF($F68&gt;$D$5,0,VLOOKUP($F68,$F$24:$BZ$44,AA$2-$E$2,FALSE)*$D$11*$D$14*(1+$D$13)^($F68-'הנחות עבודה'!$C$5)/$D$11)</f>
        <v>0</v>
      </c>
      <c r="AB68" s="52">
        <f ca="1">IF($F68&gt;$D$5,0,VLOOKUP($F68,$F$24:$BZ$44,AB$2-$E$2,FALSE)*$D$11*$D$14*(1+$D$13)^($F68-'הנחות עבודה'!$C$5)/$D$11)</f>
        <v>0</v>
      </c>
      <c r="AC68" s="52">
        <f ca="1">IF($F68&gt;$D$5,0,VLOOKUP($F68,$F$24:$BZ$44,AC$2-$E$2,FALSE)*$D$11*$D$14*(1+$D$13)^($F68-'הנחות עבודה'!$C$5)/$D$11)</f>
        <v>0</v>
      </c>
      <c r="AD68" s="52">
        <f ca="1">IF($F68&gt;$D$5,0,VLOOKUP($F68,$F$24:$BZ$44,AD$2-$E$2,FALSE)*$D$11*$D$14*(1+$D$13)^($F68-'הנחות עבודה'!$C$5)/$D$11)</f>
        <v>0</v>
      </c>
      <c r="AE68" s="42">
        <f ca="1">IF($F68&gt;$D$5,0,VLOOKUP($F68,$F$24:$BZ$44,AE$2-$E$2,FALSE)*$D$11*$D$14*(1+$D$13)^($F68-'הנחות עבודה'!$C$5)/$D$11)</f>
        <v>0</v>
      </c>
      <c r="AF68" s="44">
        <f ca="1">IF($F68&gt;$D$5,0,VLOOKUP($F68,$F$24:$BZ$44,AF$2-$E$2,FALSE)*$D$11*$D$14*(1+$D$13)^($F68-'הנחות עבודה'!$C$5)/$D$11)</f>
        <v>0</v>
      </c>
      <c r="AG68" s="44">
        <f ca="1">IF($F68&gt;$D$5,0,VLOOKUP($F68,$F$24:$BZ$44,AG$2-$E$2,FALSE)*$D$11*$D$14*(1+$D$13)^($F68-'הנחות עבודה'!$C$5)/$D$11)</f>
        <v>0</v>
      </c>
      <c r="AH68" s="44">
        <f ca="1">IF($F68&gt;$D$5,0,VLOOKUP($F68,$F$24:$BZ$44,AH$2-$E$2,FALSE)*$D$11*$D$14*(1+$D$13)^($F68-'הנחות עבודה'!$C$5)/$D$11)</f>
        <v>0</v>
      </c>
      <c r="AI68" s="44">
        <f ca="1">IF($F68&gt;$D$5,0,VLOOKUP($F68,$F$24:$BZ$44,AI$2-$E$2,FALSE)*$D$11*$D$14*(1+$D$13)^($F68-'הנחות עבודה'!$C$5)/$D$11)</f>
        <v>0</v>
      </c>
      <c r="AJ68" s="44">
        <f ca="1">IF($F68&gt;$D$5,0,VLOOKUP($F68,$F$24:$BZ$44,AJ$2-$E$2,FALSE)*$D$11*$D$14*(1+$D$13)^($F68-'הנחות עבודה'!$C$5)/$D$11)</f>
        <v>0</v>
      </c>
      <c r="AK68" s="42">
        <f ca="1">IF($F68&gt;$D$5,0,VLOOKUP($F68,$F$24:$BZ$44,AK$2-$E$2,FALSE)*$D$11*$D$14*(1+$D$13)^($F68-'הנחות עבודה'!$C$5)/$D$11)</f>
        <v>781.90230609664752</v>
      </c>
      <c r="AL68" s="42">
        <f ca="1">IF($F68&gt;$D$5,0,VLOOKUP($F68,$F$24:$BZ$44,AL$2-$E$2,FALSE)*$D$11*$D$14*(1+$D$13)^($F68-'הנחות עבודה'!$C$5)/$D$11)</f>
        <v>2607.3312545846397</v>
      </c>
      <c r="AM68" s="42">
        <f ca="1">IF($F68&gt;$D$5,0,VLOOKUP($F68,$F$24:$BZ$44,AM$2-$E$2,FALSE)*$D$11*$D$14*(1+$D$13)^($F68-'הנחות עבודה'!$C$5)/$D$11)</f>
        <v>0</v>
      </c>
      <c r="AN68" s="42">
        <f ca="1">IF($F68&gt;$D$5,0,VLOOKUP($F68,$F$24:$BZ$44,AN$2-$E$2,FALSE)*$D$11*$D$14*(1+$D$13)^($F68-'הנחות עבודה'!$C$5)/$D$11)</f>
        <v>0</v>
      </c>
      <c r="AO68" s="42">
        <f ca="1">IF($F68&gt;$D$5,0,VLOOKUP($F68,$F$24:$BZ$44,AO$2-$E$2,FALSE)*$D$11*$D$14*(1+$D$13)^($F68-'הנחות עבודה'!$C$5)/$D$11)</f>
        <v>0</v>
      </c>
      <c r="AP68" s="42">
        <f ca="1">IF($F68&gt;$D$5,0,VLOOKUP($F68,$F$24:$BZ$44,AP$2-$E$2,FALSE)*$D$11*$D$14*(1+$D$13)^($F68-'הנחות עבודה'!$C$5)/$D$11)</f>
        <v>0</v>
      </c>
      <c r="AQ68" s="52">
        <f ca="1">IF($F68&gt;$D$5,0,VLOOKUP($F68,$F$24:$BZ$44,AQ$2-$E$2,FALSE)*$D$11*$D$14*(1+$D$13)^($F68-'הנחות עבודה'!$C$5)/$D$11)</f>
        <v>0</v>
      </c>
      <c r="AR68" s="127">
        <f ca="1">IF($F68&gt;$D$5,0,VLOOKUP($F68,$F$24:$BZ$44,AR$2-$E$2,FALSE)*$D$11*$D$14*(1+$D$13)^($F68-'הנחות עבודה'!$C$5)/$D$11)</f>
        <v>0</v>
      </c>
      <c r="AS68" s="127">
        <f ca="1">IF($F68&gt;$D$5,0,VLOOKUP($F68,$F$24:$BZ$44,AS$2-$E$2,FALSE)*$D$11*$D$14*(1+$D$13)^($F68-'הנחות עבודה'!$C$5)/$D$11)</f>
        <v>0</v>
      </c>
      <c r="AT68" s="127">
        <f ca="1">IF($F68&gt;$D$5,0,VLOOKUP($F68,$F$24:$BZ$44,AT$2-$E$2,FALSE)*$D$11*$D$14*(1+$D$13)^($F68-'הנחות עבודה'!$C$5)/$D$11)</f>
        <v>0</v>
      </c>
      <c r="AU68" s="127">
        <f ca="1">IF($F68&gt;$D$5,0,VLOOKUP($F68,$F$24:$BZ$44,AU$2-$E$2,FALSE)*$D$11*$D$14*(1+$D$13)^($F68-'הנחות עבודה'!$C$5)/$D$11)</f>
        <v>0</v>
      </c>
      <c r="AV68" s="127">
        <f ca="1">IF($F68&gt;$D$5,0,VLOOKUP($F68,$F$24:$BZ$44,AV$2-$E$2,FALSE)*$D$11*$D$14*(1+$D$13)^($F68-'הנחות עבודה'!$C$5)/$D$11)</f>
        <v>0</v>
      </c>
      <c r="AW68" s="52">
        <f ca="1">IF($F68&gt;$D$5,0,VLOOKUP($F68,$F$24:$BZ$44,AW$2-$E$2,FALSE)*$D$11*$D$14*(1+$D$13)^($F68-'הנחות עבודה'!$C$5)/$D$11)</f>
        <v>781.90230609664752</v>
      </c>
      <c r="AX68" s="52">
        <f ca="1">IF($F68&gt;$D$5,0,VLOOKUP($F68,$F$24:$BZ$44,AX$2-$E$2,FALSE)*$D$11*$D$14*(1+$D$13)^($F68-'הנחות עבודה'!$C$5)/$D$11)</f>
        <v>2607.3312545846397</v>
      </c>
      <c r="AY68" s="52">
        <f ca="1">IF($F68&gt;$D$5,0,VLOOKUP($F68,$F$24:$BZ$44,AY$2-$E$2,FALSE)*$D$11*$D$14*(1+$D$13)^($F68-'הנחות עבודה'!$C$5)/$D$11)</f>
        <v>0</v>
      </c>
      <c r="AZ68" s="52">
        <f ca="1">IF($F68&gt;$D$5,0,VLOOKUP($F68,$F$24:$BZ$44,AZ$2-$E$2,FALSE)*$D$11*$D$14*(1+$D$13)^($F68-'הנחות עבודה'!$C$5)/$D$11)</f>
        <v>0</v>
      </c>
      <c r="BA68" s="52">
        <f ca="1">IF($F68&gt;$D$5,0,VLOOKUP($F68,$F$24:$BZ$44,BA$2-$E$2,FALSE)*$D$11*$D$14*(1+$D$13)^($F68-'הנחות עבודה'!$C$5)/$D$11)</f>
        <v>0</v>
      </c>
      <c r="BB68" s="52">
        <f ca="1">IF($F68&gt;$D$5,0,VLOOKUP($F68,$F$24:$BZ$44,BB$2-$E$2,FALSE)*$D$11*$D$14*(1+$D$13)^($F68-'הנחות עבודה'!$C$5)/$D$11)</f>
        <v>0</v>
      </c>
      <c r="BC68" s="42">
        <f ca="1">IF($F68&gt;$D$5,0,VLOOKUP($F68,$F$24:$BZ$44,BC$2-$E$2,FALSE)*$D$11*$D$14*(1+$D$13)^($F68-'הנחות עבודה'!$C$5)/$D$11)</f>
        <v>0</v>
      </c>
      <c r="BD68" s="44">
        <f ca="1">IF($F68&gt;$D$5,0,VLOOKUP($F68,$F$24:$BZ$44,BD$2-$E$2,FALSE)*$D$11*$D$14*(1+$D$13)^($F68-'הנחות עבודה'!$C$5)/$D$11)</f>
        <v>0</v>
      </c>
      <c r="BE68" s="44">
        <f ca="1">IF($F68&gt;$D$5,0,VLOOKUP($F68,$F$24:$BZ$44,BE$2-$E$2,FALSE)*$D$11*$D$14*(1+$D$13)^($F68-'הנחות עבודה'!$C$5)/$D$11)</f>
        <v>0</v>
      </c>
      <c r="BF68" s="44">
        <f ca="1">IF($F68&gt;$D$5,0,VLOOKUP($F68,$F$24:$BZ$44,BF$2-$E$2,FALSE)*$D$11*$D$14*(1+$D$13)^($F68-'הנחות עבודה'!$C$5)/$D$11)</f>
        <v>0</v>
      </c>
      <c r="BG68" s="44">
        <f ca="1">IF($F68&gt;$D$5,0,VLOOKUP($F68,$F$24:$BZ$44,BG$2-$E$2,FALSE)*$D$11*$D$14*(1+$D$13)^($F68-'הנחות עבודה'!$C$5)/$D$11)</f>
        <v>0</v>
      </c>
      <c r="BH68" s="44">
        <f ca="1">IF($F68&gt;$D$5,0,VLOOKUP($F68,$F$24:$BZ$44,BH$2-$E$2,FALSE)*$D$11*$D$14*(1+$D$13)^($F68-'הנחות עבודה'!$C$5)/$D$11)</f>
        <v>0</v>
      </c>
      <c r="BI68" s="42">
        <f ca="1">IF($F68&gt;$D$5,0,VLOOKUP($F68,$F$24:$BZ$44,BI$2-$E$2,FALSE)*$D$11*$D$14*(1+$D$13)^($F68-'הנחות עבודה'!$C$5)/$D$11)</f>
        <v>797.62007013924301</v>
      </c>
      <c r="BJ68" s="42">
        <f ca="1">IF($F68&gt;$D$5,0,VLOOKUP($F68,$F$24:$BZ$44,BJ$2-$E$2,FALSE)*$D$11*$D$14*(1+$D$13)^($F68-'הנחות עבודה'!$C$5)/$D$11)</f>
        <v>2444.8082842098233</v>
      </c>
      <c r="BK68" s="42">
        <f ca="1">IF($F68&gt;$D$5,0,VLOOKUP($F68,$F$24:$BZ$44,BK$2-$E$2,FALSE)*$D$11*$D$14*(1+$D$13)^($F68-'הנחות עבודה'!$C$5)/$D$11)</f>
        <v>0</v>
      </c>
      <c r="BL68" s="42">
        <f ca="1">IF($F68&gt;$D$5,0,VLOOKUP($F68,$F$24:$BZ$44,BL$2-$E$2,FALSE)*$D$11*$D$14*(1+$D$13)^($F68-'הנחות עבודה'!$C$5)/$D$11)</f>
        <v>0</v>
      </c>
      <c r="BM68" s="42">
        <f ca="1">IF($F68&gt;$D$5,0,VLOOKUP($F68,$F$24:$BZ$44,BM$2-$E$2,FALSE)*$D$11*$D$14*(1+$D$13)^($F68-'הנחות עבודה'!$C$5)/$D$11)</f>
        <v>0</v>
      </c>
      <c r="BN68" s="42">
        <f ca="1">IF($F68&gt;$D$5,0,VLOOKUP($F68,$F$24:$BZ$44,BN$2-$E$2,FALSE)*$D$11*$D$14*(1+$D$13)^($F68-'הנחות עבודה'!$C$5)/$D$11)</f>
        <v>0</v>
      </c>
      <c r="BO68" s="52">
        <f ca="1">IF($F68&gt;$D$5,0,VLOOKUP($F68,$F$24:$BZ$44,BO$2-$E$2,FALSE)*$D$11*$D$14*(1+$D$13)^($F68-'הנחות עבודה'!$C$5)/$D$11)</f>
        <v>0</v>
      </c>
      <c r="BP68" s="127">
        <f ca="1">IF($F68&gt;$D$5,0,VLOOKUP($F68,$F$24:$BZ$44,BP$2-$E$2,FALSE)*$D$11*$D$14*(1+$D$13)^($F68-'הנחות עבודה'!$C$5)/$D$11)</f>
        <v>0</v>
      </c>
      <c r="BQ68" s="127">
        <f ca="1">IF($F68&gt;$D$5,0,VLOOKUP($F68,$F$24:$BZ$44,BQ$2-$E$2,FALSE)*$D$11*$D$14*(1+$D$13)^($F68-'הנחות עבודה'!$C$5)/$D$11)</f>
        <v>0</v>
      </c>
      <c r="BR68" s="127">
        <f ca="1">IF($F68&gt;$D$5,0,VLOOKUP($F68,$F$24:$BZ$44,BR$2-$E$2,FALSE)*$D$11*$D$14*(1+$D$13)^($F68-'הנחות עבודה'!$C$5)/$D$11)</f>
        <v>0</v>
      </c>
      <c r="BS68" s="127">
        <f ca="1">IF($F68&gt;$D$5,0,VLOOKUP($F68,$F$24:$BZ$44,BS$2-$E$2,FALSE)*$D$11*$D$14*(1+$D$13)^($F68-'הנחות עבודה'!$C$5)/$D$11)</f>
        <v>0</v>
      </c>
      <c r="BT68" s="127">
        <f ca="1">IF($F68&gt;$D$5,0,VLOOKUP($F68,$F$24:$BZ$44,BT$2-$E$2,FALSE)*$D$11*$D$14*(1+$D$13)^($F68-'הנחות עבודה'!$C$5)/$D$11)</f>
        <v>0</v>
      </c>
      <c r="BU68" s="52">
        <f ca="1">IF($F68&gt;$D$5,0,VLOOKUP($F68,$F$24:$BZ$44,BU$2-$E$2,FALSE)*$D$11*$D$14*(1+$D$13)^($F68-'הנחות עבודה'!$C$5)/$D$11)</f>
        <v>797.62007013924301</v>
      </c>
      <c r="BV68" s="52">
        <f ca="1">IF($F68&gt;$D$5,0,VLOOKUP($F68,$F$24:$BZ$44,BV$2-$E$2,FALSE)*$D$11*$D$14*(1+$D$13)^($F68-'הנחות עבודה'!$C$5)/$D$11)</f>
        <v>2444.8082842098233</v>
      </c>
      <c r="BW68" s="52">
        <f ca="1">IF($F68&gt;$D$5,0,VLOOKUP($F68,$F$24:$BZ$44,BW$2-$E$2,FALSE)*$D$11*$D$14*(1+$D$13)^($F68-'הנחות עבודה'!$C$5)/$D$11)</f>
        <v>0</v>
      </c>
      <c r="BX68" s="52">
        <f ca="1">IF($F68&gt;$D$5,0,VLOOKUP($F68,$F$24:$BZ$44,BX$2-$E$2,FALSE)*$D$11*$D$14*(1+$D$13)^($F68-'הנחות עבודה'!$C$5)/$D$11)</f>
        <v>0</v>
      </c>
      <c r="BY68" s="52">
        <f ca="1">IF($F68&gt;$D$5,0,VLOOKUP($F68,$F$24:$BZ$44,BY$2-$E$2,FALSE)*$D$11*$D$14*(1+$D$13)^($F68-'הנחות עבודה'!$C$5)/$D$11)</f>
        <v>0</v>
      </c>
      <c r="BZ68" s="52">
        <f ca="1">IF($F68&gt;$D$5,0,VLOOKUP($F68,$F$24:$BZ$44,BZ$2-$E$2,FALSE)*$D$11*$D$14*(1+$D$13)^($F68-'הנחות עבודה'!$C$5)/$D$11)</f>
        <v>0</v>
      </c>
    </row>
    <row r="69" spans="6:78" ht="15.75">
      <c r="F69" s="10">
        <f t="shared" si="125"/>
        <v>2038</v>
      </c>
      <c r="G69" s="42">
        <f ca="1">IF($F69&gt;$D$5,0,VLOOKUP($F69,$F$24:$BZ$44,G$2-$E$2,FALSE)*$D$11*$D$14*(1+$D$13)^($F69-'הנחות עבודה'!$C$5)/$D$11)</f>
        <v>0</v>
      </c>
      <c r="H69" s="44">
        <f ca="1">IF($F69&gt;$D$5,0,VLOOKUP($F69,$F$24:$BZ$44,H$2-$E$2,FALSE)*$D$11*$D$14*(1+$D$13)^($F69-'הנחות עבודה'!$C$5)/$D$11)</f>
        <v>0</v>
      </c>
      <c r="I69" s="44">
        <f ca="1">IF($F69&gt;$D$5,0,VLOOKUP($F69,$F$24:$BZ$44,I$2-$E$2,FALSE)*$D$11*$D$14*(1+$D$13)^($F69-'הנחות עבודה'!$C$5)/$D$11)</f>
        <v>0</v>
      </c>
      <c r="J69" s="44">
        <f ca="1">IF($F69&gt;$D$5,0,VLOOKUP($F69,$F$24:$BZ$44,J$2-$E$2,FALSE)*$D$11*$D$14*(1+$D$13)^($F69-'הנחות עבודה'!$C$5)/$D$11)</f>
        <v>0</v>
      </c>
      <c r="K69" s="44">
        <f ca="1">IF($F69&gt;$D$5,0,VLOOKUP($F69,$F$24:$BZ$44,K$2-$E$2,FALSE)*$D$11*$D$14*(1+$D$13)^($F69-'הנחות עבודה'!$C$5)/$D$11)</f>
        <v>0</v>
      </c>
      <c r="L69" s="44">
        <f ca="1">IF($F69&gt;$D$5,0,VLOOKUP($F69,$F$24:$BZ$44,L$2-$E$2,FALSE)*$D$11*$D$14*(1+$D$13)^($F69-'הנחות עבודה'!$C$5)/$D$11)</f>
        <v>0</v>
      </c>
      <c r="M69" s="42">
        <f ca="1">IF($F69&gt;$D$5,0,VLOOKUP($F69,$F$24:$BZ$44,M$2-$E$2,FALSE)*$D$11*$D$14*(1+$D$13)^($F69-'הנחות עבודה'!$C$5)/$D$11)</f>
        <v>781.7361654070321</v>
      </c>
      <c r="N69" s="42">
        <f ca="1">IF($F69&gt;$D$5,0,VLOOKUP($F69,$F$24:$BZ$44,N$2-$E$2,FALSE)*$D$11*$D$14*(1+$D$13)^($F69-'הנחות עבודה'!$C$5)/$D$11)</f>
        <v>3084.9970009535414</v>
      </c>
      <c r="O69" s="42">
        <f ca="1">IF($F69&gt;$D$5,0,VLOOKUP($F69,$F$24:$BZ$44,O$2-$E$2,FALSE)*$D$11*$D$14*(1+$D$13)^($F69-'הנחות עבודה'!$C$5)/$D$11)</f>
        <v>0</v>
      </c>
      <c r="P69" s="42">
        <f ca="1">IF($F69&gt;$D$5,0,VLOOKUP($F69,$F$24:$BZ$44,P$2-$E$2,FALSE)*$D$11*$D$14*(1+$D$13)^($F69-'הנחות עבודה'!$C$5)/$D$11)</f>
        <v>0</v>
      </c>
      <c r="Q69" s="42">
        <f ca="1">IF($F69&gt;$D$5,0,VLOOKUP($F69,$F$24:$BZ$44,Q$2-$E$2,FALSE)*$D$11*$D$14*(1+$D$13)^($F69-'הנחות עבודה'!$C$5)/$D$11)</f>
        <v>0</v>
      </c>
      <c r="R69" s="42">
        <f ca="1">IF($F69&gt;$D$5,0,VLOOKUP($F69,$F$24:$BZ$44,R$2-$E$2,FALSE)*$D$11*$D$14*(1+$D$13)^($F69-'הנחות עבודה'!$C$5)/$D$11)</f>
        <v>0</v>
      </c>
      <c r="S69" s="52">
        <f ca="1">IF($F69&gt;$D$5,0,VLOOKUP($F69,$F$24:$BZ$44,S$2-$E$2,FALSE)*$D$11*$D$14*(1+$D$13)^($F69-'הנחות עבודה'!$C$5)/$D$11)</f>
        <v>0</v>
      </c>
      <c r="T69" s="127">
        <f ca="1">IF($F69&gt;$D$5,0,VLOOKUP($F69,$F$24:$BZ$44,T$2-$E$2,FALSE)*$D$11*$D$14*(1+$D$13)^($F69-'הנחות עבודה'!$C$5)/$D$11)</f>
        <v>0</v>
      </c>
      <c r="U69" s="127">
        <f ca="1">IF($F69&gt;$D$5,0,VLOOKUP($F69,$F$24:$BZ$44,U$2-$E$2,FALSE)*$D$11*$D$14*(1+$D$13)^($F69-'הנחות עבודה'!$C$5)/$D$11)</f>
        <v>0</v>
      </c>
      <c r="V69" s="127">
        <f ca="1">IF($F69&gt;$D$5,0,VLOOKUP($F69,$F$24:$BZ$44,V$2-$E$2,FALSE)*$D$11*$D$14*(1+$D$13)^($F69-'הנחות עבודה'!$C$5)/$D$11)</f>
        <v>0</v>
      </c>
      <c r="W69" s="127">
        <f ca="1">IF($F69&gt;$D$5,0,VLOOKUP($F69,$F$24:$BZ$44,W$2-$E$2,FALSE)*$D$11*$D$14*(1+$D$13)^($F69-'הנחות עבודה'!$C$5)/$D$11)</f>
        <v>0</v>
      </c>
      <c r="X69" s="127">
        <f ca="1">IF($F69&gt;$D$5,0,VLOOKUP($F69,$F$24:$BZ$44,X$2-$E$2,FALSE)*$D$11*$D$14*(1+$D$13)^($F69-'הנחות עבודה'!$C$5)/$D$11)</f>
        <v>0</v>
      </c>
      <c r="Y69" s="52">
        <f ca="1">IF($F69&gt;$D$5,0,VLOOKUP($F69,$F$24:$BZ$44,Y$2-$E$2,FALSE)*$D$11*$D$14*(1+$D$13)^($F69-'הנחות עבודה'!$C$5)/$D$11)</f>
        <v>781.7361654070321</v>
      </c>
      <c r="Z69" s="52">
        <f ca="1">IF($F69&gt;$D$5,0,VLOOKUP($F69,$F$24:$BZ$44,Z$2-$E$2,FALSE)*$D$11*$D$14*(1+$D$13)^($F69-'הנחות עבודה'!$C$5)/$D$11)</f>
        <v>3084.9970009535414</v>
      </c>
      <c r="AA69" s="52">
        <f ca="1">IF($F69&gt;$D$5,0,VLOOKUP($F69,$F$24:$BZ$44,AA$2-$E$2,FALSE)*$D$11*$D$14*(1+$D$13)^($F69-'הנחות עבודה'!$C$5)/$D$11)</f>
        <v>0</v>
      </c>
      <c r="AB69" s="52">
        <f ca="1">IF($F69&gt;$D$5,0,VLOOKUP($F69,$F$24:$BZ$44,AB$2-$E$2,FALSE)*$D$11*$D$14*(1+$D$13)^($F69-'הנחות עבודה'!$C$5)/$D$11)</f>
        <v>0</v>
      </c>
      <c r="AC69" s="52">
        <f ca="1">IF($F69&gt;$D$5,0,VLOOKUP($F69,$F$24:$BZ$44,AC$2-$E$2,FALSE)*$D$11*$D$14*(1+$D$13)^($F69-'הנחות עבודה'!$C$5)/$D$11)</f>
        <v>0</v>
      </c>
      <c r="AD69" s="52">
        <f ca="1">IF($F69&gt;$D$5,0,VLOOKUP($F69,$F$24:$BZ$44,AD$2-$E$2,FALSE)*$D$11*$D$14*(1+$D$13)^($F69-'הנחות עבודה'!$C$5)/$D$11)</f>
        <v>0</v>
      </c>
      <c r="AE69" s="42">
        <f ca="1">IF($F69&gt;$D$5,0,VLOOKUP($F69,$F$24:$BZ$44,AE$2-$E$2,FALSE)*$D$11*$D$14*(1+$D$13)^($F69-'הנחות עבודה'!$C$5)/$D$11)</f>
        <v>0</v>
      </c>
      <c r="AF69" s="44">
        <f ca="1">IF($F69&gt;$D$5,0,VLOOKUP($F69,$F$24:$BZ$44,AF$2-$E$2,FALSE)*$D$11*$D$14*(1+$D$13)^($F69-'הנחות עבודה'!$C$5)/$D$11)</f>
        <v>0</v>
      </c>
      <c r="AG69" s="44">
        <f ca="1">IF($F69&gt;$D$5,0,VLOOKUP($F69,$F$24:$BZ$44,AG$2-$E$2,FALSE)*$D$11*$D$14*(1+$D$13)^($F69-'הנחות עבודה'!$C$5)/$D$11)</f>
        <v>0</v>
      </c>
      <c r="AH69" s="44">
        <f ca="1">IF($F69&gt;$D$5,0,VLOOKUP($F69,$F$24:$BZ$44,AH$2-$E$2,FALSE)*$D$11*$D$14*(1+$D$13)^($F69-'הנחות עבודה'!$C$5)/$D$11)</f>
        <v>0</v>
      </c>
      <c r="AI69" s="44">
        <f ca="1">IF($F69&gt;$D$5,0,VLOOKUP($F69,$F$24:$BZ$44,AI$2-$E$2,FALSE)*$D$11*$D$14*(1+$D$13)^($F69-'הנחות עבודה'!$C$5)/$D$11)</f>
        <v>0</v>
      </c>
      <c r="AJ69" s="44">
        <f ca="1">IF($F69&gt;$D$5,0,VLOOKUP($F69,$F$24:$BZ$44,AJ$2-$E$2,FALSE)*$D$11*$D$14*(1+$D$13)^($F69-'הנחות עבודה'!$C$5)/$D$11)</f>
        <v>0</v>
      </c>
      <c r="AK69" s="42">
        <f ca="1">IF($F69&gt;$D$5,0,VLOOKUP($F69,$F$24:$BZ$44,AK$2-$E$2,FALSE)*$D$11*$D$14*(1+$D$13)^($F69-'הנחות עבודה'!$C$5)/$D$11)</f>
        <v>817.3393416819049</v>
      </c>
      <c r="AL69" s="42">
        <f ca="1">IF($F69&gt;$D$5,0,VLOOKUP($F69,$F$24:$BZ$44,AL$2-$E$2,FALSE)*$D$11*$D$14*(1+$D$13)^($F69-'הנחות עבודה'!$C$5)/$D$11)</f>
        <v>2811.0828067483626</v>
      </c>
      <c r="AM69" s="42">
        <f ca="1">IF($F69&gt;$D$5,0,VLOOKUP($F69,$F$24:$BZ$44,AM$2-$E$2,FALSE)*$D$11*$D$14*(1+$D$13)^($F69-'הנחות עבודה'!$C$5)/$D$11)</f>
        <v>0</v>
      </c>
      <c r="AN69" s="42">
        <f ca="1">IF($F69&gt;$D$5,0,VLOOKUP($F69,$F$24:$BZ$44,AN$2-$E$2,FALSE)*$D$11*$D$14*(1+$D$13)^($F69-'הנחות עבודה'!$C$5)/$D$11)</f>
        <v>0</v>
      </c>
      <c r="AO69" s="42">
        <f ca="1">IF($F69&gt;$D$5,0,VLOOKUP($F69,$F$24:$BZ$44,AO$2-$E$2,FALSE)*$D$11*$D$14*(1+$D$13)^($F69-'הנחות עבודה'!$C$5)/$D$11)</f>
        <v>0</v>
      </c>
      <c r="AP69" s="42">
        <f ca="1">IF($F69&gt;$D$5,0,VLOOKUP($F69,$F$24:$BZ$44,AP$2-$E$2,FALSE)*$D$11*$D$14*(1+$D$13)^($F69-'הנחות עבודה'!$C$5)/$D$11)</f>
        <v>0</v>
      </c>
      <c r="AQ69" s="52">
        <f ca="1">IF($F69&gt;$D$5,0,VLOOKUP($F69,$F$24:$BZ$44,AQ$2-$E$2,FALSE)*$D$11*$D$14*(1+$D$13)^($F69-'הנחות עבודה'!$C$5)/$D$11)</f>
        <v>0</v>
      </c>
      <c r="AR69" s="127">
        <f ca="1">IF($F69&gt;$D$5,0,VLOOKUP($F69,$F$24:$BZ$44,AR$2-$E$2,FALSE)*$D$11*$D$14*(1+$D$13)^($F69-'הנחות עבודה'!$C$5)/$D$11)</f>
        <v>0</v>
      </c>
      <c r="AS69" s="127">
        <f ca="1">IF($F69&gt;$D$5,0,VLOOKUP($F69,$F$24:$BZ$44,AS$2-$E$2,FALSE)*$D$11*$D$14*(1+$D$13)^($F69-'הנחות עבודה'!$C$5)/$D$11)</f>
        <v>0</v>
      </c>
      <c r="AT69" s="127">
        <f ca="1">IF($F69&gt;$D$5,0,VLOOKUP($F69,$F$24:$BZ$44,AT$2-$E$2,FALSE)*$D$11*$D$14*(1+$D$13)^($F69-'הנחות עבודה'!$C$5)/$D$11)</f>
        <v>0</v>
      </c>
      <c r="AU69" s="127">
        <f ca="1">IF($F69&gt;$D$5,0,VLOOKUP($F69,$F$24:$BZ$44,AU$2-$E$2,FALSE)*$D$11*$D$14*(1+$D$13)^($F69-'הנחות עבודה'!$C$5)/$D$11)</f>
        <v>0</v>
      </c>
      <c r="AV69" s="127">
        <f ca="1">IF($F69&gt;$D$5,0,VLOOKUP($F69,$F$24:$BZ$44,AV$2-$E$2,FALSE)*$D$11*$D$14*(1+$D$13)^($F69-'הנחות עבודה'!$C$5)/$D$11)</f>
        <v>0</v>
      </c>
      <c r="AW69" s="52">
        <f ca="1">IF($F69&gt;$D$5,0,VLOOKUP($F69,$F$24:$BZ$44,AW$2-$E$2,FALSE)*$D$11*$D$14*(1+$D$13)^($F69-'הנחות עבודה'!$C$5)/$D$11)</f>
        <v>817.3393416819049</v>
      </c>
      <c r="AX69" s="52">
        <f ca="1">IF($F69&gt;$D$5,0,VLOOKUP($F69,$F$24:$BZ$44,AX$2-$E$2,FALSE)*$D$11*$D$14*(1+$D$13)^($F69-'הנחות עבודה'!$C$5)/$D$11)</f>
        <v>2811.0828067483626</v>
      </c>
      <c r="AY69" s="52">
        <f ca="1">IF($F69&gt;$D$5,0,VLOOKUP($F69,$F$24:$BZ$44,AY$2-$E$2,FALSE)*$D$11*$D$14*(1+$D$13)^($F69-'הנחות עבודה'!$C$5)/$D$11)</f>
        <v>0</v>
      </c>
      <c r="AZ69" s="52">
        <f ca="1">IF($F69&gt;$D$5,0,VLOOKUP($F69,$F$24:$BZ$44,AZ$2-$E$2,FALSE)*$D$11*$D$14*(1+$D$13)^($F69-'הנחות עבודה'!$C$5)/$D$11)</f>
        <v>0</v>
      </c>
      <c r="BA69" s="52">
        <f ca="1">IF($F69&gt;$D$5,0,VLOOKUP($F69,$F$24:$BZ$44,BA$2-$E$2,FALSE)*$D$11*$D$14*(1+$D$13)^($F69-'הנחות עבודה'!$C$5)/$D$11)</f>
        <v>0</v>
      </c>
      <c r="BB69" s="52">
        <f ca="1">IF($F69&gt;$D$5,0,VLOOKUP($F69,$F$24:$BZ$44,BB$2-$E$2,FALSE)*$D$11*$D$14*(1+$D$13)^($F69-'הנחות עבודה'!$C$5)/$D$11)</f>
        <v>0</v>
      </c>
      <c r="BC69" s="42">
        <f ca="1">IF($F69&gt;$D$5,0,VLOOKUP($F69,$F$24:$BZ$44,BC$2-$E$2,FALSE)*$D$11*$D$14*(1+$D$13)^($F69-'הנחות עבודה'!$C$5)/$D$11)</f>
        <v>0</v>
      </c>
      <c r="BD69" s="44">
        <f ca="1">IF($F69&gt;$D$5,0,VLOOKUP($F69,$F$24:$BZ$44,BD$2-$E$2,FALSE)*$D$11*$D$14*(1+$D$13)^($F69-'הנחות עבודה'!$C$5)/$D$11)</f>
        <v>0</v>
      </c>
      <c r="BE69" s="44">
        <f ca="1">IF($F69&gt;$D$5,0,VLOOKUP($F69,$F$24:$BZ$44,BE$2-$E$2,FALSE)*$D$11*$D$14*(1+$D$13)^($F69-'הנחות עבודה'!$C$5)/$D$11)</f>
        <v>0</v>
      </c>
      <c r="BF69" s="44">
        <f ca="1">IF($F69&gt;$D$5,0,VLOOKUP($F69,$F$24:$BZ$44,BF$2-$E$2,FALSE)*$D$11*$D$14*(1+$D$13)^($F69-'הנחות עבודה'!$C$5)/$D$11)</f>
        <v>0</v>
      </c>
      <c r="BG69" s="44">
        <f ca="1">IF($F69&gt;$D$5,0,VLOOKUP($F69,$F$24:$BZ$44,BG$2-$E$2,FALSE)*$D$11*$D$14*(1+$D$13)^($F69-'הנחות עבודה'!$C$5)/$D$11)</f>
        <v>0</v>
      </c>
      <c r="BH69" s="44">
        <f ca="1">IF($F69&gt;$D$5,0,VLOOKUP($F69,$F$24:$BZ$44,BH$2-$E$2,FALSE)*$D$11*$D$14*(1+$D$13)^($F69-'הנחות עבודה'!$C$5)/$D$11)</f>
        <v>0</v>
      </c>
      <c r="BI69" s="42">
        <f ca="1">IF($F69&gt;$D$5,0,VLOOKUP($F69,$F$24:$BZ$44,BI$2-$E$2,FALSE)*$D$11*$D$14*(1+$D$13)^($F69-'הנחות עבודה'!$C$5)/$D$11)</f>
        <v>836.46016549399565</v>
      </c>
      <c r="BJ69" s="42">
        <f ca="1">IF($F69&gt;$D$5,0,VLOOKUP($F69,$F$24:$BZ$44,BJ$2-$E$2,FALSE)*$D$11*$D$14*(1+$D$13)^($F69-'הנחות עבודה'!$C$5)/$D$11)</f>
        <v>2642.2395275809681</v>
      </c>
      <c r="BK69" s="42">
        <f ca="1">IF($F69&gt;$D$5,0,VLOOKUP($F69,$F$24:$BZ$44,BK$2-$E$2,FALSE)*$D$11*$D$14*(1+$D$13)^($F69-'הנחות עבודה'!$C$5)/$D$11)</f>
        <v>0</v>
      </c>
      <c r="BL69" s="42">
        <f ca="1">IF($F69&gt;$D$5,0,VLOOKUP($F69,$F$24:$BZ$44,BL$2-$E$2,FALSE)*$D$11*$D$14*(1+$D$13)^($F69-'הנחות עבודה'!$C$5)/$D$11)</f>
        <v>0</v>
      </c>
      <c r="BM69" s="42">
        <f ca="1">IF($F69&gt;$D$5,0,VLOOKUP($F69,$F$24:$BZ$44,BM$2-$E$2,FALSE)*$D$11*$D$14*(1+$D$13)^($F69-'הנחות עבודה'!$C$5)/$D$11)</f>
        <v>0</v>
      </c>
      <c r="BN69" s="42">
        <f ca="1">IF($F69&gt;$D$5,0,VLOOKUP($F69,$F$24:$BZ$44,BN$2-$E$2,FALSE)*$D$11*$D$14*(1+$D$13)^($F69-'הנחות עבודה'!$C$5)/$D$11)</f>
        <v>0</v>
      </c>
      <c r="BO69" s="52">
        <f ca="1">IF($F69&gt;$D$5,0,VLOOKUP($F69,$F$24:$BZ$44,BO$2-$E$2,FALSE)*$D$11*$D$14*(1+$D$13)^($F69-'הנחות עבודה'!$C$5)/$D$11)</f>
        <v>0</v>
      </c>
      <c r="BP69" s="127">
        <f ca="1">IF($F69&gt;$D$5,0,VLOOKUP($F69,$F$24:$BZ$44,BP$2-$E$2,FALSE)*$D$11*$D$14*(1+$D$13)^($F69-'הנחות עבודה'!$C$5)/$D$11)</f>
        <v>0</v>
      </c>
      <c r="BQ69" s="127">
        <f ca="1">IF($F69&gt;$D$5,0,VLOOKUP($F69,$F$24:$BZ$44,BQ$2-$E$2,FALSE)*$D$11*$D$14*(1+$D$13)^($F69-'הנחות עבודה'!$C$5)/$D$11)</f>
        <v>0</v>
      </c>
      <c r="BR69" s="127">
        <f ca="1">IF($F69&gt;$D$5,0,VLOOKUP($F69,$F$24:$BZ$44,BR$2-$E$2,FALSE)*$D$11*$D$14*(1+$D$13)^($F69-'הנחות עבודה'!$C$5)/$D$11)</f>
        <v>0</v>
      </c>
      <c r="BS69" s="127">
        <f ca="1">IF($F69&gt;$D$5,0,VLOOKUP($F69,$F$24:$BZ$44,BS$2-$E$2,FALSE)*$D$11*$D$14*(1+$D$13)^($F69-'הנחות עבודה'!$C$5)/$D$11)</f>
        <v>0</v>
      </c>
      <c r="BT69" s="127">
        <f ca="1">IF($F69&gt;$D$5,0,VLOOKUP($F69,$F$24:$BZ$44,BT$2-$E$2,FALSE)*$D$11*$D$14*(1+$D$13)^($F69-'הנחות עבודה'!$C$5)/$D$11)</f>
        <v>0</v>
      </c>
      <c r="BU69" s="52">
        <f ca="1">IF($F69&gt;$D$5,0,VLOOKUP($F69,$F$24:$BZ$44,BU$2-$E$2,FALSE)*$D$11*$D$14*(1+$D$13)^($F69-'הנחות עבודה'!$C$5)/$D$11)</f>
        <v>836.46016549399565</v>
      </c>
      <c r="BV69" s="52">
        <f ca="1">IF($F69&gt;$D$5,0,VLOOKUP($F69,$F$24:$BZ$44,BV$2-$E$2,FALSE)*$D$11*$D$14*(1+$D$13)^($F69-'הנחות עבודה'!$C$5)/$D$11)</f>
        <v>2642.2395275809681</v>
      </c>
      <c r="BW69" s="52">
        <f ca="1">IF($F69&gt;$D$5,0,VLOOKUP($F69,$F$24:$BZ$44,BW$2-$E$2,FALSE)*$D$11*$D$14*(1+$D$13)^($F69-'הנחות עבודה'!$C$5)/$D$11)</f>
        <v>0</v>
      </c>
      <c r="BX69" s="52">
        <f ca="1">IF($F69&gt;$D$5,0,VLOOKUP($F69,$F$24:$BZ$44,BX$2-$E$2,FALSE)*$D$11*$D$14*(1+$D$13)^($F69-'הנחות עבודה'!$C$5)/$D$11)</f>
        <v>0</v>
      </c>
      <c r="BY69" s="52">
        <f ca="1">IF($F69&gt;$D$5,0,VLOOKUP($F69,$F$24:$BZ$44,BY$2-$E$2,FALSE)*$D$11*$D$14*(1+$D$13)^($F69-'הנחות עבודה'!$C$5)/$D$11)</f>
        <v>0</v>
      </c>
      <c r="BZ69" s="52">
        <f ca="1">IF($F69&gt;$D$5,0,VLOOKUP($F69,$F$24:$BZ$44,BZ$2-$E$2,FALSE)*$D$11*$D$14*(1+$D$13)^($F69-'הנחות עבודה'!$C$5)/$D$11)</f>
        <v>0</v>
      </c>
    </row>
    <row r="70" spans="6:78" ht="15.75">
      <c r="F70" s="10">
        <f t="shared" si="125"/>
        <v>2039</v>
      </c>
      <c r="G70" s="42">
        <f ca="1">IF($F70&gt;$D$5,0,VLOOKUP($F70,$F$24:$BZ$44,G$2-$E$2,FALSE)*$D$11*$D$14*(1+$D$13)^($F70-'הנחות עבודה'!$C$5)/$D$11)</f>
        <v>0</v>
      </c>
      <c r="H70" s="44">
        <f ca="1">IF($F70&gt;$D$5,0,VLOOKUP($F70,$F$24:$BZ$44,H$2-$E$2,FALSE)*$D$11*$D$14*(1+$D$13)^($F70-'הנחות עבודה'!$C$5)/$D$11)</f>
        <v>0</v>
      </c>
      <c r="I70" s="44">
        <f ca="1">IF($F70&gt;$D$5,0,VLOOKUP($F70,$F$24:$BZ$44,I$2-$E$2,FALSE)*$D$11*$D$14*(1+$D$13)^($F70-'הנחות עבודה'!$C$5)/$D$11)</f>
        <v>0</v>
      </c>
      <c r="J70" s="44">
        <f ca="1">IF($F70&gt;$D$5,0,VLOOKUP($F70,$F$24:$BZ$44,J$2-$E$2,FALSE)*$D$11*$D$14*(1+$D$13)^($F70-'הנחות עבודה'!$C$5)/$D$11)</f>
        <v>0</v>
      </c>
      <c r="K70" s="44">
        <f ca="1">IF($F70&gt;$D$5,0,VLOOKUP($F70,$F$24:$BZ$44,K$2-$E$2,FALSE)*$D$11*$D$14*(1+$D$13)^($F70-'הנחות עבודה'!$C$5)/$D$11)</f>
        <v>0</v>
      </c>
      <c r="L70" s="44">
        <f ca="1">IF($F70&gt;$D$5,0,VLOOKUP($F70,$F$24:$BZ$44,L$2-$E$2,FALSE)*$D$11*$D$14*(1+$D$13)^($F70-'הנחות עבודה'!$C$5)/$D$11)</f>
        <v>0</v>
      </c>
      <c r="M70" s="42">
        <f ca="1">IF($F70&gt;$D$5,0,VLOOKUP($F70,$F$24:$BZ$44,M$2-$E$2,FALSE)*$D$11*$D$14*(1+$D$13)^($F70-'הנחות עבודה'!$C$5)/$D$11)</f>
        <v>814.82254508791414</v>
      </c>
      <c r="N70" s="42">
        <f ca="1">IF($F70&gt;$D$5,0,VLOOKUP($F70,$F$24:$BZ$44,N$2-$E$2,FALSE)*$D$11*$D$14*(1+$D$13)^($F70-'הנחות עבודה'!$C$5)/$D$11)</f>
        <v>3311.8712897866017</v>
      </c>
      <c r="O70" s="42">
        <f ca="1">IF($F70&gt;$D$5,0,VLOOKUP($F70,$F$24:$BZ$44,O$2-$E$2,FALSE)*$D$11*$D$14*(1+$D$13)^($F70-'הנחות עבודה'!$C$5)/$D$11)</f>
        <v>0</v>
      </c>
      <c r="P70" s="42">
        <f ca="1">IF($F70&gt;$D$5,0,VLOOKUP($F70,$F$24:$BZ$44,P$2-$E$2,FALSE)*$D$11*$D$14*(1+$D$13)^($F70-'הנחות עבודה'!$C$5)/$D$11)</f>
        <v>0</v>
      </c>
      <c r="Q70" s="42">
        <f ca="1">IF($F70&gt;$D$5,0,VLOOKUP($F70,$F$24:$BZ$44,Q$2-$E$2,FALSE)*$D$11*$D$14*(1+$D$13)^($F70-'הנחות עבודה'!$C$5)/$D$11)</f>
        <v>0</v>
      </c>
      <c r="R70" s="42">
        <f ca="1">IF($F70&gt;$D$5,0,VLOOKUP($F70,$F$24:$BZ$44,R$2-$E$2,FALSE)*$D$11*$D$14*(1+$D$13)^($F70-'הנחות עבודה'!$C$5)/$D$11)</f>
        <v>0</v>
      </c>
      <c r="S70" s="52">
        <f ca="1">IF($F70&gt;$D$5,0,VLOOKUP($F70,$F$24:$BZ$44,S$2-$E$2,FALSE)*$D$11*$D$14*(1+$D$13)^($F70-'הנחות עבודה'!$C$5)/$D$11)</f>
        <v>0</v>
      </c>
      <c r="T70" s="127">
        <f ca="1">IF($F70&gt;$D$5,0,VLOOKUP($F70,$F$24:$BZ$44,T$2-$E$2,FALSE)*$D$11*$D$14*(1+$D$13)^($F70-'הנחות עבודה'!$C$5)/$D$11)</f>
        <v>0</v>
      </c>
      <c r="U70" s="127">
        <f ca="1">IF($F70&gt;$D$5,0,VLOOKUP($F70,$F$24:$BZ$44,U$2-$E$2,FALSE)*$D$11*$D$14*(1+$D$13)^($F70-'הנחות עבודה'!$C$5)/$D$11)</f>
        <v>0</v>
      </c>
      <c r="V70" s="127">
        <f ca="1">IF($F70&gt;$D$5,0,VLOOKUP($F70,$F$24:$BZ$44,V$2-$E$2,FALSE)*$D$11*$D$14*(1+$D$13)^($F70-'הנחות עבודה'!$C$5)/$D$11)</f>
        <v>0</v>
      </c>
      <c r="W70" s="127">
        <f ca="1">IF($F70&gt;$D$5,0,VLOOKUP($F70,$F$24:$BZ$44,W$2-$E$2,FALSE)*$D$11*$D$14*(1+$D$13)^($F70-'הנחות עבודה'!$C$5)/$D$11)</f>
        <v>0</v>
      </c>
      <c r="X70" s="127">
        <f ca="1">IF($F70&gt;$D$5,0,VLOOKUP($F70,$F$24:$BZ$44,X$2-$E$2,FALSE)*$D$11*$D$14*(1+$D$13)^($F70-'הנחות עבודה'!$C$5)/$D$11)</f>
        <v>0</v>
      </c>
      <c r="Y70" s="52">
        <f ca="1">IF($F70&gt;$D$5,0,VLOOKUP($F70,$F$24:$BZ$44,Y$2-$E$2,FALSE)*$D$11*$D$14*(1+$D$13)^($F70-'הנחות עבודה'!$C$5)/$D$11)</f>
        <v>814.82254508791414</v>
      </c>
      <c r="Z70" s="52">
        <f ca="1">IF($F70&gt;$D$5,0,VLOOKUP($F70,$F$24:$BZ$44,Z$2-$E$2,FALSE)*$D$11*$D$14*(1+$D$13)^($F70-'הנחות עבודה'!$C$5)/$D$11)</f>
        <v>3311.8712897866017</v>
      </c>
      <c r="AA70" s="52">
        <f ca="1">IF($F70&gt;$D$5,0,VLOOKUP($F70,$F$24:$BZ$44,AA$2-$E$2,FALSE)*$D$11*$D$14*(1+$D$13)^($F70-'הנחות עבודה'!$C$5)/$D$11)</f>
        <v>0</v>
      </c>
      <c r="AB70" s="52">
        <f ca="1">IF($F70&gt;$D$5,0,VLOOKUP($F70,$F$24:$BZ$44,AB$2-$E$2,FALSE)*$D$11*$D$14*(1+$D$13)^($F70-'הנחות עבודה'!$C$5)/$D$11)</f>
        <v>0</v>
      </c>
      <c r="AC70" s="52">
        <f ca="1">IF($F70&gt;$D$5,0,VLOOKUP($F70,$F$24:$BZ$44,AC$2-$E$2,FALSE)*$D$11*$D$14*(1+$D$13)^($F70-'הנחות עבודה'!$C$5)/$D$11)</f>
        <v>0</v>
      </c>
      <c r="AD70" s="52">
        <f ca="1">IF($F70&gt;$D$5,0,VLOOKUP($F70,$F$24:$BZ$44,AD$2-$E$2,FALSE)*$D$11*$D$14*(1+$D$13)^($F70-'הנחות עבודה'!$C$5)/$D$11)</f>
        <v>0</v>
      </c>
      <c r="AE70" s="42">
        <f ca="1">IF($F70&gt;$D$5,0,VLOOKUP($F70,$F$24:$BZ$44,AE$2-$E$2,FALSE)*$D$11*$D$14*(1+$D$13)^($F70-'הנחות עבודה'!$C$5)/$D$11)</f>
        <v>0</v>
      </c>
      <c r="AF70" s="44">
        <f ca="1">IF($F70&gt;$D$5,0,VLOOKUP($F70,$F$24:$BZ$44,AF$2-$E$2,FALSE)*$D$11*$D$14*(1+$D$13)^($F70-'הנחות עבודה'!$C$5)/$D$11)</f>
        <v>0</v>
      </c>
      <c r="AG70" s="44">
        <f ca="1">IF($F70&gt;$D$5,0,VLOOKUP($F70,$F$24:$BZ$44,AG$2-$E$2,FALSE)*$D$11*$D$14*(1+$D$13)^($F70-'הנחות עבודה'!$C$5)/$D$11)</f>
        <v>0</v>
      </c>
      <c r="AH70" s="44">
        <f ca="1">IF($F70&gt;$D$5,0,VLOOKUP($F70,$F$24:$BZ$44,AH$2-$E$2,FALSE)*$D$11*$D$14*(1+$D$13)^($F70-'הנחות עבודה'!$C$5)/$D$11)</f>
        <v>0</v>
      </c>
      <c r="AI70" s="44">
        <f ca="1">IF($F70&gt;$D$5,0,VLOOKUP($F70,$F$24:$BZ$44,AI$2-$E$2,FALSE)*$D$11*$D$14*(1+$D$13)^($F70-'הנחות עבודה'!$C$5)/$D$11)</f>
        <v>0</v>
      </c>
      <c r="AJ70" s="44">
        <f ca="1">IF($F70&gt;$D$5,0,VLOOKUP($F70,$F$24:$BZ$44,AJ$2-$E$2,FALSE)*$D$11*$D$14*(1+$D$13)^($F70-'הנחות עבודה'!$C$5)/$D$11)</f>
        <v>0</v>
      </c>
      <c r="AK70" s="42">
        <f ca="1">IF($F70&gt;$D$5,0,VLOOKUP($F70,$F$24:$BZ$44,AK$2-$E$2,FALSE)*$D$11*$D$14*(1+$D$13)^($F70-'הנחות עבודה'!$C$5)/$D$11)</f>
        <v>843.34118268227621</v>
      </c>
      <c r="AL70" s="42">
        <f ca="1">IF($F70&gt;$D$5,0,VLOOKUP($F70,$F$24:$BZ$44,AL$2-$E$2,FALSE)*$D$11*$D$14*(1+$D$13)^($F70-'הנחות עבודה'!$C$5)/$D$11)</f>
        <v>3035.9656356674122</v>
      </c>
      <c r="AM70" s="42">
        <f ca="1">IF($F70&gt;$D$5,0,VLOOKUP($F70,$F$24:$BZ$44,AM$2-$E$2,FALSE)*$D$11*$D$14*(1+$D$13)^($F70-'הנחות עבודה'!$C$5)/$D$11)</f>
        <v>0</v>
      </c>
      <c r="AN70" s="42">
        <f ca="1">IF($F70&gt;$D$5,0,VLOOKUP($F70,$F$24:$BZ$44,AN$2-$E$2,FALSE)*$D$11*$D$14*(1+$D$13)^($F70-'הנחות עבודה'!$C$5)/$D$11)</f>
        <v>0</v>
      </c>
      <c r="AO70" s="42">
        <f ca="1">IF($F70&gt;$D$5,0,VLOOKUP($F70,$F$24:$BZ$44,AO$2-$E$2,FALSE)*$D$11*$D$14*(1+$D$13)^($F70-'הנחות עבודה'!$C$5)/$D$11)</f>
        <v>0</v>
      </c>
      <c r="AP70" s="42">
        <f ca="1">IF($F70&gt;$D$5,0,VLOOKUP($F70,$F$24:$BZ$44,AP$2-$E$2,FALSE)*$D$11*$D$14*(1+$D$13)^($F70-'הנחות עבודה'!$C$5)/$D$11)</f>
        <v>0</v>
      </c>
      <c r="AQ70" s="52">
        <f ca="1">IF($F70&gt;$D$5,0,VLOOKUP($F70,$F$24:$BZ$44,AQ$2-$E$2,FALSE)*$D$11*$D$14*(1+$D$13)^($F70-'הנחות עבודה'!$C$5)/$D$11)</f>
        <v>0</v>
      </c>
      <c r="AR70" s="127">
        <f ca="1">IF($F70&gt;$D$5,0,VLOOKUP($F70,$F$24:$BZ$44,AR$2-$E$2,FALSE)*$D$11*$D$14*(1+$D$13)^($F70-'הנחות עבודה'!$C$5)/$D$11)</f>
        <v>0</v>
      </c>
      <c r="AS70" s="127">
        <f ca="1">IF($F70&gt;$D$5,0,VLOOKUP($F70,$F$24:$BZ$44,AS$2-$E$2,FALSE)*$D$11*$D$14*(1+$D$13)^($F70-'הנחות עבודה'!$C$5)/$D$11)</f>
        <v>0</v>
      </c>
      <c r="AT70" s="127">
        <f ca="1">IF($F70&gt;$D$5,0,VLOOKUP($F70,$F$24:$BZ$44,AT$2-$E$2,FALSE)*$D$11*$D$14*(1+$D$13)^($F70-'הנחות עבודה'!$C$5)/$D$11)</f>
        <v>0</v>
      </c>
      <c r="AU70" s="127">
        <f ca="1">IF($F70&gt;$D$5,0,VLOOKUP($F70,$F$24:$BZ$44,AU$2-$E$2,FALSE)*$D$11*$D$14*(1+$D$13)^($F70-'הנחות עבודה'!$C$5)/$D$11)</f>
        <v>0</v>
      </c>
      <c r="AV70" s="127">
        <f ca="1">IF($F70&gt;$D$5,0,VLOOKUP($F70,$F$24:$BZ$44,AV$2-$E$2,FALSE)*$D$11*$D$14*(1+$D$13)^($F70-'הנחות עבודה'!$C$5)/$D$11)</f>
        <v>0</v>
      </c>
      <c r="AW70" s="52">
        <f ca="1">IF($F70&gt;$D$5,0,VLOOKUP($F70,$F$24:$BZ$44,AW$2-$E$2,FALSE)*$D$11*$D$14*(1+$D$13)^($F70-'הנחות עבודה'!$C$5)/$D$11)</f>
        <v>843.34118268227621</v>
      </c>
      <c r="AX70" s="52">
        <f ca="1">IF($F70&gt;$D$5,0,VLOOKUP($F70,$F$24:$BZ$44,AX$2-$E$2,FALSE)*$D$11*$D$14*(1+$D$13)^($F70-'הנחות עבודה'!$C$5)/$D$11)</f>
        <v>3035.9656356674122</v>
      </c>
      <c r="AY70" s="52">
        <f ca="1">IF($F70&gt;$D$5,0,VLOOKUP($F70,$F$24:$BZ$44,AY$2-$E$2,FALSE)*$D$11*$D$14*(1+$D$13)^($F70-'הנחות עבודה'!$C$5)/$D$11)</f>
        <v>0</v>
      </c>
      <c r="AZ70" s="52">
        <f ca="1">IF($F70&gt;$D$5,0,VLOOKUP($F70,$F$24:$BZ$44,AZ$2-$E$2,FALSE)*$D$11*$D$14*(1+$D$13)^($F70-'הנחות עבודה'!$C$5)/$D$11)</f>
        <v>0</v>
      </c>
      <c r="BA70" s="52">
        <f ca="1">IF($F70&gt;$D$5,0,VLOOKUP($F70,$F$24:$BZ$44,BA$2-$E$2,FALSE)*$D$11*$D$14*(1+$D$13)^($F70-'הנחות עבודה'!$C$5)/$D$11)</f>
        <v>0</v>
      </c>
      <c r="BB70" s="52">
        <f ca="1">IF($F70&gt;$D$5,0,VLOOKUP($F70,$F$24:$BZ$44,BB$2-$E$2,FALSE)*$D$11*$D$14*(1+$D$13)^($F70-'הנחות עבודה'!$C$5)/$D$11)</f>
        <v>0</v>
      </c>
      <c r="BC70" s="42">
        <f ca="1">IF($F70&gt;$D$5,0,VLOOKUP($F70,$F$24:$BZ$44,BC$2-$E$2,FALSE)*$D$11*$D$14*(1+$D$13)^($F70-'הנחות עבודה'!$C$5)/$D$11)</f>
        <v>0</v>
      </c>
      <c r="BD70" s="44">
        <f ca="1">IF($F70&gt;$D$5,0,VLOOKUP($F70,$F$24:$BZ$44,BD$2-$E$2,FALSE)*$D$11*$D$14*(1+$D$13)^($F70-'הנחות עבודה'!$C$5)/$D$11)</f>
        <v>0</v>
      </c>
      <c r="BE70" s="44">
        <f ca="1">IF($F70&gt;$D$5,0,VLOOKUP($F70,$F$24:$BZ$44,BE$2-$E$2,FALSE)*$D$11*$D$14*(1+$D$13)^($F70-'הנחות עבודה'!$C$5)/$D$11)</f>
        <v>0</v>
      </c>
      <c r="BF70" s="44">
        <f ca="1">IF($F70&gt;$D$5,0,VLOOKUP($F70,$F$24:$BZ$44,BF$2-$E$2,FALSE)*$D$11*$D$14*(1+$D$13)^($F70-'הנחות עבודה'!$C$5)/$D$11)</f>
        <v>0</v>
      </c>
      <c r="BG70" s="44">
        <f ca="1">IF($F70&gt;$D$5,0,VLOOKUP($F70,$F$24:$BZ$44,BG$2-$E$2,FALSE)*$D$11*$D$14*(1+$D$13)^($F70-'הנחות עבודה'!$C$5)/$D$11)</f>
        <v>0</v>
      </c>
      <c r="BH70" s="44">
        <f ca="1">IF($F70&gt;$D$5,0,VLOOKUP($F70,$F$24:$BZ$44,BH$2-$E$2,FALSE)*$D$11*$D$14*(1+$D$13)^($F70-'הנחות עבודה'!$C$5)/$D$11)</f>
        <v>0</v>
      </c>
      <c r="BI70" s="42">
        <f ca="1">IF($F70&gt;$D$5,0,VLOOKUP($F70,$F$24:$BZ$44,BI$2-$E$2,FALSE)*$D$11*$D$14*(1+$D$13)^($F70-'הנחות עבודה'!$C$5)/$D$11)</f>
        <v>867.11367877941552</v>
      </c>
      <c r="BJ70" s="42">
        <f ca="1">IF($F70&gt;$D$5,0,VLOOKUP($F70,$F$24:$BZ$44,BJ$2-$E$2,FALSE)*$D$11*$D$14*(1+$D$13)^($F70-'הנחות עבודה'!$C$5)/$D$11)</f>
        <v>2860.0162738281138</v>
      </c>
      <c r="BK70" s="42">
        <f ca="1">IF($F70&gt;$D$5,0,VLOOKUP($F70,$F$24:$BZ$44,BK$2-$E$2,FALSE)*$D$11*$D$14*(1+$D$13)^($F70-'הנחות עבודה'!$C$5)/$D$11)</f>
        <v>0</v>
      </c>
      <c r="BL70" s="42">
        <f ca="1">IF($F70&gt;$D$5,0,VLOOKUP($F70,$F$24:$BZ$44,BL$2-$E$2,FALSE)*$D$11*$D$14*(1+$D$13)^($F70-'הנחות עבודה'!$C$5)/$D$11)</f>
        <v>0</v>
      </c>
      <c r="BM70" s="42">
        <f ca="1">IF($F70&gt;$D$5,0,VLOOKUP($F70,$F$24:$BZ$44,BM$2-$E$2,FALSE)*$D$11*$D$14*(1+$D$13)^($F70-'הנחות עבודה'!$C$5)/$D$11)</f>
        <v>0</v>
      </c>
      <c r="BN70" s="42">
        <f ca="1">IF($F70&gt;$D$5,0,VLOOKUP($F70,$F$24:$BZ$44,BN$2-$E$2,FALSE)*$D$11*$D$14*(1+$D$13)^($F70-'הנחות עבודה'!$C$5)/$D$11)</f>
        <v>0</v>
      </c>
      <c r="BO70" s="52">
        <f ca="1">IF($F70&gt;$D$5,0,VLOOKUP($F70,$F$24:$BZ$44,BO$2-$E$2,FALSE)*$D$11*$D$14*(1+$D$13)^($F70-'הנחות עבודה'!$C$5)/$D$11)</f>
        <v>0</v>
      </c>
      <c r="BP70" s="127">
        <f ca="1">IF($F70&gt;$D$5,0,VLOOKUP($F70,$F$24:$BZ$44,BP$2-$E$2,FALSE)*$D$11*$D$14*(1+$D$13)^($F70-'הנחות עבודה'!$C$5)/$D$11)</f>
        <v>0</v>
      </c>
      <c r="BQ70" s="127">
        <f ca="1">IF($F70&gt;$D$5,0,VLOOKUP($F70,$F$24:$BZ$44,BQ$2-$E$2,FALSE)*$D$11*$D$14*(1+$D$13)^($F70-'הנחות עבודה'!$C$5)/$D$11)</f>
        <v>0</v>
      </c>
      <c r="BR70" s="127">
        <f ca="1">IF($F70&gt;$D$5,0,VLOOKUP($F70,$F$24:$BZ$44,BR$2-$E$2,FALSE)*$D$11*$D$14*(1+$D$13)^($F70-'הנחות עבודה'!$C$5)/$D$11)</f>
        <v>0</v>
      </c>
      <c r="BS70" s="127">
        <f ca="1">IF($F70&gt;$D$5,0,VLOOKUP($F70,$F$24:$BZ$44,BS$2-$E$2,FALSE)*$D$11*$D$14*(1+$D$13)^($F70-'הנחות עבודה'!$C$5)/$D$11)</f>
        <v>0</v>
      </c>
      <c r="BT70" s="127">
        <f ca="1">IF($F70&gt;$D$5,0,VLOOKUP($F70,$F$24:$BZ$44,BT$2-$E$2,FALSE)*$D$11*$D$14*(1+$D$13)^($F70-'הנחות עבודה'!$C$5)/$D$11)</f>
        <v>0</v>
      </c>
      <c r="BU70" s="52">
        <f ca="1">IF($F70&gt;$D$5,0,VLOOKUP($F70,$F$24:$BZ$44,BU$2-$E$2,FALSE)*$D$11*$D$14*(1+$D$13)^($F70-'הנחות עבודה'!$C$5)/$D$11)</f>
        <v>867.11367877941552</v>
      </c>
      <c r="BV70" s="52">
        <f ca="1">IF($F70&gt;$D$5,0,VLOOKUP($F70,$F$24:$BZ$44,BV$2-$E$2,FALSE)*$D$11*$D$14*(1+$D$13)^($F70-'הנחות עבודה'!$C$5)/$D$11)</f>
        <v>2860.0162738281138</v>
      </c>
      <c r="BW70" s="52">
        <f ca="1">IF($F70&gt;$D$5,0,VLOOKUP($F70,$F$24:$BZ$44,BW$2-$E$2,FALSE)*$D$11*$D$14*(1+$D$13)^($F70-'הנחות עבודה'!$C$5)/$D$11)</f>
        <v>0</v>
      </c>
      <c r="BX70" s="52">
        <f ca="1">IF($F70&gt;$D$5,0,VLOOKUP($F70,$F$24:$BZ$44,BX$2-$E$2,FALSE)*$D$11*$D$14*(1+$D$13)^($F70-'הנחות עבודה'!$C$5)/$D$11)</f>
        <v>0</v>
      </c>
      <c r="BY70" s="52">
        <f ca="1">IF($F70&gt;$D$5,0,VLOOKUP($F70,$F$24:$BZ$44,BY$2-$E$2,FALSE)*$D$11*$D$14*(1+$D$13)^($F70-'הנחות עבודה'!$C$5)/$D$11)</f>
        <v>0</v>
      </c>
      <c r="BZ70" s="52">
        <f ca="1">IF($F70&gt;$D$5,0,VLOOKUP($F70,$F$24:$BZ$44,BZ$2-$E$2,FALSE)*$D$11*$D$14*(1+$D$13)^($F70-'הנחות עבודה'!$C$5)/$D$11)</f>
        <v>0</v>
      </c>
    </row>
    <row r="71" spans="6:78" ht="16.5" thickBot="1">
      <c r="F71" s="328">
        <f t="shared" si="125"/>
        <v>2040</v>
      </c>
      <c r="G71" s="45">
        <f ca="1">IF($F71&gt;$D$5,0,VLOOKUP($F71,$F$24:$BZ$44,G$2-$E$2,FALSE)*$D$11*$D$14*(1+$D$13)^($F71-'הנחות עבודה'!$C$5)/$D$11)</f>
        <v>0</v>
      </c>
      <c r="H71" s="47">
        <f ca="1">IF($F71&gt;$D$5,0,VLOOKUP($F71,$F$24:$BZ$44,H$2-$E$2,FALSE)*$D$11*$D$14*(1+$D$13)^($F71-'הנחות עבודה'!$C$5)/$D$11)</f>
        <v>0</v>
      </c>
      <c r="I71" s="47">
        <f ca="1">IF($F71&gt;$D$5,0,VLOOKUP($F71,$F$24:$BZ$44,I$2-$E$2,FALSE)*$D$11*$D$14*(1+$D$13)^($F71-'הנחות עבודה'!$C$5)/$D$11)</f>
        <v>0</v>
      </c>
      <c r="J71" s="47">
        <f ca="1">IF($F71&gt;$D$5,0,VLOOKUP($F71,$F$24:$BZ$44,J$2-$E$2,FALSE)*$D$11*$D$14*(1+$D$13)^($F71-'הנחות עבודה'!$C$5)/$D$11)</f>
        <v>0</v>
      </c>
      <c r="K71" s="47">
        <f ca="1">IF($F71&gt;$D$5,0,VLOOKUP($F71,$F$24:$BZ$44,K$2-$E$2,FALSE)*$D$11*$D$14*(1+$D$13)^($F71-'הנחות עבודה'!$C$5)/$D$11)</f>
        <v>0</v>
      </c>
      <c r="L71" s="47">
        <f ca="1">IF($F71&gt;$D$5,0,VLOOKUP($F71,$F$24:$BZ$44,L$2-$E$2,FALSE)*$D$11*$D$14*(1+$D$13)^($F71-'הנחות עבודה'!$C$5)/$D$11)</f>
        <v>0</v>
      </c>
      <c r="M71" s="45">
        <f ca="1">IF($F71&gt;$D$5,0,VLOOKUP($F71,$F$24:$BZ$44,M$2-$E$2,FALSE)*$D$11*$D$14*(1+$D$13)^($F71-'הנחות עבודה'!$C$5)/$D$11)</f>
        <v>847.44472772717268</v>
      </c>
      <c r="N71" s="45">
        <f ca="1">IF($F71&gt;$D$5,0,VLOOKUP($F71,$F$24:$BZ$44,N$2-$E$2,FALSE)*$D$11*$D$14*(1+$D$13)^($F71-'הנחות עבודה'!$C$5)/$D$11)</f>
        <v>3555.4726569349896</v>
      </c>
      <c r="O71" s="45">
        <f ca="1">IF($F71&gt;$D$5,0,VLOOKUP($F71,$F$24:$BZ$44,O$2-$E$2,FALSE)*$D$11*$D$14*(1+$D$13)^($F71-'הנחות עבודה'!$C$5)/$D$11)</f>
        <v>0</v>
      </c>
      <c r="P71" s="45">
        <f ca="1">IF($F71&gt;$D$5,0,VLOOKUP($F71,$F$24:$BZ$44,P$2-$E$2,FALSE)*$D$11*$D$14*(1+$D$13)^($F71-'הנחות עבודה'!$C$5)/$D$11)</f>
        <v>0</v>
      </c>
      <c r="Q71" s="45">
        <f ca="1">IF($F71&gt;$D$5,0,VLOOKUP($F71,$F$24:$BZ$44,Q$2-$E$2,FALSE)*$D$11*$D$14*(1+$D$13)^($F71-'הנחות עבודה'!$C$5)/$D$11)</f>
        <v>0</v>
      </c>
      <c r="R71" s="45">
        <f ca="1">IF($F71&gt;$D$5,0,VLOOKUP($F71,$F$24:$BZ$44,R$2-$E$2,FALSE)*$D$11*$D$14*(1+$D$13)^($F71-'הנחות עבודה'!$C$5)/$D$11)</f>
        <v>0</v>
      </c>
      <c r="S71" s="55">
        <f ca="1">IF($F71&gt;$D$5,0,VLOOKUP($F71,$F$24:$BZ$44,S$2-$E$2,FALSE)*$D$11*$D$14*(1+$D$13)^($F71-'הנחות עבודה'!$C$5)/$D$11)</f>
        <v>0</v>
      </c>
      <c r="T71" s="128">
        <f ca="1">IF($F71&gt;$D$5,0,VLOOKUP($F71,$F$24:$BZ$44,T$2-$E$2,FALSE)*$D$11*$D$14*(1+$D$13)^($F71-'הנחות עבודה'!$C$5)/$D$11)</f>
        <v>0</v>
      </c>
      <c r="U71" s="128">
        <f ca="1">IF($F71&gt;$D$5,0,VLOOKUP($F71,$F$24:$BZ$44,U$2-$E$2,FALSE)*$D$11*$D$14*(1+$D$13)^($F71-'הנחות עבודה'!$C$5)/$D$11)</f>
        <v>0</v>
      </c>
      <c r="V71" s="128">
        <f ca="1">IF($F71&gt;$D$5,0,VLOOKUP($F71,$F$24:$BZ$44,V$2-$E$2,FALSE)*$D$11*$D$14*(1+$D$13)^($F71-'הנחות עבודה'!$C$5)/$D$11)</f>
        <v>0</v>
      </c>
      <c r="W71" s="128">
        <f ca="1">IF($F71&gt;$D$5,0,VLOOKUP($F71,$F$24:$BZ$44,W$2-$E$2,FALSE)*$D$11*$D$14*(1+$D$13)^($F71-'הנחות עבודה'!$C$5)/$D$11)</f>
        <v>0</v>
      </c>
      <c r="X71" s="128">
        <f ca="1">IF($F71&gt;$D$5,0,VLOOKUP($F71,$F$24:$BZ$44,X$2-$E$2,FALSE)*$D$11*$D$14*(1+$D$13)^($F71-'הנחות עבודה'!$C$5)/$D$11)</f>
        <v>0</v>
      </c>
      <c r="Y71" s="55">
        <f ca="1">IF($F71&gt;$D$5,0,VLOOKUP($F71,$F$24:$BZ$44,Y$2-$E$2,FALSE)*$D$11*$D$14*(1+$D$13)^($F71-'הנחות עבודה'!$C$5)/$D$11)</f>
        <v>847.44472772717268</v>
      </c>
      <c r="Z71" s="55">
        <f ca="1">IF($F71&gt;$D$5,0,VLOOKUP($F71,$F$24:$BZ$44,Z$2-$E$2,FALSE)*$D$11*$D$14*(1+$D$13)^($F71-'הנחות עבודה'!$C$5)/$D$11)</f>
        <v>3555.4726569349896</v>
      </c>
      <c r="AA71" s="55">
        <f ca="1">IF($F71&gt;$D$5,0,VLOOKUP($F71,$F$24:$BZ$44,AA$2-$E$2,FALSE)*$D$11*$D$14*(1+$D$13)^($F71-'הנחות עבודה'!$C$5)/$D$11)</f>
        <v>0</v>
      </c>
      <c r="AB71" s="55">
        <f ca="1">IF($F71&gt;$D$5,0,VLOOKUP($F71,$F$24:$BZ$44,AB$2-$E$2,FALSE)*$D$11*$D$14*(1+$D$13)^($F71-'הנחות עבודה'!$C$5)/$D$11)</f>
        <v>0</v>
      </c>
      <c r="AC71" s="55">
        <f ca="1">IF($F71&gt;$D$5,0,VLOOKUP($F71,$F$24:$BZ$44,AC$2-$E$2,FALSE)*$D$11*$D$14*(1+$D$13)^($F71-'הנחות עבודה'!$C$5)/$D$11)</f>
        <v>0</v>
      </c>
      <c r="AD71" s="55">
        <f ca="1">IF($F71&gt;$D$5,0,VLOOKUP($F71,$F$24:$BZ$44,AD$2-$E$2,FALSE)*$D$11*$D$14*(1+$D$13)^($F71-'הנחות עבודה'!$C$5)/$D$11)</f>
        <v>0</v>
      </c>
      <c r="AE71" s="45">
        <f ca="1">IF($F71&gt;$D$5,0,VLOOKUP($F71,$F$24:$BZ$44,AE$2-$E$2,FALSE)*$D$11*$D$14*(1+$D$13)^($F71-'הנחות עבודה'!$C$5)/$D$11)</f>
        <v>0</v>
      </c>
      <c r="AF71" s="47">
        <f ca="1">IF($F71&gt;$D$5,0,VLOOKUP($F71,$F$24:$BZ$44,AF$2-$E$2,FALSE)*$D$11*$D$14*(1+$D$13)^($F71-'הנחות עבודה'!$C$5)/$D$11)</f>
        <v>0</v>
      </c>
      <c r="AG71" s="47">
        <f ca="1">IF($F71&gt;$D$5,0,VLOOKUP($F71,$F$24:$BZ$44,AG$2-$E$2,FALSE)*$D$11*$D$14*(1+$D$13)^($F71-'הנחות עבודה'!$C$5)/$D$11)</f>
        <v>0</v>
      </c>
      <c r="AH71" s="47">
        <f ca="1">IF($F71&gt;$D$5,0,VLOOKUP($F71,$F$24:$BZ$44,AH$2-$E$2,FALSE)*$D$11*$D$14*(1+$D$13)^($F71-'הנחות עבודה'!$C$5)/$D$11)</f>
        <v>0</v>
      </c>
      <c r="AI71" s="47">
        <f ca="1">IF($F71&gt;$D$5,0,VLOOKUP($F71,$F$24:$BZ$44,AI$2-$E$2,FALSE)*$D$11*$D$14*(1+$D$13)^($F71-'הנחות עבודה'!$C$5)/$D$11)</f>
        <v>0</v>
      </c>
      <c r="AJ71" s="47">
        <f ca="1">IF($F71&gt;$D$5,0,VLOOKUP($F71,$F$24:$BZ$44,AJ$2-$E$2,FALSE)*$D$11*$D$14*(1+$D$13)^($F71-'הנחות עבודה'!$C$5)/$D$11)</f>
        <v>0</v>
      </c>
      <c r="AK71" s="45">
        <f ca="1">IF($F71&gt;$D$5,0,VLOOKUP($F71,$F$24:$BZ$44,AK$2-$E$2,FALSE)*$D$11*$D$14*(1+$D$13)^($F71-'הנחות עבודה'!$C$5)/$D$11)</f>
        <v>879.96321720398294</v>
      </c>
      <c r="AL71" s="45">
        <f ca="1">IF($F71&gt;$D$5,0,VLOOKUP($F71,$F$24:$BZ$44,AL$2-$E$2,FALSE)*$D$11*$D$14*(1+$D$13)^($F71-'הנחות עבודה'!$C$5)/$D$11)</f>
        <v>3270.223232252356</v>
      </c>
      <c r="AM71" s="45">
        <f ca="1">IF($F71&gt;$D$5,0,VLOOKUP($F71,$F$24:$BZ$44,AM$2-$E$2,FALSE)*$D$11*$D$14*(1+$D$13)^($F71-'הנחות עבודה'!$C$5)/$D$11)</f>
        <v>0</v>
      </c>
      <c r="AN71" s="45">
        <f ca="1">IF($F71&gt;$D$5,0,VLOOKUP($F71,$F$24:$BZ$44,AN$2-$E$2,FALSE)*$D$11*$D$14*(1+$D$13)^($F71-'הנחות עבודה'!$C$5)/$D$11)</f>
        <v>0</v>
      </c>
      <c r="AO71" s="45">
        <f ca="1">IF($F71&gt;$D$5,0,VLOOKUP($F71,$F$24:$BZ$44,AO$2-$E$2,FALSE)*$D$11*$D$14*(1+$D$13)^($F71-'הנחות עבודה'!$C$5)/$D$11)</f>
        <v>0</v>
      </c>
      <c r="AP71" s="45">
        <f ca="1">IF($F71&gt;$D$5,0,VLOOKUP($F71,$F$24:$BZ$44,AP$2-$E$2,FALSE)*$D$11*$D$14*(1+$D$13)^($F71-'הנחות עבודה'!$C$5)/$D$11)</f>
        <v>0</v>
      </c>
      <c r="AQ71" s="55">
        <f ca="1">IF($F71&gt;$D$5,0,VLOOKUP($F71,$F$24:$BZ$44,AQ$2-$E$2,FALSE)*$D$11*$D$14*(1+$D$13)^($F71-'הנחות עבודה'!$C$5)/$D$11)</f>
        <v>0</v>
      </c>
      <c r="AR71" s="128">
        <f ca="1">IF($F71&gt;$D$5,0,VLOOKUP($F71,$F$24:$BZ$44,AR$2-$E$2,FALSE)*$D$11*$D$14*(1+$D$13)^($F71-'הנחות עבודה'!$C$5)/$D$11)</f>
        <v>0</v>
      </c>
      <c r="AS71" s="128">
        <f ca="1">IF($F71&gt;$D$5,0,VLOOKUP($F71,$F$24:$BZ$44,AS$2-$E$2,FALSE)*$D$11*$D$14*(1+$D$13)^($F71-'הנחות עבודה'!$C$5)/$D$11)</f>
        <v>0</v>
      </c>
      <c r="AT71" s="128">
        <f ca="1">IF($F71&gt;$D$5,0,VLOOKUP($F71,$F$24:$BZ$44,AT$2-$E$2,FALSE)*$D$11*$D$14*(1+$D$13)^($F71-'הנחות עבודה'!$C$5)/$D$11)</f>
        <v>0</v>
      </c>
      <c r="AU71" s="128">
        <f ca="1">IF($F71&gt;$D$5,0,VLOOKUP($F71,$F$24:$BZ$44,AU$2-$E$2,FALSE)*$D$11*$D$14*(1+$D$13)^($F71-'הנחות עבודה'!$C$5)/$D$11)</f>
        <v>0</v>
      </c>
      <c r="AV71" s="128">
        <f ca="1">IF($F71&gt;$D$5,0,VLOOKUP($F71,$F$24:$BZ$44,AV$2-$E$2,FALSE)*$D$11*$D$14*(1+$D$13)^($F71-'הנחות עבודה'!$C$5)/$D$11)</f>
        <v>0</v>
      </c>
      <c r="AW71" s="55">
        <f ca="1">IF($F71&gt;$D$5,0,VLOOKUP($F71,$F$24:$BZ$44,AW$2-$E$2,FALSE)*$D$11*$D$14*(1+$D$13)^($F71-'הנחות עבודה'!$C$5)/$D$11)</f>
        <v>879.96321720398294</v>
      </c>
      <c r="AX71" s="55">
        <f ca="1">IF($F71&gt;$D$5,0,VLOOKUP($F71,$F$24:$BZ$44,AX$2-$E$2,FALSE)*$D$11*$D$14*(1+$D$13)^($F71-'הנחות עבודה'!$C$5)/$D$11)</f>
        <v>3270.223232252356</v>
      </c>
      <c r="AY71" s="55">
        <f ca="1">IF($F71&gt;$D$5,0,VLOOKUP($F71,$F$24:$BZ$44,AY$2-$E$2,FALSE)*$D$11*$D$14*(1+$D$13)^($F71-'הנחות עבודה'!$C$5)/$D$11)</f>
        <v>0</v>
      </c>
      <c r="AZ71" s="55">
        <f ca="1">IF($F71&gt;$D$5,0,VLOOKUP($F71,$F$24:$BZ$44,AZ$2-$E$2,FALSE)*$D$11*$D$14*(1+$D$13)^($F71-'הנחות עבודה'!$C$5)/$D$11)</f>
        <v>0</v>
      </c>
      <c r="BA71" s="55">
        <f ca="1">IF($F71&gt;$D$5,0,VLOOKUP($F71,$F$24:$BZ$44,BA$2-$E$2,FALSE)*$D$11*$D$14*(1+$D$13)^($F71-'הנחות עבודה'!$C$5)/$D$11)</f>
        <v>0</v>
      </c>
      <c r="BB71" s="55">
        <f ca="1">IF($F71&gt;$D$5,0,VLOOKUP($F71,$F$24:$BZ$44,BB$2-$E$2,FALSE)*$D$11*$D$14*(1+$D$13)^($F71-'הנחות עבודה'!$C$5)/$D$11)</f>
        <v>0</v>
      </c>
      <c r="BC71" s="45">
        <f ca="1">IF($F71&gt;$D$5,0,VLOOKUP($F71,$F$24:$BZ$44,BC$2-$E$2,FALSE)*$D$11*$D$14*(1+$D$13)^($F71-'הנחות עבודה'!$C$5)/$D$11)</f>
        <v>0</v>
      </c>
      <c r="BD71" s="47">
        <f ca="1">IF($F71&gt;$D$5,0,VLOOKUP($F71,$F$24:$BZ$44,BD$2-$E$2,FALSE)*$D$11*$D$14*(1+$D$13)^($F71-'הנחות עבודה'!$C$5)/$D$11)</f>
        <v>0</v>
      </c>
      <c r="BE71" s="47">
        <f ca="1">IF($F71&gt;$D$5,0,VLOOKUP($F71,$F$24:$BZ$44,BE$2-$E$2,FALSE)*$D$11*$D$14*(1+$D$13)^($F71-'הנחות עבודה'!$C$5)/$D$11)</f>
        <v>0</v>
      </c>
      <c r="BF71" s="47">
        <f ca="1">IF($F71&gt;$D$5,0,VLOOKUP($F71,$F$24:$BZ$44,BF$2-$E$2,FALSE)*$D$11*$D$14*(1+$D$13)^($F71-'הנחות עבודה'!$C$5)/$D$11)</f>
        <v>0</v>
      </c>
      <c r="BG71" s="47">
        <f ca="1">IF($F71&gt;$D$5,0,VLOOKUP($F71,$F$24:$BZ$44,BG$2-$E$2,FALSE)*$D$11*$D$14*(1+$D$13)^($F71-'הנחות עבודה'!$C$5)/$D$11)</f>
        <v>0</v>
      </c>
      <c r="BH71" s="47">
        <f ca="1">IF($F71&gt;$D$5,0,VLOOKUP($F71,$F$24:$BZ$44,BH$2-$E$2,FALSE)*$D$11*$D$14*(1+$D$13)^($F71-'הנחות עבודה'!$C$5)/$D$11)</f>
        <v>0</v>
      </c>
      <c r="BI71" s="45">
        <f ca="1">IF($F71&gt;$D$5,0,VLOOKUP($F71,$F$24:$BZ$44,BI$2-$E$2,FALSE)*$D$11*$D$14*(1+$D$13)^($F71-'הנחות עבודה'!$C$5)/$D$11)</f>
        <v>901.46636167613326</v>
      </c>
      <c r="BJ71" s="45">
        <f ca="1">IF($F71&gt;$D$5,0,VLOOKUP($F71,$F$24:$BZ$44,BJ$2-$E$2,FALSE)*$D$11*$D$14*(1+$D$13)^($F71-'הנחות עבודה'!$C$5)/$D$11)</f>
        <v>3091.4375864715112</v>
      </c>
      <c r="BK71" s="45">
        <f ca="1">IF($F71&gt;$D$5,0,VLOOKUP($F71,$F$24:$BZ$44,BK$2-$E$2,FALSE)*$D$11*$D$14*(1+$D$13)^($F71-'הנחות עבודה'!$C$5)/$D$11)</f>
        <v>0</v>
      </c>
      <c r="BL71" s="45">
        <f ca="1">IF($F71&gt;$D$5,0,VLOOKUP($F71,$F$24:$BZ$44,BL$2-$E$2,FALSE)*$D$11*$D$14*(1+$D$13)^($F71-'הנחות עבודה'!$C$5)/$D$11)</f>
        <v>0</v>
      </c>
      <c r="BM71" s="45">
        <f ca="1">IF($F71&gt;$D$5,0,VLOOKUP($F71,$F$24:$BZ$44,BM$2-$E$2,FALSE)*$D$11*$D$14*(1+$D$13)^($F71-'הנחות עבודה'!$C$5)/$D$11)</f>
        <v>0</v>
      </c>
      <c r="BN71" s="45">
        <f ca="1">IF($F71&gt;$D$5,0,VLOOKUP($F71,$F$24:$BZ$44,BN$2-$E$2,FALSE)*$D$11*$D$14*(1+$D$13)^($F71-'הנחות עבודה'!$C$5)/$D$11)</f>
        <v>0</v>
      </c>
      <c r="BO71" s="55">
        <f ca="1">IF($F71&gt;$D$5,0,VLOOKUP($F71,$F$24:$BZ$44,BO$2-$E$2,FALSE)*$D$11*$D$14*(1+$D$13)^($F71-'הנחות עבודה'!$C$5)/$D$11)</f>
        <v>0</v>
      </c>
      <c r="BP71" s="128">
        <f ca="1">IF($F71&gt;$D$5,0,VLOOKUP($F71,$F$24:$BZ$44,BP$2-$E$2,FALSE)*$D$11*$D$14*(1+$D$13)^($F71-'הנחות עבודה'!$C$5)/$D$11)</f>
        <v>0</v>
      </c>
      <c r="BQ71" s="128">
        <f ca="1">IF($F71&gt;$D$5,0,VLOOKUP($F71,$F$24:$BZ$44,BQ$2-$E$2,FALSE)*$D$11*$D$14*(1+$D$13)^($F71-'הנחות עבודה'!$C$5)/$D$11)</f>
        <v>0</v>
      </c>
      <c r="BR71" s="128">
        <f ca="1">IF($F71&gt;$D$5,0,VLOOKUP($F71,$F$24:$BZ$44,BR$2-$E$2,FALSE)*$D$11*$D$14*(1+$D$13)^($F71-'הנחות עבודה'!$C$5)/$D$11)</f>
        <v>0</v>
      </c>
      <c r="BS71" s="128">
        <f ca="1">IF($F71&gt;$D$5,0,VLOOKUP($F71,$F$24:$BZ$44,BS$2-$E$2,FALSE)*$D$11*$D$14*(1+$D$13)^($F71-'הנחות עבודה'!$C$5)/$D$11)</f>
        <v>0</v>
      </c>
      <c r="BT71" s="128">
        <f ca="1">IF($F71&gt;$D$5,0,VLOOKUP($F71,$F$24:$BZ$44,BT$2-$E$2,FALSE)*$D$11*$D$14*(1+$D$13)^($F71-'הנחות עבודה'!$C$5)/$D$11)</f>
        <v>0</v>
      </c>
      <c r="BU71" s="55">
        <f ca="1">IF($F71&gt;$D$5,0,VLOOKUP($F71,$F$24:$BZ$44,BU$2-$E$2,FALSE)*$D$11*$D$14*(1+$D$13)^($F71-'הנחות עבודה'!$C$5)/$D$11)</f>
        <v>901.46636167613326</v>
      </c>
      <c r="BV71" s="55">
        <f ca="1">IF($F71&gt;$D$5,0,VLOOKUP($F71,$F$24:$BZ$44,BV$2-$E$2,FALSE)*$D$11*$D$14*(1+$D$13)^($F71-'הנחות עבודה'!$C$5)/$D$11)</f>
        <v>3091.4375864715112</v>
      </c>
      <c r="BW71" s="55">
        <f ca="1">IF($F71&gt;$D$5,0,VLOOKUP($F71,$F$24:$BZ$44,BW$2-$E$2,FALSE)*$D$11*$D$14*(1+$D$13)^($F71-'הנחות עבודה'!$C$5)/$D$11)</f>
        <v>0</v>
      </c>
      <c r="BX71" s="55">
        <f ca="1">IF($F71&gt;$D$5,0,VLOOKUP($F71,$F$24:$BZ$44,BX$2-$E$2,FALSE)*$D$11*$D$14*(1+$D$13)^($F71-'הנחות עבודה'!$C$5)/$D$11)</f>
        <v>0</v>
      </c>
      <c r="BY71" s="55">
        <f ca="1">IF($F71&gt;$D$5,0,VLOOKUP($F71,$F$24:$BZ$44,BY$2-$E$2,FALSE)*$D$11*$D$14*(1+$D$13)^($F71-'הנחות עבודה'!$C$5)/$D$11)</f>
        <v>0</v>
      </c>
      <c r="BZ71" s="55">
        <f ca="1">IF($F71&gt;$D$5,0,VLOOKUP($F71,$F$24:$BZ$44,BZ$2-$E$2,FALSE)*$D$11*$D$14*(1+$D$13)^($F71-'הנחות עבודה'!$C$5)/$D$11)</f>
        <v>0</v>
      </c>
    </row>
    <row r="72" spans="6:78" ht="16.5" thickBot="1">
      <c r="F72" s="349" t="s">
        <v>27</v>
      </c>
      <c r="G72" s="65">
        <f t="shared" ref="G72:BU72" ca="1" si="126">SUM(G51:G71)</f>
        <v>0</v>
      </c>
      <c r="H72" s="65">
        <f t="shared" ca="1" si="126"/>
        <v>0</v>
      </c>
      <c r="I72" s="65">
        <f t="shared" ca="1" si="126"/>
        <v>0</v>
      </c>
      <c r="J72" s="65">
        <f t="shared" ca="1" si="126"/>
        <v>0</v>
      </c>
      <c r="K72" s="65">
        <f t="shared" ca="1" si="126"/>
        <v>0</v>
      </c>
      <c r="L72" s="65">
        <f t="shared" ca="1" si="126"/>
        <v>0</v>
      </c>
      <c r="M72" s="65">
        <f t="shared" ca="1" si="126"/>
        <v>10287.76860919297</v>
      </c>
      <c r="N72" s="65">
        <f t="shared" ref="N72:R72" ca="1" si="127">SUM(N51:N71)</f>
        <v>40784.326274674757</v>
      </c>
      <c r="O72" s="65">
        <f t="shared" ca="1" si="127"/>
        <v>0</v>
      </c>
      <c r="P72" s="65">
        <f t="shared" ca="1" si="127"/>
        <v>0</v>
      </c>
      <c r="Q72" s="65">
        <f t="shared" ca="1" si="127"/>
        <v>3615.3479267706111</v>
      </c>
      <c r="R72" s="65">
        <f t="shared" ca="1" si="127"/>
        <v>0</v>
      </c>
      <c r="S72" s="76">
        <f t="shared" ca="1" si="126"/>
        <v>0</v>
      </c>
      <c r="T72" s="76">
        <f t="shared" ca="1" si="126"/>
        <v>0</v>
      </c>
      <c r="U72" s="76">
        <f t="shared" ca="1" si="126"/>
        <v>0</v>
      </c>
      <c r="V72" s="76">
        <f t="shared" ca="1" si="126"/>
        <v>0</v>
      </c>
      <c r="W72" s="76">
        <f t="shared" ca="1" si="126"/>
        <v>0</v>
      </c>
      <c r="X72" s="76">
        <f t="shared" ca="1" si="126"/>
        <v>0</v>
      </c>
      <c r="Y72" s="76">
        <f t="shared" ca="1" si="126"/>
        <v>10287.76860919297</v>
      </c>
      <c r="Z72" s="76">
        <f t="shared" ref="Z72:AD72" ca="1" si="128">SUM(Z51:Z71)</f>
        <v>40784.326274674757</v>
      </c>
      <c r="AA72" s="76">
        <f t="shared" ca="1" si="128"/>
        <v>0</v>
      </c>
      <c r="AB72" s="76">
        <f t="shared" ca="1" si="128"/>
        <v>0</v>
      </c>
      <c r="AC72" s="76">
        <f t="shared" ca="1" si="128"/>
        <v>3615.3479267706111</v>
      </c>
      <c r="AD72" s="76">
        <f t="shared" ca="1" si="128"/>
        <v>0</v>
      </c>
      <c r="AE72" s="65">
        <f t="shared" ref="AE72:BB72" ca="1" si="129">SUM(AE51:AE71)</f>
        <v>0</v>
      </c>
      <c r="AF72" s="65">
        <f t="shared" ca="1" si="129"/>
        <v>0</v>
      </c>
      <c r="AG72" s="65">
        <f t="shared" ca="1" si="129"/>
        <v>0</v>
      </c>
      <c r="AH72" s="65">
        <f t="shared" ca="1" si="129"/>
        <v>0</v>
      </c>
      <c r="AI72" s="65">
        <f t="shared" ca="1" si="129"/>
        <v>0</v>
      </c>
      <c r="AJ72" s="65">
        <f t="shared" ca="1" si="129"/>
        <v>0</v>
      </c>
      <c r="AK72" s="65">
        <f t="shared" ca="1" si="129"/>
        <v>10701.444370848476</v>
      </c>
      <c r="AL72" s="65">
        <f t="shared" ca="1" si="129"/>
        <v>37169.020635204142</v>
      </c>
      <c r="AM72" s="65">
        <f t="shared" ca="1" si="129"/>
        <v>0</v>
      </c>
      <c r="AN72" s="65">
        <f t="shared" ca="1" si="129"/>
        <v>0</v>
      </c>
      <c r="AO72" s="65">
        <f t="shared" ca="1" si="129"/>
        <v>3613.8025620269177</v>
      </c>
      <c r="AP72" s="65">
        <f t="shared" ca="1" si="129"/>
        <v>0</v>
      </c>
      <c r="AQ72" s="76">
        <f t="shared" ca="1" si="129"/>
        <v>0</v>
      </c>
      <c r="AR72" s="76">
        <f t="shared" ca="1" si="129"/>
        <v>0</v>
      </c>
      <c r="AS72" s="76">
        <f t="shared" ca="1" si="129"/>
        <v>0</v>
      </c>
      <c r="AT72" s="76">
        <f t="shared" ca="1" si="129"/>
        <v>0</v>
      </c>
      <c r="AU72" s="76">
        <f t="shared" ca="1" si="129"/>
        <v>0</v>
      </c>
      <c r="AV72" s="76">
        <f t="shared" ca="1" si="129"/>
        <v>0</v>
      </c>
      <c r="AW72" s="76">
        <f t="shared" ca="1" si="129"/>
        <v>10701.444370848476</v>
      </c>
      <c r="AX72" s="76">
        <f t="shared" ca="1" si="129"/>
        <v>37169.020635204142</v>
      </c>
      <c r="AY72" s="76">
        <f t="shared" ca="1" si="129"/>
        <v>0</v>
      </c>
      <c r="AZ72" s="76">
        <f t="shared" ca="1" si="129"/>
        <v>0</v>
      </c>
      <c r="BA72" s="76">
        <f t="shared" ca="1" si="129"/>
        <v>3613.8025620269177</v>
      </c>
      <c r="BB72" s="76">
        <f t="shared" ca="1" si="129"/>
        <v>0</v>
      </c>
      <c r="BC72" s="65">
        <f t="shared" ca="1" si="126"/>
        <v>0</v>
      </c>
      <c r="BD72" s="65">
        <f t="shared" ca="1" si="126"/>
        <v>0</v>
      </c>
      <c r="BE72" s="65">
        <f t="shared" ca="1" si="126"/>
        <v>0</v>
      </c>
      <c r="BF72" s="65">
        <f t="shared" ca="1" si="126"/>
        <v>0</v>
      </c>
      <c r="BG72" s="65">
        <f t="shared" ca="1" si="126"/>
        <v>0</v>
      </c>
      <c r="BH72" s="65">
        <f t="shared" ca="1" si="126"/>
        <v>0</v>
      </c>
      <c r="BI72" s="65">
        <f t="shared" ca="1" si="126"/>
        <v>10924.694566448163</v>
      </c>
      <c r="BJ72" s="65">
        <f t="shared" ref="BJ72:BN72" ca="1" si="130">SUM(BJ51:BJ71)</f>
        <v>34974.66466559493</v>
      </c>
      <c r="BK72" s="65">
        <f t="shared" ca="1" si="130"/>
        <v>0</v>
      </c>
      <c r="BL72" s="65">
        <f t="shared" ca="1" si="130"/>
        <v>0</v>
      </c>
      <c r="BM72" s="65">
        <f t="shared" ca="1" si="130"/>
        <v>3613.2668681935093</v>
      </c>
      <c r="BN72" s="65">
        <f t="shared" ca="1" si="130"/>
        <v>0</v>
      </c>
      <c r="BO72" s="76">
        <f t="shared" ca="1" si="126"/>
        <v>0</v>
      </c>
      <c r="BP72" s="76">
        <f t="shared" ca="1" si="126"/>
        <v>0</v>
      </c>
      <c r="BQ72" s="76">
        <f t="shared" ca="1" si="126"/>
        <v>0</v>
      </c>
      <c r="BR72" s="76">
        <f t="shared" ca="1" si="126"/>
        <v>0</v>
      </c>
      <c r="BS72" s="76">
        <f t="shared" ca="1" si="126"/>
        <v>0</v>
      </c>
      <c r="BT72" s="76">
        <f t="shared" ca="1" si="126"/>
        <v>0</v>
      </c>
      <c r="BU72" s="76">
        <f t="shared" ca="1" si="126"/>
        <v>10924.694566448163</v>
      </c>
      <c r="BV72" s="76">
        <f t="shared" ref="BV72:BZ72" ca="1" si="131">SUM(BV51:BV71)</f>
        <v>34974.66466559493</v>
      </c>
      <c r="BW72" s="76">
        <f t="shared" ca="1" si="131"/>
        <v>0</v>
      </c>
      <c r="BX72" s="76">
        <f t="shared" ca="1" si="131"/>
        <v>0</v>
      </c>
      <c r="BY72" s="76">
        <f t="shared" ca="1" si="131"/>
        <v>3613.2668681935093</v>
      </c>
      <c r="BZ72" s="76">
        <f t="shared" ca="1" si="131"/>
        <v>0</v>
      </c>
    </row>
    <row r="73" spans="6:78" ht="16.5" thickBot="1">
      <c r="F73" s="349" t="s">
        <v>4</v>
      </c>
      <c r="G73" s="65">
        <f ca="1">NPV($D$6,G51:G71)</f>
        <v>0</v>
      </c>
      <c r="H73" s="65">
        <f t="shared" ref="H73:BU73" ca="1" si="132">NPV($D$6,H51:H71)</f>
        <v>0</v>
      </c>
      <c r="I73" s="65">
        <f t="shared" ca="1" si="132"/>
        <v>0</v>
      </c>
      <c r="J73" s="65">
        <f t="shared" ca="1" si="132"/>
        <v>0</v>
      </c>
      <c r="K73" s="65">
        <f t="shared" ca="1" si="132"/>
        <v>0</v>
      </c>
      <c r="L73" s="65">
        <f t="shared" ca="1" si="132"/>
        <v>0</v>
      </c>
      <c r="M73" s="65">
        <f t="shared" ca="1" si="132"/>
        <v>6821.387507329734</v>
      </c>
      <c r="N73" s="65">
        <f t="shared" ref="N73:R73" ca="1" si="133">NPV($D$6,N51:N71)</f>
        <v>27891.289598496107</v>
      </c>
      <c r="O73" s="65">
        <f t="shared" ca="1" si="133"/>
        <v>0</v>
      </c>
      <c r="P73" s="65">
        <f t="shared" ca="1" si="133"/>
        <v>0</v>
      </c>
      <c r="Q73" s="65">
        <f t="shared" ca="1" si="133"/>
        <v>3322.8797018212417</v>
      </c>
      <c r="R73" s="65">
        <f t="shared" ca="1" si="133"/>
        <v>0</v>
      </c>
      <c r="S73" s="76">
        <f t="shared" ca="1" si="132"/>
        <v>0</v>
      </c>
      <c r="T73" s="76">
        <f t="shared" ca="1" si="132"/>
        <v>0</v>
      </c>
      <c r="U73" s="76">
        <f t="shared" ca="1" si="132"/>
        <v>0</v>
      </c>
      <c r="V73" s="76">
        <f t="shared" ca="1" si="132"/>
        <v>0</v>
      </c>
      <c r="W73" s="76">
        <f t="shared" ca="1" si="132"/>
        <v>0</v>
      </c>
      <c r="X73" s="76">
        <f t="shared" ca="1" si="132"/>
        <v>0</v>
      </c>
      <c r="Y73" s="76">
        <f t="shared" ca="1" si="132"/>
        <v>6821.387507329734</v>
      </c>
      <c r="Z73" s="76">
        <f t="shared" ref="Z73:AD73" ca="1" si="134">NPV($D$6,Z51:Z71)</f>
        <v>27891.289598496107</v>
      </c>
      <c r="AA73" s="76">
        <f t="shared" ca="1" si="134"/>
        <v>0</v>
      </c>
      <c r="AB73" s="76">
        <f t="shared" ca="1" si="134"/>
        <v>0</v>
      </c>
      <c r="AC73" s="76">
        <f t="shared" ca="1" si="134"/>
        <v>3322.8797018212417</v>
      </c>
      <c r="AD73" s="76">
        <f t="shared" ca="1" si="134"/>
        <v>0</v>
      </c>
      <c r="AE73" s="65">
        <f t="shared" ref="AE73:BB73" ca="1" si="135">NPV($D$6,AE51:AE71)</f>
        <v>0</v>
      </c>
      <c r="AF73" s="65">
        <f t="shared" ca="1" si="135"/>
        <v>0</v>
      </c>
      <c r="AG73" s="65">
        <f t="shared" ca="1" si="135"/>
        <v>0</v>
      </c>
      <c r="AH73" s="65">
        <f t="shared" ca="1" si="135"/>
        <v>0</v>
      </c>
      <c r="AI73" s="65">
        <f t="shared" ca="1" si="135"/>
        <v>0</v>
      </c>
      <c r="AJ73" s="65">
        <f t="shared" ca="1" si="135"/>
        <v>0</v>
      </c>
      <c r="AK73" s="65">
        <f t="shared" ca="1" si="135"/>
        <v>7079.0577407483161</v>
      </c>
      <c r="AL73" s="65">
        <f t="shared" ca="1" si="135"/>
        <v>25503.090095566258</v>
      </c>
      <c r="AM73" s="65">
        <f t="shared" ca="1" si="135"/>
        <v>0</v>
      </c>
      <c r="AN73" s="65">
        <f t="shared" ca="1" si="135"/>
        <v>0</v>
      </c>
      <c r="AO73" s="65">
        <f t="shared" ca="1" si="135"/>
        <v>3321.5488631639391</v>
      </c>
      <c r="AP73" s="65">
        <f t="shared" ca="1" si="135"/>
        <v>0</v>
      </c>
      <c r="AQ73" s="76">
        <f t="shared" ca="1" si="135"/>
        <v>0</v>
      </c>
      <c r="AR73" s="76">
        <f t="shared" ca="1" si="135"/>
        <v>0</v>
      </c>
      <c r="AS73" s="76">
        <f t="shared" ca="1" si="135"/>
        <v>0</v>
      </c>
      <c r="AT73" s="76">
        <f t="shared" ca="1" si="135"/>
        <v>0</v>
      </c>
      <c r="AU73" s="76">
        <f t="shared" ca="1" si="135"/>
        <v>0</v>
      </c>
      <c r="AV73" s="76">
        <f t="shared" ca="1" si="135"/>
        <v>0</v>
      </c>
      <c r="AW73" s="76">
        <f t="shared" ca="1" si="135"/>
        <v>7079.0577407483161</v>
      </c>
      <c r="AX73" s="76">
        <f t="shared" ca="1" si="135"/>
        <v>25503.090095566258</v>
      </c>
      <c r="AY73" s="76">
        <f t="shared" ca="1" si="135"/>
        <v>0</v>
      </c>
      <c r="AZ73" s="76">
        <f t="shared" ca="1" si="135"/>
        <v>0</v>
      </c>
      <c r="BA73" s="76">
        <f t="shared" ca="1" si="135"/>
        <v>3321.5488631639391</v>
      </c>
      <c r="BB73" s="76">
        <f t="shared" ca="1" si="135"/>
        <v>0</v>
      </c>
      <c r="BC73" s="65">
        <f t="shared" ca="1" si="132"/>
        <v>0</v>
      </c>
      <c r="BD73" s="65">
        <f t="shared" ca="1" si="132"/>
        <v>0</v>
      </c>
      <c r="BE73" s="65">
        <f t="shared" ca="1" si="132"/>
        <v>0</v>
      </c>
      <c r="BF73" s="65">
        <f t="shared" ca="1" si="132"/>
        <v>0</v>
      </c>
      <c r="BG73" s="65">
        <f t="shared" ca="1" si="132"/>
        <v>0</v>
      </c>
      <c r="BH73" s="65">
        <f t="shared" ca="1" si="132"/>
        <v>0</v>
      </c>
      <c r="BI73" s="65">
        <f t="shared" ca="1" si="132"/>
        <v>7222.259901412127</v>
      </c>
      <c r="BJ73" s="65">
        <f t="shared" ref="BJ73:BN73" ca="1" si="136">NPV($D$6,BJ51:BJ71)</f>
        <v>24056.779045525505</v>
      </c>
      <c r="BK73" s="65">
        <f t="shared" ca="1" si="136"/>
        <v>0</v>
      </c>
      <c r="BL73" s="65">
        <f t="shared" ca="1" si="136"/>
        <v>0</v>
      </c>
      <c r="BM73" s="65">
        <f t="shared" ca="1" si="136"/>
        <v>3321.0921804599261</v>
      </c>
      <c r="BN73" s="65">
        <f t="shared" ca="1" si="136"/>
        <v>0</v>
      </c>
      <c r="BO73" s="76">
        <f t="shared" ca="1" si="132"/>
        <v>0</v>
      </c>
      <c r="BP73" s="76">
        <f t="shared" ca="1" si="132"/>
        <v>0</v>
      </c>
      <c r="BQ73" s="76">
        <f t="shared" ca="1" si="132"/>
        <v>0</v>
      </c>
      <c r="BR73" s="76">
        <f t="shared" ca="1" si="132"/>
        <v>0</v>
      </c>
      <c r="BS73" s="76">
        <f t="shared" ca="1" si="132"/>
        <v>0</v>
      </c>
      <c r="BT73" s="76">
        <f t="shared" ca="1" si="132"/>
        <v>0</v>
      </c>
      <c r="BU73" s="76">
        <f t="shared" ca="1" si="132"/>
        <v>7222.259901412127</v>
      </c>
      <c r="BV73" s="76">
        <f t="shared" ref="BV73:BZ73" ca="1" si="137">NPV($D$6,BV51:BV71)</f>
        <v>24056.779045525505</v>
      </c>
      <c r="BW73" s="76">
        <f t="shared" ca="1" si="137"/>
        <v>0</v>
      </c>
      <c r="BX73" s="76">
        <f t="shared" ca="1" si="137"/>
        <v>0</v>
      </c>
      <c r="BY73" s="76">
        <f t="shared" ca="1" si="137"/>
        <v>3321.0921804599261</v>
      </c>
      <c r="BZ73" s="76">
        <f t="shared" ca="1" si="137"/>
        <v>0</v>
      </c>
    </row>
    <row r="74" spans="6:78" ht="16.5" thickBot="1">
      <c r="F74" s="349" t="s">
        <v>27</v>
      </c>
      <c r="G74" s="1306">
        <f ca="1">SUM(G72:R72)</f>
        <v>54687.442810638342</v>
      </c>
      <c r="H74" s="1307"/>
      <c r="I74" s="1307"/>
      <c r="J74" s="1307"/>
      <c r="K74" s="1307"/>
      <c r="L74" s="1307"/>
      <c r="M74" s="1307"/>
      <c r="N74" s="1307"/>
      <c r="O74" s="1307"/>
      <c r="P74" s="1307"/>
      <c r="Q74" s="1307"/>
      <c r="R74" s="1308"/>
      <c r="S74" s="1306">
        <f ca="1">SUM(S72:AD72)</f>
        <v>54687.442810638342</v>
      </c>
      <c r="T74" s="1307"/>
      <c r="U74" s="1307"/>
      <c r="V74" s="1307"/>
      <c r="W74" s="1307"/>
      <c r="X74" s="1307"/>
      <c r="Y74" s="1307"/>
      <c r="Z74" s="1307"/>
      <c r="AA74" s="1307"/>
      <c r="AB74" s="1307"/>
      <c r="AC74" s="1307"/>
      <c r="AD74" s="1308"/>
      <c r="AE74" s="1306">
        <f t="shared" ref="AE74:AE75" ca="1" si="138">SUM(AE72:AP72)</f>
        <v>51484.267568079536</v>
      </c>
      <c r="AF74" s="1307"/>
      <c r="AG74" s="1307"/>
      <c r="AH74" s="1307"/>
      <c r="AI74" s="1307"/>
      <c r="AJ74" s="1307"/>
      <c r="AK74" s="1307"/>
      <c r="AL74" s="1307"/>
      <c r="AM74" s="1307"/>
      <c r="AN74" s="1307"/>
      <c r="AO74" s="1307"/>
      <c r="AP74" s="1308"/>
      <c r="AQ74" s="1306">
        <f t="shared" ref="AQ74:AQ75" ca="1" si="139">SUM(AQ72:BB72)</f>
        <v>51484.267568079536</v>
      </c>
      <c r="AR74" s="1307"/>
      <c r="AS74" s="1307"/>
      <c r="AT74" s="1307"/>
      <c r="AU74" s="1307"/>
      <c r="AV74" s="1307"/>
      <c r="AW74" s="1307"/>
      <c r="AX74" s="1307"/>
      <c r="AY74" s="1307"/>
      <c r="AZ74" s="1307"/>
      <c r="BA74" s="1307"/>
      <c r="BB74" s="1308"/>
      <c r="BC74" s="1306">
        <f ca="1">SUM(BC72:BN72)</f>
        <v>49512.626100236601</v>
      </c>
      <c r="BD74" s="1307"/>
      <c r="BE74" s="1307"/>
      <c r="BF74" s="1307"/>
      <c r="BG74" s="1307"/>
      <c r="BH74" s="1307"/>
      <c r="BI74" s="1307"/>
      <c r="BJ74" s="1307"/>
      <c r="BK74" s="1307"/>
      <c r="BL74" s="1307"/>
      <c r="BM74" s="1307"/>
      <c r="BN74" s="1308"/>
      <c r="BO74" s="1306">
        <f ca="1">SUM(BO72:BZ72)</f>
        <v>49512.626100236601</v>
      </c>
      <c r="BP74" s="1307"/>
      <c r="BQ74" s="1307"/>
      <c r="BR74" s="1307"/>
      <c r="BS74" s="1307"/>
      <c r="BT74" s="1307"/>
      <c r="BU74" s="1307"/>
      <c r="BV74" s="1307"/>
      <c r="BW74" s="1307"/>
      <c r="BX74" s="1307"/>
      <c r="BY74" s="1307"/>
      <c r="BZ74" s="1308"/>
    </row>
    <row r="75" spans="6:78" ht="16.5" thickBot="1">
      <c r="F75" s="349" t="s">
        <v>4</v>
      </c>
      <c r="G75" s="1309">
        <f ca="1">SUM(G73:R73)</f>
        <v>38035.556807647081</v>
      </c>
      <c r="H75" s="1310"/>
      <c r="I75" s="1310"/>
      <c r="J75" s="1310"/>
      <c r="K75" s="1310"/>
      <c r="L75" s="1310"/>
      <c r="M75" s="1310"/>
      <c r="N75" s="1310"/>
      <c r="O75" s="1310"/>
      <c r="P75" s="1310"/>
      <c r="Q75" s="1310"/>
      <c r="R75" s="1311"/>
      <c r="S75" s="1309">
        <f ca="1">SUM(S73:AD73)</f>
        <v>38035.556807647081</v>
      </c>
      <c r="T75" s="1310"/>
      <c r="U75" s="1310"/>
      <c r="V75" s="1310"/>
      <c r="W75" s="1310"/>
      <c r="X75" s="1310"/>
      <c r="Y75" s="1310"/>
      <c r="Z75" s="1310"/>
      <c r="AA75" s="1310"/>
      <c r="AB75" s="1310"/>
      <c r="AC75" s="1310"/>
      <c r="AD75" s="1311"/>
      <c r="AE75" s="1309">
        <f t="shared" ca="1" si="138"/>
        <v>35903.696699478511</v>
      </c>
      <c r="AF75" s="1310"/>
      <c r="AG75" s="1310"/>
      <c r="AH75" s="1310"/>
      <c r="AI75" s="1310"/>
      <c r="AJ75" s="1310"/>
      <c r="AK75" s="1310"/>
      <c r="AL75" s="1310"/>
      <c r="AM75" s="1310"/>
      <c r="AN75" s="1310"/>
      <c r="AO75" s="1310"/>
      <c r="AP75" s="1311"/>
      <c r="AQ75" s="1309">
        <f t="shared" ca="1" si="139"/>
        <v>35903.696699478511</v>
      </c>
      <c r="AR75" s="1310"/>
      <c r="AS75" s="1310"/>
      <c r="AT75" s="1310"/>
      <c r="AU75" s="1310"/>
      <c r="AV75" s="1310"/>
      <c r="AW75" s="1310"/>
      <c r="AX75" s="1310"/>
      <c r="AY75" s="1310"/>
      <c r="AZ75" s="1310"/>
      <c r="BA75" s="1310"/>
      <c r="BB75" s="1311"/>
      <c r="BC75" s="1309">
        <f ca="1">SUM(BC73:BN73)</f>
        <v>34600.131127397559</v>
      </c>
      <c r="BD75" s="1310"/>
      <c r="BE75" s="1310"/>
      <c r="BF75" s="1310"/>
      <c r="BG75" s="1310"/>
      <c r="BH75" s="1310"/>
      <c r="BI75" s="1310"/>
      <c r="BJ75" s="1310"/>
      <c r="BK75" s="1310"/>
      <c r="BL75" s="1310"/>
      <c r="BM75" s="1310"/>
      <c r="BN75" s="1311"/>
      <c r="BO75" s="1309">
        <f ca="1">SUM(BO73:BZ73)</f>
        <v>34600.131127397559</v>
      </c>
      <c r="BP75" s="1310"/>
      <c r="BQ75" s="1310"/>
      <c r="BR75" s="1310"/>
      <c r="BS75" s="1310"/>
      <c r="BT75" s="1310"/>
      <c r="BU75" s="1310"/>
      <c r="BV75" s="1310"/>
      <c r="BW75" s="1310"/>
      <c r="BX75" s="1310"/>
      <c r="BY75" s="1310"/>
      <c r="BZ75" s="1311"/>
    </row>
  </sheetData>
  <mergeCells count="34">
    <mergeCell ref="G49:R49"/>
    <mergeCell ref="S49:AD49"/>
    <mergeCell ref="BC49:BN49"/>
    <mergeCell ref="BO49:BZ49"/>
    <mergeCell ref="B6:B11"/>
    <mergeCell ref="F17:R17"/>
    <mergeCell ref="G21:BZ21"/>
    <mergeCell ref="G22:R22"/>
    <mergeCell ref="S22:AD22"/>
    <mergeCell ref="BC22:BN22"/>
    <mergeCell ref="BO22:BZ22"/>
    <mergeCell ref="G46:R46"/>
    <mergeCell ref="S46:AD46"/>
    <mergeCell ref="BC46:BN46"/>
    <mergeCell ref="BO46:BZ46"/>
    <mergeCell ref="G48:BZ48"/>
    <mergeCell ref="G74:R74"/>
    <mergeCell ref="S74:AD74"/>
    <mergeCell ref="BC74:BN74"/>
    <mergeCell ref="BO74:BZ74"/>
    <mergeCell ref="G75:R75"/>
    <mergeCell ref="S75:AD75"/>
    <mergeCell ref="BC75:BN75"/>
    <mergeCell ref="BO75:BZ75"/>
    <mergeCell ref="AE74:AP74"/>
    <mergeCell ref="AQ74:BB74"/>
    <mergeCell ref="AE75:AP75"/>
    <mergeCell ref="AQ75:BB75"/>
    <mergeCell ref="AE22:AP22"/>
    <mergeCell ref="AQ22:BB22"/>
    <mergeCell ref="AE49:AP49"/>
    <mergeCell ref="AQ49:BB49"/>
    <mergeCell ref="AE46:AP46"/>
    <mergeCell ref="AQ46:BB46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0000000}">
          <x14:formula1>
            <xm:f>'הנחות עבודה'!$L$39:$L$42</xm:f>
          </x14:formula1>
          <xm:sqref>F19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K75"/>
  <sheetViews>
    <sheetView rightToLeft="1" topLeftCell="E14" zoomScale="55" zoomScaleNormal="55" workbookViewId="0">
      <selection activeCell="F34" sqref="F34"/>
    </sheetView>
  </sheetViews>
  <sheetFormatPr defaultColWidth="10.42578125" defaultRowHeight="15"/>
  <cols>
    <col min="1" max="1" width="2.28515625" bestFit="1" customWidth="1"/>
    <col min="2" max="2" width="22.7109375" bestFit="1" customWidth="1"/>
    <col min="3" max="3" width="31.140625" bestFit="1" customWidth="1"/>
    <col min="4" max="4" width="15.7109375" bestFit="1" customWidth="1"/>
    <col min="5" max="5" width="2.28515625" bestFit="1" customWidth="1"/>
    <col min="6" max="6" width="9.140625" bestFit="1" customWidth="1"/>
    <col min="7" max="7" width="19.140625" bestFit="1" customWidth="1"/>
    <col min="8" max="8" width="11.28515625" bestFit="1" customWidth="1"/>
    <col min="9" max="9" width="5.28515625" bestFit="1" customWidth="1"/>
    <col min="10" max="10" width="14.140625" customWidth="1"/>
    <col min="11" max="11" width="6.7109375" bestFit="1" customWidth="1"/>
    <col min="12" max="12" width="10.28515625" bestFit="1" customWidth="1"/>
    <col min="13" max="13" width="17.140625" bestFit="1" customWidth="1"/>
    <col min="14" max="14" width="17.140625" customWidth="1"/>
    <col min="15" max="15" width="15.7109375" bestFit="1" customWidth="1"/>
    <col min="16" max="16" width="11.7109375" bestFit="1" customWidth="1"/>
    <col min="17" max="17" width="15.7109375" bestFit="1" customWidth="1"/>
    <col min="18" max="18" width="5.28515625" bestFit="1" customWidth="1"/>
    <col min="19" max="20" width="11.28515625" bestFit="1" customWidth="1"/>
    <col min="21" max="21" width="5.28515625" bestFit="1" customWidth="1"/>
    <col min="22" max="22" width="12" bestFit="1" customWidth="1"/>
    <col min="23" max="23" width="11.5703125" bestFit="1" customWidth="1"/>
    <col min="24" max="24" width="10.140625" bestFit="1" customWidth="1"/>
    <col min="25" max="25" width="13.42578125" bestFit="1" customWidth="1"/>
    <col min="26" max="26" width="13.42578125" customWidth="1"/>
    <col min="27" max="27" width="14.140625" bestFit="1" customWidth="1"/>
    <col min="28" max="28" width="11.5703125" bestFit="1" customWidth="1"/>
    <col min="29" max="29" width="12.7109375" bestFit="1" customWidth="1"/>
    <col min="30" max="30" width="5.28515625" bestFit="1" customWidth="1"/>
    <col min="31" max="54" width="5.28515625" customWidth="1"/>
    <col min="55" max="56" width="11.28515625" bestFit="1" customWidth="1"/>
    <col min="57" max="57" width="5.28515625" bestFit="1" customWidth="1"/>
    <col min="58" max="58" width="12" bestFit="1" customWidth="1"/>
    <col min="59" max="59" width="11.5703125" bestFit="1" customWidth="1"/>
    <col min="60" max="60" width="10.140625" bestFit="1" customWidth="1"/>
    <col min="61" max="61" width="11.7109375" bestFit="1" customWidth="1"/>
    <col min="62" max="62" width="11.7109375" customWidth="1"/>
    <col min="63" max="63" width="10.7109375" bestFit="1" customWidth="1"/>
    <col min="64" max="64" width="11" bestFit="1" customWidth="1"/>
    <col min="65" max="65" width="12.28515625" bestFit="1" customWidth="1"/>
    <col min="66" max="66" width="5.28515625" bestFit="1" customWidth="1"/>
    <col min="67" max="68" width="11.28515625" bestFit="1" customWidth="1"/>
    <col min="69" max="69" width="5.28515625" bestFit="1" customWidth="1"/>
    <col min="70" max="70" width="12" bestFit="1" customWidth="1"/>
    <col min="71" max="71" width="11.5703125" bestFit="1" customWidth="1"/>
    <col min="72" max="72" width="10.140625" bestFit="1" customWidth="1"/>
    <col min="73" max="73" width="11.7109375" bestFit="1" customWidth="1"/>
    <col min="74" max="74" width="11.7109375" customWidth="1"/>
    <col min="75" max="75" width="10.7109375" bestFit="1" customWidth="1"/>
    <col min="76" max="76" width="11" bestFit="1" customWidth="1"/>
    <col min="77" max="77" width="12.28515625" bestFit="1" customWidth="1"/>
    <col min="78" max="78" width="5.28515625" bestFit="1" customWidth="1"/>
    <col min="79" max="89" width="3.28515625" bestFit="1" customWidth="1"/>
  </cols>
  <sheetData>
    <row r="1" spans="1:89" ht="15.75" thickBot="1"/>
    <row r="2" spans="1:89" s="3" customFormat="1" ht="16.5" thickBot="1">
      <c r="A2" s="2">
        <v>1</v>
      </c>
      <c r="B2" s="2">
        <f>+A2+1</f>
        <v>2</v>
      </c>
      <c r="C2" s="2">
        <f t="shared" ref="C2:J2" si="0">+B2+1</f>
        <v>3</v>
      </c>
      <c r="D2" s="2">
        <f t="shared" si="0"/>
        <v>4</v>
      </c>
      <c r="E2" s="2">
        <f t="shared" si="0"/>
        <v>5</v>
      </c>
      <c r="F2" s="2">
        <f t="shared" si="0"/>
        <v>6</v>
      </c>
      <c r="G2" s="2">
        <f t="shared" si="0"/>
        <v>7</v>
      </c>
      <c r="H2" s="2">
        <f t="shared" si="0"/>
        <v>8</v>
      </c>
      <c r="I2" s="2">
        <f t="shared" si="0"/>
        <v>9</v>
      </c>
      <c r="J2" s="2">
        <f t="shared" si="0"/>
        <v>10</v>
      </c>
      <c r="K2" s="2">
        <f t="shared" ref="K2" si="1">+J2+1</f>
        <v>11</v>
      </c>
      <c r="L2" s="2">
        <f t="shared" ref="L2" si="2">+K2+1</f>
        <v>12</v>
      </c>
      <c r="M2" s="2">
        <f t="shared" ref="M2" si="3">+L2+1</f>
        <v>13</v>
      </c>
      <c r="N2" s="2">
        <f t="shared" ref="N2" si="4">+M2+1</f>
        <v>14</v>
      </c>
      <c r="O2" s="2">
        <f t="shared" ref="O2" si="5">+N2+1</f>
        <v>15</v>
      </c>
      <c r="P2" s="2">
        <f t="shared" ref="P2" si="6">+O2+1</f>
        <v>16</v>
      </c>
      <c r="Q2" s="2">
        <f t="shared" ref="Q2" si="7">+P2+1</f>
        <v>17</v>
      </c>
      <c r="R2" s="2">
        <f t="shared" ref="R2" si="8">+Q2+1</f>
        <v>18</v>
      </c>
      <c r="S2" s="2">
        <f t="shared" ref="S2" si="9">+R2+1</f>
        <v>19</v>
      </c>
      <c r="T2" s="2">
        <f t="shared" ref="T2" si="10">+S2+1</f>
        <v>20</v>
      </c>
      <c r="U2" s="2">
        <f t="shared" ref="U2" si="11">+T2+1</f>
        <v>21</v>
      </c>
      <c r="V2" s="2">
        <f t="shared" ref="V2" si="12">+U2+1</f>
        <v>22</v>
      </c>
      <c r="W2" s="2">
        <f t="shared" ref="W2" si="13">+V2+1</f>
        <v>23</v>
      </c>
      <c r="X2" s="2">
        <f t="shared" ref="X2" si="14">+W2+1</f>
        <v>24</v>
      </c>
      <c r="Y2" s="2">
        <f t="shared" ref="Y2" si="15">+X2+1</f>
        <v>25</v>
      </c>
      <c r="Z2" s="2">
        <f t="shared" ref="Z2" si="16">+Y2+1</f>
        <v>26</v>
      </c>
      <c r="AA2" s="2">
        <f t="shared" ref="AA2" si="17">+Z2+1</f>
        <v>27</v>
      </c>
      <c r="AB2" s="2">
        <f t="shared" ref="AB2" si="18">+AA2+1</f>
        <v>28</v>
      </c>
      <c r="AC2" s="2">
        <f t="shared" ref="AC2" si="19">+AB2+1</f>
        <v>29</v>
      </c>
      <c r="AD2" s="2">
        <f t="shared" ref="AD2" si="20">+AC2+1</f>
        <v>30</v>
      </c>
      <c r="AE2" s="2">
        <f t="shared" ref="AE2" si="21">+AD2+1</f>
        <v>31</v>
      </c>
      <c r="AF2" s="2">
        <f t="shared" ref="AF2" si="22">+AE2+1</f>
        <v>32</v>
      </c>
      <c r="AG2" s="2">
        <f t="shared" ref="AG2" si="23">+AF2+1</f>
        <v>33</v>
      </c>
      <c r="AH2" s="2">
        <f t="shared" ref="AH2" si="24">+AG2+1</f>
        <v>34</v>
      </c>
      <c r="AI2" s="2">
        <f t="shared" ref="AI2" si="25">+AH2+1</f>
        <v>35</v>
      </c>
      <c r="AJ2" s="2">
        <f t="shared" ref="AJ2" si="26">+AI2+1</f>
        <v>36</v>
      </c>
      <c r="AK2" s="2">
        <f t="shared" ref="AK2" si="27">+AJ2+1</f>
        <v>37</v>
      </c>
      <c r="AL2" s="2">
        <f t="shared" ref="AL2" si="28">+AK2+1</f>
        <v>38</v>
      </c>
      <c r="AM2" s="2">
        <f t="shared" ref="AM2" si="29">+AL2+1</f>
        <v>39</v>
      </c>
      <c r="AN2" s="2">
        <f t="shared" ref="AN2" si="30">+AM2+1</f>
        <v>40</v>
      </c>
      <c r="AO2" s="2">
        <f t="shared" ref="AO2" si="31">+AN2+1</f>
        <v>41</v>
      </c>
      <c r="AP2" s="2">
        <f t="shared" ref="AP2" si="32">+AO2+1</f>
        <v>42</v>
      </c>
      <c r="AQ2" s="2">
        <f t="shared" ref="AQ2" si="33">+AP2+1</f>
        <v>43</v>
      </c>
      <c r="AR2" s="2">
        <f t="shared" ref="AR2" si="34">+AQ2+1</f>
        <v>44</v>
      </c>
      <c r="AS2" s="2">
        <f t="shared" ref="AS2" si="35">+AR2+1</f>
        <v>45</v>
      </c>
      <c r="AT2" s="2">
        <f t="shared" ref="AT2" si="36">+AS2+1</f>
        <v>46</v>
      </c>
      <c r="AU2" s="2">
        <f t="shared" ref="AU2" si="37">+AT2+1</f>
        <v>47</v>
      </c>
      <c r="AV2" s="2">
        <f t="shared" ref="AV2" si="38">+AU2+1</f>
        <v>48</v>
      </c>
      <c r="AW2" s="2">
        <f t="shared" ref="AW2" si="39">+AV2+1</f>
        <v>49</v>
      </c>
      <c r="AX2" s="2">
        <f t="shared" ref="AX2" si="40">+AW2+1</f>
        <v>50</v>
      </c>
      <c r="AY2" s="2">
        <f t="shared" ref="AY2" si="41">+AX2+1</f>
        <v>51</v>
      </c>
      <c r="AZ2" s="2">
        <f t="shared" ref="AZ2" si="42">+AY2+1</f>
        <v>52</v>
      </c>
      <c r="BA2" s="2">
        <f t="shared" ref="BA2" si="43">+AZ2+1</f>
        <v>53</v>
      </c>
      <c r="BB2" s="2">
        <f t="shared" ref="BB2" si="44">+BA2+1</f>
        <v>54</v>
      </c>
      <c r="BC2" s="2">
        <f t="shared" ref="BC2" si="45">+BB2+1</f>
        <v>55</v>
      </c>
      <c r="BD2" s="2">
        <f t="shared" ref="BD2" si="46">+BC2+1</f>
        <v>56</v>
      </c>
      <c r="BE2" s="2">
        <f t="shared" ref="BE2" si="47">+BD2+1</f>
        <v>57</v>
      </c>
      <c r="BF2" s="2">
        <f t="shared" ref="BF2" si="48">+BE2+1</f>
        <v>58</v>
      </c>
      <c r="BG2" s="2">
        <f t="shared" ref="BG2" si="49">+BF2+1</f>
        <v>59</v>
      </c>
      <c r="BH2" s="2">
        <f t="shared" ref="BH2" si="50">+BG2+1</f>
        <v>60</v>
      </c>
      <c r="BI2" s="2">
        <f t="shared" ref="BI2" si="51">+BH2+1</f>
        <v>61</v>
      </c>
      <c r="BJ2" s="2">
        <f t="shared" ref="BJ2" si="52">+BI2+1</f>
        <v>62</v>
      </c>
      <c r="BK2" s="2">
        <f t="shared" ref="BK2" si="53">+BJ2+1</f>
        <v>63</v>
      </c>
      <c r="BL2" s="2">
        <f t="shared" ref="BL2" si="54">+BK2+1</f>
        <v>64</v>
      </c>
      <c r="BM2" s="2">
        <f t="shared" ref="BM2" si="55">+BL2+1</f>
        <v>65</v>
      </c>
      <c r="BN2" s="2">
        <f t="shared" ref="BN2" si="56">+BM2+1</f>
        <v>66</v>
      </c>
      <c r="BO2" s="2">
        <f t="shared" ref="BO2" si="57">+BN2+1</f>
        <v>67</v>
      </c>
      <c r="BP2" s="2">
        <f t="shared" ref="BP2" si="58">+BO2+1</f>
        <v>68</v>
      </c>
      <c r="BQ2" s="2">
        <f t="shared" ref="BQ2" si="59">+BP2+1</f>
        <v>69</v>
      </c>
      <c r="BR2" s="2">
        <f t="shared" ref="BR2" si="60">+BQ2+1</f>
        <v>70</v>
      </c>
      <c r="BS2" s="2">
        <f t="shared" ref="BS2" si="61">+BR2+1</f>
        <v>71</v>
      </c>
      <c r="BT2" s="2">
        <f t="shared" ref="BT2" si="62">+BS2+1</f>
        <v>72</v>
      </c>
      <c r="BU2" s="2">
        <f t="shared" ref="BU2" si="63">+BT2+1</f>
        <v>73</v>
      </c>
      <c r="BV2" s="2">
        <f t="shared" ref="BV2" si="64">+BU2+1</f>
        <v>74</v>
      </c>
      <c r="BW2" s="2">
        <f t="shared" ref="BW2" si="65">+BV2+1</f>
        <v>75</v>
      </c>
      <c r="BX2" s="2">
        <f t="shared" ref="BX2" si="66">+BW2+1</f>
        <v>76</v>
      </c>
      <c r="BY2" s="2">
        <f t="shared" ref="BY2" si="67">+BX2+1</f>
        <v>77</v>
      </c>
      <c r="BZ2" s="2">
        <f t="shared" ref="BZ2" si="68">+BY2+1</f>
        <v>78</v>
      </c>
      <c r="CA2" s="2">
        <f t="shared" ref="CA2" si="69">+BZ2+1</f>
        <v>79</v>
      </c>
      <c r="CB2" s="2">
        <f t="shared" ref="CB2" si="70">+CA2+1</f>
        <v>80</v>
      </c>
      <c r="CC2" s="2">
        <f t="shared" ref="CC2" si="71">+CB2+1</f>
        <v>81</v>
      </c>
      <c r="CD2" s="2">
        <f t="shared" ref="CD2" si="72">+CC2+1</f>
        <v>82</v>
      </c>
      <c r="CE2" s="2">
        <f t="shared" ref="CE2" si="73">+CD2+1</f>
        <v>83</v>
      </c>
      <c r="CF2" s="2">
        <f t="shared" ref="CF2" si="74">+CE2+1</f>
        <v>84</v>
      </c>
      <c r="CG2" s="2">
        <f t="shared" ref="CG2" si="75">+CF2+1</f>
        <v>85</v>
      </c>
      <c r="CH2" s="2">
        <f t="shared" ref="CH2" si="76">+CG2+1</f>
        <v>86</v>
      </c>
      <c r="CI2" s="2">
        <f t="shared" ref="CI2" si="77">+CH2+1</f>
        <v>87</v>
      </c>
      <c r="CJ2" s="2">
        <f t="shared" ref="CJ2" si="78">+CI2+1</f>
        <v>88</v>
      </c>
      <c r="CK2" s="2">
        <f t="shared" ref="CK2" si="79">+CJ2+1</f>
        <v>89</v>
      </c>
    </row>
    <row r="3" spans="1:89" ht="15.75" thickBot="1"/>
    <row r="4" spans="1:89" ht="15.75">
      <c r="C4" s="368" t="str">
        <f>'הנחות עבודה'!B6</f>
        <v>שנת התחלת חישוב תזרים</v>
      </c>
      <c r="D4" s="18">
        <f>'הנחות עבודה'!C6</f>
        <v>2020</v>
      </c>
    </row>
    <row r="5" spans="1:89" ht="16.5" thickBot="1">
      <c r="C5" s="369" t="str">
        <f>'הנחות עבודה'!B7</f>
        <v>שנת היוון מקסימלית - תפעולי</v>
      </c>
      <c r="D5" s="19">
        <f>'הנחות עבודה'!C7</f>
        <v>2040</v>
      </c>
    </row>
    <row r="6" spans="1:89" ht="15.75">
      <c r="B6" s="1249" t="str">
        <f>'הנחות עבודה'!B9</f>
        <v>הנחות כלליות</v>
      </c>
      <c r="C6" s="366" t="str">
        <f>'הנחות עבודה'!C9</f>
        <v>ריבית שנתית להיוון</v>
      </c>
      <c r="D6" s="367">
        <f>'הנחות עבודה'!D9</f>
        <v>0.03</v>
      </c>
    </row>
    <row r="7" spans="1:89" ht="15.75">
      <c r="B7" s="1250"/>
      <c r="C7" s="184" t="str">
        <f>'הנחות עבודה'!C11</f>
        <v>שער הדולר שקל</v>
      </c>
      <c r="D7" s="193">
        <f>'הנחות עבודה'!D11</f>
        <v>3.5643360655737717</v>
      </c>
    </row>
    <row r="8" spans="1:89" ht="15.75">
      <c r="B8" s="1250"/>
      <c r="C8" s="185" t="str">
        <f>'הנחות עבודה'!C13</f>
        <v>MW TO KW / KW TO W</v>
      </c>
      <c r="D8" s="188">
        <f>'הנחות עבודה'!D13</f>
        <v>1000</v>
      </c>
    </row>
    <row r="9" spans="1:89" ht="15.75">
      <c r="B9" s="1250"/>
      <c r="C9" s="185" t="str">
        <f>'הנחות עבודה'!C14</f>
        <v>TW TO MW</v>
      </c>
      <c r="D9" s="188">
        <f>'הנחות עבודה'!D14</f>
        <v>1000000</v>
      </c>
    </row>
    <row r="10" spans="1:89" ht="15.75">
      <c r="B10" s="1250"/>
      <c r="C10" s="186" t="str">
        <f>'הנחות עבודה'!C15</f>
        <v>₪ לאג</v>
      </c>
      <c r="D10" s="188">
        <f>'הנחות עבודה'!D15</f>
        <v>100</v>
      </c>
    </row>
    <row r="11" spans="1:89" ht="16.5" thickBot="1">
      <c r="B11" s="1251"/>
      <c r="C11" s="347" t="str">
        <f>'הנחות עבודה'!C16</f>
        <v>מלש"ח ל- ₪ / טון לגר' / מיליון טון לטון</v>
      </c>
      <c r="D11" s="348">
        <f>'הנחות עבודה'!D16</f>
        <v>1000000</v>
      </c>
    </row>
    <row r="12" spans="1:89" ht="16.5" thickBot="1">
      <c r="B12" s="295" t="str">
        <f>'הנחות עבודה'!M31</f>
        <v>שיעור הפחתת כמות שנתי</v>
      </c>
      <c r="C12" s="182" t="str">
        <f>$F$19</f>
        <v>SOX</v>
      </c>
      <c r="D12" s="191">
        <f>VLOOKUP(C12,'הנחות עבודה'!$L$32:$N$35,2,FALSE)</f>
        <v>0</v>
      </c>
      <c r="I12" s="244"/>
      <c r="J12" s="244"/>
      <c r="K12" s="244"/>
      <c r="L12" s="244"/>
      <c r="M12" s="244"/>
      <c r="N12" s="244"/>
      <c r="O12" s="244"/>
    </row>
    <row r="13" spans="1:89" ht="16.5" thickBot="1">
      <c r="B13" s="82" t="str">
        <f>'הנחות עבודה'!N31</f>
        <v>שיעור עלית מחיר</v>
      </c>
      <c r="C13" s="347" t="str">
        <f>$F$19</f>
        <v>SOX</v>
      </c>
      <c r="D13" s="352">
        <f>VLOOKUP(C13,'הנחות עבודה'!$L$32:$N$35,3,FALSE)</f>
        <v>3.2649999999999998E-2</v>
      </c>
    </row>
    <row r="14" spans="1:89" ht="16.5" thickBot="1">
      <c r="B14" s="359" t="s">
        <v>250</v>
      </c>
      <c r="C14" s="353" t="str">
        <f>F19</f>
        <v>SOX</v>
      </c>
      <c r="D14" s="358">
        <f>VLOOKUP(C14,'הנחות עבודה'!L39:M42,2,FALSE)</f>
        <v>85381</v>
      </c>
    </row>
    <row r="16" spans="1:89" ht="15.75" thickBot="1">
      <c r="I16" s="244"/>
      <c r="J16" s="244"/>
      <c r="K16" s="244"/>
      <c r="L16" s="244"/>
      <c r="M16" s="244"/>
      <c r="N16" s="244"/>
      <c r="O16" s="244"/>
    </row>
    <row r="17" spans="6:78" ht="16.5" thickBot="1">
      <c r="F17" s="1243" t="s">
        <v>243</v>
      </c>
      <c r="G17" s="1244"/>
      <c r="H17" s="1244"/>
      <c r="I17" s="1244"/>
      <c r="J17" s="1244"/>
      <c r="K17" s="1244"/>
      <c r="L17" s="1244"/>
      <c r="M17" s="1244"/>
      <c r="N17" s="1244"/>
      <c r="O17" s="1244"/>
      <c r="P17" s="1244"/>
      <c r="Q17" s="1244"/>
      <c r="R17" s="1245"/>
    </row>
    <row r="18" spans="6:78" ht="79.5" thickBot="1">
      <c r="F18" s="357"/>
      <c r="G18" s="335" t="str">
        <f t="shared" ref="G18:M18" ca="1" si="80">G23</f>
        <v>מוטה קרקע PV</v>
      </c>
      <c r="H18" s="336" t="str">
        <f t="shared" ca="1" si="80"/>
        <v>מוטה דואלי PV</v>
      </c>
      <c r="I18" s="336" t="str">
        <f t="shared" ca="1" si="80"/>
        <v>רוח</v>
      </c>
      <c r="J18" s="336" t="str">
        <f t="shared" ca="1" si="80"/>
        <v>ביומסה/ביוגז</v>
      </c>
      <c r="K18" s="336" t="str">
        <f t="shared" ca="1" si="80"/>
        <v>תרמו סולארי</v>
      </c>
      <c r="L18" s="336" t="str">
        <f t="shared" si="80"/>
        <v>אחר</v>
      </c>
      <c r="M18" s="336" t="str">
        <f t="shared" ca="1" si="80"/>
        <v>גז פחמיות מוסבות</v>
      </c>
      <c r="N18" s="336" t="str">
        <f t="shared" ref="N18:R18" ca="1" si="81">N23</f>
        <v>גז חח"י מחזמים ופקירים ויח"פים</v>
      </c>
      <c r="O18" s="336" t="str">
        <f t="shared" ca="1" si="81"/>
        <v>אחר 1</v>
      </c>
      <c r="P18" s="336" t="str">
        <f t="shared" ca="1" si="81"/>
        <v>אחר 2</v>
      </c>
      <c r="Q18" s="336" t="str">
        <f t="shared" si="81"/>
        <v>יחידה פחמית</v>
      </c>
      <c r="R18" s="336" t="str">
        <f t="shared" si="81"/>
        <v>סולר ופצלי שמן</v>
      </c>
    </row>
    <row r="19" spans="6:78" ht="16.5" thickBot="1">
      <c r="F19" s="335" t="s">
        <v>242</v>
      </c>
      <c r="G19" s="354">
        <f ca="1">HLOOKUP(G18,'הנחות עבודה'!$C$117:$N$121,MATCH('מזהם מקומי- SOX'!$F$19,'הנחות עבודה'!$B$117:$B$121,0),FALSE)</f>
        <v>0</v>
      </c>
      <c r="H19" s="355">
        <f ca="1">HLOOKUP(H18,'הנחות עבודה'!$C$117:$N$121,MATCH('מזהם מקומי- SOX'!$F$19,'הנחות עבודה'!$B$117:$B$121,0),FALSE)</f>
        <v>0</v>
      </c>
      <c r="I19" s="355">
        <f ca="1">HLOOKUP(I18,'הנחות עבודה'!$C$117:$N$121,MATCH('מזהם מקומי- SOX'!$F$19,'הנחות עבודה'!$B$117:$B$121,0),FALSE)</f>
        <v>0</v>
      </c>
      <c r="J19" s="355">
        <f ca="1">HLOOKUP(J18,'הנחות עבודה'!$C$117:$N$121,MATCH('מזהם מקומי- SOX'!$F$19,'הנחות עבודה'!$B$117:$B$121,0),FALSE)</f>
        <v>0</v>
      </c>
      <c r="K19" s="355">
        <f ca="1">HLOOKUP(K18,'הנחות עבודה'!$C$117:$N$121,MATCH('מזהם מקומי- SOX'!$F$19,'הנחות עבודה'!$B$117:$B$121,0),FALSE)</f>
        <v>0</v>
      </c>
      <c r="L19" s="355">
        <f ca="1">HLOOKUP(L18,'הנחות עבודה'!$C$117:$N$121,MATCH('מזהם מקומי- SOX'!$F$19,'הנחות עבודה'!$B$117:$B$121,0),FALSE)</f>
        <v>0</v>
      </c>
      <c r="M19" s="355">
        <f ca="1">HLOOKUP(M18,'הנחות עבודה'!$C$117:$N$121,MATCH('מזהם מקומי- SOX'!$F$19,'הנחות עבודה'!$B$117:$B$121,0),FALSE)</f>
        <v>8.0000000000000002E-3</v>
      </c>
      <c r="N19" s="355">
        <f ca="1">HLOOKUP(N18,'הנחות עבודה'!$C$117:$N$121,MATCH('מזהם מקומי- SOX'!$F$19,'הנחות עבודה'!$B$117:$B$121,0),FALSE)</f>
        <v>8.0000000000000002E-3</v>
      </c>
      <c r="O19" s="355">
        <f ca="1">HLOOKUP(O18,'הנחות עבודה'!$C$117:$N$121,MATCH('מזהם מקומי- SOX'!$F$19,'הנחות עבודה'!$B$117:$B$121,0),FALSE)</f>
        <v>0</v>
      </c>
      <c r="P19" s="355">
        <f ca="1">HLOOKUP(P18,'הנחות עבודה'!$C$117:$N$121,MATCH('מזהם מקומי- SOX'!$F$19,'הנחות עבודה'!$B$117:$B$121,0),FALSE)</f>
        <v>0</v>
      </c>
      <c r="Q19" s="355">
        <f ca="1">HLOOKUP(Q18,'הנחות עבודה'!$C$117:$N$121,MATCH('מזהם מקומי- SOX'!$F$19,'הנחות עבודה'!$B$117:$B$121,0),FALSE)</f>
        <v>0.32250000000000001</v>
      </c>
      <c r="R19" s="355">
        <f ca="1">HLOOKUP(R18,'הנחות עבודה'!$C$117:$N$121,MATCH('מזהם מקומי- SOX'!$F$19,'הנחות עבודה'!$B$117:$B$121,0),FALSE)</f>
        <v>0</v>
      </c>
    </row>
    <row r="20" spans="6:78" ht="15.75" thickBot="1">
      <c r="I20" s="244"/>
      <c r="J20" s="244"/>
      <c r="K20" s="244"/>
      <c r="L20" s="244"/>
      <c r="M20" s="244"/>
      <c r="N20" s="244"/>
      <c r="O20" s="244"/>
    </row>
    <row r="21" spans="6:78" ht="16.5" thickBot="1">
      <c r="G21" s="1243" t="s">
        <v>494</v>
      </c>
      <c r="H21" s="1244"/>
      <c r="I21" s="1244"/>
      <c r="J21" s="1244"/>
      <c r="K21" s="1244"/>
      <c r="L21" s="1244"/>
      <c r="M21" s="1244"/>
      <c r="N21" s="1244"/>
      <c r="O21" s="1244"/>
      <c r="P21" s="1244"/>
      <c r="Q21" s="1244"/>
      <c r="R21" s="1244"/>
      <c r="S21" s="1244"/>
      <c r="T21" s="1244"/>
      <c r="U21" s="1244"/>
      <c r="V21" s="1244"/>
      <c r="W21" s="1244"/>
      <c r="X21" s="1244"/>
      <c r="Y21" s="1244"/>
      <c r="Z21" s="1244"/>
      <c r="AA21" s="1244"/>
      <c r="AB21" s="1244"/>
      <c r="AC21" s="1244"/>
      <c r="AD21" s="1244"/>
      <c r="AE21" s="1244"/>
      <c r="AF21" s="1244"/>
      <c r="AG21" s="1244"/>
      <c r="AH21" s="1244"/>
      <c r="AI21" s="1244"/>
      <c r="AJ21" s="1244"/>
      <c r="AK21" s="1244"/>
      <c r="AL21" s="1244"/>
      <c r="AM21" s="1244"/>
      <c r="AN21" s="1244"/>
      <c r="AO21" s="1244"/>
      <c r="AP21" s="1244"/>
      <c r="AQ21" s="1244"/>
      <c r="AR21" s="1244"/>
      <c r="AS21" s="1244"/>
      <c r="AT21" s="1244"/>
      <c r="AU21" s="1244"/>
      <c r="AV21" s="1244"/>
      <c r="AW21" s="1244"/>
      <c r="AX21" s="1244"/>
      <c r="AY21" s="1244"/>
      <c r="AZ21" s="1244"/>
      <c r="BA21" s="1244"/>
      <c r="BB21" s="1244"/>
      <c r="BC21" s="1244"/>
      <c r="BD21" s="1244"/>
      <c r="BE21" s="1244"/>
      <c r="BF21" s="1244"/>
      <c r="BG21" s="1244"/>
      <c r="BH21" s="1244"/>
      <c r="BI21" s="1244"/>
      <c r="BJ21" s="1244"/>
      <c r="BK21" s="1244"/>
      <c r="BL21" s="1244"/>
      <c r="BM21" s="1244"/>
      <c r="BN21" s="1244"/>
      <c r="BO21" s="1244"/>
      <c r="BP21" s="1244"/>
      <c r="BQ21" s="1244"/>
      <c r="BR21" s="1244"/>
      <c r="BS21" s="1244"/>
      <c r="BT21" s="1244"/>
      <c r="BU21" s="1244"/>
      <c r="BV21" s="1244"/>
      <c r="BW21" s="1244"/>
      <c r="BX21" s="1244"/>
      <c r="BY21" s="1244"/>
      <c r="BZ21" s="1245"/>
    </row>
    <row r="22" spans="6:78" ht="16.5" thickBot="1">
      <c r="G22" s="1289" t="s">
        <v>46</v>
      </c>
      <c r="H22" s="1290"/>
      <c r="I22" s="1290"/>
      <c r="J22" s="1290"/>
      <c r="K22" s="1290"/>
      <c r="L22" s="1290"/>
      <c r="M22" s="1290"/>
      <c r="N22" s="1290"/>
      <c r="O22" s="1290"/>
      <c r="P22" s="1290"/>
      <c r="Q22" s="1290"/>
      <c r="R22" s="1296"/>
      <c r="S22" s="1291" t="s">
        <v>47</v>
      </c>
      <c r="T22" s="1292"/>
      <c r="U22" s="1292"/>
      <c r="V22" s="1292"/>
      <c r="W22" s="1292"/>
      <c r="X22" s="1292"/>
      <c r="Y22" s="1292"/>
      <c r="Z22" s="1292"/>
      <c r="AA22" s="1292"/>
      <c r="AB22" s="1292"/>
      <c r="AC22" s="1292"/>
      <c r="AD22" s="1293"/>
      <c r="AE22" s="1289" t="s">
        <v>342</v>
      </c>
      <c r="AF22" s="1290"/>
      <c r="AG22" s="1290"/>
      <c r="AH22" s="1290"/>
      <c r="AI22" s="1290"/>
      <c r="AJ22" s="1290"/>
      <c r="AK22" s="1290"/>
      <c r="AL22" s="1290"/>
      <c r="AM22" s="1290"/>
      <c r="AN22" s="1290"/>
      <c r="AO22" s="1290"/>
      <c r="AP22" s="1296"/>
      <c r="AQ22" s="1291" t="s">
        <v>343</v>
      </c>
      <c r="AR22" s="1292"/>
      <c r="AS22" s="1292"/>
      <c r="AT22" s="1292"/>
      <c r="AU22" s="1292"/>
      <c r="AV22" s="1292"/>
      <c r="AW22" s="1292"/>
      <c r="AX22" s="1292"/>
      <c r="AY22" s="1292"/>
      <c r="AZ22" s="1292"/>
      <c r="BA22" s="1292"/>
      <c r="BB22" s="1293"/>
      <c r="BC22" s="1289" t="s">
        <v>344</v>
      </c>
      <c r="BD22" s="1290"/>
      <c r="BE22" s="1290"/>
      <c r="BF22" s="1290"/>
      <c r="BG22" s="1290"/>
      <c r="BH22" s="1290"/>
      <c r="BI22" s="1290"/>
      <c r="BJ22" s="1290"/>
      <c r="BK22" s="1290"/>
      <c r="BL22" s="1290"/>
      <c r="BM22" s="1290"/>
      <c r="BN22" s="1296"/>
      <c r="BO22" s="1291" t="s">
        <v>345</v>
      </c>
      <c r="BP22" s="1292"/>
      <c r="BQ22" s="1292"/>
      <c r="BR22" s="1292"/>
      <c r="BS22" s="1292"/>
      <c r="BT22" s="1292"/>
      <c r="BU22" s="1292"/>
      <c r="BV22" s="1292"/>
      <c r="BW22" s="1292"/>
      <c r="BX22" s="1292"/>
      <c r="BY22" s="1292"/>
      <c r="BZ22" s="1293"/>
    </row>
    <row r="23" spans="6:78" ht="48" customHeight="1" thickBot="1">
      <c r="F23" s="7" t="s">
        <v>0</v>
      </c>
      <c r="G23" s="38" t="str">
        <f ca="1">'התפלגות ייצור וסל דלקים'!C62</f>
        <v>מוטה קרקע PV</v>
      </c>
      <c r="H23" s="38" t="str">
        <f ca="1">'התפלגות ייצור וסל דלקים'!D62</f>
        <v>מוטה דואלי PV</v>
      </c>
      <c r="I23" s="38" t="str">
        <f ca="1">'התפלגות ייצור וסל דלקים'!E62</f>
        <v>רוח</v>
      </c>
      <c r="J23" s="38" t="str">
        <f ca="1">'התפלגות ייצור וסל דלקים'!F62</f>
        <v>ביומסה/ביוגז</v>
      </c>
      <c r="K23" s="38" t="str">
        <f ca="1">'התפלגות ייצור וסל דלקים'!G62</f>
        <v>תרמו סולארי</v>
      </c>
      <c r="L23" s="38" t="str">
        <f>'התפלגות ייצור וסל דלקים'!H62</f>
        <v>אחר</v>
      </c>
      <c r="M23" s="38" t="str">
        <f ca="1">'התפלגות ייצור וסל דלקים'!I62</f>
        <v>גז פחמיות מוסבות</v>
      </c>
      <c r="N23" s="38" t="str">
        <f ca="1">'התפלגות ייצור וסל דלקים'!J62</f>
        <v>גז חח"י מחזמים ופקירים ויח"פים</v>
      </c>
      <c r="O23" s="38" t="str">
        <f ca="1">'התפלגות ייצור וסל דלקים'!K62</f>
        <v>אחר 1</v>
      </c>
      <c r="P23" s="38" t="str">
        <f ca="1">'התפלגות ייצור וסל דלקים'!L62</f>
        <v>אחר 2</v>
      </c>
      <c r="Q23" s="38" t="str">
        <f>'התפלגות ייצור וסל דלקים'!M62</f>
        <v>יחידה פחמית</v>
      </c>
      <c r="R23" s="38" t="str">
        <f>'התפלגות ייצור וסל דלקים'!N62</f>
        <v>סולר ופצלי שמן</v>
      </c>
      <c r="S23" s="48" t="str">
        <f t="shared" ref="S23:BZ23" ca="1" si="82">G23</f>
        <v>מוטה קרקע PV</v>
      </c>
      <c r="T23" s="48" t="str">
        <f t="shared" ca="1" si="82"/>
        <v>מוטה דואלי PV</v>
      </c>
      <c r="U23" s="48" t="str">
        <f t="shared" ca="1" si="82"/>
        <v>רוח</v>
      </c>
      <c r="V23" s="48" t="str">
        <f t="shared" ca="1" si="82"/>
        <v>ביומסה/ביוגז</v>
      </c>
      <c r="W23" s="48" t="str">
        <f t="shared" ca="1" si="82"/>
        <v>תרמו סולארי</v>
      </c>
      <c r="X23" s="48" t="str">
        <f t="shared" si="82"/>
        <v>אחר</v>
      </c>
      <c r="Y23" s="48" t="str">
        <f t="shared" ca="1" si="82"/>
        <v>גז פחמיות מוסבות</v>
      </c>
      <c r="Z23" s="48" t="str">
        <f t="shared" ca="1" si="82"/>
        <v>גז חח"י מחזמים ופקירים ויח"פים</v>
      </c>
      <c r="AA23" s="48" t="str">
        <f t="shared" ca="1" si="82"/>
        <v>אחר 1</v>
      </c>
      <c r="AB23" s="48" t="str">
        <f t="shared" ca="1" si="82"/>
        <v>אחר 2</v>
      </c>
      <c r="AC23" s="48" t="str">
        <f t="shared" si="82"/>
        <v>יחידה פחמית</v>
      </c>
      <c r="AD23" s="48" t="str">
        <f t="shared" si="82"/>
        <v>סולר ופצלי שמן</v>
      </c>
      <c r="AE23" s="38" t="str">
        <f t="shared" ref="AE23" ca="1" si="83">S23</f>
        <v>מוטה קרקע PV</v>
      </c>
      <c r="AF23" s="38" t="str">
        <f t="shared" ref="AF23" ca="1" si="84">T23</f>
        <v>מוטה דואלי PV</v>
      </c>
      <c r="AG23" s="38" t="str">
        <f t="shared" ref="AG23" ca="1" si="85">U23</f>
        <v>רוח</v>
      </c>
      <c r="AH23" s="38" t="str">
        <f t="shared" ref="AH23" ca="1" si="86">V23</f>
        <v>ביומסה/ביוגז</v>
      </c>
      <c r="AI23" s="38" t="str">
        <f t="shared" ref="AI23" ca="1" si="87">W23</f>
        <v>תרמו סולארי</v>
      </c>
      <c r="AJ23" s="38" t="str">
        <f t="shared" ref="AJ23" si="88">X23</f>
        <v>אחר</v>
      </c>
      <c r="AK23" s="38" t="str">
        <f t="shared" ref="AK23" ca="1" si="89">Y23</f>
        <v>גז פחמיות מוסבות</v>
      </c>
      <c r="AL23" s="38" t="str">
        <f t="shared" ref="AL23" ca="1" si="90">Z23</f>
        <v>גז חח"י מחזמים ופקירים ויח"פים</v>
      </c>
      <c r="AM23" s="38" t="str">
        <f t="shared" ref="AM23" ca="1" si="91">AA23</f>
        <v>אחר 1</v>
      </c>
      <c r="AN23" s="38" t="str">
        <f t="shared" ref="AN23" ca="1" si="92">AB23</f>
        <v>אחר 2</v>
      </c>
      <c r="AO23" s="38" t="str">
        <f t="shared" ref="AO23" si="93">AC23</f>
        <v>יחידה פחמית</v>
      </c>
      <c r="AP23" s="38" t="str">
        <f t="shared" ref="AP23" si="94">AD23</f>
        <v>סולר ופצלי שמן</v>
      </c>
      <c r="AQ23" s="48" t="str">
        <f t="shared" ref="AQ23" ca="1" si="95">AE23</f>
        <v>מוטה קרקע PV</v>
      </c>
      <c r="AR23" s="48" t="str">
        <f t="shared" ref="AR23" ca="1" si="96">AF23</f>
        <v>מוטה דואלי PV</v>
      </c>
      <c r="AS23" s="48" t="str">
        <f t="shared" ref="AS23" ca="1" si="97">AG23</f>
        <v>רוח</v>
      </c>
      <c r="AT23" s="48" t="str">
        <f t="shared" ref="AT23" ca="1" si="98">AH23</f>
        <v>ביומסה/ביוגז</v>
      </c>
      <c r="AU23" s="48" t="str">
        <f t="shared" ref="AU23" ca="1" si="99">AI23</f>
        <v>תרמו סולארי</v>
      </c>
      <c r="AV23" s="48" t="str">
        <f t="shared" ref="AV23" si="100">AJ23</f>
        <v>אחר</v>
      </c>
      <c r="AW23" s="48" t="str">
        <f t="shared" ref="AW23" ca="1" si="101">AK23</f>
        <v>גז פחמיות מוסבות</v>
      </c>
      <c r="AX23" s="48" t="str">
        <f t="shared" ref="AX23" ca="1" si="102">AL23</f>
        <v>גז חח"י מחזמים ופקירים ויח"פים</v>
      </c>
      <c r="AY23" s="48" t="str">
        <f t="shared" ref="AY23" ca="1" si="103">AM23</f>
        <v>אחר 1</v>
      </c>
      <c r="AZ23" s="48" t="str">
        <f t="shared" ref="AZ23" ca="1" si="104">AN23</f>
        <v>אחר 2</v>
      </c>
      <c r="BA23" s="48" t="str">
        <f t="shared" ref="BA23" si="105">AO23</f>
        <v>יחידה פחמית</v>
      </c>
      <c r="BB23" s="48" t="str">
        <f t="shared" ref="BB23" si="106">AP23</f>
        <v>סולר ופצלי שמן</v>
      </c>
      <c r="BC23" s="38" t="str">
        <f t="shared" ref="BC23:BN23" ca="1" si="107">S23</f>
        <v>מוטה קרקע PV</v>
      </c>
      <c r="BD23" s="38" t="str">
        <f t="shared" ca="1" si="107"/>
        <v>מוטה דואלי PV</v>
      </c>
      <c r="BE23" s="38" t="str">
        <f t="shared" ca="1" si="107"/>
        <v>רוח</v>
      </c>
      <c r="BF23" s="38" t="str">
        <f t="shared" ca="1" si="107"/>
        <v>ביומסה/ביוגז</v>
      </c>
      <c r="BG23" s="38" t="str">
        <f t="shared" ca="1" si="107"/>
        <v>תרמו סולארי</v>
      </c>
      <c r="BH23" s="38" t="str">
        <f t="shared" si="107"/>
        <v>אחר</v>
      </c>
      <c r="BI23" s="38" t="str">
        <f t="shared" ca="1" si="107"/>
        <v>גז פחמיות מוסבות</v>
      </c>
      <c r="BJ23" s="38" t="str">
        <f t="shared" ca="1" si="107"/>
        <v>גז חח"י מחזמים ופקירים ויח"פים</v>
      </c>
      <c r="BK23" s="38" t="str">
        <f t="shared" ca="1" si="107"/>
        <v>אחר 1</v>
      </c>
      <c r="BL23" s="38" t="str">
        <f t="shared" ca="1" si="107"/>
        <v>אחר 2</v>
      </c>
      <c r="BM23" s="38" t="str">
        <f t="shared" si="107"/>
        <v>יחידה פחמית</v>
      </c>
      <c r="BN23" s="38" t="str">
        <f t="shared" si="107"/>
        <v>סולר ופצלי שמן</v>
      </c>
      <c r="BO23" s="48" t="str">
        <f t="shared" ca="1" si="82"/>
        <v>מוטה קרקע PV</v>
      </c>
      <c r="BP23" s="48" t="str">
        <f t="shared" ca="1" si="82"/>
        <v>מוטה דואלי PV</v>
      </c>
      <c r="BQ23" s="48" t="str">
        <f t="shared" ca="1" si="82"/>
        <v>רוח</v>
      </c>
      <c r="BR23" s="48" t="str">
        <f t="shared" ca="1" si="82"/>
        <v>ביומסה/ביוגז</v>
      </c>
      <c r="BS23" s="48" t="str">
        <f t="shared" ca="1" si="82"/>
        <v>תרמו סולארי</v>
      </c>
      <c r="BT23" s="48" t="str">
        <f t="shared" si="82"/>
        <v>אחר</v>
      </c>
      <c r="BU23" s="48" t="str">
        <f t="shared" ca="1" si="82"/>
        <v>גז פחמיות מוסבות</v>
      </c>
      <c r="BV23" s="48" t="str">
        <f t="shared" ca="1" si="82"/>
        <v>גז חח"י מחזמים ופקירים ויח"פים</v>
      </c>
      <c r="BW23" s="48" t="str">
        <f t="shared" ca="1" si="82"/>
        <v>אחר 1</v>
      </c>
      <c r="BX23" s="48" t="str">
        <f t="shared" ca="1" si="82"/>
        <v>אחר 2</v>
      </c>
      <c r="BY23" s="48" t="str">
        <f t="shared" si="82"/>
        <v>יחידה פחמית</v>
      </c>
      <c r="BZ23" s="48" t="str">
        <f t="shared" si="82"/>
        <v>סולר ופצלי שמן</v>
      </c>
    </row>
    <row r="24" spans="6:78" ht="15.75">
      <c r="F24" s="8">
        <f>D4</f>
        <v>2020</v>
      </c>
      <c r="G24" s="39">
        <f ca="1">IF(OR($F24&gt;$D$5,$F24&gt;MAX('הנחות עבודה'!$B$69:$B$89)),0,(VLOOKUP($F24,'התפלגות ייצור וסל דלקים'!$B$64:$BV$84,G$2-$E$2,FALSE))*$D$9*$D$8*(HLOOKUP(G$23,$G$18:$R$19,2,FALSE)*(1-$D$12)^($F24-'הנחות עבודה'!$C$5)/$D$11)/$D$11)</f>
        <v>0</v>
      </c>
      <c r="H24" s="41">
        <f ca="1">IF(OR($F24&gt;$D$5,$F24&gt;MAX('הנחות עבודה'!$B$69:$B$89)),0,(VLOOKUP($F24,'התפלגות ייצור וסל דלקים'!$B$64:$BV$84,H$2-$E$2,FALSE))*$D$9*$D$8*(HLOOKUP(H$23,$G$18:$R$19,2,FALSE)*(1-$D$12)^($F24-'הנחות עבודה'!$C$5)/$D$11)/$D$11)</f>
        <v>0</v>
      </c>
      <c r="I24" s="41">
        <f ca="1">IF(OR($F24&gt;$D$5,$F24&gt;MAX('הנחות עבודה'!$B$69:$B$89)),0,(VLOOKUP($F24,'התפלגות ייצור וסל דלקים'!$B$64:$BV$84,I$2-$E$2,FALSE))*$D$9*$D$8*(HLOOKUP(I$23,$G$18:$R$19,2,FALSE)*(1-$D$12)^($F24-'הנחות עבודה'!$C$5)/$D$11)/$D$11)</f>
        <v>0</v>
      </c>
      <c r="J24" s="41">
        <f ca="1">IF(OR($F24&gt;$D$5,$F24&gt;MAX('הנחות עבודה'!$B$69:$B$89)),0,(VLOOKUP($F24,'התפלגות ייצור וסל דלקים'!$B$64:$BV$84,J$2-$E$2,FALSE))*$D$9*$D$8*(HLOOKUP(J$23,$G$18:$R$19,2,FALSE)*(1-$D$12)^($F24-'הנחות עבודה'!$C$5)/$D$11)/$D$11)</f>
        <v>0</v>
      </c>
      <c r="K24" s="41">
        <f ca="1">IF(OR($F24&gt;$D$5,$F24&gt;MAX('הנחות עבודה'!$B$69:$B$89)),0,(VLOOKUP($F24,'התפלגות ייצור וסל דלקים'!$B$64:$BV$84,K$2-$E$2,FALSE))*$D$9*$D$8*(HLOOKUP(K$23,$G$18:$R$19,2,FALSE)*(1-$D$12)^($F24-'הנחות עבודה'!$C$5)/$D$11)/$D$11)</f>
        <v>0</v>
      </c>
      <c r="L24" s="41">
        <f ca="1">IF(OR($F24&gt;$D$5,$F24&gt;MAX('הנחות עבודה'!$B$69:$B$89)),0,(VLOOKUP($F24,'התפלגות ייצור וסל דלקים'!$B$64:$BV$84,L$2-$E$2,FALSE))*$D$9*$D$8*(HLOOKUP(L$23,$G$18:$R$19,2,FALSE)*(1-$D$12)^($F24-'הנחות עבודה'!$C$5)/$D$11)/$D$11)</f>
        <v>0</v>
      </c>
      <c r="M24" s="39">
        <f ca="1">IF(OR($F24&gt;$D$5,$F24&gt;MAX('הנחות עבודה'!$B$69:$B$89)),0,(VLOOKUP($F24,'התפלגות ייצור וסל דלקים'!$B$64:$BV$84,M$2-$E$2,FALSE))*$D$9*$D$8*(HLOOKUP(M$23,$G$18:$R$19,2,FALSE)*(1-$D$12)^($F24-'הנחות עבודה'!$C$5)/$D$11)/$D$11)</f>
        <v>0</v>
      </c>
      <c r="N24" s="39">
        <f ca="1">IF(OR($F24&gt;$D$5,$F24&gt;MAX('הנחות עבודה'!$B$69:$B$89)),0,(VLOOKUP($F24,'התפלגות ייצור וסל דלקים'!$B$64:$BV$84,N$2-$E$2,FALSE))*$D$9*$D$8*(HLOOKUP(N$23,$G$18:$R$19,2,FALSE)*(1-$D$12)^($F24-'הנחות עבודה'!$C$5)/$D$11)/$D$11)</f>
        <v>3.8967354320000006E-4</v>
      </c>
      <c r="O24" s="39">
        <f ca="1">IF(OR($F24&gt;$D$5,$F24&gt;MAX('הנחות עבודה'!$B$69:$B$89)),0,(VLOOKUP($F24,'התפלגות ייצור וסל דלקים'!$B$64:$BV$84,O$2-$E$2,FALSE))*$D$9*$D$8*(HLOOKUP(O$23,$G$18:$R$19,2,FALSE)*(1-$D$12)^($F24-'הנחות עבודה'!$C$5)/$D$11)/$D$11)</f>
        <v>0</v>
      </c>
      <c r="P24" s="39">
        <f ca="1">IF(OR($F24&gt;$D$5,$F24&gt;MAX('הנחות עבודה'!$B$69:$B$89)),0,(VLOOKUP($F24,'התפלגות ייצור וסל דלקים'!$B$64:$BV$84,P$2-$E$2,FALSE))*$D$9*$D$8*(HLOOKUP(P$23,$G$18:$R$19,2,FALSE)*(1-$D$12)^($F24-'הנחות עבודה'!$C$5)/$D$11)/$D$11)</f>
        <v>0</v>
      </c>
      <c r="Q24" s="39">
        <f ca="1">IF(OR($F24&gt;$D$5,$F24&gt;MAX('הנחות עבודה'!$B$69:$B$89)),0,(VLOOKUP($F24,'התפלגות ייצור וסל דלקים'!$B$64:$BV$84,Q$2-$E$2,FALSE))*$D$9*$D$8*(HLOOKUP(Q$23,$G$18:$R$19,2,FALSE)*(1-$D$12)^($F24-'הנחות עבודה'!$C$5)/$D$11)/$D$11)</f>
        <v>5.6307468000000001E-3</v>
      </c>
      <c r="R24" s="39">
        <f ca="1">IF(OR($F24&gt;$D$5,$F24&gt;MAX('הנחות עבודה'!$B$69:$B$89)),0,(VLOOKUP($F24,'התפלגות ייצור וסל דלקים'!$B$64:$BV$84,R$2-$E$2,FALSE))*$D$9*$D$8*(HLOOKUP(R$23,$G$18:$R$19,2,FALSE)*(1-$D$12)^($F24-'הנחות עבודה'!$C$5)/$D$11)/$D$11)</f>
        <v>0</v>
      </c>
      <c r="S24" s="49">
        <f ca="1">IF(OR($F24&gt;$D$5,$F24&gt;MAX('הנחות עבודה'!$B$69:$B$89)),0,(VLOOKUP($F24,'התפלגות ייצור וסל דלקים'!$B$64:$BV$84,S$2-$E$2,FALSE))*$D$9*$D$8*(HLOOKUP(S$23,$G$18:$R$19,2,FALSE)*(1-$D$12)^($F24-'הנחות עבודה'!$C$5)/$D$11)/$D$11)</f>
        <v>0</v>
      </c>
      <c r="T24" s="126">
        <f ca="1">IF(OR($F24&gt;$D$5,$F24&gt;MAX('הנחות עבודה'!$B$69:$B$89)),0,(VLOOKUP($F24,'התפלגות ייצור וסל דלקים'!$B$64:$BV$84,T$2-$E$2,FALSE))*$D$9*$D$8*(HLOOKUP(T$23,$G$18:$R$19,2,FALSE)*(1-$D$12)^($F24-'הנחות עבודה'!$C$5)/$D$11)/$D$11)</f>
        <v>0</v>
      </c>
      <c r="U24" s="126">
        <f ca="1">IF(OR($F24&gt;$D$5,$F24&gt;MAX('הנחות עבודה'!$B$69:$B$89)),0,(VLOOKUP($F24,'התפלגות ייצור וסל דלקים'!$B$64:$BV$84,U$2-$E$2,FALSE))*$D$9*$D$8*(HLOOKUP(U$23,$G$18:$R$19,2,FALSE)*(1-$D$12)^($F24-'הנחות עבודה'!$C$5)/$D$11)/$D$11)</f>
        <v>0</v>
      </c>
      <c r="V24" s="126">
        <f ca="1">IF(OR($F24&gt;$D$5,$F24&gt;MAX('הנחות עבודה'!$B$69:$B$89)),0,(VLOOKUP($F24,'התפלגות ייצור וסל דלקים'!$B$64:$BV$84,V$2-$E$2,FALSE))*$D$9*$D$8*(HLOOKUP(V$23,$G$18:$R$19,2,FALSE)*(1-$D$12)^($F24-'הנחות עבודה'!$C$5)/$D$11)/$D$11)</f>
        <v>0</v>
      </c>
      <c r="W24" s="126">
        <f ca="1">IF(OR($F24&gt;$D$5,$F24&gt;MAX('הנחות עבודה'!$B$69:$B$89)),0,(VLOOKUP($F24,'התפלגות ייצור וסל דלקים'!$B$64:$BV$84,W$2-$E$2,FALSE))*$D$9*$D$8*(HLOOKUP(W$23,$G$18:$R$19,2,FALSE)*(1-$D$12)^($F24-'הנחות עבודה'!$C$5)/$D$11)/$D$11)</f>
        <v>0</v>
      </c>
      <c r="X24" s="126">
        <f ca="1">IF(OR($F24&gt;$D$5,$F24&gt;MAX('הנחות עבודה'!$B$69:$B$89)),0,(VLOOKUP($F24,'התפלגות ייצור וסל דלקים'!$B$64:$BV$84,X$2-$E$2,FALSE))*$D$9*$D$8*(HLOOKUP(X$23,$G$18:$R$19,2,FALSE)*(1-$D$12)^($F24-'הנחות עבודה'!$C$5)/$D$11)/$D$11)</f>
        <v>0</v>
      </c>
      <c r="Y24" s="49">
        <f ca="1">IF(OR($F24&gt;$D$5,$F24&gt;MAX('הנחות עבודה'!$B$69:$B$89)),0,(VLOOKUP($F24,'התפלגות ייצור וסל דלקים'!$B$64:$BV$84,Y$2-$E$2,FALSE))*$D$9*$D$8*(HLOOKUP(Y$23,$G$18:$R$19,2,FALSE)*(1-$D$12)^($F24-'הנחות עבודה'!$C$5)/$D$11)/$D$11)</f>
        <v>0</v>
      </c>
      <c r="Z24" s="49">
        <f ca="1">IF(OR($F24&gt;$D$5,$F24&gt;MAX('הנחות עבודה'!$B$69:$B$89)),0,(VLOOKUP($F24,'התפלגות ייצור וסל דלקים'!$B$64:$BV$84,Z$2-$E$2,FALSE))*$D$9*$D$8*(HLOOKUP(Z$23,$G$18:$R$19,2,FALSE)*(1-$D$12)^($F24-'הנחות עבודה'!$C$5)/$D$11)/$D$11)</f>
        <v>3.8967354320000006E-4</v>
      </c>
      <c r="AA24" s="49">
        <f ca="1">IF(OR($F24&gt;$D$5,$F24&gt;MAX('הנחות עבודה'!$B$69:$B$89)),0,(VLOOKUP($F24,'התפלגות ייצור וסל דלקים'!$B$64:$BV$84,AA$2-$E$2,FALSE))*$D$9*$D$8*(HLOOKUP(AA$23,$G$18:$R$19,2,FALSE)*(1-$D$12)^($F24-'הנחות עבודה'!$C$5)/$D$11)/$D$11)</f>
        <v>0</v>
      </c>
      <c r="AB24" s="49">
        <f ca="1">IF(OR($F24&gt;$D$5,$F24&gt;MAX('הנחות עבודה'!$B$69:$B$89)),0,(VLOOKUP($F24,'התפלגות ייצור וסל דלקים'!$B$64:$BV$84,AB$2-$E$2,FALSE))*$D$9*$D$8*(HLOOKUP(AB$23,$G$18:$R$19,2,FALSE)*(1-$D$12)^($F24-'הנחות עבודה'!$C$5)/$D$11)/$D$11)</f>
        <v>0</v>
      </c>
      <c r="AC24" s="49">
        <f ca="1">IF(OR($F24&gt;$D$5,$F24&gt;MAX('הנחות עבודה'!$B$69:$B$89)),0,(VLOOKUP($F24,'התפלגות ייצור וסל דלקים'!$B$64:$BV$84,AC$2-$E$2,FALSE))*$D$9*$D$8*(HLOOKUP(AC$23,$G$18:$R$19,2,FALSE)*(1-$D$12)^($F24-'הנחות עבודה'!$C$5)/$D$11)/$D$11)</f>
        <v>5.6307468000000001E-3</v>
      </c>
      <c r="AD24" s="49">
        <f ca="1">IF(OR($F24&gt;$D$5,$F24&gt;MAX('הנחות עבודה'!$B$69:$B$89)),0,(VLOOKUP($F24,'התפלגות ייצור וסל דלקים'!$B$64:$BV$84,AD$2-$E$2,FALSE))*$D$9*$D$8*(HLOOKUP(AD$23,$G$18:$R$19,2,FALSE)*(1-$D$12)^($F24-'הנחות עבודה'!$C$5)/$D$11)/$D$11)</f>
        <v>0</v>
      </c>
      <c r="AE24" s="39">
        <f ca="1">IF(OR($F24&gt;$D$5,$F24&gt;MAX('הנחות עבודה'!$B$69:$B$89)),0,(VLOOKUP($F24,'התפלגות ייצור וסל דלקים'!$B$64:$BV$84,AE$2-$E$2,FALSE))*$D$9*$D$8*(HLOOKUP(AE$23,$G$18:$R$19,2,FALSE)*(1-$D$12)^($F24-'הנחות עבודה'!$C$5)/$D$11)/$D$11)</f>
        <v>0</v>
      </c>
      <c r="AF24" s="41">
        <f ca="1">IF(OR($F24&gt;$D$5,$F24&gt;MAX('הנחות עבודה'!$B$69:$B$89)),0,(VLOOKUP($F24,'התפלגות ייצור וסל דלקים'!$B$64:$BV$84,AF$2-$E$2,FALSE))*$D$9*$D$8*(HLOOKUP(AF$23,$G$18:$R$19,2,FALSE)*(1-$D$12)^($F24-'הנחות עבודה'!$C$5)/$D$11)/$D$11)</f>
        <v>0</v>
      </c>
      <c r="AG24" s="41">
        <f ca="1">IF(OR($F24&gt;$D$5,$F24&gt;MAX('הנחות עבודה'!$B$69:$B$89)),0,(VLOOKUP($F24,'התפלגות ייצור וסל דלקים'!$B$64:$BV$84,AG$2-$E$2,FALSE))*$D$9*$D$8*(HLOOKUP(AG$23,$G$18:$R$19,2,FALSE)*(1-$D$12)^($F24-'הנחות עבודה'!$C$5)/$D$11)/$D$11)</f>
        <v>0</v>
      </c>
      <c r="AH24" s="41">
        <f ca="1">IF(OR($F24&gt;$D$5,$F24&gt;MAX('הנחות עבודה'!$B$69:$B$89)),0,(VLOOKUP($F24,'התפלגות ייצור וסל דלקים'!$B$64:$BV$84,AH$2-$E$2,FALSE))*$D$9*$D$8*(HLOOKUP(AH$23,$G$18:$R$19,2,FALSE)*(1-$D$12)^($F24-'הנחות עבודה'!$C$5)/$D$11)/$D$11)</f>
        <v>0</v>
      </c>
      <c r="AI24" s="41">
        <f ca="1">IF(OR($F24&gt;$D$5,$F24&gt;MAX('הנחות עבודה'!$B$69:$B$89)),0,(VLOOKUP($F24,'התפלגות ייצור וסל דלקים'!$B$64:$BV$84,AI$2-$E$2,FALSE))*$D$9*$D$8*(HLOOKUP(AI$23,$G$18:$R$19,2,FALSE)*(1-$D$12)^($F24-'הנחות עבודה'!$C$5)/$D$11)/$D$11)</f>
        <v>0</v>
      </c>
      <c r="AJ24" s="41">
        <f ca="1">IF(OR($F24&gt;$D$5,$F24&gt;MAX('הנחות עבודה'!$B$69:$B$89)),0,(VLOOKUP($F24,'התפלגות ייצור וסל דלקים'!$B$64:$BV$84,AJ$2-$E$2,FALSE))*$D$9*$D$8*(HLOOKUP(AJ$23,$G$18:$R$19,2,FALSE)*(1-$D$12)^($F24-'הנחות עבודה'!$C$5)/$D$11)/$D$11)</f>
        <v>0</v>
      </c>
      <c r="AK24" s="39">
        <f ca="1">IF(OR($F24&gt;$D$5,$F24&gt;MAX('הנחות עבודה'!$B$69:$B$89)),0,(VLOOKUP($F24,'התפלגות ייצור וסל דלקים'!$B$64:$BV$84,AK$2-$E$2,FALSE))*$D$9*$D$8*(HLOOKUP(AK$23,$G$18:$R$19,2,FALSE)*(1-$D$12)^($F24-'הנחות עבודה'!$C$5)/$D$11)/$D$11)</f>
        <v>0</v>
      </c>
      <c r="AL24" s="39">
        <f ca="1">IF(OR($F24&gt;$D$5,$F24&gt;MAX('הנחות עבודה'!$B$69:$B$89)),0,(VLOOKUP($F24,'התפלגות ייצור וסל דלקים'!$B$64:$BV$84,AL$2-$E$2,FALSE))*$D$9*$D$8*(HLOOKUP(AL$23,$G$18:$R$19,2,FALSE)*(1-$D$12)^($F24-'הנחות עבודה'!$C$5)/$D$11)/$D$11)</f>
        <v>3.8967354320000006E-4</v>
      </c>
      <c r="AM24" s="39">
        <f ca="1">IF(OR($F24&gt;$D$5,$F24&gt;MAX('הנחות עבודה'!$B$69:$B$89)),0,(VLOOKUP($F24,'התפלגות ייצור וסל דלקים'!$B$64:$BV$84,AM$2-$E$2,FALSE))*$D$9*$D$8*(HLOOKUP(AM$23,$G$18:$R$19,2,FALSE)*(1-$D$12)^($F24-'הנחות עבודה'!$C$5)/$D$11)/$D$11)</f>
        <v>0</v>
      </c>
      <c r="AN24" s="39">
        <f ca="1">IF(OR($F24&gt;$D$5,$F24&gt;MAX('הנחות עבודה'!$B$69:$B$89)),0,(VLOOKUP($F24,'התפלגות ייצור וסל דלקים'!$B$64:$BV$84,AN$2-$E$2,FALSE))*$D$9*$D$8*(HLOOKUP(AN$23,$G$18:$R$19,2,FALSE)*(1-$D$12)^($F24-'הנחות עבודה'!$C$5)/$D$11)/$D$11)</f>
        <v>0</v>
      </c>
      <c r="AO24" s="39">
        <f ca="1">IF(OR($F24&gt;$D$5,$F24&gt;MAX('הנחות עבודה'!$B$69:$B$89)),0,(VLOOKUP($F24,'התפלגות ייצור וסל דלקים'!$B$64:$BV$84,AO$2-$E$2,FALSE))*$D$9*$D$8*(HLOOKUP(AO$23,$G$18:$R$19,2,FALSE)*(1-$D$12)^($F24-'הנחות עבודה'!$C$5)/$D$11)/$D$11)</f>
        <v>5.6307468000000001E-3</v>
      </c>
      <c r="AP24" s="39">
        <f ca="1">IF(OR($F24&gt;$D$5,$F24&gt;MAX('הנחות עבודה'!$B$69:$B$89)),0,(VLOOKUP($F24,'התפלגות ייצור וסל דלקים'!$B$64:$BV$84,AP$2-$E$2,FALSE))*$D$9*$D$8*(HLOOKUP(AP$23,$G$18:$R$19,2,FALSE)*(1-$D$12)^($F24-'הנחות עבודה'!$C$5)/$D$11)/$D$11)</f>
        <v>0</v>
      </c>
      <c r="AQ24" s="49">
        <f ca="1">IF(OR($F24&gt;$D$5,$F24&gt;MAX('הנחות עבודה'!$B$69:$B$89)),0,(VLOOKUP($F24,'התפלגות ייצור וסל דלקים'!$B$64:$BV$84,AQ$2-$E$2,FALSE))*$D$9*$D$8*(HLOOKUP(AQ$23,$G$18:$R$19,2,FALSE)*(1-$D$12)^($F24-'הנחות עבודה'!$C$5)/$D$11)/$D$11)</f>
        <v>0</v>
      </c>
      <c r="AR24" s="126">
        <f ca="1">IF(OR($F24&gt;$D$5,$F24&gt;MAX('הנחות עבודה'!$B$69:$B$89)),0,(VLOOKUP($F24,'התפלגות ייצור וסל דלקים'!$B$64:$BV$84,AR$2-$E$2,FALSE))*$D$9*$D$8*(HLOOKUP(AR$23,$G$18:$R$19,2,FALSE)*(1-$D$12)^($F24-'הנחות עבודה'!$C$5)/$D$11)/$D$11)</f>
        <v>0</v>
      </c>
      <c r="AS24" s="126">
        <f ca="1">IF(OR($F24&gt;$D$5,$F24&gt;MAX('הנחות עבודה'!$B$69:$B$89)),0,(VLOOKUP($F24,'התפלגות ייצור וסל דלקים'!$B$64:$BV$84,AS$2-$E$2,FALSE))*$D$9*$D$8*(HLOOKUP(AS$23,$G$18:$R$19,2,FALSE)*(1-$D$12)^($F24-'הנחות עבודה'!$C$5)/$D$11)/$D$11)</f>
        <v>0</v>
      </c>
      <c r="AT24" s="126">
        <f ca="1">IF(OR($F24&gt;$D$5,$F24&gt;MAX('הנחות עבודה'!$B$69:$B$89)),0,(VLOOKUP($F24,'התפלגות ייצור וסל דלקים'!$B$64:$BV$84,AT$2-$E$2,FALSE))*$D$9*$D$8*(HLOOKUP(AT$23,$G$18:$R$19,2,FALSE)*(1-$D$12)^($F24-'הנחות עבודה'!$C$5)/$D$11)/$D$11)</f>
        <v>0</v>
      </c>
      <c r="AU24" s="126">
        <f ca="1">IF(OR($F24&gt;$D$5,$F24&gt;MAX('הנחות עבודה'!$B$69:$B$89)),0,(VLOOKUP($F24,'התפלגות ייצור וסל דלקים'!$B$64:$BV$84,AU$2-$E$2,FALSE))*$D$9*$D$8*(HLOOKUP(AU$23,$G$18:$R$19,2,FALSE)*(1-$D$12)^($F24-'הנחות עבודה'!$C$5)/$D$11)/$D$11)</f>
        <v>0</v>
      </c>
      <c r="AV24" s="126">
        <f ca="1">IF(OR($F24&gt;$D$5,$F24&gt;MAX('הנחות עבודה'!$B$69:$B$89)),0,(VLOOKUP($F24,'התפלגות ייצור וסל דלקים'!$B$64:$BV$84,AV$2-$E$2,FALSE))*$D$9*$D$8*(HLOOKUP(AV$23,$G$18:$R$19,2,FALSE)*(1-$D$12)^($F24-'הנחות עבודה'!$C$5)/$D$11)/$D$11)</f>
        <v>0</v>
      </c>
      <c r="AW24" s="49">
        <f ca="1">IF(OR($F24&gt;$D$5,$F24&gt;MAX('הנחות עבודה'!$B$69:$B$89)),0,(VLOOKUP($F24,'התפלגות ייצור וסל דלקים'!$B$64:$BV$84,AW$2-$E$2,FALSE))*$D$9*$D$8*(HLOOKUP(AW$23,$G$18:$R$19,2,FALSE)*(1-$D$12)^($F24-'הנחות עבודה'!$C$5)/$D$11)/$D$11)</f>
        <v>0</v>
      </c>
      <c r="AX24" s="49">
        <f ca="1">IF(OR($F24&gt;$D$5,$F24&gt;MAX('הנחות עבודה'!$B$69:$B$89)),0,(VLOOKUP($F24,'התפלגות ייצור וסל דלקים'!$B$64:$BV$84,AX$2-$E$2,FALSE))*$D$9*$D$8*(HLOOKUP(AX$23,$G$18:$R$19,2,FALSE)*(1-$D$12)^($F24-'הנחות עבודה'!$C$5)/$D$11)/$D$11)</f>
        <v>3.8967354320000006E-4</v>
      </c>
      <c r="AY24" s="49">
        <f ca="1">IF(OR($F24&gt;$D$5,$F24&gt;MAX('הנחות עבודה'!$B$69:$B$89)),0,(VLOOKUP($F24,'התפלגות ייצור וסל דלקים'!$B$64:$BV$84,AY$2-$E$2,FALSE))*$D$9*$D$8*(HLOOKUP(AY$23,$G$18:$R$19,2,FALSE)*(1-$D$12)^($F24-'הנחות עבודה'!$C$5)/$D$11)/$D$11)</f>
        <v>0</v>
      </c>
      <c r="AZ24" s="49">
        <f ca="1">IF(OR($F24&gt;$D$5,$F24&gt;MAX('הנחות עבודה'!$B$69:$B$89)),0,(VLOOKUP($F24,'התפלגות ייצור וסל דלקים'!$B$64:$BV$84,AZ$2-$E$2,FALSE))*$D$9*$D$8*(HLOOKUP(AZ$23,$G$18:$R$19,2,FALSE)*(1-$D$12)^($F24-'הנחות עבודה'!$C$5)/$D$11)/$D$11)</f>
        <v>0</v>
      </c>
      <c r="BA24" s="49">
        <f ca="1">IF(OR($F24&gt;$D$5,$F24&gt;MAX('הנחות עבודה'!$B$69:$B$89)),0,(VLOOKUP($F24,'התפלגות ייצור וסל דלקים'!$B$64:$BV$84,BA$2-$E$2,FALSE))*$D$9*$D$8*(HLOOKUP(BA$23,$G$18:$R$19,2,FALSE)*(1-$D$12)^($F24-'הנחות עבודה'!$C$5)/$D$11)/$D$11)</f>
        <v>5.6307468000000001E-3</v>
      </c>
      <c r="BB24" s="49">
        <f ca="1">IF(OR($F24&gt;$D$5,$F24&gt;MAX('הנחות עבודה'!$B$69:$B$89)),0,(VLOOKUP($F24,'התפלגות ייצור וסל דלקים'!$B$64:$BV$84,BB$2-$E$2,FALSE))*$D$9*$D$8*(HLOOKUP(BB$23,$G$18:$R$19,2,FALSE)*(1-$D$12)^($F24-'הנחות עבודה'!$C$5)/$D$11)/$D$11)</f>
        <v>0</v>
      </c>
      <c r="BC24" s="39">
        <f ca="1">IF(OR($F24&gt;$D$5,$F24&gt;MAX('הנחות עבודה'!$B$69:$B$89)),0,(VLOOKUP($F24,'התפלגות ייצור וסל דלקים'!$B$64:$BV$84,BC$2-$E$2,FALSE))*$D$9*$D$8*(HLOOKUP(BC$23,$G$18:$R$19,2,FALSE)*(1-$D$12)^($F24-'הנחות עבודה'!$C$5)/$D$11)/$D$11)</f>
        <v>0</v>
      </c>
      <c r="BD24" s="41">
        <f ca="1">IF(OR($F24&gt;$D$5,$F24&gt;MAX('הנחות עבודה'!$B$69:$B$89)),0,(VLOOKUP($F24,'התפלגות ייצור וסל דלקים'!$B$64:$BV$84,BD$2-$E$2,FALSE))*$D$9*$D$8*(HLOOKUP(BD$23,$G$18:$R$19,2,FALSE)*(1-$D$12)^($F24-'הנחות עבודה'!$C$5)/$D$11)/$D$11)</f>
        <v>0</v>
      </c>
      <c r="BE24" s="41">
        <f ca="1">IF(OR($F24&gt;$D$5,$F24&gt;MAX('הנחות עבודה'!$B$69:$B$89)),0,(VLOOKUP($F24,'התפלגות ייצור וסל דלקים'!$B$64:$BV$84,BE$2-$E$2,FALSE))*$D$9*$D$8*(HLOOKUP(BE$23,$G$18:$R$19,2,FALSE)*(1-$D$12)^($F24-'הנחות עבודה'!$C$5)/$D$11)/$D$11)</f>
        <v>0</v>
      </c>
      <c r="BF24" s="41">
        <f ca="1">IF(OR($F24&gt;$D$5,$F24&gt;MAX('הנחות עבודה'!$B$69:$B$89)),0,(VLOOKUP($F24,'התפלגות ייצור וסל דלקים'!$B$64:$BV$84,BF$2-$E$2,FALSE))*$D$9*$D$8*(HLOOKUP(BF$23,$G$18:$R$19,2,FALSE)*(1-$D$12)^($F24-'הנחות עבודה'!$C$5)/$D$11)/$D$11)</f>
        <v>0</v>
      </c>
      <c r="BG24" s="41">
        <f ca="1">IF(OR($F24&gt;$D$5,$F24&gt;MAX('הנחות עבודה'!$B$69:$B$89)),0,(VLOOKUP($F24,'התפלגות ייצור וסל דלקים'!$B$64:$BV$84,BG$2-$E$2,FALSE))*$D$9*$D$8*(HLOOKUP(BG$23,$G$18:$R$19,2,FALSE)*(1-$D$12)^($F24-'הנחות עבודה'!$C$5)/$D$11)/$D$11)</f>
        <v>0</v>
      </c>
      <c r="BH24" s="41">
        <f ca="1">IF(OR($F24&gt;$D$5,$F24&gt;MAX('הנחות עבודה'!$B$69:$B$89)),0,(VLOOKUP($F24,'התפלגות ייצור וסל דלקים'!$B$64:$BV$84,BH$2-$E$2,FALSE))*$D$9*$D$8*(HLOOKUP(BH$23,$G$18:$R$19,2,FALSE)*(1-$D$12)^($F24-'הנחות עבודה'!$C$5)/$D$11)/$D$11)</f>
        <v>0</v>
      </c>
      <c r="BI24" s="39">
        <f ca="1">IF(OR($F24&gt;$D$5,$F24&gt;MAX('הנחות עבודה'!$B$69:$B$89)),0,(VLOOKUP($F24,'התפלגות ייצור וסל דלקים'!$B$64:$BV$84,BI$2-$E$2,FALSE))*$D$9*$D$8*(HLOOKUP(BI$23,$G$18:$R$19,2,FALSE)*(1-$D$12)^($F24-'הנחות עבודה'!$C$5)/$D$11)/$D$11)</f>
        <v>0</v>
      </c>
      <c r="BJ24" s="39">
        <f ca="1">IF(OR($F24&gt;$D$5,$F24&gt;MAX('הנחות עבודה'!$B$69:$B$89)),0,(VLOOKUP($F24,'התפלגות ייצור וסל דלקים'!$B$64:$BV$84,BJ$2-$E$2,FALSE))*$D$9*$D$8*(HLOOKUP(BJ$23,$G$18:$R$19,2,FALSE)*(1-$D$12)^($F24-'הנחות עבודה'!$C$5)/$D$11)/$D$11)</f>
        <v>3.8967354320000006E-4</v>
      </c>
      <c r="BK24" s="39">
        <f ca="1">IF(OR($F24&gt;$D$5,$F24&gt;MAX('הנחות עבודה'!$B$69:$B$89)),0,(VLOOKUP($F24,'התפלגות ייצור וסל דלקים'!$B$64:$BV$84,BK$2-$E$2,FALSE))*$D$9*$D$8*(HLOOKUP(BK$23,$G$18:$R$19,2,FALSE)*(1-$D$12)^($F24-'הנחות עבודה'!$C$5)/$D$11)/$D$11)</f>
        <v>0</v>
      </c>
      <c r="BL24" s="39">
        <f ca="1">IF(OR($F24&gt;$D$5,$F24&gt;MAX('הנחות עבודה'!$B$69:$B$89)),0,(VLOOKUP($F24,'התפלגות ייצור וסל דלקים'!$B$64:$BV$84,BL$2-$E$2,FALSE))*$D$9*$D$8*(HLOOKUP(BL$23,$G$18:$R$19,2,FALSE)*(1-$D$12)^($F24-'הנחות עבודה'!$C$5)/$D$11)/$D$11)</f>
        <v>0</v>
      </c>
      <c r="BM24" s="39">
        <f ca="1">IF(OR($F24&gt;$D$5,$F24&gt;MAX('הנחות עבודה'!$B$69:$B$89)),0,(VLOOKUP($F24,'התפלגות ייצור וסל דלקים'!$B$64:$BV$84,BM$2-$E$2,FALSE))*$D$9*$D$8*(HLOOKUP(BM$23,$G$18:$R$19,2,FALSE)*(1-$D$12)^($F24-'הנחות עבודה'!$C$5)/$D$11)/$D$11)</f>
        <v>5.6307468000000001E-3</v>
      </c>
      <c r="BN24" s="39">
        <f ca="1">IF(OR($F24&gt;$D$5,$F24&gt;MAX('הנחות עבודה'!$B$69:$B$89)),0,(VLOOKUP($F24,'התפלגות ייצור וסל דלקים'!$B$64:$BV$84,BN$2-$E$2,FALSE))*$D$9*$D$8*(HLOOKUP(BN$23,$G$18:$R$19,2,FALSE)*(1-$D$12)^($F24-'הנחות עבודה'!$C$5)/$D$11)/$D$11)</f>
        <v>0</v>
      </c>
      <c r="BO24" s="49">
        <f ca="1">IF(OR($F24&gt;$D$5,$F24&gt;MAX('הנחות עבודה'!$B$69:$B$89)),0,(VLOOKUP($F24,'התפלגות ייצור וסל דלקים'!$B$64:$BV$84,BO$2-$E$2,FALSE))*$D$9*$D$8*(HLOOKUP(BO$23,$G$18:$R$19,2,FALSE)*(1-$D$12)^($F24-'הנחות עבודה'!$C$5)/$D$11)/$D$11)</f>
        <v>0</v>
      </c>
      <c r="BP24" s="126">
        <f ca="1">IF(OR($F24&gt;$D$5,$F24&gt;MAX('הנחות עבודה'!$B$69:$B$89)),0,(VLOOKUP($F24,'התפלגות ייצור וסל דלקים'!$B$64:$BV$84,BP$2-$E$2,FALSE))*$D$9*$D$8*(HLOOKUP(BP$23,$G$18:$R$19,2,FALSE)*(1-$D$12)^($F24-'הנחות עבודה'!$C$5)/$D$11)/$D$11)</f>
        <v>0</v>
      </c>
      <c r="BQ24" s="126">
        <f ca="1">IF(OR($F24&gt;$D$5,$F24&gt;MAX('הנחות עבודה'!$B$69:$B$89)),0,(VLOOKUP($F24,'התפלגות ייצור וסל דלקים'!$B$64:$BV$84,BQ$2-$E$2,FALSE))*$D$9*$D$8*(HLOOKUP(BQ$23,$G$18:$R$19,2,FALSE)*(1-$D$12)^($F24-'הנחות עבודה'!$C$5)/$D$11)/$D$11)</f>
        <v>0</v>
      </c>
      <c r="BR24" s="126">
        <f ca="1">IF(OR($F24&gt;$D$5,$F24&gt;MAX('הנחות עבודה'!$B$69:$B$89)),0,(VLOOKUP($F24,'התפלגות ייצור וסל דלקים'!$B$64:$BV$84,BR$2-$E$2,FALSE))*$D$9*$D$8*(HLOOKUP(BR$23,$G$18:$R$19,2,FALSE)*(1-$D$12)^($F24-'הנחות עבודה'!$C$5)/$D$11)/$D$11)</f>
        <v>0</v>
      </c>
      <c r="BS24" s="126">
        <f ca="1">IF(OR($F24&gt;$D$5,$F24&gt;MAX('הנחות עבודה'!$B$69:$B$89)),0,(VLOOKUP($F24,'התפלגות ייצור וסל דלקים'!$B$64:$BV$84,BS$2-$E$2,FALSE))*$D$9*$D$8*(HLOOKUP(BS$23,$G$18:$R$19,2,FALSE)*(1-$D$12)^($F24-'הנחות עבודה'!$C$5)/$D$11)/$D$11)</f>
        <v>0</v>
      </c>
      <c r="BT24" s="126">
        <f ca="1">IF(OR($F24&gt;$D$5,$F24&gt;MAX('הנחות עבודה'!$B$69:$B$89)),0,(VLOOKUP($F24,'התפלגות ייצור וסל דלקים'!$B$64:$BV$84,BT$2-$E$2,FALSE))*$D$9*$D$8*(HLOOKUP(BT$23,$G$18:$R$19,2,FALSE)*(1-$D$12)^($F24-'הנחות עבודה'!$C$5)/$D$11)/$D$11)</f>
        <v>0</v>
      </c>
      <c r="BU24" s="49">
        <f ca="1">IF(OR($F24&gt;$D$5,$F24&gt;MAX('הנחות עבודה'!$B$69:$B$89)),0,(VLOOKUP($F24,'התפלגות ייצור וסל דלקים'!$B$64:$BV$84,BU$2-$E$2,FALSE))*$D$9*$D$8*(HLOOKUP(BU$23,$G$18:$R$19,2,FALSE)*(1-$D$12)^($F24-'הנחות עבודה'!$C$5)/$D$11)/$D$11)</f>
        <v>0</v>
      </c>
      <c r="BV24" s="49">
        <f ca="1">IF(OR($F24&gt;$D$5,$F24&gt;MAX('הנחות עבודה'!$B$69:$B$89)),0,(VLOOKUP($F24,'התפלגות ייצור וסל דלקים'!$B$64:$BV$84,BV$2-$E$2,FALSE))*$D$9*$D$8*(HLOOKUP(BV$23,$G$18:$R$19,2,FALSE)*(1-$D$12)^($F24-'הנחות עבודה'!$C$5)/$D$11)/$D$11)</f>
        <v>3.8967354320000006E-4</v>
      </c>
      <c r="BW24" s="49">
        <f ca="1">IF(OR($F24&gt;$D$5,$F24&gt;MAX('הנחות עבודה'!$B$69:$B$89)),0,(VLOOKUP($F24,'התפלגות ייצור וסל דלקים'!$B$64:$BV$84,BW$2-$E$2,FALSE))*$D$9*$D$8*(HLOOKUP(BW$23,$G$18:$R$19,2,FALSE)*(1-$D$12)^($F24-'הנחות עבודה'!$C$5)/$D$11)/$D$11)</f>
        <v>0</v>
      </c>
      <c r="BX24" s="49">
        <f ca="1">IF(OR($F24&gt;$D$5,$F24&gt;MAX('הנחות עבודה'!$B$69:$B$89)),0,(VLOOKUP($F24,'התפלגות ייצור וסל דלקים'!$B$64:$BV$84,BX$2-$E$2,FALSE))*$D$9*$D$8*(HLOOKUP(BX$23,$G$18:$R$19,2,FALSE)*(1-$D$12)^($F24-'הנחות עבודה'!$C$5)/$D$11)/$D$11)</f>
        <v>0</v>
      </c>
      <c r="BY24" s="49">
        <f ca="1">IF(OR($F24&gt;$D$5,$F24&gt;MAX('הנחות עבודה'!$B$69:$B$89)),0,(VLOOKUP($F24,'התפלגות ייצור וסל דלקים'!$B$64:$BV$84,BY$2-$E$2,FALSE))*$D$9*$D$8*(HLOOKUP(BY$23,$G$18:$R$19,2,FALSE)*(1-$D$12)^($F24-'הנחות עבודה'!$C$5)/$D$11)/$D$11)</f>
        <v>5.6307468000000001E-3</v>
      </c>
      <c r="BZ24" s="49">
        <f ca="1">IF(OR($F24&gt;$D$5,$F24&gt;MAX('הנחות עבודה'!$B$69:$B$89)),0,(VLOOKUP($F24,'התפלגות ייצור וסל דלקים'!$B$64:$BV$84,BZ$2-$E$2,FALSE))*$D$9*$D$8*(HLOOKUP(BZ$23,$G$18:$R$19,2,FALSE)*(1-$D$12)^($F24-'הנחות עבודה'!$C$5)/$D$11)/$D$11)</f>
        <v>0</v>
      </c>
    </row>
    <row r="25" spans="6:78" ht="15.75">
      <c r="F25" s="10">
        <f>F24+1</f>
        <v>2021</v>
      </c>
      <c r="G25" s="42">
        <f ca="1">IF(OR($F25&gt;$D$5,$F25&gt;MAX('הנחות עבודה'!$B$69:$B$89)),0,(VLOOKUP($F25,'התפלגות ייצור וסל דלקים'!$B$64:$BV$84,G$2-$E$2,FALSE))*$D$9*$D$8*(HLOOKUP(G$23,$G$18:$R$19,2,FALSE)*(1-$D$12)^($F25-'הנחות עבודה'!$C$5)/$D$11)/$D$11)</f>
        <v>0</v>
      </c>
      <c r="H25" s="44">
        <f ca="1">IF(OR($F25&gt;$D$5,$F25&gt;MAX('הנחות עבודה'!$B$69:$B$89)),0,(VLOOKUP($F25,'התפלגות ייצור וסל דלקים'!$B$64:$BV$84,H$2-$E$2,FALSE))*$D$9*$D$8*(HLOOKUP(H$23,$G$18:$R$19,2,FALSE)*(1-$D$12)^($F25-'הנחות עבודה'!$C$5)/$D$11)/$D$11)</f>
        <v>0</v>
      </c>
      <c r="I25" s="44">
        <f ca="1">IF(OR($F25&gt;$D$5,$F25&gt;MAX('הנחות עבודה'!$B$69:$B$89)),0,(VLOOKUP($F25,'התפלגות ייצור וסל דלקים'!$B$64:$BV$84,I$2-$E$2,FALSE))*$D$9*$D$8*(HLOOKUP(I$23,$G$18:$R$19,2,FALSE)*(1-$D$12)^($F25-'הנחות עבודה'!$C$5)/$D$11)/$D$11)</f>
        <v>0</v>
      </c>
      <c r="J25" s="44">
        <f ca="1">IF(OR($F25&gt;$D$5,$F25&gt;MAX('הנחות עבודה'!$B$69:$B$89)),0,(VLOOKUP($F25,'התפלגות ייצור וסל דלקים'!$B$64:$BV$84,J$2-$E$2,FALSE))*$D$9*$D$8*(HLOOKUP(J$23,$G$18:$R$19,2,FALSE)*(1-$D$12)^($F25-'הנחות עבודה'!$C$5)/$D$11)/$D$11)</f>
        <v>0</v>
      </c>
      <c r="K25" s="44">
        <f ca="1">IF(OR($F25&gt;$D$5,$F25&gt;MAX('הנחות עבודה'!$B$69:$B$89)),0,(VLOOKUP($F25,'התפלגות ייצור וסל דלקים'!$B$64:$BV$84,K$2-$E$2,FALSE))*$D$9*$D$8*(HLOOKUP(K$23,$G$18:$R$19,2,FALSE)*(1-$D$12)^($F25-'הנחות עבודה'!$C$5)/$D$11)/$D$11)</f>
        <v>0</v>
      </c>
      <c r="L25" s="44">
        <f ca="1">IF(OR($F25&gt;$D$5,$F25&gt;MAX('הנחות עבודה'!$B$69:$B$89)),0,(VLOOKUP($F25,'התפלגות ייצור וסל דלקים'!$B$64:$BV$84,L$2-$E$2,FALSE))*$D$9*$D$8*(HLOOKUP(L$23,$G$18:$R$19,2,FALSE)*(1-$D$12)^($F25-'הנחות עבודה'!$C$5)/$D$11)/$D$11)</f>
        <v>0</v>
      </c>
      <c r="M25" s="42">
        <f ca="1">IF(OR($F25&gt;$D$5,$F25&gt;MAX('הנחות עבודה'!$B$69:$B$89)),0,(VLOOKUP($F25,'התפלגות ייצור וסל דלקים'!$B$64:$BV$84,M$2-$E$2,FALSE))*$D$9*$D$8*(HLOOKUP(M$23,$G$18:$R$19,2,FALSE)*(1-$D$12)^($F25-'הנחות עבודה'!$C$5)/$D$11)/$D$11)</f>
        <v>0</v>
      </c>
      <c r="N25" s="42">
        <f ca="1">IF(OR($F25&gt;$D$5,$F25&gt;MAX('הנחות עבודה'!$B$69:$B$89)),0,(VLOOKUP($F25,'התפלגות ייצור וסל דלקים'!$B$64:$BV$84,N$2-$E$2,FALSE))*$D$9*$D$8*(HLOOKUP(N$23,$G$18:$R$19,2,FALSE)*(1-$D$12)^($F25-'הנחות עבודה'!$C$5)/$D$11)/$D$11)</f>
        <v>4.0192809382400002E-4</v>
      </c>
      <c r="O25" s="42">
        <f ca="1">IF(OR($F25&gt;$D$5,$F25&gt;MAX('הנחות עבודה'!$B$69:$B$89)),0,(VLOOKUP($F25,'התפלגות ייצור וסל דלקים'!$B$64:$BV$84,O$2-$E$2,FALSE))*$D$9*$D$8*(HLOOKUP(O$23,$G$18:$R$19,2,FALSE)*(1-$D$12)^($F25-'הנחות עבודה'!$C$5)/$D$11)/$D$11)</f>
        <v>0</v>
      </c>
      <c r="P25" s="42">
        <f ca="1">IF(OR($F25&gt;$D$5,$F25&gt;MAX('הנחות עבודה'!$B$69:$B$89)),0,(VLOOKUP($F25,'התפלגות ייצור וסל דלקים'!$B$64:$BV$84,P$2-$E$2,FALSE))*$D$9*$D$8*(HLOOKUP(P$23,$G$18:$R$19,2,FALSE)*(1-$D$12)^($F25-'הנחות עבודה'!$C$5)/$D$11)/$D$11)</f>
        <v>0</v>
      </c>
      <c r="Q25" s="42">
        <f ca="1">IF(OR($F25&gt;$D$5,$F25&gt;MAX('הנחות עבודה'!$B$69:$B$89)),0,(VLOOKUP($F25,'התפלגות ייצור וסל דלקים'!$B$64:$BV$84,Q$2-$E$2,FALSE))*$D$9*$D$8*(HLOOKUP(Q$23,$G$18:$R$19,2,FALSE)*(1-$D$12)^($F25-'הנחות עבודה'!$C$5)/$D$11)/$D$11)</f>
        <v>5.6307468000000001E-3</v>
      </c>
      <c r="R25" s="42">
        <f ca="1">IF(OR($F25&gt;$D$5,$F25&gt;MAX('הנחות עבודה'!$B$69:$B$89)),0,(VLOOKUP($F25,'התפלגות ייצור וסל דלקים'!$B$64:$BV$84,R$2-$E$2,FALSE))*$D$9*$D$8*(HLOOKUP(R$23,$G$18:$R$19,2,FALSE)*(1-$D$12)^($F25-'הנחות עבודה'!$C$5)/$D$11)/$D$11)</f>
        <v>0</v>
      </c>
      <c r="S25" s="52">
        <f ca="1">IF(OR($F25&gt;$D$5,$F25&gt;MAX('הנחות עבודה'!$B$69:$B$89)),0,(VLOOKUP($F25,'התפלגות ייצור וסל דלקים'!$B$64:$BV$84,S$2-$E$2,FALSE))*$D$9*$D$8*(HLOOKUP(S$23,$G$18:$R$19,2,FALSE)*(1-$D$12)^($F25-'הנחות עבודה'!$C$5)/$D$11)/$D$11)</f>
        <v>0</v>
      </c>
      <c r="T25" s="127">
        <f ca="1">IF(OR($F25&gt;$D$5,$F25&gt;MAX('הנחות עבודה'!$B$69:$B$89)),0,(VLOOKUP($F25,'התפלגות ייצור וסל דלקים'!$B$64:$BV$84,T$2-$E$2,FALSE))*$D$9*$D$8*(HLOOKUP(T$23,$G$18:$R$19,2,FALSE)*(1-$D$12)^($F25-'הנחות עבודה'!$C$5)/$D$11)/$D$11)</f>
        <v>0</v>
      </c>
      <c r="U25" s="127">
        <f ca="1">IF(OR($F25&gt;$D$5,$F25&gt;MAX('הנחות עבודה'!$B$69:$B$89)),0,(VLOOKUP($F25,'התפלגות ייצור וסל דלקים'!$B$64:$BV$84,U$2-$E$2,FALSE))*$D$9*$D$8*(HLOOKUP(U$23,$G$18:$R$19,2,FALSE)*(1-$D$12)^($F25-'הנחות עבודה'!$C$5)/$D$11)/$D$11)</f>
        <v>0</v>
      </c>
      <c r="V25" s="127">
        <f ca="1">IF(OR($F25&gt;$D$5,$F25&gt;MAX('הנחות עבודה'!$B$69:$B$89)),0,(VLOOKUP($F25,'התפלגות ייצור וסל דלקים'!$B$64:$BV$84,V$2-$E$2,FALSE))*$D$9*$D$8*(HLOOKUP(V$23,$G$18:$R$19,2,FALSE)*(1-$D$12)^($F25-'הנחות עבודה'!$C$5)/$D$11)/$D$11)</f>
        <v>0</v>
      </c>
      <c r="W25" s="127">
        <f ca="1">IF(OR($F25&gt;$D$5,$F25&gt;MAX('הנחות עבודה'!$B$69:$B$89)),0,(VLOOKUP($F25,'התפלגות ייצור וסל דלקים'!$B$64:$BV$84,W$2-$E$2,FALSE))*$D$9*$D$8*(HLOOKUP(W$23,$G$18:$R$19,2,FALSE)*(1-$D$12)^($F25-'הנחות עבודה'!$C$5)/$D$11)/$D$11)</f>
        <v>0</v>
      </c>
      <c r="X25" s="127">
        <f ca="1">IF(OR($F25&gt;$D$5,$F25&gt;MAX('הנחות עבודה'!$B$69:$B$89)),0,(VLOOKUP($F25,'התפלגות ייצור וסל דלקים'!$B$64:$BV$84,X$2-$E$2,FALSE))*$D$9*$D$8*(HLOOKUP(X$23,$G$18:$R$19,2,FALSE)*(1-$D$12)^($F25-'הנחות עבודה'!$C$5)/$D$11)/$D$11)</f>
        <v>0</v>
      </c>
      <c r="Y25" s="52">
        <f ca="1">IF(OR($F25&gt;$D$5,$F25&gt;MAX('הנחות עבודה'!$B$69:$B$89)),0,(VLOOKUP($F25,'התפלגות ייצור וסל דלקים'!$B$64:$BV$84,Y$2-$E$2,FALSE))*$D$9*$D$8*(HLOOKUP(Y$23,$G$18:$R$19,2,FALSE)*(1-$D$12)^($F25-'הנחות עבודה'!$C$5)/$D$11)/$D$11)</f>
        <v>0</v>
      </c>
      <c r="Z25" s="52">
        <f ca="1">IF(OR($F25&gt;$D$5,$F25&gt;MAX('הנחות עבודה'!$B$69:$B$89)),0,(VLOOKUP($F25,'התפלגות ייצור וסל דלקים'!$B$64:$BV$84,Z$2-$E$2,FALSE))*$D$9*$D$8*(HLOOKUP(Z$23,$G$18:$R$19,2,FALSE)*(1-$D$12)^($F25-'הנחות עבודה'!$C$5)/$D$11)/$D$11)</f>
        <v>4.0192809382400002E-4</v>
      </c>
      <c r="AA25" s="52">
        <f ca="1">IF(OR($F25&gt;$D$5,$F25&gt;MAX('הנחות עבודה'!$B$69:$B$89)),0,(VLOOKUP($F25,'התפלגות ייצור וסל דלקים'!$B$64:$BV$84,AA$2-$E$2,FALSE))*$D$9*$D$8*(HLOOKUP(AA$23,$G$18:$R$19,2,FALSE)*(1-$D$12)^($F25-'הנחות עבודה'!$C$5)/$D$11)/$D$11)</f>
        <v>0</v>
      </c>
      <c r="AB25" s="52">
        <f ca="1">IF(OR($F25&gt;$D$5,$F25&gt;MAX('הנחות עבודה'!$B$69:$B$89)),0,(VLOOKUP($F25,'התפלגות ייצור וסל דלקים'!$B$64:$BV$84,AB$2-$E$2,FALSE))*$D$9*$D$8*(HLOOKUP(AB$23,$G$18:$R$19,2,FALSE)*(1-$D$12)^($F25-'הנחות עבודה'!$C$5)/$D$11)/$D$11)</f>
        <v>0</v>
      </c>
      <c r="AC25" s="52">
        <f ca="1">IF(OR($F25&gt;$D$5,$F25&gt;MAX('הנחות עבודה'!$B$69:$B$89)),0,(VLOOKUP($F25,'התפלגות ייצור וסל דלקים'!$B$64:$BV$84,AC$2-$E$2,FALSE))*$D$9*$D$8*(HLOOKUP(AC$23,$G$18:$R$19,2,FALSE)*(1-$D$12)^($F25-'הנחות עבודה'!$C$5)/$D$11)/$D$11)</f>
        <v>5.6307468000000001E-3</v>
      </c>
      <c r="AD25" s="52">
        <f ca="1">IF(OR($F25&gt;$D$5,$F25&gt;MAX('הנחות עבודה'!$B$69:$B$89)),0,(VLOOKUP($F25,'התפלגות ייצור וסל דלקים'!$B$64:$BV$84,AD$2-$E$2,FALSE))*$D$9*$D$8*(HLOOKUP(AD$23,$G$18:$R$19,2,FALSE)*(1-$D$12)^($F25-'הנחות עבודה'!$C$5)/$D$11)/$D$11)</f>
        <v>0</v>
      </c>
      <c r="AE25" s="42">
        <f ca="1">IF(OR($F25&gt;$D$5,$F25&gt;MAX('הנחות עבודה'!$B$69:$B$89)),0,(VLOOKUP($F25,'התפלגות ייצור וסל דלקים'!$B$64:$BV$84,AE$2-$E$2,FALSE))*$D$9*$D$8*(HLOOKUP(AE$23,$G$18:$R$19,2,FALSE)*(1-$D$12)^($F25-'הנחות עבודה'!$C$5)/$D$11)/$D$11)</f>
        <v>0</v>
      </c>
      <c r="AF25" s="44">
        <f ca="1">IF(OR($F25&gt;$D$5,$F25&gt;MAX('הנחות עבודה'!$B$69:$B$89)),0,(VLOOKUP($F25,'התפלגות ייצור וסל דלקים'!$B$64:$BV$84,AF$2-$E$2,FALSE))*$D$9*$D$8*(HLOOKUP(AF$23,$G$18:$R$19,2,FALSE)*(1-$D$12)^($F25-'הנחות עבודה'!$C$5)/$D$11)/$D$11)</f>
        <v>0</v>
      </c>
      <c r="AG25" s="44">
        <f ca="1">IF(OR($F25&gt;$D$5,$F25&gt;MAX('הנחות עבודה'!$B$69:$B$89)),0,(VLOOKUP($F25,'התפלגות ייצור וסל דלקים'!$B$64:$BV$84,AG$2-$E$2,FALSE))*$D$9*$D$8*(HLOOKUP(AG$23,$G$18:$R$19,2,FALSE)*(1-$D$12)^($F25-'הנחות עבודה'!$C$5)/$D$11)/$D$11)</f>
        <v>0</v>
      </c>
      <c r="AH25" s="44">
        <f ca="1">IF(OR($F25&gt;$D$5,$F25&gt;MAX('הנחות עבודה'!$B$69:$B$89)),0,(VLOOKUP($F25,'התפלגות ייצור וסל דלקים'!$B$64:$BV$84,AH$2-$E$2,FALSE))*$D$9*$D$8*(HLOOKUP(AH$23,$G$18:$R$19,2,FALSE)*(1-$D$12)^($F25-'הנחות עבודה'!$C$5)/$D$11)/$D$11)</f>
        <v>0</v>
      </c>
      <c r="AI25" s="44">
        <f ca="1">IF(OR($F25&gt;$D$5,$F25&gt;MAX('הנחות עבודה'!$B$69:$B$89)),0,(VLOOKUP($F25,'התפלגות ייצור וסל דלקים'!$B$64:$BV$84,AI$2-$E$2,FALSE))*$D$9*$D$8*(HLOOKUP(AI$23,$G$18:$R$19,2,FALSE)*(1-$D$12)^($F25-'הנחות עבודה'!$C$5)/$D$11)/$D$11)</f>
        <v>0</v>
      </c>
      <c r="AJ25" s="44">
        <f ca="1">IF(OR($F25&gt;$D$5,$F25&gt;MAX('הנחות עבודה'!$B$69:$B$89)),0,(VLOOKUP($F25,'התפלגות ייצור וסל דלקים'!$B$64:$BV$84,AJ$2-$E$2,FALSE))*$D$9*$D$8*(HLOOKUP(AJ$23,$G$18:$R$19,2,FALSE)*(1-$D$12)^($F25-'הנחות עבודה'!$C$5)/$D$11)/$D$11)</f>
        <v>0</v>
      </c>
      <c r="AK25" s="42">
        <f ca="1">IF(OR($F25&gt;$D$5,$F25&gt;MAX('הנחות עבודה'!$B$69:$B$89)),0,(VLOOKUP($F25,'התפלגות ייצור וסל דלקים'!$B$64:$BV$84,AK$2-$E$2,FALSE))*$D$9*$D$8*(HLOOKUP(AK$23,$G$18:$R$19,2,FALSE)*(1-$D$12)^($F25-'הנחות עבודה'!$C$5)/$D$11)/$D$11)</f>
        <v>0</v>
      </c>
      <c r="AL25" s="42">
        <f ca="1">IF(OR($F25&gt;$D$5,$F25&gt;MAX('הנחות עבודה'!$B$69:$B$89)),0,(VLOOKUP($F25,'התפלגות ייצור וסל דלקים'!$B$64:$BV$84,AL$2-$E$2,FALSE))*$D$9*$D$8*(HLOOKUP(AL$23,$G$18:$R$19,2,FALSE)*(1-$D$12)^($F25-'הנחות עבודה'!$C$5)/$D$11)/$D$11)</f>
        <v>3.9644806496000009E-4</v>
      </c>
      <c r="AM25" s="42">
        <f ca="1">IF(OR($F25&gt;$D$5,$F25&gt;MAX('הנחות עבודה'!$B$69:$B$89)),0,(VLOOKUP($F25,'התפלגות ייצור וסל דלקים'!$B$64:$BV$84,AM$2-$E$2,FALSE))*$D$9*$D$8*(HLOOKUP(AM$23,$G$18:$R$19,2,FALSE)*(1-$D$12)^($F25-'הנחות עבודה'!$C$5)/$D$11)/$D$11)</f>
        <v>0</v>
      </c>
      <c r="AN25" s="42">
        <f ca="1">IF(OR($F25&gt;$D$5,$F25&gt;MAX('הנחות עבודה'!$B$69:$B$89)),0,(VLOOKUP($F25,'התפלגות ייצור וסל דלקים'!$B$64:$BV$84,AN$2-$E$2,FALSE))*$D$9*$D$8*(HLOOKUP(AN$23,$G$18:$R$19,2,FALSE)*(1-$D$12)^($F25-'הנחות עבודה'!$C$5)/$D$11)/$D$11)</f>
        <v>0</v>
      </c>
      <c r="AO25" s="42">
        <f ca="1">IF(OR($F25&gt;$D$5,$F25&gt;MAX('הנחות עבודה'!$B$69:$B$89)),0,(VLOOKUP($F25,'התפלגות ייצור וסל דלקים'!$B$64:$BV$84,AO$2-$E$2,FALSE))*$D$9*$D$8*(HLOOKUP(AO$23,$G$18:$R$19,2,FALSE)*(1-$D$12)^($F25-'הנחות עבודה'!$C$5)/$D$11)/$D$11)</f>
        <v>5.6307468000000001E-3</v>
      </c>
      <c r="AP25" s="42">
        <f ca="1">IF(OR($F25&gt;$D$5,$F25&gt;MAX('הנחות עבודה'!$B$69:$B$89)),0,(VLOOKUP($F25,'התפלגות ייצור וסל דלקים'!$B$64:$BV$84,AP$2-$E$2,FALSE))*$D$9*$D$8*(HLOOKUP(AP$23,$G$18:$R$19,2,FALSE)*(1-$D$12)^($F25-'הנחות עבודה'!$C$5)/$D$11)/$D$11)</f>
        <v>0</v>
      </c>
      <c r="AQ25" s="52">
        <f ca="1">IF(OR($F25&gt;$D$5,$F25&gt;MAX('הנחות עבודה'!$B$69:$B$89)),0,(VLOOKUP($F25,'התפלגות ייצור וסל דלקים'!$B$64:$BV$84,AQ$2-$E$2,FALSE))*$D$9*$D$8*(HLOOKUP(AQ$23,$G$18:$R$19,2,FALSE)*(1-$D$12)^($F25-'הנחות עבודה'!$C$5)/$D$11)/$D$11)</f>
        <v>0</v>
      </c>
      <c r="AR25" s="127">
        <f ca="1">IF(OR($F25&gt;$D$5,$F25&gt;MAX('הנחות עבודה'!$B$69:$B$89)),0,(VLOOKUP($F25,'התפלגות ייצור וסל דלקים'!$B$64:$BV$84,AR$2-$E$2,FALSE))*$D$9*$D$8*(HLOOKUP(AR$23,$G$18:$R$19,2,FALSE)*(1-$D$12)^($F25-'הנחות עבודה'!$C$5)/$D$11)/$D$11)</f>
        <v>0</v>
      </c>
      <c r="AS25" s="127">
        <f ca="1">IF(OR($F25&gt;$D$5,$F25&gt;MAX('הנחות עבודה'!$B$69:$B$89)),0,(VLOOKUP($F25,'התפלגות ייצור וסל דלקים'!$B$64:$BV$84,AS$2-$E$2,FALSE))*$D$9*$D$8*(HLOOKUP(AS$23,$G$18:$R$19,2,FALSE)*(1-$D$12)^($F25-'הנחות עבודה'!$C$5)/$D$11)/$D$11)</f>
        <v>0</v>
      </c>
      <c r="AT25" s="127">
        <f ca="1">IF(OR($F25&gt;$D$5,$F25&gt;MAX('הנחות עבודה'!$B$69:$B$89)),0,(VLOOKUP($F25,'התפלגות ייצור וסל דלקים'!$B$64:$BV$84,AT$2-$E$2,FALSE))*$D$9*$D$8*(HLOOKUP(AT$23,$G$18:$R$19,2,FALSE)*(1-$D$12)^($F25-'הנחות עבודה'!$C$5)/$D$11)/$D$11)</f>
        <v>0</v>
      </c>
      <c r="AU25" s="127">
        <f ca="1">IF(OR($F25&gt;$D$5,$F25&gt;MAX('הנחות עבודה'!$B$69:$B$89)),0,(VLOOKUP($F25,'התפלגות ייצור וסל דלקים'!$B$64:$BV$84,AU$2-$E$2,FALSE))*$D$9*$D$8*(HLOOKUP(AU$23,$G$18:$R$19,2,FALSE)*(1-$D$12)^($F25-'הנחות עבודה'!$C$5)/$D$11)/$D$11)</f>
        <v>0</v>
      </c>
      <c r="AV25" s="127">
        <f ca="1">IF(OR($F25&gt;$D$5,$F25&gt;MAX('הנחות עבודה'!$B$69:$B$89)),0,(VLOOKUP($F25,'התפלגות ייצור וסל דלקים'!$B$64:$BV$84,AV$2-$E$2,FALSE))*$D$9*$D$8*(HLOOKUP(AV$23,$G$18:$R$19,2,FALSE)*(1-$D$12)^($F25-'הנחות עבודה'!$C$5)/$D$11)/$D$11)</f>
        <v>0</v>
      </c>
      <c r="AW25" s="52">
        <f ca="1">IF(OR($F25&gt;$D$5,$F25&gt;MAX('הנחות עבודה'!$B$69:$B$89)),0,(VLOOKUP($F25,'התפלגות ייצור וסל דלקים'!$B$64:$BV$84,AW$2-$E$2,FALSE))*$D$9*$D$8*(HLOOKUP(AW$23,$G$18:$R$19,2,FALSE)*(1-$D$12)^($F25-'הנחות עבודה'!$C$5)/$D$11)/$D$11)</f>
        <v>0</v>
      </c>
      <c r="AX25" s="52">
        <f ca="1">IF(OR($F25&gt;$D$5,$F25&gt;MAX('הנחות עבודה'!$B$69:$B$89)),0,(VLOOKUP($F25,'התפלגות ייצור וסל דלקים'!$B$64:$BV$84,AX$2-$E$2,FALSE))*$D$9*$D$8*(HLOOKUP(AX$23,$G$18:$R$19,2,FALSE)*(1-$D$12)^($F25-'הנחות עבודה'!$C$5)/$D$11)/$D$11)</f>
        <v>3.9644806496000009E-4</v>
      </c>
      <c r="AY25" s="52">
        <f ca="1">IF(OR($F25&gt;$D$5,$F25&gt;MAX('הנחות עבודה'!$B$69:$B$89)),0,(VLOOKUP($F25,'התפלגות ייצור וסל דלקים'!$B$64:$BV$84,AY$2-$E$2,FALSE))*$D$9*$D$8*(HLOOKUP(AY$23,$G$18:$R$19,2,FALSE)*(1-$D$12)^($F25-'הנחות עבודה'!$C$5)/$D$11)/$D$11)</f>
        <v>0</v>
      </c>
      <c r="AZ25" s="52">
        <f ca="1">IF(OR($F25&gt;$D$5,$F25&gt;MAX('הנחות עבודה'!$B$69:$B$89)),0,(VLOOKUP($F25,'התפלגות ייצור וסל דלקים'!$B$64:$BV$84,AZ$2-$E$2,FALSE))*$D$9*$D$8*(HLOOKUP(AZ$23,$G$18:$R$19,2,FALSE)*(1-$D$12)^($F25-'הנחות עבודה'!$C$5)/$D$11)/$D$11)</f>
        <v>0</v>
      </c>
      <c r="BA25" s="52">
        <f ca="1">IF(OR($F25&gt;$D$5,$F25&gt;MAX('הנחות עבודה'!$B$69:$B$89)),0,(VLOOKUP($F25,'התפלגות ייצור וסל דלקים'!$B$64:$BV$84,BA$2-$E$2,FALSE))*$D$9*$D$8*(HLOOKUP(BA$23,$G$18:$R$19,2,FALSE)*(1-$D$12)^($F25-'הנחות עבודה'!$C$5)/$D$11)/$D$11)</f>
        <v>5.6307468000000001E-3</v>
      </c>
      <c r="BB25" s="52">
        <f ca="1">IF(OR($F25&gt;$D$5,$F25&gt;MAX('הנחות עבודה'!$B$69:$B$89)),0,(VLOOKUP($F25,'התפלגות ייצור וסל דלקים'!$B$64:$BV$84,BB$2-$E$2,FALSE))*$D$9*$D$8*(HLOOKUP(BB$23,$G$18:$R$19,2,FALSE)*(1-$D$12)^($F25-'הנחות עבודה'!$C$5)/$D$11)/$D$11)</f>
        <v>0</v>
      </c>
      <c r="BC25" s="42">
        <f ca="1">IF(OR($F25&gt;$D$5,$F25&gt;MAX('הנחות עבודה'!$B$69:$B$89)),0,(VLOOKUP($F25,'התפלגות ייצור וסל דלקים'!$B$64:$BV$84,BC$2-$E$2,FALSE))*$D$9*$D$8*(HLOOKUP(BC$23,$G$18:$R$19,2,FALSE)*(1-$D$12)^($F25-'הנחות עבודה'!$C$5)/$D$11)/$D$11)</f>
        <v>0</v>
      </c>
      <c r="BD25" s="44">
        <f ca="1">IF(OR($F25&gt;$D$5,$F25&gt;MAX('הנחות עבודה'!$B$69:$B$89)),0,(VLOOKUP($F25,'התפלגות ייצור וסל דלקים'!$B$64:$BV$84,BD$2-$E$2,FALSE))*$D$9*$D$8*(HLOOKUP(BD$23,$G$18:$R$19,2,FALSE)*(1-$D$12)^($F25-'הנחות עבודה'!$C$5)/$D$11)/$D$11)</f>
        <v>0</v>
      </c>
      <c r="BE25" s="44">
        <f ca="1">IF(OR($F25&gt;$D$5,$F25&gt;MAX('הנחות עבודה'!$B$69:$B$89)),0,(VLOOKUP($F25,'התפלגות ייצור וסל דלקים'!$B$64:$BV$84,BE$2-$E$2,FALSE))*$D$9*$D$8*(HLOOKUP(BE$23,$G$18:$R$19,2,FALSE)*(1-$D$12)^($F25-'הנחות עבודה'!$C$5)/$D$11)/$D$11)</f>
        <v>0</v>
      </c>
      <c r="BF25" s="44">
        <f ca="1">IF(OR($F25&gt;$D$5,$F25&gt;MAX('הנחות עבודה'!$B$69:$B$89)),0,(VLOOKUP($F25,'התפלגות ייצור וסל דלקים'!$B$64:$BV$84,BF$2-$E$2,FALSE))*$D$9*$D$8*(HLOOKUP(BF$23,$G$18:$R$19,2,FALSE)*(1-$D$12)^($F25-'הנחות עבודה'!$C$5)/$D$11)/$D$11)</f>
        <v>0</v>
      </c>
      <c r="BG25" s="44">
        <f ca="1">IF(OR($F25&gt;$D$5,$F25&gt;MAX('הנחות עבודה'!$B$69:$B$89)),0,(VLOOKUP($F25,'התפלגות ייצור וסל דלקים'!$B$64:$BV$84,BG$2-$E$2,FALSE))*$D$9*$D$8*(HLOOKUP(BG$23,$G$18:$R$19,2,FALSE)*(1-$D$12)^($F25-'הנחות עבודה'!$C$5)/$D$11)/$D$11)</f>
        <v>0</v>
      </c>
      <c r="BH25" s="44">
        <f ca="1">IF(OR($F25&gt;$D$5,$F25&gt;MAX('הנחות עבודה'!$B$69:$B$89)),0,(VLOOKUP($F25,'התפלגות ייצור וסל דלקים'!$B$64:$BV$84,BH$2-$E$2,FALSE))*$D$9*$D$8*(HLOOKUP(BH$23,$G$18:$R$19,2,FALSE)*(1-$D$12)^($F25-'הנחות עבודה'!$C$5)/$D$11)/$D$11)</f>
        <v>0</v>
      </c>
      <c r="BI25" s="42">
        <f ca="1">IF(OR($F25&gt;$D$5,$F25&gt;MAX('הנחות עבודה'!$B$69:$B$89)),0,(VLOOKUP($F25,'התפלגות ייצור וסל דלקים'!$B$64:$BV$84,BI$2-$E$2,FALSE))*$D$9*$D$8*(HLOOKUP(BI$23,$G$18:$R$19,2,FALSE)*(1-$D$12)^($F25-'הנחות עבודה'!$C$5)/$D$11)/$D$11)</f>
        <v>0</v>
      </c>
      <c r="BJ25" s="42">
        <f ca="1">IF(OR($F25&gt;$D$5,$F25&gt;MAX('הנחות עבודה'!$B$69:$B$89)),0,(VLOOKUP($F25,'התפלגות ייצור וסל דלקים'!$B$64:$BV$84,BJ$2-$E$2,FALSE))*$D$9*$D$8*(HLOOKUP(BJ$23,$G$18:$R$19,2,FALSE)*(1-$D$12)^($F25-'הנחות עבודה'!$C$5)/$D$11)/$D$11)</f>
        <v>3.9487528447999977E-4</v>
      </c>
      <c r="BK25" s="42">
        <f ca="1">IF(OR($F25&gt;$D$5,$F25&gt;MAX('הנחות עבודה'!$B$69:$B$89)),0,(VLOOKUP($F25,'התפלגות ייצור וסל דלקים'!$B$64:$BV$84,BK$2-$E$2,FALSE))*$D$9*$D$8*(HLOOKUP(BK$23,$G$18:$R$19,2,FALSE)*(1-$D$12)^($F25-'הנחות עבודה'!$C$5)/$D$11)/$D$11)</f>
        <v>0</v>
      </c>
      <c r="BL25" s="42">
        <f ca="1">IF(OR($F25&gt;$D$5,$F25&gt;MAX('הנחות עבודה'!$B$69:$B$89)),0,(VLOOKUP($F25,'התפלגות ייצור וסל דלקים'!$B$64:$BV$84,BL$2-$E$2,FALSE))*$D$9*$D$8*(HLOOKUP(BL$23,$G$18:$R$19,2,FALSE)*(1-$D$12)^($F25-'הנחות עבודה'!$C$5)/$D$11)/$D$11)</f>
        <v>0</v>
      </c>
      <c r="BM25" s="42">
        <f ca="1">IF(OR($F25&gt;$D$5,$F25&gt;MAX('הנחות עבודה'!$B$69:$B$89)),0,(VLOOKUP($F25,'התפלגות ייצור וסל דלקים'!$B$64:$BV$84,BM$2-$E$2,FALSE))*$D$9*$D$8*(HLOOKUP(BM$23,$G$18:$R$19,2,FALSE)*(1-$D$12)^($F25-'הנחות עבודה'!$C$5)/$D$11)/$D$11)</f>
        <v>5.6307468000000001E-3</v>
      </c>
      <c r="BN25" s="42">
        <f ca="1">IF(OR($F25&gt;$D$5,$F25&gt;MAX('הנחות עבודה'!$B$69:$B$89)),0,(VLOOKUP($F25,'התפלגות ייצור וסל דלקים'!$B$64:$BV$84,BN$2-$E$2,FALSE))*$D$9*$D$8*(HLOOKUP(BN$23,$G$18:$R$19,2,FALSE)*(1-$D$12)^($F25-'הנחות עבודה'!$C$5)/$D$11)/$D$11)</f>
        <v>0</v>
      </c>
      <c r="BO25" s="52">
        <f ca="1">IF(OR($F25&gt;$D$5,$F25&gt;MAX('הנחות עבודה'!$B$69:$B$89)),0,(VLOOKUP($F25,'התפלגות ייצור וסל דלקים'!$B$64:$BV$84,BO$2-$E$2,FALSE))*$D$9*$D$8*(HLOOKUP(BO$23,$G$18:$R$19,2,FALSE)*(1-$D$12)^($F25-'הנחות עבודה'!$C$5)/$D$11)/$D$11)</f>
        <v>0</v>
      </c>
      <c r="BP25" s="127">
        <f ca="1">IF(OR($F25&gt;$D$5,$F25&gt;MAX('הנחות עבודה'!$B$69:$B$89)),0,(VLOOKUP($F25,'התפלגות ייצור וסל דלקים'!$B$64:$BV$84,BP$2-$E$2,FALSE))*$D$9*$D$8*(HLOOKUP(BP$23,$G$18:$R$19,2,FALSE)*(1-$D$12)^($F25-'הנחות עבודה'!$C$5)/$D$11)/$D$11)</f>
        <v>0</v>
      </c>
      <c r="BQ25" s="127">
        <f ca="1">IF(OR($F25&gt;$D$5,$F25&gt;MAX('הנחות עבודה'!$B$69:$B$89)),0,(VLOOKUP($F25,'התפלגות ייצור וסל דלקים'!$B$64:$BV$84,BQ$2-$E$2,FALSE))*$D$9*$D$8*(HLOOKUP(BQ$23,$G$18:$R$19,2,FALSE)*(1-$D$12)^($F25-'הנחות עבודה'!$C$5)/$D$11)/$D$11)</f>
        <v>0</v>
      </c>
      <c r="BR25" s="127">
        <f ca="1">IF(OR($F25&gt;$D$5,$F25&gt;MAX('הנחות עבודה'!$B$69:$B$89)),0,(VLOOKUP($F25,'התפלגות ייצור וסל דלקים'!$B$64:$BV$84,BR$2-$E$2,FALSE))*$D$9*$D$8*(HLOOKUP(BR$23,$G$18:$R$19,2,FALSE)*(1-$D$12)^($F25-'הנחות עבודה'!$C$5)/$D$11)/$D$11)</f>
        <v>0</v>
      </c>
      <c r="BS25" s="127">
        <f ca="1">IF(OR($F25&gt;$D$5,$F25&gt;MAX('הנחות עבודה'!$B$69:$B$89)),0,(VLOOKUP($F25,'התפלגות ייצור וסל דלקים'!$B$64:$BV$84,BS$2-$E$2,FALSE))*$D$9*$D$8*(HLOOKUP(BS$23,$G$18:$R$19,2,FALSE)*(1-$D$12)^($F25-'הנחות עבודה'!$C$5)/$D$11)/$D$11)</f>
        <v>0</v>
      </c>
      <c r="BT25" s="127">
        <f ca="1">IF(OR($F25&gt;$D$5,$F25&gt;MAX('הנחות עבודה'!$B$69:$B$89)),0,(VLOOKUP($F25,'התפלגות ייצור וסל דלקים'!$B$64:$BV$84,BT$2-$E$2,FALSE))*$D$9*$D$8*(HLOOKUP(BT$23,$G$18:$R$19,2,FALSE)*(1-$D$12)^($F25-'הנחות עבודה'!$C$5)/$D$11)/$D$11)</f>
        <v>0</v>
      </c>
      <c r="BU25" s="52">
        <f ca="1">IF(OR($F25&gt;$D$5,$F25&gt;MAX('הנחות עבודה'!$B$69:$B$89)),0,(VLOOKUP($F25,'התפלגות ייצור וסל דלקים'!$B$64:$BV$84,BU$2-$E$2,FALSE))*$D$9*$D$8*(HLOOKUP(BU$23,$G$18:$R$19,2,FALSE)*(1-$D$12)^($F25-'הנחות עבודה'!$C$5)/$D$11)/$D$11)</f>
        <v>0</v>
      </c>
      <c r="BV25" s="52">
        <f ca="1">IF(OR($F25&gt;$D$5,$F25&gt;MAX('הנחות עבודה'!$B$69:$B$89)),0,(VLOOKUP($F25,'התפלגות ייצור וסל דלקים'!$B$64:$BV$84,BV$2-$E$2,FALSE))*$D$9*$D$8*(HLOOKUP(BV$23,$G$18:$R$19,2,FALSE)*(1-$D$12)^($F25-'הנחות עבודה'!$C$5)/$D$11)/$D$11)</f>
        <v>3.9487528447999977E-4</v>
      </c>
      <c r="BW25" s="52">
        <f ca="1">IF(OR($F25&gt;$D$5,$F25&gt;MAX('הנחות עבודה'!$B$69:$B$89)),0,(VLOOKUP($F25,'התפלגות ייצור וסל דלקים'!$B$64:$BV$84,BW$2-$E$2,FALSE))*$D$9*$D$8*(HLOOKUP(BW$23,$G$18:$R$19,2,FALSE)*(1-$D$12)^($F25-'הנחות עבודה'!$C$5)/$D$11)/$D$11)</f>
        <v>0</v>
      </c>
      <c r="BX25" s="52">
        <f ca="1">IF(OR($F25&gt;$D$5,$F25&gt;MAX('הנחות עבודה'!$B$69:$B$89)),0,(VLOOKUP($F25,'התפלגות ייצור וסל דלקים'!$B$64:$BV$84,BX$2-$E$2,FALSE))*$D$9*$D$8*(HLOOKUP(BX$23,$G$18:$R$19,2,FALSE)*(1-$D$12)^($F25-'הנחות עבודה'!$C$5)/$D$11)/$D$11)</f>
        <v>0</v>
      </c>
      <c r="BY25" s="52">
        <f ca="1">IF(OR($F25&gt;$D$5,$F25&gt;MAX('הנחות עבודה'!$B$69:$B$89)),0,(VLOOKUP($F25,'התפלגות ייצור וסל דלקים'!$B$64:$BV$84,BY$2-$E$2,FALSE))*$D$9*$D$8*(HLOOKUP(BY$23,$G$18:$R$19,2,FALSE)*(1-$D$12)^($F25-'הנחות עבודה'!$C$5)/$D$11)/$D$11)</f>
        <v>5.6307468000000001E-3</v>
      </c>
      <c r="BZ25" s="52">
        <f ca="1">IF(OR($F25&gt;$D$5,$F25&gt;MAX('הנחות עבודה'!$B$69:$B$89)),0,(VLOOKUP($F25,'התפלגות ייצור וסל דלקים'!$B$64:$BV$84,BZ$2-$E$2,FALSE))*$D$9*$D$8*(HLOOKUP(BZ$23,$G$18:$R$19,2,FALSE)*(1-$D$12)^($F25-'הנחות עבודה'!$C$5)/$D$11)/$D$11)</f>
        <v>0</v>
      </c>
    </row>
    <row r="26" spans="6:78" ht="15.75">
      <c r="F26" s="10">
        <f t="shared" ref="F26:F44" si="108">F25+1</f>
        <v>2022</v>
      </c>
      <c r="G26" s="42">
        <f ca="1">IF(OR($F26&gt;$D$5,$F26&gt;MAX('הנחות עבודה'!$B$69:$B$89)),0,(VLOOKUP($F26,'התפלגות ייצור וסל דלקים'!$B$64:$BV$84,G$2-$E$2,FALSE))*$D$9*$D$8*(HLOOKUP(G$23,$G$18:$R$19,2,FALSE)*(1-$D$12)^($F26-'הנחות עבודה'!$C$5)/$D$11)/$D$11)</f>
        <v>0</v>
      </c>
      <c r="H26" s="44">
        <f ca="1">IF(OR($F26&gt;$D$5,$F26&gt;MAX('הנחות עבודה'!$B$69:$B$89)),0,(VLOOKUP($F26,'התפלגות ייצור וסל דלקים'!$B$64:$BV$84,H$2-$E$2,FALSE))*$D$9*$D$8*(HLOOKUP(H$23,$G$18:$R$19,2,FALSE)*(1-$D$12)^($F26-'הנחות עבודה'!$C$5)/$D$11)/$D$11)</f>
        <v>0</v>
      </c>
      <c r="I26" s="44">
        <f ca="1">IF(OR($F26&gt;$D$5,$F26&gt;MAX('הנחות עבודה'!$B$69:$B$89)),0,(VLOOKUP($F26,'התפלגות ייצור וסל דלקים'!$B$64:$BV$84,I$2-$E$2,FALSE))*$D$9*$D$8*(HLOOKUP(I$23,$G$18:$R$19,2,FALSE)*(1-$D$12)^($F26-'הנחות עבודה'!$C$5)/$D$11)/$D$11)</f>
        <v>0</v>
      </c>
      <c r="J26" s="44">
        <f ca="1">IF(OR($F26&gt;$D$5,$F26&gt;MAX('הנחות עבודה'!$B$69:$B$89)),0,(VLOOKUP($F26,'התפלגות ייצור וסל דלקים'!$B$64:$BV$84,J$2-$E$2,FALSE))*$D$9*$D$8*(HLOOKUP(J$23,$G$18:$R$19,2,FALSE)*(1-$D$12)^($F26-'הנחות עבודה'!$C$5)/$D$11)/$D$11)</f>
        <v>0</v>
      </c>
      <c r="K26" s="44">
        <f ca="1">IF(OR($F26&gt;$D$5,$F26&gt;MAX('הנחות עבודה'!$B$69:$B$89)),0,(VLOOKUP($F26,'התפלגות ייצור וסל דלקים'!$B$64:$BV$84,K$2-$E$2,FALSE))*$D$9*$D$8*(HLOOKUP(K$23,$G$18:$R$19,2,FALSE)*(1-$D$12)^($F26-'הנחות עבודה'!$C$5)/$D$11)/$D$11)</f>
        <v>0</v>
      </c>
      <c r="L26" s="44">
        <f ca="1">IF(OR($F26&gt;$D$5,$F26&gt;MAX('הנחות עבודה'!$B$69:$B$89)),0,(VLOOKUP($F26,'התפלגות ייצור וסל דלקים'!$B$64:$BV$84,L$2-$E$2,FALSE))*$D$9*$D$8*(HLOOKUP(L$23,$G$18:$R$19,2,FALSE)*(1-$D$12)^($F26-'הנחות עבודה'!$C$5)/$D$11)/$D$11)</f>
        <v>0</v>
      </c>
      <c r="M26" s="42">
        <f ca="1">IF(OR($F26&gt;$D$5,$F26&gt;MAX('הנחות עבודה'!$B$69:$B$89)),0,(VLOOKUP($F26,'התפלגות ייצור וסל דלקים'!$B$64:$BV$84,M$2-$E$2,FALSE))*$D$9*$D$8*(HLOOKUP(M$23,$G$18:$R$19,2,FALSE)*(1-$D$12)^($F26-'הנחות עבודה'!$C$5)/$D$11)/$D$11)</f>
        <v>1.044608E-5</v>
      </c>
      <c r="N26" s="42">
        <f ca="1">IF(OR($F26&gt;$D$5,$F26&gt;MAX('הנחות עבודה'!$B$69:$B$89)),0,(VLOOKUP($F26,'התפלגות ייצור וסל דלקים'!$B$64:$BV$84,N$2-$E$2,FALSE))*$D$9*$D$8*(HLOOKUP(N$23,$G$18:$R$19,2,FALSE)*(1-$D$12)^($F26-'הנחות עבודה'!$C$5)/$D$11)/$D$11)</f>
        <v>4.1268527084799994E-4</v>
      </c>
      <c r="O26" s="42">
        <f ca="1">IF(OR($F26&gt;$D$5,$F26&gt;MAX('הנחות עבודה'!$B$69:$B$89)),0,(VLOOKUP($F26,'התפלגות ייצור וסל דלקים'!$B$64:$BV$84,O$2-$E$2,FALSE))*$D$9*$D$8*(HLOOKUP(O$23,$G$18:$R$19,2,FALSE)*(1-$D$12)^($F26-'הנחות עבודה'!$C$5)/$D$11)/$D$11)</f>
        <v>0</v>
      </c>
      <c r="P26" s="42">
        <f ca="1">IF(OR($F26&gt;$D$5,$F26&gt;MAX('הנחות עבודה'!$B$69:$B$89)),0,(VLOOKUP($F26,'התפלגות ייצור וסל דלקים'!$B$64:$BV$84,P$2-$E$2,FALSE))*$D$9*$D$8*(HLOOKUP(P$23,$G$18:$R$19,2,FALSE)*(1-$D$12)^($F26-'הנחות עבודה'!$C$5)/$D$11)/$D$11)</f>
        <v>0</v>
      </c>
      <c r="Q26" s="42">
        <f ca="1">IF(OR($F26&gt;$D$5,$F26&gt;MAX('הנחות עבודה'!$B$69:$B$89)),0,(VLOOKUP($F26,'התפלגות ייצור וסל דלקים'!$B$64:$BV$84,Q$2-$E$2,FALSE))*$D$9*$D$8*(HLOOKUP(Q$23,$G$18:$R$19,2,FALSE)*(1-$D$12)^($F26-'הנחות עבודה'!$C$5)/$D$11)/$D$11)</f>
        <v>5.2254384750000001E-3</v>
      </c>
      <c r="R26" s="42">
        <f ca="1">IF(OR($F26&gt;$D$5,$F26&gt;MAX('הנחות עבודה'!$B$69:$B$89)),0,(VLOOKUP($F26,'התפלגות ייצור וסל דלקים'!$B$64:$BV$84,R$2-$E$2,FALSE))*$D$9*$D$8*(HLOOKUP(R$23,$G$18:$R$19,2,FALSE)*(1-$D$12)^($F26-'הנחות עבודה'!$C$5)/$D$11)/$D$11)</f>
        <v>0</v>
      </c>
      <c r="S26" s="52">
        <f ca="1">IF(OR($F26&gt;$D$5,$F26&gt;MAX('הנחות עבודה'!$B$69:$B$89)),0,(VLOOKUP($F26,'התפלגות ייצור וסל דלקים'!$B$64:$BV$84,S$2-$E$2,FALSE))*$D$9*$D$8*(HLOOKUP(S$23,$G$18:$R$19,2,FALSE)*(1-$D$12)^($F26-'הנחות עבודה'!$C$5)/$D$11)/$D$11)</f>
        <v>0</v>
      </c>
      <c r="T26" s="127">
        <f ca="1">IF(OR($F26&gt;$D$5,$F26&gt;MAX('הנחות עבודה'!$B$69:$B$89)),0,(VLOOKUP($F26,'התפלגות ייצור וסל דלקים'!$B$64:$BV$84,T$2-$E$2,FALSE))*$D$9*$D$8*(HLOOKUP(T$23,$G$18:$R$19,2,FALSE)*(1-$D$12)^($F26-'הנחות עבודה'!$C$5)/$D$11)/$D$11)</f>
        <v>0</v>
      </c>
      <c r="U26" s="127">
        <f ca="1">IF(OR($F26&gt;$D$5,$F26&gt;MAX('הנחות עבודה'!$B$69:$B$89)),0,(VLOOKUP($F26,'התפלגות ייצור וסל דלקים'!$B$64:$BV$84,U$2-$E$2,FALSE))*$D$9*$D$8*(HLOOKUP(U$23,$G$18:$R$19,2,FALSE)*(1-$D$12)^($F26-'הנחות עבודה'!$C$5)/$D$11)/$D$11)</f>
        <v>0</v>
      </c>
      <c r="V26" s="127">
        <f ca="1">IF(OR($F26&gt;$D$5,$F26&gt;MAX('הנחות עבודה'!$B$69:$B$89)),0,(VLOOKUP($F26,'התפלגות ייצור וסל דלקים'!$B$64:$BV$84,V$2-$E$2,FALSE))*$D$9*$D$8*(HLOOKUP(V$23,$G$18:$R$19,2,FALSE)*(1-$D$12)^($F26-'הנחות עבודה'!$C$5)/$D$11)/$D$11)</f>
        <v>0</v>
      </c>
      <c r="W26" s="127">
        <f ca="1">IF(OR($F26&gt;$D$5,$F26&gt;MAX('הנחות עבודה'!$B$69:$B$89)),0,(VLOOKUP($F26,'התפלגות ייצור וסל דלקים'!$B$64:$BV$84,W$2-$E$2,FALSE))*$D$9*$D$8*(HLOOKUP(W$23,$G$18:$R$19,2,FALSE)*(1-$D$12)^($F26-'הנחות עבודה'!$C$5)/$D$11)/$D$11)</f>
        <v>0</v>
      </c>
      <c r="X26" s="127">
        <f ca="1">IF(OR($F26&gt;$D$5,$F26&gt;MAX('הנחות עבודה'!$B$69:$B$89)),0,(VLOOKUP($F26,'התפלגות ייצור וסל דלקים'!$B$64:$BV$84,X$2-$E$2,FALSE))*$D$9*$D$8*(HLOOKUP(X$23,$G$18:$R$19,2,FALSE)*(1-$D$12)^($F26-'הנחות עבודה'!$C$5)/$D$11)/$D$11)</f>
        <v>0</v>
      </c>
      <c r="Y26" s="52">
        <f ca="1">IF(OR($F26&gt;$D$5,$F26&gt;MAX('הנחות עבודה'!$B$69:$B$89)),0,(VLOOKUP($F26,'התפלגות ייצור וסל דלקים'!$B$64:$BV$84,Y$2-$E$2,FALSE))*$D$9*$D$8*(HLOOKUP(Y$23,$G$18:$R$19,2,FALSE)*(1-$D$12)^($F26-'הנחות עבודה'!$C$5)/$D$11)/$D$11)</f>
        <v>1.044608E-5</v>
      </c>
      <c r="Z26" s="52">
        <f ca="1">IF(OR($F26&gt;$D$5,$F26&gt;MAX('הנחות עבודה'!$B$69:$B$89)),0,(VLOOKUP($F26,'התפלגות ייצור וסל דלקים'!$B$64:$BV$84,Z$2-$E$2,FALSE))*$D$9*$D$8*(HLOOKUP(Z$23,$G$18:$R$19,2,FALSE)*(1-$D$12)^($F26-'הנחות עבודה'!$C$5)/$D$11)/$D$11)</f>
        <v>4.1268527084799994E-4</v>
      </c>
      <c r="AA26" s="52">
        <f ca="1">IF(OR($F26&gt;$D$5,$F26&gt;MAX('הנחות עבודה'!$B$69:$B$89)),0,(VLOOKUP($F26,'התפלגות ייצור וסל דלקים'!$B$64:$BV$84,AA$2-$E$2,FALSE))*$D$9*$D$8*(HLOOKUP(AA$23,$G$18:$R$19,2,FALSE)*(1-$D$12)^($F26-'הנחות עבודה'!$C$5)/$D$11)/$D$11)</f>
        <v>0</v>
      </c>
      <c r="AB26" s="52">
        <f ca="1">IF(OR($F26&gt;$D$5,$F26&gt;MAX('הנחות עבודה'!$B$69:$B$89)),0,(VLOOKUP($F26,'התפלגות ייצור וסל דלקים'!$B$64:$BV$84,AB$2-$E$2,FALSE))*$D$9*$D$8*(HLOOKUP(AB$23,$G$18:$R$19,2,FALSE)*(1-$D$12)^($F26-'הנחות עבודה'!$C$5)/$D$11)/$D$11)</f>
        <v>0</v>
      </c>
      <c r="AC26" s="52">
        <f ca="1">IF(OR($F26&gt;$D$5,$F26&gt;MAX('הנחות עבודה'!$B$69:$B$89)),0,(VLOOKUP($F26,'התפלגות ייצור וסל דלקים'!$B$64:$BV$84,AC$2-$E$2,FALSE))*$D$9*$D$8*(HLOOKUP(AC$23,$G$18:$R$19,2,FALSE)*(1-$D$12)^($F26-'הנחות עבודה'!$C$5)/$D$11)/$D$11)</f>
        <v>5.2254384750000001E-3</v>
      </c>
      <c r="AD26" s="52">
        <f ca="1">IF(OR($F26&gt;$D$5,$F26&gt;MAX('הנחות עבודה'!$B$69:$B$89)),0,(VLOOKUP($F26,'התפלגות ייצור וסל דלקים'!$B$64:$BV$84,AD$2-$E$2,FALSE))*$D$9*$D$8*(HLOOKUP(AD$23,$G$18:$R$19,2,FALSE)*(1-$D$12)^($F26-'הנחות עבודה'!$C$5)/$D$11)/$D$11)</f>
        <v>0</v>
      </c>
      <c r="AE26" s="42">
        <f ca="1">IF(OR($F26&gt;$D$5,$F26&gt;MAX('הנחות עבודה'!$B$69:$B$89)),0,(VLOOKUP($F26,'התפלגות ייצור וסל דלקים'!$B$64:$BV$84,AE$2-$E$2,FALSE))*$D$9*$D$8*(HLOOKUP(AE$23,$G$18:$R$19,2,FALSE)*(1-$D$12)^($F26-'הנחות עבודה'!$C$5)/$D$11)/$D$11)</f>
        <v>0</v>
      </c>
      <c r="AF26" s="44">
        <f ca="1">IF(OR($F26&gt;$D$5,$F26&gt;MAX('הנחות עבודה'!$B$69:$B$89)),0,(VLOOKUP($F26,'התפלגות ייצור וסל דלקים'!$B$64:$BV$84,AF$2-$E$2,FALSE))*$D$9*$D$8*(HLOOKUP(AF$23,$G$18:$R$19,2,FALSE)*(1-$D$12)^($F26-'הנחות עבודה'!$C$5)/$D$11)/$D$11)</f>
        <v>0</v>
      </c>
      <c r="AG26" s="44">
        <f ca="1">IF(OR($F26&gt;$D$5,$F26&gt;MAX('הנחות עבודה'!$B$69:$B$89)),0,(VLOOKUP($F26,'התפלגות ייצור וסל דלקים'!$B$64:$BV$84,AG$2-$E$2,FALSE))*$D$9*$D$8*(HLOOKUP(AG$23,$G$18:$R$19,2,FALSE)*(1-$D$12)^($F26-'הנחות עבודה'!$C$5)/$D$11)/$D$11)</f>
        <v>0</v>
      </c>
      <c r="AH26" s="44">
        <f ca="1">IF(OR($F26&gt;$D$5,$F26&gt;MAX('הנחות עבודה'!$B$69:$B$89)),0,(VLOOKUP($F26,'התפלגות ייצור וסל דלקים'!$B$64:$BV$84,AH$2-$E$2,FALSE))*$D$9*$D$8*(HLOOKUP(AH$23,$G$18:$R$19,2,FALSE)*(1-$D$12)^($F26-'הנחות עבודה'!$C$5)/$D$11)/$D$11)</f>
        <v>0</v>
      </c>
      <c r="AI26" s="44">
        <f ca="1">IF(OR($F26&gt;$D$5,$F26&gt;MAX('הנחות עבודה'!$B$69:$B$89)),0,(VLOOKUP($F26,'התפלגות ייצור וסל דלקים'!$B$64:$BV$84,AI$2-$E$2,FALSE))*$D$9*$D$8*(HLOOKUP(AI$23,$G$18:$R$19,2,FALSE)*(1-$D$12)^($F26-'הנחות עבודה'!$C$5)/$D$11)/$D$11)</f>
        <v>0</v>
      </c>
      <c r="AJ26" s="44">
        <f ca="1">IF(OR($F26&gt;$D$5,$F26&gt;MAX('הנחות עבודה'!$B$69:$B$89)),0,(VLOOKUP($F26,'התפלגות ייצור וסל דלקים'!$B$64:$BV$84,AJ$2-$E$2,FALSE))*$D$9*$D$8*(HLOOKUP(AJ$23,$G$18:$R$19,2,FALSE)*(1-$D$12)^($F26-'הנחות עבודה'!$C$5)/$D$11)/$D$11)</f>
        <v>0</v>
      </c>
      <c r="AK26" s="42">
        <f ca="1">IF(OR($F26&gt;$D$5,$F26&gt;MAX('הנחות עבודה'!$B$69:$B$89)),0,(VLOOKUP($F26,'התפלגות ייצור וסל דלקים'!$B$64:$BV$84,AK$2-$E$2,FALSE))*$D$9*$D$8*(HLOOKUP(AK$23,$G$18:$R$19,2,FALSE)*(1-$D$12)^($F26-'הנחות עבודה'!$C$5)/$D$11)/$D$11)</f>
        <v>1.015672E-5</v>
      </c>
      <c r="AL26" s="42">
        <f ca="1">IF(OR($F26&gt;$D$5,$F26&gt;MAX('הנחות עבודה'!$B$69:$B$89)),0,(VLOOKUP($F26,'התפלגות ייצור וסל דלקים'!$B$64:$BV$84,AL$2-$E$2,FALSE))*$D$9*$D$8*(HLOOKUP(AL$23,$G$18:$R$19,2,FALSE)*(1-$D$12)^($F26-'הנחות עבודה'!$C$5)/$D$11)/$D$11)</f>
        <v>4.0171419752000004E-4</v>
      </c>
      <c r="AM26" s="42">
        <f ca="1">IF(OR($F26&gt;$D$5,$F26&gt;MAX('הנחות עבודה'!$B$69:$B$89)),0,(VLOOKUP($F26,'התפלגות ייצור וסל דלקים'!$B$64:$BV$84,AM$2-$E$2,FALSE))*$D$9*$D$8*(HLOOKUP(AM$23,$G$18:$R$19,2,FALSE)*(1-$D$12)^($F26-'הנחות עבודה'!$C$5)/$D$11)/$D$11)</f>
        <v>0</v>
      </c>
      <c r="AN26" s="42">
        <f ca="1">IF(OR($F26&gt;$D$5,$F26&gt;MAX('הנחות עבודה'!$B$69:$B$89)),0,(VLOOKUP($F26,'התפלגות ייצור וסל דלקים'!$B$64:$BV$84,AN$2-$E$2,FALSE))*$D$9*$D$8*(HLOOKUP(AN$23,$G$18:$R$19,2,FALSE)*(1-$D$12)^($F26-'הנחות עבודה'!$C$5)/$D$11)/$D$11)</f>
        <v>0</v>
      </c>
      <c r="AO26" s="42">
        <f ca="1">IF(OR($F26&gt;$D$5,$F26&gt;MAX('הנחות עבודה'!$B$69:$B$89)),0,(VLOOKUP($F26,'התפלגות ייצור וסל דלקים'!$B$64:$BV$84,AO$2-$E$2,FALSE))*$D$9*$D$8*(HLOOKUP(AO$23,$G$18:$R$19,2,FALSE)*(1-$D$12)^($F26-'הנחות עבודה'!$C$5)/$D$11)/$D$11)</f>
        <v>5.2256255249999994E-3</v>
      </c>
      <c r="AP26" s="42">
        <f ca="1">IF(OR($F26&gt;$D$5,$F26&gt;MAX('הנחות עבודה'!$B$69:$B$89)),0,(VLOOKUP($F26,'התפלגות ייצור וסל דלקים'!$B$64:$BV$84,AP$2-$E$2,FALSE))*$D$9*$D$8*(HLOOKUP(AP$23,$G$18:$R$19,2,FALSE)*(1-$D$12)^($F26-'הנחות עבודה'!$C$5)/$D$11)/$D$11)</f>
        <v>0</v>
      </c>
      <c r="AQ26" s="52">
        <f ca="1">IF(OR($F26&gt;$D$5,$F26&gt;MAX('הנחות עבודה'!$B$69:$B$89)),0,(VLOOKUP($F26,'התפלגות ייצור וסל דלקים'!$B$64:$BV$84,AQ$2-$E$2,FALSE))*$D$9*$D$8*(HLOOKUP(AQ$23,$G$18:$R$19,2,FALSE)*(1-$D$12)^($F26-'הנחות עבודה'!$C$5)/$D$11)/$D$11)</f>
        <v>0</v>
      </c>
      <c r="AR26" s="127">
        <f ca="1">IF(OR($F26&gt;$D$5,$F26&gt;MAX('הנחות עבודה'!$B$69:$B$89)),0,(VLOOKUP($F26,'התפלגות ייצור וסל דלקים'!$B$64:$BV$84,AR$2-$E$2,FALSE))*$D$9*$D$8*(HLOOKUP(AR$23,$G$18:$R$19,2,FALSE)*(1-$D$12)^($F26-'הנחות עבודה'!$C$5)/$D$11)/$D$11)</f>
        <v>0</v>
      </c>
      <c r="AS26" s="127">
        <f ca="1">IF(OR($F26&gt;$D$5,$F26&gt;MAX('הנחות עבודה'!$B$69:$B$89)),0,(VLOOKUP($F26,'התפלגות ייצור וסל דלקים'!$B$64:$BV$84,AS$2-$E$2,FALSE))*$D$9*$D$8*(HLOOKUP(AS$23,$G$18:$R$19,2,FALSE)*(1-$D$12)^($F26-'הנחות עבודה'!$C$5)/$D$11)/$D$11)</f>
        <v>0</v>
      </c>
      <c r="AT26" s="127">
        <f ca="1">IF(OR($F26&gt;$D$5,$F26&gt;MAX('הנחות עבודה'!$B$69:$B$89)),0,(VLOOKUP($F26,'התפלגות ייצור וסל דלקים'!$B$64:$BV$84,AT$2-$E$2,FALSE))*$D$9*$D$8*(HLOOKUP(AT$23,$G$18:$R$19,2,FALSE)*(1-$D$12)^($F26-'הנחות עבודה'!$C$5)/$D$11)/$D$11)</f>
        <v>0</v>
      </c>
      <c r="AU26" s="127">
        <f ca="1">IF(OR($F26&gt;$D$5,$F26&gt;MAX('הנחות עבודה'!$B$69:$B$89)),0,(VLOOKUP($F26,'התפלגות ייצור וסל דלקים'!$B$64:$BV$84,AU$2-$E$2,FALSE))*$D$9*$D$8*(HLOOKUP(AU$23,$G$18:$R$19,2,FALSE)*(1-$D$12)^($F26-'הנחות עבודה'!$C$5)/$D$11)/$D$11)</f>
        <v>0</v>
      </c>
      <c r="AV26" s="127">
        <f ca="1">IF(OR($F26&gt;$D$5,$F26&gt;MAX('הנחות עבודה'!$B$69:$B$89)),0,(VLOOKUP($F26,'התפלגות ייצור וסל דלקים'!$B$64:$BV$84,AV$2-$E$2,FALSE))*$D$9*$D$8*(HLOOKUP(AV$23,$G$18:$R$19,2,FALSE)*(1-$D$12)^($F26-'הנחות עבודה'!$C$5)/$D$11)/$D$11)</f>
        <v>0</v>
      </c>
      <c r="AW26" s="52">
        <f ca="1">IF(OR($F26&gt;$D$5,$F26&gt;MAX('הנחות עבודה'!$B$69:$B$89)),0,(VLOOKUP($F26,'התפלגות ייצור וסל דלקים'!$B$64:$BV$84,AW$2-$E$2,FALSE))*$D$9*$D$8*(HLOOKUP(AW$23,$G$18:$R$19,2,FALSE)*(1-$D$12)^($F26-'הנחות עבודה'!$C$5)/$D$11)/$D$11)</f>
        <v>1.015672E-5</v>
      </c>
      <c r="AX26" s="52">
        <f ca="1">IF(OR($F26&gt;$D$5,$F26&gt;MAX('הנחות עבודה'!$B$69:$B$89)),0,(VLOOKUP($F26,'התפלגות ייצור וסל דלקים'!$B$64:$BV$84,AX$2-$E$2,FALSE))*$D$9*$D$8*(HLOOKUP(AX$23,$G$18:$R$19,2,FALSE)*(1-$D$12)^($F26-'הנחות עבודה'!$C$5)/$D$11)/$D$11)</f>
        <v>4.0171419752000004E-4</v>
      </c>
      <c r="AY26" s="52">
        <f ca="1">IF(OR($F26&gt;$D$5,$F26&gt;MAX('הנחות עבודה'!$B$69:$B$89)),0,(VLOOKUP($F26,'התפלגות ייצור וסל דלקים'!$B$64:$BV$84,AY$2-$E$2,FALSE))*$D$9*$D$8*(HLOOKUP(AY$23,$G$18:$R$19,2,FALSE)*(1-$D$12)^($F26-'הנחות עבודה'!$C$5)/$D$11)/$D$11)</f>
        <v>0</v>
      </c>
      <c r="AZ26" s="52">
        <f ca="1">IF(OR($F26&gt;$D$5,$F26&gt;MAX('הנחות עבודה'!$B$69:$B$89)),0,(VLOOKUP($F26,'התפלגות ייצור וסל דלקים'!$B$64:$BV$84,AZ$2-$E$2,FALSE))*$D$9*$D$8*(HLOOKUP(AZ$23,$G$18:$R$19,2,FALSE)*(1-$D$12)^($F26-'הנחות עבודה'!$C$5)/$D$11)/$D$11)</f>
        <v>0</v>
      </c>
      <c r="BA26" s="52">
        <f ca="1">IF(OR($F26&gt;$D$5,$F26&gt;MAX('הנחות עבודה'!$B$69:$B$89)),0,(VLOOKUP($F26,'התפלגות ייצור וסל דלקים'!$B$64:$BV$84,BA$2-$E$2,FALSE))*$D$9*$D$8*(HLOOKUP(BA$23,$G$18:$R$19,2,FALSE)*(1-$D$12)^($F26-'הנחות עבודה'!$C$5)/$D$11)/$D$11)</f>
        <v>5.2256255249999994E-3</v>
      </c>
      <c r="BB26" s="52">
        <f ca="1">IF(OR($F26&gt;$D$5,$F26&gt;MAX('הנחות עבודה'!$B$69:$B$89)),0,(VLOOKUP($F26,'התפלגות ייצור וסל דלקים'!$B$64:$BV$84,BB$2-$E$2,FALSE))*$D$9*$D$8*(HLOOKUP(BB$23,$G$18:$R$19,2,FALSE)*(1-$D$12)^($F26-'הנחות עבודה'!$C$5)/$D$11)/$D$11)</f>
        <v>0</v>
      </c>
      <c r="BC26" s="42">
        <f ca="1">IF(OR($F26&gt;$D$5,$F26&gt;MAX('הנחות עבודה'!$B$69:$B$89)),0,(VLOOKUP($F26,'התפלגות ייצור וסל דלקים'!$B$64:$BV$84,BC$2-$E$2,FALSE))*$D$9*$D$8*(HLOOKUP(BC$23,$G$18:$R$19,2,FALSE)*(1-$D$12)^($F26-'הנחות עבודה'!$C$5)/$D$11)/$D$11)</f>
        <v>0</v>
      </c>
      <c r="BD26" s="44">
        <f ca="1">IF(OR($F26&gt;$D$5,$F26&gt;MAX('הנחות עבודה'!$B$69:$B$89)),0,(VLOOKUP($F26,'התפלגות ייצור וסל דלקים'!$B$64:$BV$84,BD$2-$E$2,FALSE))*$D$9*$D$8*(HLOOKUP(BD$23,$G$18:$R$19,2,FALSE)*(1-$D$12)^($F26-'הנחות עבודה'!$C$5)/$D$11)/$D$11)</f>
        <v>0</v>
      </c>
      <c r="BE26" s="44">
        <f ca="1">IF(OR($F26&gt;$D$5,$F26&gt;MAX('הנחות עבודה'!$B$69:$B$89)),0,(VLOOKUP($F26,'התפלגות ייצור וסל דלקים'!$B$64:$BV$84,BE$2-$E$2,FALSE))*$D$9*$D$8*(HLOOKUP(BE$23,$G$18:$R$19,2,FALSE)*(1-$D$12)^($F26-'הנחות עבודה'!$C$5)/$D$11)/$D$11)</f>
        <v>0</v>
      </c>
      <c r="BF26" s="44">
        <f ca="1">IF(OR($F26&gt;$D$5,$F26&gt;MAX('הנחות עבודה'!$B$69:$B$89)),0,(VLOOKUP($F26,'התפלגות ייצור וסל דלקים'!$B$64:$BV$84,BF$2-$E$2,FALSE))*$D$9*$D$8*(HLOOKUP(BF$23,$G$18:$R$19,2,FALSE)*(1-$D$12)^($F26-'הנחות עבודה'!$C$5)/$D$11)/$D$11)</f>
        <v>0</v>
      </c>
      <c r="BG26" s="44">
        <f ca="1">IF(OR($F26&gt;$D$5,$F26&gt;MAX('הנחות עבודה'!$B$69:$B$89)),0,(VLOOKUP($F26,'התפלגות ייצור וסל דלקים'!$B$64:$BV$84,BG$2-$E$2,FALSE))*$D$9*$D$8*(HLOOKUP(BG$23,$G$18:$R$19,2,FALSE)*(1-$D$12)^($F26-'הנחות עבודה'!$C$5)/$D$11)/$D$11)</f>
        <v>0</v>
      </c>
      <c r="BH26" s="44">
        <f ca="1">IF(OR($F26&gt;$D$5,$F26&gt;MAX('הנחות עבודה'!$B$69:$B$89)),0,(VLOOKUP($F26,'התפלגות ייצור וסל דלקים'!$B$64:$BV$84,BH$2-$E$2,FALSE))*$D$9*$D$8*(HLOOKUP(BH$23,$G$18:$R$19,2,FALSE)*(1-$D$12)^($F26-'הנחות עבודה'!$C$5)/$D$11)/$D$11)</f>
        <v>0</v>
      </c>
      <c r="BI26" s="42">
        <f ca="1">IF(OR($F26&gt;$D$5,$F26&gt;MAX('הנחות עבודה'!$B$69:$B$89)),0,(VLOOKUP($F26,'התפלגות ייצור וסל דלקים'!$B$64:$BV$84,BI$2-$E$2,FALSE))*$D$9*$D$8*(HLOOKUP(BI$23,$G$18:$R$19,2,FALSE)*(1-$D$12)^($F26-'הנחות עבודה'!$C$5)/$D$11)/$D$11)</f>
        <v>1.0054320000000001E-5</v>
      </c>
      <c r="BJ26" s="42">
        <f ca="1">IF(OR($F26&gt;$D$5,$F26&gt;MAX('הנחות עבודה'!$B$69:$B$89)),0,(VLOOKUP($F26,'התפלגות ייצור וסל דלקים'!$B$64:$BV$84,BJ$2-$E$2,FALSE))*$D$9*$D$8*(HLOOKUP(BJ$23,$G$18:$R$19,2,FALSE)*(1-$D$12)^($F26-'הנחות עבודה'!$C$5)/$D$11)/$D$11)</f>
        <v>3.9581085455999993E-4</v>
      </c>
      <c r="BK26" s="42">
        <f ca="1">IF(OR($F26&gt;$D$5,$F26&gt;MAX('הנחות עבודה'!$B$69:$B$89)),0,(VLOOKUP($F26,'התפלגות ייצור וסל דלקים'!$B$64:$BV$84,BK$2-$E$2,FALSE))*$D$9*$D$8*(HLOOKUP(BK$23,$G$18:$R$19,2,FALSE)*(1-$D$12)^($F26-'הנחות עבודה'!$C$5)/$D$11)/$D$11)</f>
        <v>0</v>
      </c>
      <c r="BL26" s="42">
        <f ca="1">IF(OR($F26&gt;$D$5,$F26&gt;MAX('הנחות עבודה'!$B$69:$B$89)),0,(VLOOKUP($F26,'התפלגות ייצור וסל דלקים'!$B$64:$BV$84,BL$2-$E$2,FALSE))*$D$9*$D$8*(HLOOKUP(BL$23,$G$18:$R$19,2,FALSE)*(1-$D$12)^($F26-'הנחות עבודה'!$C$5)/$D$11)/$D$11)</f>
        <v>0</v>
      </c>
      <c r="BM26" s="42">
        <f ca="1">IF(OR($F26&gt;$D$5,$F26&gt;MAX('הנחות עבודה'!$B$69:$B$89)),0,(VLOOKUP($F26,'התפלגות ייצור וסל דלקים'!$B$64:$BV$84,BM$2-$E$2,FALSE))*$D$9*$D$8*(HLOOKUP(BM$23,$G$18:$R$19,2,FALSE)*(1-$D$12)^($F26-'הנחות עבודה'!$C$5)/$D$11)/$D$11)</f>
        <v>5.2254320249999998E-3</v>
      </c>
      <c r="BN26" s="42">
        <f ca="1">IF(OR($F26&gt;$D$5,$F26&gt;MAX('הנחות עבודה'!$B$69:$B$89)),0,(VLOOKUP($F26,'התפלגות ייצור וסל דלקים'!$B$64:$BV$84,BN$2-$E$2,FALSE))*$D$9*$D$8*(HLOOKUP(BN$23,$G$18:$R$19,2,FALSE)*(1-$D$12)^($F26-'הנחות עבודה'!$C$5)/$D$11)/$D$11)</f>
        <v>0</v>
      </c>
      <c r="BO26" s="52">
        <f ca="1">IF(OR($F26&gt;$D$5,$F26&gt;MAX('הנחות עבודה'!$B$69:$B$89)),0,(VLOOKUP($F26,'התפלגות ייצור וסל דלקים'!$B$64:$BV$84,BO$2-$E$2,FALSE))*$D$9*$D$8*(HLOOKUP(BO$23,$G$18:$R$19,2,FALSE)*(1-$D$12)^($F26-'הנחות עבודה'!$C$5)/$D$11)/$D$11)</f>
        <v>0</v>
      </c>
      <c r="BP26" s="127">
        <f ca="1">IF(OR($F26&gt;$D$5,$F26&gt;MAX('הנחות עבודה'!$B$69:$B$89)),0,(VLOOKUP($F26,'התפלגות ייצור וסל דלקים'!$B$64:$BV$84,BP$2-$E$2,FALSE))*$D$9*$D$8*(HLOOKUP(BP$23,$G$18:$R$19,2,FALSE)*(1-$D$12)^($F26-'הנחות עבודה'!$C$5)/$D$11)/$D$11)</f>
        <v>0</v>
      </c>
      <c r="BQ26" s="127">
        <f ca="1">IF(OR($F26&gt;$D$5,$F26&gt;MAX('הנחות עבודה'!$B$69:$B$89)),0,(VLOOKUP($F26,'התפלגות ייצור וסל דלקים'!$B$64:$BV$84,BQ$2-$E$2,FALSE))*$D$9*$D$8*(HLOOKUP(BQ$23,$G$18:$R$19,2,FALSE)*(1-$D$12)^($F26-'הנחות עבודה'!$C$5)/$D$11)/$D$11)</f>
        <v>0</v>
      </c>
      <c r="BR26" s="127">
        <f ca="1">IF(OR($F26&gt;$D$5,$F26&gt;MAX('הנחות עבודה'!$B$69:$B$89)),0,(VLOOKUP($F26,'התפלגות ייצור וסל דלקים'!$B$64:$BV$84,BR$2-$E$2,FALSE))*$D$9*$D$8*(HLOOKUP(BR$23,$G$18:$R$19,2,FALSE)*(1-$D$12)^($F26-'הנחות עבודה'!$C$5)/$D$11)/$D$11)</f>
        <v>0</v>
      </c>
      <c r="BS26" s="127">
        <f ca="1">IF(OR($F26&gt;$D$5,$F26&gt;MAX('הנחות עבודה'!$B$69:$B$89)),0,(VLOOKUP($F26,'התפלגות ייצור וסל דלקים'!$B$64:$BV$84,BS$2-$E$2,FALSE))*$D$9*$D$8*(HLOOKUP(BS$23,$G$18:$R$19,2,FALSE)*(1-$D$12)^($F26-'הנחות עבודה'!$C$5)/$D$11)/$D$11)</f>
        <v>0</v>
      </c>
      <c r="BT26" s="127">
        <f ca="1">IF(OR($F26&gt;$D$5,$F26&gt;MAX('הנחות עבודה'!$B$69:$B$89)),0,(VLOOKUP($F26,'התפלגות ייצור וסל דלקים'!$B$64:$BV$84,BT$2-$E$2,FALSE))*$D$9*$D$8*(HLOOKUP(BT$23,$G$18:$R$19,2,FALSE)*(1-$D$12)^($F26-'הנחות עבודה'!$C$5)/$D$11)/$D$11)</f>
        <v>0</v>
      </c>
      <c r="BU26" s="52">
        <f ca="1">IF(OR($F26&gt;$D$5,$F26&gt;MAX('הנחות עבודה'!$B$69:$B$89)),0,(VLOOKUP($F26,'התפלגות ייצור וסל דלקים'!$B$64:$BV$84,BU$2-$E$2,FALSE))*$D$9*$D$8*(HLOOKUP(BU$23,$G$18:$R$19,2,FALSE)*(1-$D$12)^($F26-'הנחות עבודה'!$C$5)/$D$11)/$D$11)</f>
        <v>1.0054320000000001E-5</v>
      </c>
      <c r="BV26" s="52">
        <f ca="1">IF(OR($F26&gt;$D$5,$F26&gt;MAX('הנחות עבודה'!$B$69:$B$89)),0,(VLOOKUP($F26,'התפלגות ייצור וסל דלקים'!$B$64:$BV$84,BV$2-$E$2,FALSE))*$D$9*$D$8*(HLOOKUP(BV$23,$G$18:$R$19,2,FALSE)*(1-$D$12)^($F26-'הנחות עבודה'!$C$5)/$D$11)/$D$11)</f>
        <v>3.9581085455999993E-4</v>
      </c>
      <c r="BW26" s="52">
        <f ca="1">IF(OR($F26&gt;$D$5,$F26&gt;MAX('הנחות עבודה'!$B$69:$B$89)),0,(VLOOKUP($F26,'התפלגות ייצור וסל דלקים'!$B$64:$BV$84,BW$2-$E$2,FALSE))*$D$9*$D$8*(HLOOKUP(BW$23,$G$18:$R$19,2,FALSE)*(1-$D$12)^($F26-'הנחות עבודה'!$C$5)/$D$11)/$D$11)</f>
        <v>0</v>
      </c>
      <c r="BX26" s="52">
        <f ca="1">IF(OR($F26&gt;$D$5,$F26&gt;MAX('הנחות עבודה'!$B$69:$B$89)),0,(VLOOKUP($F26,'התפלגות ייצור וסל דלקים'!$B$64:$BV$84,BX$2-$E$2,FALSE))*$D$9*$D$8*(HLOOKUP(BX$23,$G$18:$R$19,2,FALSE)*(1-$D$12)^($F26-'הנחות עבודה'!$C$5)/$D$11)/$D$11)</f>
        <v>0</v>
      </c>
      <c r="BY26" s="52">
        <f ca="1">IF(OR($F26&gt;$D$5,$F26&gt;MAX('הנחות עבודה'!$B$69:$B$89)),0,(VLOOKUP($F26,'התפלגות ייצור וסל דלקים'!$B$64:$BV$84,BY$2-$E$2,FALSE))*$D$9*$D$8*(HLOOKUP(BY$23,$G$18:$R$19,2,FALSE)*(1-$D$12)^($F26-'הנחות עבודה'!$C$5)/$D$11)/$D$11)</f>
        <v>5.2254320249999998E-3</v>
      </c>
      <c r="BZ26" s="52">
        <f ca="1">IF(OR($F26&gt;$D$5,$F26&gt;MAX('הנחות עבודה'!$B$69:$B$89)),0,(VLOOKUP($F26,'התפלגות ייצור וסל דלקים'!$B$64:$BV$84,BZ$2-$E$2,FALSE))*$D$9*$D$8*(HLOOKUP(BZ$23,$G$18:$R$19,2,FALSE)*(1-$D$12)^($F26-'הנחות עבודה'!$C$5)/$D$11)/$D$11)</f>
        <v>0</v>
      </c>
    </row>
    <row r="27" spans="6:78" ht="15.75">
      <c r="F27" s="10">
        <f t="shared" si="108"/>
        <v>2023</v>
      </c>
      <c r="G27" s="42">
        <f ca="1">IF(OR($F27&gt;$D$5,$F27&gt;MAX('הנחות עבודה'!$B$69:$B$89)),0,(VLOOKUP($F27,'התפלגות ייצור וסל דלקים'!$B$64:$BV$84,G$2-$E$2,FALSE))*$D$9*$D$8*(HLOOKUP(G$23,$G$18:$R$19,2,FALSE)*(1-$D$12)^($F27-'הנחות עבודה'!$C$5)/$D$11)/$D$11)</f>
        <v>0</v>
      </c>
      <c r="H27" s="44">
        <f ca="1">IF(OR($F27&gt;$D$5,$F27&gt;MAX('הנחות עבודה'!$B$69:$B$89)),0,(VLOOKUP($F27,'התפלגות ייצור וסל דלקים'!$B$64:$BV$84,H$2-$E$2,FALSE))*$D$9*$D$8*(HLOOKUP(H$23,$G$18:$R$19,2,FALSE)*(1-$D$12)^($F27-'הנחות עבודה'!$C$5)/$D$11)/$D$11)</f>
        <v>0</v>
      </c>
      <c r="I27" s="44">
        <f ca="1">IF(OR($F27&gt;$D$5,$F27&gt;MAX('הנחות עבודה'!$B$69:$B$89)),0,(VLOOKUP($F27,'התפלגות ייצור וסל דלקים'!$B$64:$BV$84,I$2-$E$2,FALSE))*$D$9*$D$8*(HLOOKUP(I$23,$G$18:$R$19,2,FALSE)*(1-$D$12)^($F27-'הנחות עבודה'!$C$5)/$D$11)/$D$11)</f>
        <v>0</v>
      </c>
      <c r="J27" s="44">
        <f ca="1">IF(OR($F27&gt;$D$5,$F27&gt;MAX('הנחות עבודה'!$B$69:$B$89)),0,(VLOOKUP($F27,'התפלגות ייצור וסל דלקים'!$B$64:$BV$84,J$2-$E$2,FALSE))*$D$9*$D$8*(HLOOKUP(J$23,$G$18:$R$19,2,FALSE)*(1-$D$12)^($F27-'הנחות עבודה'!$C$5)/$D$11)/$D$11)</f>
        <v>0</v>
      </c>
      <c r="K27" s="44">
        <f ca="1">IF(OR($F27&gt;$D$5,$F27&gt;MAX('הנחות עבודה'!$B$69:$B$89)),0,(VLOOKUP($F27,'התפלגות ייצור וסל דלקים'!$B$64:$BV$84,K$2-$E$2,FALSE))*$D$9*$D$8*(HLOOKUP(K$23,$G$18:$R$19,2,FALSE)*(1-$D$12)^($F27-'הנחות עבודה'!$C$5)/$D$11)/$D$11)</f>
        <v>0</v>
      </c>
      <c r="L27" s="44">
        <f ca="1">IF(OR($F27&gt;$D$5,$F27&gt;MAX('הנחות עבודה'!$B$69:$B$89)),0,(VLOOKUP($F27,'התפלגות ייצור וסל דלקים'!$B$64:$BV$84,L$2-$E$2,FALSE))*$D$9*$D$8*(HLOOKUP(L$23,$G$18:$R$19,2,FALSE)*(1-$D$12)^($F27-'הנחות עבודה'!$C$5)/$D$11)/$D$11)</f>
        <v>0</v>
      </c>
      <c r="M27" s="42">
        <f ca="1">IF(OR($F27&gt;$D$5,$F27&gt;MAX('הנחות עבודה'!$B$69:$B$89)),0,(VLOOKUP($F27,'התפלגות ייצור וסל דלקים'!$B$64:$BV$84,M$2-$E$2,FALSE))*$D$9*$D$8*(HLOOKUP(M$23,$G$18:$R$19,2,FALSE)*(1-$D$12)^($F27-'הנחות עבודה'!$C$5)/$D$11)/$D$11)</f>
        <v>1.60388E-5</v>
      </c>
      <c r="N27" s="42">
        <f ca="1">IF(OR($F27&gt;$D$5,$F27&gt;MAX('הנחות עבודה'!$B$69:$B$89)),0,(VLOOKUP($F27,'התפלגות ייצור וסל דלקים'!$B$64:$BV$84,N$2-$E$2,FALSE))*$D$9*$D$8*(HLOOKUP(N$23,$G$18:$R$19,2,FALSE)*(1-$D$12)^($F27-'הנחות עבודה'!$C$5)/$D$11)/$D$11)</f>
        <v>4.5804064177599996E-4</v>
      </c>
      <c r="O27" s="42">
        <f ca="1">IF(OR($F27&gt;$D$5,$F27&gt;MAX('הנחות עבודה'!$B$69:$B$89)),0,(VLOOKUP($F27,'התפלגות ייצור וסל דלקים'!$B$64:$BV$84,O$2-$E$2,FALSE))*$D$9*$D$8*(HLOOKUP(O$23,$G$18:$R$19,2,FALSE)*(1-$D$12)^($F27-'הנחות עבודה'!$C$5)/$D$11)/$D$11)</f>
        <v>0</v>
      </c>
      <c r="P27" s="42">
        <f ca="1">IF(OR($F27&gt;$D$5,$F27&gt;MAX('הנחות עבודה'!$B$69:$B$89)),0,(VLOOKUP($F27,'התפלגות ייצור וסל דלקים'!$B$64:$BV$84,P$2-$E$2,FALSE))*$D$9*$D$8*(HLOOKUP(P$23,$G$18:$R$19,2,FALSE)*(1-$D$12)^($F27-'הנחות עבודה'!$C$5)/$D$11)/$D$11)</f>
        <v>0</v>
      </c>
      <c r="Q27" s="42">
        <f ca="1">IF(OR($F27&gt;$D$5,$F27&gt;MAX('הנחות עבודה'!$B$69:$B$89)),0,(VLOOKUP($F27,'התפלגות ייצור וסל דלקים'!$B$64:$BV$84,Q$2-$E$2,FALSE))*$D$9*$D$8*(HLOOKUP(Q$23,$G$18:$R$19,2,FALSE)*(1-$D$12)^($F27-'הנחות עבודה'!$C$5)/$D$11)/$D$11)</f>
        <v>3.6315886499999998E-3</v>
      </c>
      <c r="R27" s="42">
        <f ca="1">IF(OR($F27&gt;$D$5,$F27&gt;MAX('הנחות עבודה'!$B$69:$B$89)),0,(VLOOKUP($F27,'התפלגות ייצור וסל דלקים'!$B$64:$BV$84,R$2-$E$2,FALSE))*$D$9*$D$8*(HLOOKUP(R$23,$G$18:$R$19,2,FALSE)*(1-$D$12)^($F27-'הנחות עבודה'!$C$5)/$D$11)/$D$11)</f>
        <v>0</v>
      </c>
      <c r="S27" s="52">
        <f ca="1">IF(OR($F27&gt;$D$5,$F27&gt;MAX('הנחות עבודה'!$B$69:$B$89)),0,(VLOOKUP($F27,'התפלגות ייצור וסל דלקים'!$B$64:$BV$84,S$2-$E$2,FALSE))*$D$9*$D$8*(HLOOKUP(S$23,$G$18:$R$19,2,FALSE)*(1-$D$12)^($F27-'הנחות עבודה'!$C$5)/$D$11)/$D$11)</f>
        <v>0</v>
      </c>
      <c r="T27" s="127">
        <f ca="1">IF(OR($F27&gt;$D$5,$F27&gt;MAX('הנחות עבודה'!$B$69:$B$89)),0,(VLOOKUP($F27,'התפלגות ייצור וסל דלקים'!$B$64:$BV$84,T$2-$E$2,FALSE))*$D$9*$D$8*(HLOOKUP(T$23,$G$18:$R$19,2,FALSE)*(1-$D$12)^($F27-'הנחות עבודה'!$C$5)/$D$11)/$D$11)</f>
        <v>0</v>
      </c>
      <c r="U27" s="127">
        <f ca="1">IF(OR($F27&gt;$D$5,$F27&gt;MAX('הנחות עבודה'!$B$69:$B$89)),0,(VLOOKUP($F27,'התפלגות ייצור וסל דלקים'!$B$64:$BV$84,U$2-$E$2,FALSE))*$D$9*$D$8*(HLOOKUP(U$23,$G$18:$R$19,2,FALSE)*(1-$D$12)^($F27-'הנחות עבודה'!$C$5)/$D$11)/$D$11)</f>
        <v>0</v>
      </c>
      <c r="V27" s="127">
        <f ca="1">IF(OR($F27&gt;$D$5,$F27&gt;MAX('הנחות עבודה'!$B$69:$B$89)),0,(VLOOKUP($F27,'התפלגות ייצור וסל דלקים'!$B$64:$BV$84,V$2-$E$2,FALSE))*$D$9*$D$8*(HLOOKUP(V$23,$G$18:$R$19,2,FALSE)*(1-$D$12)^($F27-'הנחות עבודה'!$C$5)/$D$11)/$D$11)</f>
        <v>0</v>
      </c>
      <c r="W27" s="127">
        <f ca="1">IF(OR($F27&gt;$D$5,$F27&gt;MAX('הנחות עבודה'!$B$69:$B$89)),0,(VLOOKUP($F27,'התפלגות ייצור וסל דלקים'!$B$64:$BV$84,W$2-$E$2,FALSE))*$D$9*$D$8*(HLOOKUP(W$23,$G$18:$R$19,2,FALSE)*(1-$D$12)^($F27-'הנחות עבודה'!$C$5)/$D$11)/$D$11)</f>
        <v>0</v>
      </c>
      <c r="X27" s="127">
        <f ca="1">IF(OR($F27&gt;$D$5,$F27&gt;MAX('הנחות עבודה'!$B$69:$B$89)),0,(VLOOKUP($F27,'התפלגות ייצור וסל דלקים'!$B$64:$BV$84,X$2-$E$2,FALSE))*$D$9*$D$8*(HLOOKUP(X$23,$G$18:$R$19,2,FALSE)*(1-$D$12)^($F27-'הנחות עבודה'!$C$5)/$D$11)/$D$11)</f>
        <v>0</v>
      </c>
      <c r="Y27" s="52">
        <f ca="1">IF(OR($F27&gt;$D$5,$F27&gt;MAX('הנחות עבודה'!$B$69:$B$89)),0,(VLOOKUP($F27,'התפלגות ייצור וסל דלקים'!$B$64:$BV$84,Y$2-$E$2,FALSE))*$D$9*$D$8*(HLOOKUP(Y$23,$G$18:$R$19,2,FALSE)*(1-$D$12)^($F27-'הנחות עבודה'!$C$5)/$D$11)/$D$11)</f>
        <v>1.60388E-5</v>
      </c>
      <c r="Z27" s="52">
        <f ca="1">IF(OR($F27&gt;$D$5,$F27&gt;MAX('הנחות עבודה'!$B$69:$B$89)),0,(VLOOKUP($F27,'התפלגות ייצור וסל דלקים'!$B$64:$BV$84,Z$2-$E$2,FALSE))*$D$9*$D$8*(HLOOKUP(Z$23,$G$18:$R$19,2,FALSE)*(1-$D$12)^($F27-'הנחות עבודה'!$C$5)/$D$11)/$D$11)</f>
        <v>4.5804064177599996E-4</v>
      </c>
      <c r="AA27" s="52">
        <f ca="1">IF(OR($F27&gt;$D$5,$F27&gt;MAX('הנחות עבודה'!$B$69:$B$89)),0,(VLOOKUP($F27,'התפלגות ייצור וסל דלקים'!$B$64:$BV$84,AA$2-$E$2,FALSE))*$D$9*$D$8*(HLOOKUP(AA$23,$G$18:$R$19,2,FALSE)*(1-$D$12)^($F27-'הנחות עבודה'!$C$5)/$D$11)/$D$11)</f>
        <v>0</v>
      </c>
      <c r="AB27" s="52">
        <f ca="1">IF(OR($F27&gt;$D$5,$F27&gt;MAX('הנחות עבודה'!$B$69:$B$89)),0,(VLOOKUP($F27,'התפלגות ייצור וסל דלקים'!$B$64:$BV$84,AB$2-$E$2,FALSE))*$D$9*$D$8*(HLOOKUP(AB$23,$G$18:$R$19,2,FALSE)*(1-$D$12)^($F27-'הנחות עבודה'!$C$5)/$D$11)/$D$11)</f>
        <v>0</v>
      </c>
      <c r="AC27" s="52">
        <f ca="1">IF(OR($F27&gt;$D$5,$F27&gt;MAX('הנחות עבודה'!$B$69:$B$89)),0,(VLOOKUP($F27,'התפלגות ייצור וסל דלקים'!$B$64:$BV$84,AC$2-$E$2,FALSE))*$D$9*$D$8*(HLOOKUP(AC$23,$G$18:$R$19,2,FALSE)*(1-$D$12)^($F27-'הנחות עבודה'!$C$5)/$D$11)/$D$11)</f>
        <v>3.6315886499999998E-3</v>
      </c>
      <c r="AD27" s="52">
        <f ca="1">IF(OR($F27&gt;$D$5,$F27&gt;MAX('הנחות עבודה'!$B$69:$B$89)),0,(VLOOKUP($F27,'התפלגות ייצור וסל דלקים'!$B$64:$BV$84,AD$2-$E$2,FALSE))*$D$9*$D$8*(HLOOKUP(AD$23,$G$18:$R$19,2,FALSE)*(1-$D$12)^($F27-'הנחות עבודה'!$C$5)/$D$11)/$D$11)</f>
        <v>0</v>
      </c>
      <c r="AE27" s="42">
        <f ca="1">IF(OR($F27&gt;$D$5,$F27&gt;MAX('הנחות עבודה'!$B$69:$B$89)),0,(VLOOKUP($F27,'התפלגות ייצור וסל דלקים'!$B$64:$BV$84,AE$2-$E$2,FALSE))*$D$9*$D$8*(HLOOKUP(AE$23,$G$18:$R$19,2,FALSE)*(1-$D$12)^($F27-'הנחות עבודה'!$C$5)/$D$11)/$D$11)</f>
        <v>0</v>
      </c>
      <c r="AF27" s="44">
        <f ca="1">IF(OR($F27&gt;$D$5,$F27&gt;MAX('הנחות עבודה'!$B$69:$B$89)),0,(VLOOKUP($F27,'התפלגות ייצור וסל דלקים'!$B$64:$BV$84,AF$2-$E$2,FALSE))*$D$9*$D$8*(HLOOKUP(AF$23,$G$18:$R$19,2,FALSE)*(1-$D$12)^($F27-'הנחות עבודה'!$C$5)/$D$11)/$D$11)</f>
        <v>0</v>
      </c>
      <c r="AG27" s="44">
        <f ca="1">IF(OR($F27&gt;$D$5,$F27&gt;MAX('הנחות עבודה'!$B$69:$B$89)),0,(VLOOKUP($F27,'התפלגות ייצור וסל דלקים'!$B$64:$BV$84,AG$2-$E$2,FALSE))*$D$9*$D$8*(HLOOKUP(AG$23,$G$18:$R$19,2,FALSE)*(1-$D$12)^($F27-'הנחות עבודה'!$C$5)/$D$11)/$D$11)</f>
        <v>0</v>
      </c>
      <c r="AH27" s="44">
        <f ca="1">IF(OR($F27&gt;$D$5,$F27&gt;MAX('הנחות עבודה'!$B$69:$B$89)),0,(VLOOKUP($F27,'התפלגות ייצור וסל דלקים'!$B$64:$BV$84,AH$2-$E$2,FALSE))*$D$9*$D$8*(HLOOKUP(AH$23,$G$18:$R$19,2,FALSE)*(1-$D$12)^($F27-'הנחות עבודה'!$C$5)/$D$11)/$D$11)</f>
        <v>0</v>
      </c>
      <c r="AI27" s="44">
        <f ca="1">IF(OR($F27&gt;$D$5,$F27&gt;MAX('הנחות עבודה'!$B$69:$B$89)),0,(VLOOKUP($F27,'התפלגות ייצור וסל דלקים'!$B$64:$BV$84,AI$2-$E$2,FALSE))*$D$9*$D$8*(HLOOKUP(AI$23,$G$18:$R$19,2,FALSE)*(1-$D$12)^($F27-'הנחות עבודה'!$C$5)/$D$11)/$D$11)</f>
        <v>0</v>
      </c>
      <c r="AJ27" s="44">
        <f ca="1">IF(OR($F27&gt;$D$5,$F27&gt;MAX('הנחות עבודה'!$B$69:$B$89)),0,(VLOOKUP($F27,'התפלגות ייצור וסל דלקים'!$B$64:$BV$84,AJ$2-$E$2,FALSE))*$D$9*$D$8*(HLOOKUP(AJ$23,$G$18:$R$19,2,FALSE)*(1-$D$12)^($F27-'הנחות עבודה'!$C$5)/$D$11)/$D$11)</f>
        <v>0</v>
      </c>
      <c r="AK27" s="42">
        <f ca="1">IF(OR($F27&gt;$D$5,$F27&gt;MAX('הנחות עבודה'!$B$69:$B$89)),0,(VLOOKUP($F27,'התפלגות ייצור וסל דלקים'!$B$64:$BV$84,AK$2-$E$2,FALSE))*$D$9*$D$8*(HLOOKUP(AK$23,$G$18:$R$19,2,FALSE)*(1-$D$12)^($F27-'הנחות עבודה'!$C$5)/$D$11)/$D$11)</f>
        <v>1.5657760000000002E-5</v>
      </c>
      <c r="AL27" s="42">
        <f ca="1">IF(OR($F27&gt;$D$5,$F27&gt;MAX('הנחות עבודה'!$B$69:$B$89)),0,(VLOOKUP($F27,'התפלגות ייצור וסל דלקים'!$B$64:$BV$84,AL$2-$E$2,FALSE))*$D$9*$D$8*(HLOOKUP(AL$23,$G$18:$R$19,2,FALSE)*(1-$D$12)^($F27-'הנחות עבודה'!$C$5)/$D$11)/$D$11)</f>
        <v>4.4109599763999993E-4</v>
      </c>
      <c r="AM27" s="42">
        <f ca="1">IF(OR($F27&gt;$D$5,$F27&gt;MAX('הנחות עבודה'!$B$69:$B$89)),0,(VLOOKUP($F27,'התפלגות ייצור וסל דלקים'!$B$64:$BV$84,AM$2-$E$2,FALSE))*$D$9*$D$8*(HLOOKUP(AM$23,$G$18:$R$19,2,FALSE)*(1-$D$12)^($F27-'הנחות עבודה'!$C$5)/$D$11)/$D$11)</f>
        <v>0</v>
      </c>
      <c r="AN27" s="42">
        <f ca="1">IF(OR($F27&gt;$D$5,$F27&gt;MAX('הנחות עבודה'!$B$69:$B$89)),0,(VLOOKUP($F27,'התפלגות ייצור וסל דלקים'!$B$64:$BV$84,AN$2-$E$2,FALSE))*$D$9*$D$8*(HLOOKUP(AN$23,$G$18:$R$19,2,FALSE)*(1-$D$12)^($F27-'הנחות עבודה'!$C$5)/$D$11)/$D$11)</f>
        <v>0</v>
      </c>
      <c r="AO27" s="42">
        <f ca="1">IF(OR($F27&gt;$D$5,$F27&gt;MAX('הנחות עבודה'!$B$69:$B$89)),0,(VLOOKUP($F27,'התפלגות ייצור וסל דלקים'!$B$64:$BV$84,AO$2-$E$2,FALSE))*$D$9*$D$8*(HLOOKUP(AO$23,$G$18:$R$19,2,FALSE)*(1-$D$12)^($F27-'הנחות עבודה'!$C$5)/$D$11)/$D$11)</f>
        <v>3.6303695999999998E-3</v>
      </c>
      <c r="AP27" s="42">
        <f ca="1">IF(OR($F27&gt;$D$5,$F27&gt;MAX('הנחות עבודה'!$B$69:$B$89)),0,(VLOOKUP($F27,'התפלגות ייצור וסל דלקים'!$B$64:$BV$84,AP$2-$E$2,FALSE))*$D$9*$D$8*(HLOOKUP(AP$23,$G$18:$R$19,2,FALSE)*(1-$D$12)^($F27-'הנחות עבודה'!$C$5)/$D$11)/$D$11)</f>
        <v>0</v>
      </c>
      <c r="AQ27" s="52">
        <f ca="1">IF(OR($F27&gt;$D$5,$F27&gt;MAX('הנחות עבודה'!$B$69:$B$89)),0,(VLOOKUP($F27,'התפלגות ייצור וסל דלקים'!$B$64:$BV$84,AQ$2-$E$2,FALSE))*$D$9*$D$8*(HLOOKUP(AQ$23,$G$18:$R$19,2,FALSE)*(1-$D$12)^($F27-'הנחות עבודה'!$C$5)/$D$11)/$D$11)</f>
        <v>0</v>
      </c>
      <c r="AR27" s="127">
        <f ca="1">IF(OR($F27&gt;$D$5,$F27&gt;MAX('הנחות עבודה'!$B$69:$B$89)),0,(VLOOKUP($F27,'התפלגות ייצור וסל דלקים'!$B$64:$BV$84,AR$2-$E$2,FALSE))*$D$9*$D$8*(HLOOKUP(AR$23,$G$18:$R$19,2,FALSE)*(1-$D$12)^($F27-'הנחות עבודה'!$C$5)/$D$11)/$D$11)</f>
        <v>0</v>
      </c>
      <c r="AS27" s="127">
        <f ca="1">IF(OR($F27&gt;$D$5,$F27&gt;MAX('הנחות עבודה'!$B$69:$B$89)),0,(VLOOKUP($F27,'התפלגות ייצור וסל דלקים'!$B$64:$BV$84,AS$2-$E$2,FALSE))*$D$9*$D$8*(HLOOKUP(AS$23,$G$18:$R$19,2,FALSE)*(1-$D$12)^($F27-'הנחות עבודה'!$C$5)/$D$11)/$D$11)</f>
        <v>0</v>
      </c>
      <c r="AT27" s="127">
        <f ca="1">IF(OR($F27&gt;$D$5,$F27&gt;MAX('הנחות עבודה'!$B$69:$B$89)),0,(VLOOKUP($F27,'התפלגות ייצור וסל דלקים'!$B$64:$BV$84,AT$2-$E$2,FALSE))*$D$9*$D$8*(HLOOKUP(AT$23,$G$18:$R$19,2,FALSE)*(1-$D$12)^($F27-'הנחות עבודה'!$C$5)/$D$11)/$D$11)</f>
        <v>0</v>
      </c>
      <c r="AU27" s="127">
        <f ca="1">IF(OR($F27&gt;$D$5,$F27&gt;MAX('הנחות עבודה'!$B$69:$B$89)),0,(VLOOKUP($F27,'התפלגות ייצור וסל דלקים'!$B$64:$BV$84,AU$2-$E$2,FALSE))*$D$9*$D$8*(HLOOKUP(AU$23,$G$18:$R$19,2,FALSE)*(1-$D$12)^($F27-'הנחות עבודה'!$C$5)/$D$11)/$D$11)</f>
        <v>0</v>
      </c>
      <c r="AV27" s="127">
        <f ca="1">IF(OR($F27&gt;$D$5,$F27&gt;MAX('הנחות עבודה'!$B$69:$B$89)),0,(VLOOKUP($F27,'התפלגות ייצור וסל דלקים'!$B$64:$BV$84,AV$2-$E$2,FALSE))*$D$9*$D$8*(HLOOKUP(AV$23,$G$18:$R$19,2,FALSE)*(1-$D$12)^($F27-'הנחות עבודה'!$C$5)/$D$11)/$D$11)</f>
        <v>0</v>
      </c>
      <c r="AW27" s="52">
        <f ca="1">IF(OR($F27&gt;$D$5,$F27&gt;MAX('הנחות עבודה'!$B$69:$B$89)),0,(VLOOKUP($F27,'התפלגות ייצור וסל דלקים'!$B$64:$BV$84,AW$2-$E$2,FALSE))*$D$9*$D$8*(HLOOKUP(AW$23,$G$18:$R$19,2,FALSE)*(1-$D$12)^($F27-'הנחות עבודה'!$C$5)/$D$11)/$D$11)</f>
        <v>1.5657760000000002E-5</v>
      </c>
      <c r="AX27" s="52">
        <f ca="1">IF(OR($F27&gt;$D$5,$F27&gt;MAX('הנחות עבודה'!$B$69:$B$89)),0,(VLOOKUP($F27,'התפלגות ייצור וסל דלקים'!$B$64:$BV$84,AX$2-$E$2,FALSE))*$D$9*$D$8*(HLOOKUP(AX$23,$G$18:$R$19,2,FALSE)*(1-$D$12)^($F27-'הנחות עבודה'!$C$5)/$D$11)/$D$11)</f>
        <v>4.4109599763999993E-4</v>
      </c>
      <c r="AY27" s="52">
        <f ca="1">IF(OR($F27&gt;$D$5,$F27&gt;MAX('הנחות עבודה'!$B$69:$B$89)),0,(VLOOKUP($F27,'התפלגות ייצור וסל דלקים'!$B$64:$BV$84,AY$2-$E$2,FALSE))*$D$9*$D$8*(HLOOKUP(AY$23,$G$18:$R$19,2,FALSE)*(1-$D$12)^($F27-'הנחות עבודה'!$C$5)/$D$11)/$D$11)</f>
        <v>0</v>
      </c>
      <c r="AZ27" s="52">
        <f ca="1">IF(OR($F27&gt;$D$5,$F27&gt;MAX('הנחות עבודה'!$B$69:$B$89)),0,(VLOOKUP($F27,'התפלגות ייצור וסל דלקים'!$B$64:$BV$84,AZ$2-$E$2,FALSE))*$D$9*$D$8*(HLOOKUP(AZ$23,$G$18:$R$19,2,FALSE)*(1-$D$12)^($F27-'הנחות עבודה'!$C$5)/$D$11)/$D$11)</f>
        <v>0</v>
      </c>
      <c r="BA27" s="52">
        <f ca="1">IF(OR($F27&gt;$D$5,$F27&gt;MAX('הנחות עבודה'!$B$69:$B$89)),0,(VLOOKUP($F27,'התפלגות ייצור וסל דלקים'!$B$64:$BV$84,BA$2-$E$2,FALSE))*$D$9*$D$8*(HLOOKUP(BA$23,$G$18:$R$19,2,FALSE)*(1-$D$12)^($F27-'הנחות עבודה'!$C$5)/$D$11)/$D$11)</f>
        <v>3.6303695999999998E-3</v>
      </c>
      <c r="BB27" s="52">
        <f ca="1">IF(OR($F27&gt;$D$5,$F27&gt;MAX('הנחות עבודה'!$B$69:$B$89)),0,(VLOOKUP($F27,'התפלגות ייצור וסל דלקים'!$B$64:$BV$84,BB$2-$E$2,FALSE))*$D$9*$D$8*(HLOOKUP(BB$23,$G$18:$R$19,2,FALSE)*(1-$D$12)^($F27-'הנחות עבודה'!$C$5)/$D$11)/$D$11)</f>
        <v>0</v>
      </c>
      <c r="BC27" s="42">
        <f ca="1">IF(OR($F27&gt;$D$5,$F27&gt;MAX('הנחות עבודה'!$B$69:$B$89)),0,(VLOOKUP($F27,'התפלגות ייצור וסל דלקים'!$B$64:$BV$84,BC$2-$E$2,FALSE))*$D$9*$D$8*(HLOOKUP(BC$23,$G$18:$R$19,2,FALSE)*(1-$D$12)^($F27-'הנחות עבודה'!$C$5)/$D$11)/$D$11)</f>
        <v>0</v>
      </c>
      <c r="BD27" s="44">
        <f ca="1">IF(OR($F27&gt;$D$5,$F27&gt;MAX('הנחות עבודה'!$B$69:$B$89)),0,(VLOOKUP($F27,'התפלגות ייצור וסל דלקים'!$B$64:$BV$84,BD$2-$E$2,FALSE))*$D$9*$D$8*(HLOOKUP(BD$23,$G$18:$R$19,2,FALSE)*(1-$D$12)^($F27-'הנחות עבודה'!$C$5)/$D$11)/$D$11)</f>
        <v>0</v>
      </c>
      <c r="BE27" s="44">
        <f ca="1">IF(OR($F27&gt;$D$5,$F27&gt;MAX('הנחות עבודה'!$B$69:$B$89)),0,(VLOOKUP($F27,'התפלגות ייצור וסל דלקים'!$B$64:$BV$84,BE$2-$E$2,FALSE))*$D$9*$D$8*(HLOOKUP(BE$23,$G$18:$R$19,2,FALSE)*(1-$D$12)^($F27-'הנחות עבודה'!$C$5)/$D$11)/$D$11)</f>
        <v>0</v>
      </c>
      <c r="BF27" s="44">
        <f ca="1">IF(OR($F27&gt;$D$5,$F27&gt;MAX('הנחות עבודה'!$B$69:$B$89)),0,(VLOOKUP($F27,'התפלגות ייצור וסל דלקים'!$B$64:$BV$84,BF$2-$E$2,FALSE))*$D$9*$D$8*(HLOOKUP(BF$23,$G$18:$R$19,2,FALSE)*(1-$D$12)^($F27-'הנחות עבודה'!$C$5)/$D$11)/$D$11)</f>
        <v>0</v>
      </c>
      <c r="BG27" s="44">
        <f ca="1">IF(OR($F27&gt;$D$5,$F27&gt;MAX('הנחות עבודה'!$B$69:$B$89)),0,(VLOOKUP($F27,'התפלגות ייצור וסל דלקים'!$B$64:$BV$84,BG$2-$E$2,FALSE))*$D$9*$D$8*(HLOOKUP(BG$23,$G$18:$R$19,2,FALSE)*(1-$D$12)^($F27-'הנחות עבודה'!$C$5)/$D$11)/$D$11)</f>
        <v>0</v>
      </c>
      <c r="BH27" s="44">
        <f ca="1">IF(OR($F27&gt;$D$5,$F27&gt;MAX('הנחות עבודה'!$B$69:$B$89)),0,(VLOOKUP($F27,'התפלגות ייצור וסל דלקים'!$B$64:$BV$84,BH$2-$E$2,FALSE))*$D$9*$D$8*(HLOOKUP(BH$23,$G$18:$R$19,2,FALSE)*(1-$D$12)^($F27-'הנחות עבודה'!$C$5)/$D$11)/$D$11)</f>
        <v>0</v>
      </c>
      <c r="BI27" s="42">
        <f ca="1">IF(OR($F27&gt;$D$5,$F27&gt;MAX('הנחות עבודה'!$B$69:$B$89)),0,(VLOOKUP($F27,'התפלגות ייצור וסל דלקים'!$B$64:$BV$84,BI$2-$E$2,FALSE))*$D$9*$D$8*(HLOOKUP(BI$23,$G$18:$R$19,2,FALSE)*(1-$D$12)^($F27-'הנחות עבודה'!$C$5)/$D$11)/$D$11)</f>
        <v>1.5553840000000003E-5</v>
      </c>
      <c r="BJ27" s="42">
        <f ca="1">IF(OR($F27&gt;$D$5,$F27&gt;MAX('הנחות עבודה'!$B$69:$B$89)),0,(VLOOKUP($F27,'התפלגות ייצור וסל דלקים'!$B$64:$BV$84,BJ$2-$E$2,FALSE))*$D$9*$D$8*(HLOOKUP(BJ$23,$G$18:$R$19,2,FALSE)*(1-$D$12)^($F27-'הנחות עבודה'!$C$5)/$D$11)/$D$11)</f>
        <v>4.3180481311999992E-4</v>
      </c>
      <c r="BK27" s="42">
        <f ca="1">IF(OR($F27&gt;$D$5,$F27&gt;MAX('הנחות עבודה'!$B$69:$B$89)),0,(VLOOKUP($F27,'התפלגות ייצור וסל דלקים'!$B$64:$BV$84,BK$2-$E$2,FALSE))*$D$9*$D$8*(HLOOKUP(BK$23,$G$18:$R$19,2,FALSE)*(1-$D$12)^($F27-'הנחות עבודה'!$C$5)/$D$11)/$D$11)</f>
        <v>0</v>
      </c>
      <c r="BL27" s="42">
        <f ca="1">IF(OR($F27&gt;$D$5,$F27&gt;MAX('הנחות עבודה'!$B$69:$B$89)),0,(VLOOKUP($F27,'התפלגות ייצור וסל דלקים'!$B$64:$BV$84,BL$2-$E$2,FALSE))*$D$9*$D$8*(HLOOKUP(BL$23,$G$18:$R$19,2,FALSE)*(1-$D$12)^($F27-'הנחות עבודה'!$C$5)/$D$11)/$D$11)</f>
        <v>0</v>
      </c>
      <c r="BM27" s="42">
        <f ca="1">IF(OR($F27&gt;$D$5,$F27&gt;MAX('הנחות עבודה'!$B$69:$B$89)),0,(VLOOKUP($F27,'התפלגות ייצור וסל דלקים'!$B$64:$BV$84,BM$2-$E$2,FALSE))*$D$9*$D$8*(HLOOKUP(BM$23,$G$18:$R$19,2,FALSE)*(1-$D$12)^($F27-'הנחות עבודה'!$C$5)/$D$11)/$D$11)</f>
        <v>3.6304470000000006E-3</v>
      </c>
      <c r="BN27" s="42">
        <f ca="1">IF(OR($F27&gt;$D$5,$F27&gt;MAX('הנחות עבודה'!$B$69:$B$89)),0,(VLOOKUP($F27,'התפלגות ייצור וסל דלקים'!$B$64:$BV$84,BN$2-$E$2,FALSE))*$D$9*$D$8*(HLOOKUP(BN$23,$G$18:$R$19,2,FALSE)*(1-$D$12)^($F27-'הנחות עבודה'!$C$5)/$D$11)/$D$11)</f>
        <v>0</v>
      </c>
      <c r="BO27" s="52">
        <f ca="1">IF(OR($F27&gt;$D$5,$F27&gt;MAX('הנחות עבודה'!$B$69:$B$89)),0,(VLOOKUP($F27,'התפלגות ייצור וסל דלקים'!$B$64:$BV$84,BO$2-$E$2,FALSE))*$D$9*$D$8*(HLOOKUP(BO$23,$G$18:$R$19,2,FALSE)*(1-$D$12)^($F27-'הנחות עבודה'!$C$5)/$D$11)/$D$11)</f>
        <v>0</v>
      </c>
      <c r="BP27" s="127">
        <f ca="1">IF(OR($F27&gt;$D$5,$F27&gt;MAX('הנחות עבודה'!$B$69:$B$89)),0,(VLOOKUP($F27,'התפלגות ייצור וסל דלקים'!$B$64:$BV$84,BP$2-$E$2,FALSE))*$D$9*$D$8*(HLOOKUP(BP$23,$G$18:$R$19,2,FALSE)*(1-$D$12)^($F27-'הנחות עבודה'!$C$5)/$D$11)/$D$11)</f>
        <v>0</v>
      </c>
      <c r="BQ27" s="127">
        <f ca="1">IF(OR($F27&gt;$D$5,$F27&gt;MAX('הנחות עבודה'!$B$69:$B$89)),0,(VLOOKUP($F27,'התפלגות ייצור וסל דלקים'!$B$64:$BV$84,BQ$2-$E$2,FALSE))*$D$9*$D$8*(HLOOKUP(BQ$23,$G$18:$R$19,2,FALSE)*(1-$D$12)^($F27-'הנחות עבודה'!$C$5)/$D$11)/$D$11)</f>
        <v>0</v>
      </c>
      <c r="BR27" s="127">
        <f ca="1">IF(OR($F27&gt;$D$5,$F27&gt;MAX('הנחות עבודה'!$B$69:$B$89)),0,(VLOOKUP($F27,'התפלגות ייצור וסל דלקים'!$B$64:$BV$84,BR$2-$E$2,FALSE))*$D$9*$D$8*(HLOOKUP(BR$23,$G$18:$R$19,2,FALSE)*(1-$D$12)^($F27-'הנחות עבודה'!$C$5)/$D$11)/$D$11)</f>
        <v>0</v>
      </c>
      <c r="BS27" s="127">
        <f ca="1">IF(OR($F27&gt;$D$5,$F27&gt;MAX('הנחות עבודה'!$B$69:$B$89)),0,(VLOOKUP($F27,'התפלגות ייצור וסל דלקים'!$B$64:$BV$84,BS$2-$E$2,FALSE))*$D$9*$D$8*(HLOOKUP(BS$23,$G$18:$R$19,2,FALSE)*(1-$D$12)^($F27-'הנחות עבודה'!$C$5)/$D$11)/$D$11)</f>
        <v>0</v>
      </c>
      <c r="BT27" s="127">
        <f ca="1">IF(OR($F27&gt;$D$5,$F27&gt;MAX('הנחות עבודה'!$B$69:$B$89)),0,(VLOOKUP($F27,'התפלגות ייצור וסל דלקים'!$B$64:$BV$84,BT$2-$E$2,FALSE))*$D$9*$D$8*(HLOOKUP(BT$23,$G$18:$R$19,2,FALSE)*(1-$D$12)^($F27-'הנחות עבודה'!$C$5)/$D$11)/$D$11)</f>
        <v>0</v>
      </c>
      <c r="BU27" s="52">
        <f ca="1">IF(OR($F27&gt;$D$5,$F27&gt;MAX('הנחות עבודה'!$B$69:$B$89)),0,(VLOOKUP($F27,'התפלגות ייצור וסל דלקים'!$B$64:$BV$84,BU$2-$E$2,FALSE))*$D$9*$D$8*(HLOOKUP(BU$23,$G$18:$R$19,2,FALSE)*(1-$D$12)^($F27-'הנחות עבודה'!$C$5)/$D$11)/$D$11)</f>
        <v>1.5553840000000003E-5</v>
      </c>
      <c r="BV27" s="52">
        <f ca="1">IF(OR($F27&gt;$D$5,$F27&gt;MAX('הנחות עבודה'!$B$69:$B$89)),0,(VLOOKUP($F27,'התפלגות ייצור וסל דלקים'!$B$64:$BV$84,BV$2-$E$2,FALSE))*$D$9*$D$8*(HLOOKUP(BV$23,$G$18:$R$19,2,FALSE)*(1-$D$12)^($F27-'הנחות עבודה'!$C$5)/$D$11)/$D$11)</f>
        <v>4.3180481311999992E-4</v>
      </c>
      <c r="BW27" s="52">
        <f ca="1">IF(OR($F27&gt;$D$5,$F27&gt;MAX('הנחות עבודה'!$B$69:$B$89)),0,(VLOOKUP($F27,'התפלגות ייצור וסל דלקים'!$B$64:$BV$84,BW$2-$E$2,FALSE))*$D$9*$D$8*(HLOOKUP(BW$23,$G$18:$R$19,2,FALSE)*(1-$D$12)^($F27-'הנחות עבודה'!$C$5)/$D$11)/$D$11)</f>
        <v>0</v>
      </c>
      <c r="BX27" s="52">
        <f ca="1">IF(OR($F27&gt;$D$5,$F27&gt;MAX('הנחות עבודה'!$B$69:$B$89)),0,(VLOOKUP($F27,'התפלגות ייצור וסל דלקים'!$B$64:$BV$84,BX$2-$E$2,FALSE))*$D$9*$D$8*(HLOOKUP(BX$23,$G$18:$R$19,2,FALSE)*(1-$D$12)^($F27-'הנחות עבודה'!$C$5)/$D$11)/$D$11)</f>
        <v>0</v>
      </c>
      <c r="BY27" s="52">
        <f ca="1">IF(OR($F27&gt;$D$5,$F27&gt;MAX('הנחות עבודה'!$B$69:$B$89)),0,(VLOOKUP($F27,'התפלגות ייצור וסל דלקים'!$B$64:$BV$84,BY$2-$E$2,FALSE))*$D$9*$D$8*(HLOOKUP(BY$23,$G$18:$R$19,2,FALSE)*(1-$D$12)^($F27-'הנחות עבודה'!$C$5)/$D$11)/$D$11)</f>
        <v>3.6304470000000006E-3</v>
      </c>
      <c r="BZ27" s="52">
        <f ca="1">IF(OR($F27&gt;$D$5,$F27&gt;MAX('הנחות עבודה'!$B$69:$B$89)),0,(VLOOKUP($F27,'התפלגות ייצור וסל דלקים'!$B$64:$BV$84,BZ$2-$E$2,FALSE))*$D$9*$D$8*(HLOOKUP(BZ$23,$G$18:$R$19,2,FALSE)*(1-$D$12)^($F27-'הנחות עבודה'!$C$5)/$D$11)/$D$11)</f>
        <v>0</v>
      </c>
    </row>
    <row r="28" spans="6:78" ht="15.75">
      <c r="F28" s="10">
        <f t="shared" si="108"/>
        <v>2024</v>
      </c>
      <c r="G28" s="42">
        <f ca="1">IF(OR($F28&gt;$D$5,$F28&gt;MAX('הנחות עבודה'!$B$69:$B$89)),0,(VLOOKUP($F28,'התפלגות ייצור וסל דלקים'!$B$64:$BV$84,G$2-$E$2,FALSE))*$D$9*$D$8*(HLOOKUP(G$23,$G$18:$R$19,2,FALSE)*(1-$D$12)^($F28-'הנחות עבודה'!$C$5)/$D$11)/$D$11)</f>
        <v>0</v>
      </c>
      <c r="H28" s="44">
        <f ca="1">IF(OR($F28&gt;$D$5,$F28&gt;MAX('הנחות עבודה'!$B$69:$B$89)),0,(VLOOKUP($F28,'התפלגות ייצור וסל דלקים'!$B$64:$BV$84,H$2-$E$2,FALSE))*$D$9*$D$8*(HLOOKUP(H$23,$G$18:$R$19,2,FALSE)*(1-$D$12)^($F28-'הנחות עבודה'!$C$5)/$D$11)/$D$11)</f>
        <v>0</v>
      </c>
      <c r="I28" s="44">
        <f ca="1">IF(OR($F28&gt;$D$5,$F28&gt;MAX('הנחות עבודה'!$B$69:$B$89)),0,(VLOOKUP($F28,'התפלגות ייצור וסל דלקים'!$B$64:$BV$84,I$2-$E$2,FALSE))*$D$9*$D$8*(HLOOKUP(I$23,$G$18:$R$19,2,FALSE)*(1-$D$12)^($F28-'הנחות עבודה'!$C$5)/$D$11)/$D$11)</f>
        <v>0</v>
      </c>
      <c r="J28" s="44">
        <f ca="1">IF(OR($F28&gt;$D$5,$F28&gt;MAX('הנחות עבודה'!$B$69:$B$89)),0,(VLOOKUP($F28,'התפלגות ייצור וסל דלקים'!$B$64:$BV$84,J$2-$E$2,FALSE))*$D$9*$D$8*(HLOOKUP(J$23,$G$18:$R$19,2,FALSE)*(1-$D$12)^($F28-'הנחות עבודה'!$C$5)/$D$11)/$D$11)</f>
        <v>0</v>
      </c>
      <c r="K28" s="44">
        <f ca="1">IF(OR($F28&gt;$D$5,$F28&gt;MAX('הנחות עבודה'!$B$69:$B$89)),0,(VLOOKUP($F28,'התפלגות ייצור וסל דלקים'!$B$64:$BV$84,K$2-$E$2,FALSE))*$D$9*$D$8*(HLOOKUP(K$23,$G$18:$R$19,2,FALSE)*(1-$D$12)^($F28-'הנחות עבודה'!$C$5)/$D$11)/$D$11)</f>
        <v>0</v>
      </c>
      <c r="L28" s="44">
        <f ca="1">IF(OR($F28&gt;$D$5,$F28&gt;MAX('הנחות עבודה'!$B$69:$B$89)),0,(VLOOKUP($F28,'התפלגות ייצור וסל דלקים'!$B$64:$BV$84,L$2-$E$2,FALSE))*$D$9*$D$8*(HLOOKUP(L$23,$G$18:$R$19,2,FALSE)*(1-$D$12)^($F28-'הנחות עבודה'!$C$5)/$D$11)/$D$11)</f>
        <v>0</v>
      </c>
      <c r="M28" s="42">
        <f ca="1">IF(OR($F28&gt;$D$5,$F28&gt;MAX('הנחות עבודה'!$B$69:$B$89)),0,(VLOOKUP($F28,'התפלגות ייצור וסל דלקים'!$B$64:$BV$84,M$2-$E$2,FALSE))*$D$9*$D$8*(HLOOKUP(M$23,$G$18:$R$19,2,FALSE)*(1-$D$12)^($F28-'הנחות עבודה'!$C$5)/$D$11)/$D$11)</f>
        <v>2.1124719999999999E-5</v>
      </c>
      <c r="N28" s="42">
        <f ca="1">IF(OR($F28&gt;$D$5,$F28&gt;MAX('הנחות עבודה'!$B$69:$B$89)),0,(VLOOKUP($F28,'התפלגות ייצור וסל דלקים'!$B$64:$BV$84,N$2-$E$2,FALSE))*$D$9*$D$8*(HLOOKUP(N$23,$G$18:$R$19,2,FALSE)*(1-$D$12)^($F28-'הנחות עבודה'!$C$5)/$D$11)/$D$11)</f>
        <v>4.7663137203199997E-4</v>
      </c>
      <c r="O28" s="42">
        <f ca="1">IF(OR($F28&gt;$D$5,$F28&gt;MAX('הנחות עבודה'!$B$69:$B$89)),0,(VLOOKUP($F28,'התפלגות ייצור וסל דלקים'!$B$64:$BV$84,O$2-$E$2,FALSE))*$D$9*$D$8*(HLOOKUP(O$23,$G$18:$R$19,2,FALSE)*(1-$D$12)^($F28-'הנחות עבודה'!$C$5)/$D$11)/$D$11)</f>
        <v>0</v>
      </c>
      <c r="P28" s="42">
        <f ca="1">IF(OR($F28&gt;$D$5,$F28&gt;MAX('הנחות עבודה'!$B$69:$B$89)),0,(VLOOKUP($F28,'התפלגות ייצור וסל דלקים'!$B$64:$BV$84,P$2-$E$2,FALSE))*$D$9*$D$8*(HLOOKUP(P$23,$G$18:$R$19,2,FALSE)*(1-$D$12)^($F28-'הנחות עבודה'!$C$5)/$D$11)/$D$11)</f>
        <v>0</v>
      </c>
      <c r="Q28" s="42">
        <f ca="1">IF(OR($F28&gt;$D$5,$F28&gt;MAX('הנחות עבודה'!$B$69:$B$89)),0,(VLOOKUP($F28,'התפלגות ייצור וסל דלקים'!$B$64:$BV$84,Q$2-$E$2,FALSE))*$D$9*$D$8*(HLOOKUP(Q$23,$G$18:$R$19,2,FALSE)*(1-$D$12)^($F28-'הנחות עבודה'!$C$5)/$D$11)/$D$11)</f>
        <v>3.0815681249999997E-3</v>
      </c>
      <c r="R28" s="42">
        <f ca="1">IF(OR($F28&gt;$D$5,$F28&gt;MAX('הנחות עבודה'!$B$69:$B$89)),0,(VLOOKUP($F28,'התפלגות ייצור וסל דלקים'!$B$64:$BV$84,R$2-$E$2,FALSE))*$D$9*$D$8*(HLOOKUP(R$23,$G$18:$R$19,2,FALSE)*(1-$D$12)^($F28-'הנחות עבודה'!$C$5)/$D$11)/$D$11)</f>
        <v>0</v>
      </c>
      <c r="S28" s="52">
        <f ca="1">IF(OR($F28&gt;$D$5,$F28&gt;MAX('הנחות עבודה'!$B$69:$B$89)),0,(VLOOKUP($F28,'התפלגות ייצור וסל דלקים'!$B$64:$BV$84,S$2-$E$2,FALSE))*$D$9*$D$8*(HLOOKUP(S$23,$G$18:$R$19,2,FALSE)*(1-$D$12)^($F28-'הנחות עבודה'!$C$5)/$D$11)/$D$11)</f>
        <v>0</v>
      </c>
      <c r="T28" s="127">
        <f ca="1">IF(OR($F28&gt;$D$5,$F28&gt;MAX('הנחות עבודה'!$B$69:$B$89)),0,(VLOOKUP($F28,'התפלגות ייצור וסל דלקים'!$B$64:$BV$84,T$2-$E$2,FALSE))*$D$9*$D$8*(HLOOKUP(T$23,$G$18:$R$19,2,FALSE)*(1-$D$12)^($F28-'הנחות עבודה'!$C$5)/$D$11)/$D$11)</f>
        <v>0</v>
      </c>
      <c r="U28" s="127">
        <f ca="1">IF(OR($F28&gt;$D$5,$F28&gt;MAX('הנחות עבודה'!$B$69:$B$89)),0,(VLOOKUP($F28,'התפלגות ייצור וסל דלקים'!$B$64:$BV$84,U$2-$E$2,FALSE))*$D$9*$D$8*(HLOOKUP(U$23,$G$18:$R$19,2,FALSE)*(1-$D$12)^($F28-'הנחות עבודה'!$C$5)/$D$11)/$D$11)</f>
        <v>0</v>
      </c>
      <c r="V28" s="127">
        <f ca="1">IF(OR($F28&gt;$D$5,$F28&gt;MAX('הנחות עבודה'!$B$69:$B$89)),0,(VLOOKUP($F28,'התפלגות ייצור וסל דלקים'!$B$64:$BV$84,V$2-$E$2,FALSE))*$D$9*$D$8*(HLOOKUP(V$23,$G$18:$R$19,2,FALSE)*(1-$D$12)^($F28-'הנחות עבודה'!$C$5)/$D$11)/$D$11)</f>
        <v>0</v>
      </c>
      <c r="W28" s="127">
        <f ca="1">IF(OR($F28&gt;$D$5,$F28&gt;MAX('הנחות עבודה'!$B$69:$B$89)),0,(VLOOKUP($F28,'התפלגות ייצור וסל דלקים'!$B$64:$BV$84,W$2-$E$2,FALSE))*$D$9*$D$8*(HLOOKUP(W$23,$G$18:$R$19,2,FALSE)*(1-$D$12)^($F28-'הנחות עבודה'!$C$5)/$D$11)/$D$11)</f>
        <v>0</v>
      </c>
      <c r="X28" s="127">
        <f ca="1">IF(OR($F28&gt;$D$5,$F28&gt;MAX('הנחות עבודה'!$B$69:$B$89)),0,(VLOOKUP($F28,'התפלגות ייצור וסל דלקים'!$B$64:$BV$84,X$2-$E$2,FALSE))*$D$9*$D$8*(HLOOKUP(X$23,$G$18:$R$19,2,FALSE)*(1-$D$12)^($F28-'הנחות עבודה'!$C$5)/$D$11)/$D$11)</f>
        <v>0</v>
      </c>
      <c r="Y28" s="52">
        <f ca="1">IF(OR($F28&gt;$D$5,$F28&gt;MAX('הנחות עבודה'!$B$69:$B$89)),0,(VLOOKUP($F28,'התפלגות ייצור וסל דלקים'!$B$64:$BV$84,Y$2-$E$2,FALSE))*$D$9*$D$8*(HLOOKUP(Y$23,$G$18:$R$19,2,FALSE)*(1-$D$12)^($F28-'הנחות עבודה'!$C$5)/$D$11)/$D$11)</f>
        <v>2.1124719999999999E-5</v>
      </c>
      <c r="Z28" s="52">
        <f ca="1">IF(OR($F28&gt;$D$5,$F28&gt;MAX('הנחות עבודה'!$B$69:$B$89)),0,(VLOOKUP($F28,'התפלגות ייצור וסל דלקים'!$B$64:$BV$84,Z$2-$E$2,FALSE))*$D$9*$D$8*(HLOOKUP(Z$23,$G$18:$R$19,2,FALSE)*(1-$D$12)^($F28-'הנחות עבודה'!$C$5)/$D$11)/$D$11)</f>
        <v>4.7663137203199997E-4</v>
      </c>
      <c r="AA28" s="52">
        <f ca="1">IF(OR($F28&gt;$D$5,$F28&gt;MAX('הנחות עבודה'!$B$69:$B$89)),0,(VLOOKUP($F28,'התפלגות ייצור וסל דלקים'!$B$64:$BV$84,AA$2-$E$2,FALSE))*$D$9*$D$8*(HLOOKUP(AA$23,$G$18:$R$19,2,FALSE)*(1-$D$12)^($F28-'הנחות עבודה'!$C$5)/$D$11)/$D$11)</f>
        <v>0</v>
      </c>
      <c r="AB28" s="52">
        <f ca="1">IF(OR($F28&gt;$D$5,$F28&gt;MAX('הנחות עבודה'!$B$69:$B$89)),0,(VLOOKUP($F28,'התפלגות ייצור וסל דלקים'!$B$64:$BV$84,AB$2-$E$2,FALSE))*$D$9*$D$8*(HLOOKUP(AB$23,$G$18:$R$19,2,FALSE)*(1-$D$12)^($F28-'הנחות עבודה'!$C$5)/$D$11)/$D$11)</f>
        <v>0</v>
      </c>
      <c r="AC28" s="52">
        <f ca="1">IF(OR($F28&gt;$D$5,$F28&gt;MAX('הנחות עבודה'!$B$69:$B$89)),0,(VLOOKUP($F28,'התפלגות ייצור וסל דלקים'!$B$64:$BV$84,AC$2-$E$2,FALSE))*$D$9*$D$8*(HLOOKUP(AC$23,$G$18:$R$19,2,FALSE)*(1-$D$12)^($F28-'הנחות עבודה'!$C$5)/$D$11)/$D$11)</f>
        <v>3.0815681249999997E-3</v>
      </c>
      <c r="AD28" s="52">
        <f ca="1">IF(OR($F28&gt;$D$5,$F28&gt;MAX('הנחות עבודה'!$B$69:$B$89)),0,(VLOOKUP($F28,'התפלגות ייצור וסל דלקים'!$B$64:$BV$84,AD$2-$E$2,FALSE))*$D$9*$D$8*(HLOOKUP(AD$23,$G$18:$R$19,2,FALSE)*(1-$D$12)^($F28-'הנחות עבודה'!$C$5)/$D$11)/$D$11)</f>
        <v>0</v>
      </c>
      <c r="AE28" s="42">
        <f ca="1">IF(OR($F28&gt;$D$5,$F28&gt;MAX('הנחות עבודה'!$B$69:$B$89)),0,(VLOOKUP($F28,'התפלגות ייצור וסל דלקים'!$B$64:$BV$84,AE$2-$E$2,FALSE))*$D$9*$D$8*(HLOOKUP(AE$23,$G$18:$R$19,2,FALSE)*(1-$D$12)^($F28-'הנחות עבודה'!$C$5)/$D$11)/$D$11)</f>
        <v>0</v>
      </c>
      <c r="AF28" s="44">
        <f ca="1">IF(OR($F28&gt;$D$5,$F28&gt;MAX('הנחות עבודה'!$B$69:$B$89)),0,(VLOOKUP($F28,'התפלגות ייצור וסל דלקים'!$B$64:$BV$84,AF$2-$E$2,FALSE))*$D$9*$D$8*(HLOOKUP(AF$23,$G$18:$R$19,2,FALSE)*(1-$D$12)^($F28-'הנחות עבודה'!$C$5)/$D$11)/$D$11)</f>
        <v>0</v>
      </c>
      <c r="AG28" s="44">
        <f ca="1">IF(OR($F28&gt;$D$5,$F28&gt;MAX('הנחות עבודה'!$B$69:$B$89)),0,(VLOOKUP($F28,'התפלגות ייצור וסל דלקים'!$B$64:$BV$84,AG$2-$E$2,FALSE))*$D$9*$D$8*(HLOOKUP(AG$23,$G$18:$R$19,2,FALSE)*(1-$D$12)^($F28-'הנחות עבודה'!$C$5)/$D$11)/$D$11)</f>
        <v>0</v>
      </c>
      <c r="AH28" s="44">
        <f ca="1">IF(OR($F28&gt;$D$5,$F28&gt;MAX('הנחות עבודה'!$B$69:$B$89)),0,(VLOOKUP($F28,'התפלגות ייצור וסל דלקים'!$B$64:$BV$84,AH$2-$E$2,FALSE))*$D$9*$D$8*(HLOOKUP(AH$23,$G$18:$R$19,2,FALSE)*(1-$D$12)^($F28-'הנחות עבודה'!$C$5)/$D$11)/$D$11)</f>
        <v>0</v>
      </c>
      <c r="AI28" s="44">
        <f ca="1">IF(OR($F28&gt;$D$5,$F28&gt;MAX('הנחות עבודה'!$B$69:$B$89)),0,(VLOOKUP($F28,'התפלגות ייצור וסל דלקים'!$B$64:$BV$84,AI$2-$E$2,FALSE))*$D$9*$D$8*(HLOOKUP(AI$23,$G$18:$R$19,2,FALSE)*(1-$D$12)^($F28-'הנחות עבודה'!$C$5)/$D$11)/$D$11)</f>
        <v>0</v>
      </c>
      <c r="AJ28" s="44">
        <f ca="1">IF(OR($F28&gt;$D$5,$F28&gt;MAX('הנחות עבודה'!$B$69:$B$89)),0,(VLOOKUP($F28,'התפלגות ייצור וסל דלקים'!$B$64:$BV$84,AJ$2-$E$2,FALSE))*$D$9*$D$8*(HLOOKUP(AJ$23,$G$18:$R$19,2,FALSE)*(1-$D$12)^($F28-'הנחות עבודה'!$C$5)/$D$11)/$D$11)</f>
        <v>0</v>
      </c>
      <c r="AK28" s="42">
        <f ca="1">IF(OR($F28&gt;$D$5,$F28&gt;MAX('הנחות עבודה'!$B$69:$B$89)),0,(VLOOKUP($F28,'התפלגות ייצור וסל דלקים'!$B$64:$BV$84,AK$2-$E$2,FALSE))*$D$9*$D$8*(HLOOKUP(AK$23,$G$18:$R$19,2,FALSE)*(1-$D$12)^($F28-'הנחות עבודה'!$C$5)/$D$11)/$D$11)</f>
        <v>2.0620960000000002E-5</v>
      </c>
      <c r="AL28" s="42">
        <f ca="1">IF(OR($F28&gt;$D$5,$F28&gt;MAX('הנחות עבודה'!$B$69:$B$89)),0,(VLOOKUP($F28,'התפלגות ייצור וסל דלקים'!$B$64:$BV$84,AL$2-$E$2,FALSE))*$D$9*$D$8*(HLOOKUP(AL$23,$G$18:$R$19,2,FALSE)*(1-$D$12)^($F28-'הנחות עבודה'!$C$5)/$D$11)/$D$11)</f>
        <v>4.5360738688000012E-4</v>
      </c>
      <c r="AM28" s="42">
        <f ca="1">IF(OR($F28&gt;$D$5,$F28&gt;MAX('הנחות עבודה'!$B$69:$B$89)),0,(VLOOKUP($F28,'התפלגות ייצור וסל דלקים'!$B$64:$BV$84,AM$2-$E$2,FALSE))*$D$9*$D$8*(HLOOKUP(AM$23,$G$18:$R$19,2,FALSE)*(1-$D$12)^($F28-'הנחות עבודה'!$C$5)/$D$11)/$D$11)</f>
        <v>0</v>
      </c>
      <c r="AN28" s="42">
        <f ca="1">IF(OR($F28&gt;$D$5,$F28&gt;MAX('הנחות עבודה'!$B$69:$B$89)),0,(VLOOKUP($F28,'התפלגות ייצור וסל דלקים'!$B$64:$BV$84,AN$2-$E$2,FALSE))*$D$9*$D$8*(HLOOKUP(AN$23,$G$18:$R$19,2,FALSE)*(1-$D$12)^($F28-'הנחות עבודה'!$C$5)/$D$11)/$D$11)</f>
        <v>0</v>
      </c>
      <c r="AO28" s="42">
        <f ca="1">IF(OR($F28&gt;$D$5,$F28&gt;MAX('הנחות עבודה'!$B$69:$B$89)),0,(VLOOKUP($F28,'התפלגות ייצור וסל דלקים'!$B$64:$BV$84,AO$2-$E$2,FALSE))*$D$9*$D$8*(HLOOKUP(AO$23,$G$18:$R$19,2,FALSE)*(1-$D$12)^($F28-'הנחות עבודה'!$C$5)/$D$11)/$D$11)</f>
        <v>3.0743570249999997E-3</v>
      </c>
      <c r="AP28" s="42">
        <f ca="1">IF(OR($F28&gt;$D$5,$F28&gt;MAX('הנחות עבודה'!$B$69:$B$89)),0,(VLOOKUP($F28,'התפלגות ייצור וסל דלקים'!$B$64:$BV$84,AP$2-$E$2,FALSE))*$D$9*$D$8*(HLOOKUP(AP$23,$G$18:$R$19,2,FALSE)*(1-$D$12)^($F28-'הנחות עבודה'!$C$5)/$D$11)/$D$11)</f>
        <v>0</v>
      </c>
      <c r="AQ28" s="52">
        <f ca="1">IF(OR($F28&gt;$D$5,$F28&gt;MAX('הנחות עבודה'!$B$69:$B$89)),0,(VLOOKUP($F28,'התפלגות ייצור וסל דלקים'!$B$64:$BV$84,AQ$2-$E$2,FALSE))*$D$9*$D$8*(HLOOKUP(AQ$23,$G$18:$R$19,2,FALSE)*(1-$D$12)^($F28-'הנחות עבודה'!$C$5)/$D$11)/$D$11)</f>
        <v>0</v>
      </c>
      <c r="AR28" s="127">
        <f ca="1">IF(OR($F28&gt;$D$5,$F28&gt;MAX('הנחות עבודה'!$B$69:$B$89)),0,(VLOOKUP($F28,'התפלגות ייצור וסל דלקים'!$B$64:$BV$84,AR$2-$E$2,FALSE))*$D$9*$D$8*(HLOOKUP(AR$23,$G$18:$R$19,2,FALSE)*(1-$D$12)^($F28-'הנחות עבודה'!$C$5)/$D$11)/$D$11)</f>
        <v>0</v>
      </c>
      <c r="AS28" s="127">
        <f ca="1">IF(OR($F28&gt;$D$5,$F28&gt;MAX('הנחות עבודה'!$B$69:$B$89)),0,(VLOOKUP($F28,'התפלגות ייצור וסל דלקים'!$B$64:$BV$84,AS$2-$E$2,FALSE))*$D$9*$D$8*(HLOOKUP(AS$23,$G$18:$R$19,2,FALSE)*(1-$D$12)^($F28-'הנחות עבודה'!$C$5)/$D$11)/$D$11)</f>
        <v>0</v>
      </c>
      <c r="AT28" s="127">
        <f ca="1">IF(OR($F28&gt;$D$5,$F28&gt;MAX('הנחות עבודה'!$B$69:$B$89)),0,(VLOOKUP($F28,'התפלגות ייצור וסל דלקים'!$B$64:$BV$84,AT$2-$E$2,FALSE))*$D$9*$D$8*(HLOOKUP(AT$23,$G$18:$R$19,2,FALSE)*(1-$D$12)^($F28-'הנחות עבודה'!$C$5)/$D$11)/$D$11)</f>
        <v>0</v>
      </c>
      <c r="AU28" s="127">
        <f ca="1">IF(OR($F28&gt;$D$5,$F28&gt;MAX('הנחות עבודה'!$B$69:$B$89)),0,(VLOOKUP($F28,'התפלגות ייצור וסל דלקים'!$B$64:$BV$84,AU$2-$E$2,FALSE))*$D$9*$D$8*(HLOOKUP(AU$23,$G$18:$R$19,2,FALSE)*(1-$D$12)^($F28-'הנחות עבודה'!$C$5)/$D$11)/$D$11)</f>
        <v>0</v>
      </c>
      <c r="AV28" s="127">
        <f ca="1">IF(OR($F28&gt;$D$5,$F28&gt;MAX('הנחות עבודה'!$B$69:$B$89)),0,(VLOOKUP($F28,'התפלגות ייצור וסל דלקים'!$B$64:$BV$84,AV$2-$E$2,FALSE))*$D$9*$D$8*(HLOOKUP(AV$23,$G$18:$R$19,2,FALSE)*(1-$D$12)^($F28-'הנחות עבודה'!$C$5)/$D$11)/$D$11)</f>
        <v>0</v>
      </c>
      <c r="AW28" s="52">
        <f ca="1">IF(OR($F28&gt;$D$5,$F28&gt;MAX('הנחות עבודה'!$B$69:$B$89)),0,(VLOOKUP($F28,'התפלגות ייצור וסל דלקים'!$B$64:$BV$84,AW$2-$E$2,FALSE))*$D$9*$D$8*(HLOOKUP(AW$23,$G$18:$R$19,2,FALSE)*(1-$D$12)^($F28-'הנחות עבודה'!$C$5)/$D$11)/$D$11)</f>
        <v>2.0620960000000002E-5</v>
      </c>
      <c r="AX28" s="52">
        <f ca="1">IF(OR($F28&gt;$D$5,$F28&gt;MAX('הנחות עבודה'!$B$69:$B$89)),0,(VLOOKUP($F28,'התפלגות ייצור וסל דלקים'!$B$64:$BV$84,AX$2-$E$2,FALSE))*$D$9*$D$8*(HLOOKUP(AX$23,$G$18:$R$19,2,FALSE)*(1-$D$12)^($F28-'הנחות עבודה'!$C$5)/$D$11)/$D$11)</f>
        <v>4.5360738688000012E-4</v>
      </c>
      <c r="AY28" s="52">
        <f ca="1">IF(OR($F28&gt;$D$5,$F28&gt;MAX('הנחות עבודה'!$B$69:$B$89)),0,(VLOOKUP($F28,'התפלגות ייצור וסל דלקים'!$B$64:$BV$84,AY$2-$E$2,FALSE))*$D$9*$D$8*(HLOOKUP(AY$23,$G$18:$R$19,2,FALSE)*(1-$D$12)^($F28-'הנחות עבודה'!$C$5)/$D$11)/$D$11)</f>
        <v>0</v>
      </c>
      <c r="AZ28" s="52">
        <f ca="1">IF(OR($F28&gt;$D$5,$F28&gt;MAX('הנחות עבודה'!$B$69:$B$89)),0,(VLOOKUP($F28,'התפלגות ייצור וסל דלקים'!$B$64:$BV$84,AZ$2-$E$2,FALSE))*$D$9*$D$8*(HLOOKUP(AZ$23,$G$18:$R$19,2,FALSE)*(1-$D$12)^($F28-'הנחות עבודה'!$C$5)/$D$11)/$D$11)</f>
        <v>0</v>
      </c>
      <c r="BA28" s="52">
        <f ca="1">IF(OR($F28&gt;$D$5,$F28&gt;MAX('הנחות עבודה'!$B$69:$B$89)),0,(VLOOKUP($F28,'התפלגות ייצור וסל דלקים'!$B$64:$BV$84,BA$2-$E$2,FALSE))*$D$9*$D$8*(HLOOKUP(BA$23,$G$18:$R$19,2,FALSE)*(1-$D$12)^($F28-'הנחות עבודה'!$C$5)/$D$11)/$D$11)</f>
        <v>3.0743570249999997E-3</v>
      </c>
      <c r="BB28" s="52">
        <f ca="1">IF(OR($F28&gt;$D$5,$F28&gt;MAX('הנחות עבודה'!$B$69:$B$89)),0,(VLOOKUP($F28,'התפלגות ייצור וסל דלקים'!$B$64:$BV$84,BB$2-$E$2,FALSE))*$D$9*$D$8*(HLOOKUP(BB$23,$G$18:$R$19,2,FALSE)*(1-$D$12)^($F28-'הנחות עבודה'!$C$5)/$D$11)/$D$11)</f>
        <v>0</v>
      </c>
      <c r="BC28" s="42">
        <f ca="1">IF(OR($F28&gt;$D$5,$F28&gt;MAX('הנחות עבודה'!$B$69:$B$89)),0,(VLOOKUP($F28,'התפלגות ייצור וסל דלקים'!$B$64:$BV$84,BC$2-$E$2,FALSE))*$D$9*$D$8*(HLOOKUP(BC$23,$G$18:$R$19,2,FALSE)*(1-$D$12)^($F28-'הנחות עבודה'!$C$5)/$D$11)/$D$11)</f>
        <v>0</v>
      </c>
      <c r="BD28" s="44">
        <f ca="1">IF(OR($F28&gt;$D$5,$F28&gt;MAX('הנחות עבודה'!$B$69:$B$89)),0,(VLOOKUP($F28,'התפלגות ייצור וסל דלקים'!$B$64:$BV$84,BD$2-$E$2,FALSE))*$D$9*$D$8*(HLOOKUP(BD$23,$G$18:$R$19,2,FALSE)*(1-$D$12)^($F28-'הנחות עבודה'!$C$5)/$D$11)/$D$11)</f>
        <v>0</v>
      </c>
      <c r="BE28" s="44">
        <f ca="1">IF(OR($F28&gt;$D$5,$F28&gt;MAX('הנחות עבודה'!$B$69:$B$89)),0,(VLOOKUP($F28,'התפלגות ייצור וסל דלקים'!$B$64:$BV$84,BE$2-$E$2,FALSE))*$D$9*$D$8*(HLOOKUP(BE$23,$G$18:$R$19,2,FALSE)*(1-$D$12)^($F28-'הנחות עבודה'!$C$5)/$D$11)/$D$11)</f>
        <v>0</v>
      </c>
      <c r="BF28" s="44">
        <f ca="1">IF(OR($F28&gt;$D$5,$F28&gt;MAX('הנחות עבודה'!$B$69:$B$89)),0,(VLOOKUP($F28,'התפלגות ייצור וסל דלקים'!$B$64:$BV$84,BF$2-$E$2,FALSE))*$D$9*$D$8*(HLOOKUP(BF$23,$G$18:$R$19,2,FALSE)*(1-$D$12)^($F28-'הנחות עבודה'!$C$5)/$D$11)/$D$11)</f>
        <v>0</v>
      </c>
      <c r="BG28" s="44">
        <f ca="1">IF(OR($F28&gt;$D$5,$F28&gt;MAX('הנחות עבודה'!$B$69:$B$89)),0,(VLOOKUP($F28,'התפלגות ייצור וסל דלקים'!$B$64:$BV$84,BG$2-$E$2,FALSE))*$D$9*$D$8*(HLOOKUP(BG$23,$G$18:$R$19,2,FALSE)*(1-$D$12)^($F28-'הנחות עבודה'!$C$5)/$D$11)/$D$11)</f>
        <v>0</v>
      </c>
      <c r="BH28" s="44">
        <f ca="1">IF(OR($F28&gt;$D$5,$F28&gt;MAX('הנחות עבודה'!$B$69:$B$89)),0,(VLOOKUP($F28,'התפלגות ייצור וסל דלקים'!$B$64:$BV$84,BH$2-$E$2,FALSE))*$D$9*$D$8*(HLOOKUP(BH$23,$G$18:$R$19,2,FALSE)*(1-$D$12)^($F28-'הנחות עבודה'!$C$5)/$D$11)/$D$11)</f>
        <v>0</v>
      </c>
      <c r="BI28" s="42">
        <f ca="1">IF(OR($F28&gt;$D$5,$F28&gt;MAX('הנחות עבודה'!$B$69:$B$89)),0,(VLOOKUP($F28,'התפלגות ייצור וסל דלקים'!$B$64:$BV$84,BI$2-$E$2,FALSE))*$D$9*$D$8*(HLOOKUP(BI$23,$G$18:$R$19,2,FALSE)*(1-$D$12)^($F28-'הנחות עבודה'!$C$5)/$D$11)/$D$11)</f>
        <v>2.0511599999999999E-5</v>
      </c>
      <c r="BJ28" s="42">
        <f ca="1">IF(OR($F28&gt;$D$5,$F28&gt;MAX('הנחות עבודה'!$B$69:$B$89)),0,(VLOOKUP($F28,'התפלגות ייצור וסל דלקים'!$B$64:$BV$84,BJ$2-$E$2,FALSE))*$D$9*$D$8*(HLOOKUP(BJ$23,$G$18:$R$19,2,FALSE)*(1-$D$12)^($F28-'הנחות עבודה'!$C$5)/$D$11)/$D$11)</f>
        <v>4.4083082624000005E-4</v>
      </c>
      <c r="BK28" s="42">
        <f ca="1">IF(OR($F28&gt;$D$5,$F28&gt;MAX('הנחות עבודה'!$B$69:$B$89)),0,(VLOOKUP($F28,'התפלגות ייצור וסל דלקים'!$B$64:$BV$84,BK$2-$E$2,FALSE))*$D$9*$D$8*(HLOOKUP(BK$23,$G$18:$R$19,2,FALSE)*(1-$D$12)^($F28-'הנחות עבודה'!$C$5)/$D$11)/$D$11)</f>
        <v>0</v>
      </c>
      <c r="BL28" s="42">
        <f ca="1">IF(OR($F28&gt;$D$5,$F28&gt;MAX('הנחות עבודה'!$B$69:$B$89)),0,(VLOOKUP($F28,'התפלגות ייצור וסל דלקים'!$B$64:$BV$84,BL$2-$E$2,FALSE))*$D$9*$D$8*(HLOOKUP(BL$23,$G$18:$R$19,2,FALSE)*(1-$D$12)^($F28-'הנחות עבודה'!$C$5)/$D$11)/$D$11)</f>
        <v>0</v>
      </c>
      <c r="BM28" s="42">
        <f ca="1">IF(OR($F28&gt;$D$5,$F28&gt;MAX('הנחות עבודה'!$B$69:$B$89)),0,(VLOOKUP($F28,'התפלגות ייצור וסל דלקים'!$B$64:$BV$84,BM$2-$E$2,FALSE))*$D$9*$D$8*(HLOOKUP(BM$23,$G$18:$R$19,2,FALSE)*(1-$D$12)^($F28-'הנחות עבודה'!$C$5)/$D$11)/$D$11)</f>
        <v>3.07277355E-3</v>
      </c>
      <c r="BN28" s="42">
        <f ca="1">IF(OR($F28&gt;$D$5,$F28&gt;MAX('הנחות עבודה'!$B$69:$B$89)),0,(VLOOKUP($F28,'התפלגות ייצור וסל דלקים'!$B$64:$BV$84,BN$2-$E$2,FALSE))*$D$9*$D$8*(HLOOKUP(BN$23,$G$18:$R$19,2,FALSE)*(1-$D$12)^($F28-'הנחות עבודה'!$C$5)/$D$11)/$D$11)</f>
        <v>0</v>
      </c>
      <c r="BO28" s="52">
        <f ca="1">IF(OR($F28&gt;$D$5,$F28&gt;MAX('הנחות עבודה'!$B$69:$B$89)),0,(VLOOKUP($F28,'התפלגות ייצור וסל דלקים'!$B$64:$BV$84,BO$2-$E$2,FALSE))*$D$9*$D$8*(HLOOKUP(BO$23,$G$18:$R$19,2,FALSE)*(1-$D$12)^($F28-'הנחות עבודה'!$C$5)/$D$11)/$D$11)</f>
        <v>0</v>
      </c>
      <c r="BP28" s="127">
        <f ca="1">IF(OR($F28&gt;$D$5,$F28&gt;MAX('הנחות עבודה'!$B$69:$B$89)),0,(VLOOKUP($F28,'התפלגות ייצור וסל דלקים'!$B$64:$BV$84,BP$2-$E$2,FALSE))*$D$9*$D$8*(HLOOKUP(BP$23,$G$18:$R$19,2,FALSE)*(1-$D$12)^($F28-'הנחות עבודה'!$C$5)/$D$11)/$D$11)</f>
        <v>0</v>
      </c>
      <c r="BQ28" s="127">
        <f ca="1">IF(OR($F28&gt;$D$5,$F28&gt;MAX('הנחות עבודה'!$B$69:$B$89)),0,(VLOOKUP($F28,'התפלגות ייצור וסל דלקים'!$B$64:$BV$84,BQ$2-$E$2,FALSE))*$D$9*$D$8*(HLOOKUP(BQ$23,$G$18:$R$19,2,FALSE)*(1-$D$12)^($F28-'הנחות עבודה'!$C$5)/$D$11)/$D$11)</f>
        <v>0</v>
      </c>
      <c r="BR28" s="127">
        <f ca="1">IF(OR($F28&gt;$D$5,$F28&gt;MAX('הנחות עבודה'!$B$69:$B$89)),0,(VLOOKUP($F28,'התפלגות ייצור וסל דלקים'!$B$64:$BV$84,BR$2-$E$2,FALSE))*$D$9*$D$8*(HLOOKUP(BR$23,$G$18:$R$19,2,FALSE)*(1-$D$12)^($F28-'הנחות עבודה'!$C$5)/$D$11)/$D$11)</f>
        <v>0</v>
      </c>
      <c r="BS28" s="127">
        <f ca="1">IF(OR($F28&gt;$D$5,$F28&gt;MAX('הנחות עבודה'!$B$69:$B$89)),0,(VLOOKUP($F28,'התפלגות ייצור וסל דלקים'!$B$64:$BV$84,BS$2-$E$2,FALSE))*$D$9*$D$8*(HLOOKUP(BS$23,$G$18:$R$19,2,FALSE)*(1-$D$12)^($F28-'הנחות עבודה'!$C$5)/$D$11)/$D$11)</f>
        <v>0</v>
      </c>
      <c r="BT28" s="127">
        <f ca="1">IF(OR($F28&gt;$D$5,$F28&gt;MAX('הנחות עבודה'!$B$69:$B$89)),0,(VLOOKUP($F28,'התפלגות ייצור וסל דלקים'!$B$64:$BV$84,BT$2-$E$2,FALSE))*$D$9*$D$8*(HLOOKUP(BT$23,$G$18:$R$19,2,FALSE)*(1-$D$12)^($F28-'הנחות עבודה'!$C$5)/$D$11)/$D$11)</f>
        <v>0</v>
      </c>
      <c r="BU28" s="52">
        <f ca="1">IF(OR($F28&gt;$D$5,$F28&gt;MAX('הנחות עבודה'!$B$69:$B$89)),0,(VLOOKUP($F28,'התפלגות ייצור וסל דלקים'!$B$64:$BV$84,BU$2-$E$2,FALSE))*$D$9*$D$8*(HLOOKUP(BU$23,$G$18:$R$19,2,FALSE)*(1-$D$12)^($F28-'הנחות עבודה'!$C$5)/$D$11)/$D$11)</f>
        <v>2.0511599999999999E-5</v>
      </c>
      <c r="BV28" s="52">
        <f ca="1">IF(OR($F28&gt;$D$5,$F28&gt;MAX('הנחות עבודה'!$B$69:$B$89)),0,(VLOOKUP($F28,'התפלגות ייצור וסל דלקים'!$B$64:$BV$84,BV$2-$E$2,FALSE))*$D$9*$D$8*(HLOOKUP(BV$23,$G$18:$R$19,2,FALSE)*(1-$D$12)^($F28-'הנחות עבודה'!$C$5)/$D$11)/$D$11)</f>
        <v>4.4083082624000005E-4</v>
      </c>
      <c r="BW28" s="52">
        <f ca="1">IF(OR($F28&gt;$D$5,$F28&gt;MAX('הנחות עבודה'!$B$69:$B$89)),0,(VLOOKUP($F28,'התפלגות ייצור וסל דלקים'!$B$64:$BV$84,BW$2-$E$2,FALSE))*$D$9*$D$8*(HLOOKUP(BW$23,$G$18:$R$19,2,FALSE)*(1-$D$12)^($F28-'הנחות עבודה'!$C$5)/$D$11)/$D$11)</f>
        <v>0</v>
      </c>
      <c r="BX28" s="52">
        <f ca="1">IF(OR($F28&gt;$D$5,$F28&gt;MAX('הנחות עבודה'!$B$69:$B$89)),0,(VLOOKUP($F28,'התפלגות ייצור וסל דלקים'!$B$64:$BV$84,BX$2-$E$2,FALSE))*$D$9*$D$8*(HLOOKUP(BX$23,$G$18:$R$19,2,FALSE)*(1-$D$12)^($F28-'הנחות עבודה'!$C$5)/$D$11)/$D$11)</f>
        <v>0</v>
      </c>
      <c r="BY28" s="52">
        <f ca="1">IF(OR($F28&gt;$D$5,$F28&gt;MAX('הנחות עבודה'!$B$69:$B$89)),0,(VLOOKUP($F28,'התפלגות ייצור וסל דלקים'!$B$64:$BV$84,BY$2-$E$2,FALSE))*$D$9*$D$8*(HLOOKUP(BY$23,$G$18:$R$19,2,FALSE)*(1-$D$12)^($F28-'הנחות עבודה'!$C$5)/$D$11)/$D$11)</f>
        <v>3.07277355E-3</v>
      </c>
      <c r="BZ28" s="52">
        <f ca="1">IF(OR($F28&gt;$D$5,$F28&gt;MAX('הנחות עבודה'!$B$69:$B$89)),0,(VLOOKUP($F28,'התפלגות ייצור וסל דלקים'!$B$64:$BV$84,BZ$2-$E$2,FALSE))*$D$9*$D$8*(HLOOKUP(BZ$23,$G$18:$R$19,2,FALSE)*(1-$D$12)^($F28-'הנחות עבודה'!$C$5)/$D$11)/$D$11)</f>
        <v>0</v>
      </c>
    </row>
    <row r="29" spans="6:78" ht="15.75">
      <c r="F29" s="10">
        <f t="shared" si="108"/>
        <v>2025</v>
      </c>
      <c r="G29" s="42">
        <f ca="1">IF(OR($F29&gt;$D$5,$F29&gt;MAX('הנחות עבודה'!$B$69:$B$89)),0,(VLOOKUP($F29,'התפלגות ייצור וסל דלקים'!$B$64:$BV$84,G$2-$E$2,FALSE))*$D$9*$D$8*(HLOOKUP(G$23,$G$18:$R$19,2,FALSE)*(1-$D$12)^($F29-'הנחות עבודה'!$C$5)/$D$11)/$D$11)</f>
        <v>0</v>
      </c>
      <c r="H29" s="44">
        <f ca="1">IF(OR($F29&gt;$D$5,$F29&gt;MAX('הנחות עבודה'!$B$69:$B$89)),0,(VLOOKUP($F29,'התפלגות ייצור וסל דלקים'!$B$64:$BV$84,H$2-$E$2,FALSE))*$D$9*$D$8*(HLOOKUP(H$23,$G$18:$R$19,2,FALSE)*(1-$D$12)^($F29-'הנחות עבודה'!$C$5)/$D$11)/$D$11)</f>
        <v>0</v>
      </c>
      <c r="I29" s="44">
        <f ca="1">IF(OR($F29&gt;$D$5,$F29&gt;MAX('הנחות עבודה'!$B$69:$B$89)),0,(VLOOKUP($F29,'התפלגות ייצור וסל דלקים'!$B$64:$BV$84,I$2-$E$2,FALSE))*$D$9*$D$8*(HLOOKUP(I$23,$G$18:$R$19,2,FALSE)*(1-$D$12)^($F29-'הנחות עבודה'!$C$5)/$D$11)/$D$11)</f>
        <v>0</v>
      </c>
      <c r="J29" s="44">
        <f ca="1">IF(OR($F29&gt;$D$5,$F29&gt;MAX('הנחות עבודה'!$B$69:$B$89)),0,(VLOOKUP($F29,'התפלגות ייצור וסל דלקים'!$B$64:$BV$84,J$2-$E$2,FALSE))*$D$9*$D$8*(HLOOKUP(J$23,$G$18:$R$19,2,FALSE)*(1-$D$12)^($F29-'הנחות עבודה'!$C$5)/$D$11)/$D$11)</f>
        <v>0</v>
      </c>
      <c r="K29" s="44">
        <f ca="1">IF(OR($F29&gt;$D$5,$F29&gt;MAX('הנחות עבודה'!$B$69:$B$89)),0,(VLOOKUP($F29,'התפלגות ייצור וסל דלקים'!$B$64:$BV$84,K$2-$E$2,FALSE))*$D$9*$D$8*(HLOOKUP(K$23,$G$18:$R$19,2,FALSE)*(1-$D$12)^($F29-'הנחות עבודה'!$C$5)/$D$11)/$D$11)</f>
        <v>0</v>
      </c>
      <c r="L29" s="44">
        <f ca="1">IF(OR($F29&gt;$D$5,$F29&gt;MAX('הנחות עבודה'!$B$69:$B$89)),0,(VLOOKUP($F29,'התפלגות ייצור וסל דלקים'!$B$64:$BV$84,L$2-$E$2,FALSE))*$D$9*$D$8*(HLOOKUP(L$23,$G$18:$R$19,2,FALSE)*(1-$D$12)^($F29-'הנחות עבודה'!$C$5)/$D$11)/$D$11)</f>
        <v>0</v>
      </c>
      <c r="M29" s="42">
        <f ca="1">IF(OR($F29&gt;$D$5,$F29&gt;MAX('הנחות עבודה'!$B$69:$B$89)),0,(VLOOKUP($F29,'התפלגות ייצור וסל דלקים'!$B$64:$BV$84,M$2-$E$2,FALSE))*$D$9*$D$8*(HLOOKUP(M$23,$G$18:$R$19,2,FALSE)*(1-$D$12)^($F29-'הנחות עבודה'!$C$5)/$D$11)/$D$11)</f>
        <v>7.3991920000000014E-5</v>
      </c>
      <c r="N29" s="42">
        <f ca="1">IF(OR($F29&gt;$D$5,$F29&gt;MAX('הנחות עבודה'!$B$69:$B$89)),0,(VLOOKUP($F29,'התפלגות ייצור וסל דלקים'!$B$64:$BV$84,N$2-$E$2,FALSE))*$D$9*$D$8*(HLOOKUP(N$23,$G$18:$R$19,2,FALSE)*(1-$D$12)^($F29-'הנחות עבודה'!$C$5)/$D$11)/$D$11)</f>
        <v>4.9135594688000004E-4</v>
      </c>
      <c r="O29" s="42">
        <f ca="1">IF(OR($F29&gt;$D$5,$F29&gt;MAX('הנחות עבודה'!$B$69:$B$89)),0,(VLOOKUP($F29,'התפלגות ייצור וסל דלקים'!$B$64:$BV$84,O$2-$E$2,FALSE))*$D$9*$D$8*(HLOOKUP(O$23,$G$18:$R$19,2,FALSE)*(1-$D$12)^($F29-'הנחות עבודה'!$C$5)/$D$11)/$D$11)</f>
        <v>0</v>
      </c>
      <c r="P29" s="42">
        <f ca="1">IF(OR($F29&gt;$D$5,$F29&gt;MAX('הנחות עבודה'!$B$69:$B$89)),0,(VLOOKUP($F29,'התפלגות ייצור וסל דלקים'!$B$64:$BV$84,P$2-$E$2,FALSE))*$D$9*$D$8*(HLOOKUP(P$23,$G$18:$R$19,2,FALSE)*(1-$D$12)^($F29-'הנחות עבודה'!$C$5)/$D$11)/$D$11)</f>
        <v>0</v>
      </c>
      <c r="Q29" s="42">
        <f ca="1">IF(OR($F29&gt;$D$5,$F29&gt;MAX('הנחות עבודה'!$B$69:$B$89)),0,(VLOOKUP($F29,'התפלגות ייצור וסל דלקים'!$B$64:$BV$84,Q$2-$E$2,FALSE))*$D$9*$D$8*(HLOOKUP(Q$23,$G$18:$R$19,2,FALSE)*(1-$D$12)^($F29-'הנחות עבודה'!$C$5)/$D$11)/$D$11)</f>
        <v>8.9333144999999986E-4</v>
      </c>
      <c r="R29" s="42">
        <f ca="1">IF(OR($F29&gt;$D$5,$F29&gt;MAX('הנחות עבודה'!$B$69:$B$89)),0,(VLOOKUP($F29,'התפלגות ייצור וסל דלקים'!$B$64:$BV$84,R$2-$E$2,FALSE))*$D$9*$D$8*(HLOOKUP(R$23,$G$18:$R$19,2,FALSE)*(1-$D$12)^($F29-'הנחות עבודה'!$C$5)/$D$11)/$D$11)</f>
        <v>0</v>
      </c>
      <c r="S29" s="52">
        <f ca="1">IF(OR($F29&gt;$D$5,$F29&gt;MAX('הנחות עבודה'!$B$69:$B$89)),0,(VLOOKUP($F29,'התפלגות ייצור וסל דלקים'!$B$64:$BV$84,S$2-$E$2,FALSE))*$D$9*$D$8*(HLOOKUP(S$23,$G$18:$R$19,2,FALSE)*(1-$D$12)^($F29-'הנחות עבודה'!$C$5)/$D$11)/$D$11)</f>
        <v>0</v>
      </c>
      <c r="T29" s="127">
        <f ca="1">IF(OR($F29&gt;$D$5,$F29&gt;MAX('הנחות עבודה'!$B$69:$B$89)),0,(VLOOKUP($F29,'התפלגות ייצור וסל דלקים'!$B$64:$BV$84,T$2-$E$2,FALSE))*$D$9*$D$8*(HLOOKUP(T$23,$G$18:$R$19,2,FALSE)*(1-$D$12)^($F29-'הנחות עבודה'!$C$5)/$D$11)/$D$11)</f>
        <v>0</v>
      </c>
      <c r="U29" s="127">
        <f ca="1">IF(OR($F29&gt;$D$5,$F29&gt;MAX('הנחות עבודה'!$B$69:$B$89)),0,(VLOOKUP($F29,'התפלגות ייצור וסל דלקים'!$B$64:$BV$84,U$2-$E$2,FALSE))*$D$9*$D$8*(HLOOKUP(U$23,$G$18:$R$19,2,FALSE)*(1-$D$12)^($F29-'הנחות עבודה'!$C$5)/$D$11)/$D$11)</f>
        <v>0</v>
      </c>
      <c r="V29" s="127">
        <f ca="1">IF(OR($F29&gt;$D$5,$F29&gt;MAX('הנחות עבודה'!$B$69:$B$89)),0,(VLOOKUP($F29,'התפלגות ייצור וסל דלקים'!$B$64:$BV$84,V$2-$E$2,FALSE))*$D$9*$D$8*(HLOOKUP(V$23,$G$18:$R$19,2,FALSE)*(1-$D$12)^($F29-'הנחות עבודה'!$C$5)/$D$11)/$D$11)</f>
        <v>0</v>
      </c>
      <c r="W29" s="127">
        <f ca="1">IF(OR($F29&gt;$D$5,$F29&gt;MAX('הנחות עבודה'!$B$69:$B$89)),0,(VLOOKUP($F29,'התפלגות ייצור וסל דלקים'!$B$64:$BV$84,W$2-$E$2,FALSE))*$D$9*$D$8*(HLOOKUP(W$23,$G$18:$R$19,2,FALSE)*(1-$D$12)^($F29-'הנחות עבודה'!$C$5)/$D$11)/$D$11)</f>
        <v>0</v>
      </c>
      <c r="X29" s="127">
        <f ca="1">IF(OR($F29&gt;$D$5,$F29&gt;MAX('הנחות עבודה'!$B$69:$B$89)),0,(VLOOKUP($F29,'התפלגות ייצור וסל דלקים'!$B$64:$BV$84,X$2-$E$2,FALSE))*$D$9*$D$8*(HLOOKUP(X$23,$G$18:$R$19,2,FALSE)*(1-$D$12)^($F29-'הנחות עבודה'!$C$5)/$D$11)/$D$11)</f>
        <v>0</v>
      </c>
      <c r="Y29" s="52">
        <f ca="1">IF(OR($F29&gt;$D$5,$F29&gt;MAX('הנחות עבודה'!$B$69:$B$89)),0,(VLOOKUP($F29,'התפלגות ייצור וסל דלקים'!$B$64:$BV$84,Y$2-$E$2,FALSE))*$D$9*$D$8*(HLOOKUP(Y$23,$G$18:$R$19,2,FALSE)*(1-$D$12)^($F29-'הנחות עבודה'!$C$5)/$D$11)/$D$11)</f>
        <v>7.3991920000000014E-5</v>
      </c>
      <c r="Z29" s="52">
        <f ca="1">IF(OR($F29&gt;$D$5,$F29&gt;MAX('הנחות עבודה'!$B$69:$B$89)),0,(VLOOKUP($F29,'התפלגות ייצור וסל דלקים'!$B$64:$BV$84,Z$2-$E$2,FALSE))*$D$9*$D$8*(HLOOKUP(Z$23,$G$18:$R$19,2,FALSE)*(1-$D$12)^($F29-'הנחות עבודה'!$C$5)/$D$11)/$D$11)</f>
        <v>4.9135594688000004E-4</v>
      </c>
      <c r="AA29" s="52">
        <f ca="1">IF(OR($F29&gt;$D$5,$F29&gt;MAX('הנחות עבודה'!$B$69:$B$89)),0,(VLOOKUP($F29,'התפלגות ייצור וסל דלקים'!$B$64:$BV$84,AA$2-$E$2,FALSE))*$D$9*$D$8*(HLOOKUP(AA$23,$G$18:$R$19,2,FALSE)*(1-$D$12)^($F29-'הנחות עבודה'!$C$5)/$D$11)/$D$11)</f>
        <v>0</v>
      </c>
      <c r="AB29" s="52">
        <f ca="1">IF(OR($F29&gt;$D$5,$F29&gt;MAX('הנחות עבודה'!$B$69:$B$89)),0,(VLOOKUP($F29,'התפלגות ייצור וסל דלקים'!$B$64:$BV$84,AB$2-$E$2,FALSE))*$D$9*$D$8*(HLOOKUP(AB$23,$G$18:$R$19,2,FALSE)*(1-$D$12)^($F29-'הנחות עבודה'!$C$5)/$D$11)/$D$11)</f>
        <v>0</v>
      </c>
      <c r="AC29" s="52">
        <f ca="1">IF(OR($F29&gt;$D$5,$F29&gt;MAX('הנחות עבודה'!$B$69:$B$89)),0,(VLOOKUP($F29,'התפלגות ייצור וסל דלקים'!$B$64:$BV$84,AC$2-$E$2,FALSE))*$D$9*$D$8*(HLOOKUP(AC$23,$G$18:$R$19,2,FALSE)*(1-$D$12)^($F29-'הנחות עבודה'!$C$5)/$D$11)/$D$11)</f>
        <v>8.9333144999999986E-4</v>
      </c>
      <c r="AD29" s="52">
        <f ca="1">IF(OR($F29&gt;$D$5,$F29&gt;MAX('הנחות עבודה'!$B$69:$B$89)),0,(VLOOKUP($F29,'התפלגות ייצור וסל דלקים'!$B$64:$BV$84,AD$2-$E$2,FALSE))*$D$9*$D$8*(HLOOKUP(AD$23,$G$18:$R$19,2,FALSE)*(1-$D$12)^($F29-'הנחות עבודה'!$C$5)/$D$11)/$D$11)</f>
        <v>0</v>
      </c>
      <c r="AE29" s="42">
        <f ca="1">IF(OR($F29&gt;$D$5,$F29&gt;MAX('הנחות עבודה'!$B$69:$B$89)),0,(VLOOKUP($F29,'התפלגות ייצור וסל דלקים'!$B$64:$BV$84,AE$2-$E$2,FALSE))*$D$9*$D$8*(HLOOKUP(AE$23,$G$18:$R$19,2,FALSE)*(1-$D$12)^($F29-'הנחות עבודה'!$C$5)/$D$11)/$D$11)</f>
        <v>0</v>
      </c>
      <c r="AF29" s="44">
        <f ca="1">IF(OR($F29&gt;$D$5,$F29&gt;MAX('הנחות עבודה'!$B$69:$B$89)),0,(VLOOKUP($F29,'התפלגות ייצור וסל דלקים'!$B$64:$BV$84,AF$2-$E$2,FALSE))*$D$9*$D$8*(HLOOKUP(AF$23,$G$18:$R$19,2,FALSE)*(1-$D$12)^($F29-'הנחות עבודה'!$C$5)/$D$11)/$D$11)</f>
        <v>0</v>
      </c>
      <c r="AG29" s="44">
        <f ca="1">IF(OR($F29&gt;$D$5,$F29&gt;MAX('הנחות עבודה'!$B$69:$B$89)),0,(VLOOKUP($F29,'התפלגות ייצור וסל דלקים'!$B$64:$BV$84,AG$2-$E$2,FALSE))*$D$9*$D$8*(HLOOKUP(AG$23,$G$18:$R$19,2,FALSE)*(1-$D$12)^($F29-'הנחות עבודה'!$C$5)/$D$11)/$D$11)</f>
        <v>0</v>
      </c>
      <c r="AH29" s="44">
        <f ca="1">IF(OR($F29&gt;$D$5,$F29&gt;MAX('הנחות עבודה'!$B$69:$B$89)),0,(VLOOKUP($F29,'התפלגות ייצור וסל דלקים'!$B$64:$BV$84,AH$2-$E$2,FALSE))*$D$9*$D$8*(HLOOKUP(AH$23,$G$18:$R$19,2,FALSE)*(1-$D$12)^($F29-'הנחות עבודה'!$C$5)/$D$11)/$D$11)</f>
        <v>0</v>
      </c>
      <c r="AI29" s="44">
        <f ca="1">IF(OR($F29&gt;$D$5,$F29&gt;MAX('הנחות עבודה'!$B$69:$B$89)),0,(VLOOKUP($F29,'התפלגות ייצור וסל דלקים'!$B$64:$BV$84,AI$2-$E$2,FALSE))*$D$9*$D$8*(HLOOKUP(AI$23,$G$18:$R$19,2,FALSE)*(1-$D$12)^($F29-'הנחות עבודה'!$C$5)/$D$11)/$D$11)</f>
        <v>0</v>
      </c>
      <c r="AJ29" s="44">
        <f ca="1">IF(OR($F29&gt;$D$5,$F29&gt;MAX('הנחות עבודה'!$B$69:$B$89)),0,(VLOOKUP($F29,'התפלגות ייצור וסל דלקים'!$B$64:$BV$84,AJ$2-$E$2,FALSE))*$D$9*$D$8*(HLOOKUP(AJ$23,$G$18:$R$19,2,FALSE)*(1-$D$12)^($F29-'הנחות עבודה'!$C$5)/$D$11)/$D$11)</f>
        <v>0</v>
      </c>
      <c r="AK29" s="42">
        <f ca="1">IF(OR($F29&gt;$D$5,$F29&gt;MAX('הנחות עבודה'!$B$69:$B$89)),0,(VLOOKUP($F29,'התפלגות ייצור וסל דלקים'!$B$64:$BV$84,AK$2-$E$2,FALSE))*$D$9*$D$8*(HLOOKUP(AK$23,$G$18:$R$19,2,FALSE)*(1-$D$12)^($F29-'הנחות עבודה'!$C$5)/$D$11)/$D$11)</f>
        <v>7.1306959999999984E-5</v>
      </c>
      <c r="AL29" s="42">
        <f ca="1">IF(OR($F29&gt;$D$5,$F29&gt;MAX('הנחות עבודה'!$B$69:$B$89)),0,(VLOOKUP($F29,'התפלגות ייצור וסל דלקים'!$B$64:$BV$84,AL$2-$E$2,FALSE))*$D$9*$D$8*(HLOOKUP(AL$23,$G$18:$R$19,2,FALSE)*(1-$D$12)^($F29-'הנחות עבודה'!$C$5)/$D$11)/$D$11)</f>
        <v>4.6356356480000018E-4</v>
      </c>
      <c r="AM29" s="42">
        <f ca="1">IF(OR($F29&gt;$D$5,$F29&gt;MAX('הנחות עבודה'!$B$69:$B$89)),0,(VLOOKUP($F29,'התפלגות ייצור וסל דלקים'!$B$64:$BV$84,AM$2-$E$2,FALSE))*$D$9*$D$8*(HLOOKUP(AM$23,$G$18:$R$19,2,FALSE)*(1-$D$12)^($F29-'הנחות עבודה'!$C$5)/$D$11)/$D$11)</f>
        <v>0</v>
      </c>
      <c r="AN29" s="42">
        <f ca="1">IF(OR($F29&gt;$D$5,$F29&gt;MAX('הנחות עבודה'!$B$69:$B$89)),0,(VLOOKUP($F29,'התפלגות ייצור וסל דלקים'!$B$64:$BV$84,AN$2-$E$2,FALSE))*$D$9*$D$8*(HLOOKUP(AN$23,$G$18:$R$19,2,FALSE)*(1-$D$12)^($F29-'הנחות עבודה'!$C$5)/$D$11)/$D$11)</f>
        <v>0</v>
      </c>
      <c r="AO29" s="42">
        <f ca="1">IF(OR($F29&gt;$D$5,$F29&gt;MAX('הנחות עבודה'!$B$69:$B$89)),0,(VLOOKUP($F29,'התפלגות ייצור וסל דלקים'!$B$64:$BV$84,AO$2-$E$2,FALSE))*$D$9*$D$8*(HLOOKUP(AO$23,$G$18:$R$19,2,FALSE)*(1-$D$12)^($F29-'הנחות עבודה'!$C$5)/$D$11)/$D$11)</f>
        <v>8.9198017499999996E-4</v>
      </c>
      <c r="AP29" s="42">
        <f ca="1">IF(OR($F29&gt;$D$5,$F29&gt;MAX('הנחות עבודה'!$B$69:$B$89)),0,(VLOOKUP($F29,'התפלגות ייצור וסל דלקים'!$B$64:$BV$84,AP$2-$E$2,FALSE))*$D$9*$D$8*(HLOOKUP(AP$23,$G$18:$R$19,2,FALSE)*(1-$D$12)^($F29-'הנחות עבודה'!$C$5)/$D$11)/$D$11)</f>
        <v>0</v>
      </c>
      <c r="AQ29" s="52">
        <f ca="1">IF(OR($F29&gt;$D$5,$F29&gt;MAX('הנחות עבודה'!$B$69:$B$89)),0,(VLOOKUP($F29,'התפלגות ייצור וסל דלקים'!$B$64:$BV$84,AQ$2-$E$2,FALSE))*$D$9*$D$8*(HLOOKUP(AQ$23,$G$18:$R$19,2,FALSE)*(1-$D$12)^($F29-'הנחות עבודה'!$C$5)/$D$11)/$D$11)</f>
        <v>0</v>
      </c>
      <c r="AR29" s="127">
        <f ca="1">IF(OR($F29&gt;$D$5,$F29&gt;MAX('הנחות עבודה'!$B$69:$B$89)),0,(VLOOKUP($F29,'התפלגות ייצור וסל דלקים'!$B$64:$BV$84,AR$2-$E$2,FALSE))*$D$9*$D$8*(HLOOKUP(AR$23,$G$18:$R$19,2,FALSE)*(1-$D$12)^($F29-'הנחות עבודה'!$C$5)/$D$11)/$D$11)</f>
        <v>0</v>
      </c>
      <c r="AS29" s="127">
        <f ca="1">IF(OR($F29&gt;$D$5,$F29&gt;MAX('הנחות עבודה'!$B$69:$B$89)),0,(VLOOKUP($F29,'התפלגות ייצור וסל דלקים'!$B$64:$BV$84,AS$2-$E$2,FALSE))*$D$9*$D$8*(HLOOKUP(AS$23,$G$18:$R$19,2,FALSE)*(1-$D$12)^($F29-'הנחות עבודה'!$C$5)/$D$11)/$D$11)</f>
        <v>0</v>
      </c>
      <c r="AT29" s="127">
        <f ca="1">IF(OR($F29&gt;$D$5,$F29&gt;MAX('הנחות עבודה'!$B$69:$B$89)),0,(VLOOKUP($F29,'התפלגות ייצור וסל דלקים'!$B$64:$BV$84,AT$2-$E$2,FALSE))*$D$9*$D$8*(HLOOKUP(AT$23,$G$18:$R$19,2,FALSE)*(1-$D$12)^($F29-'הנחות עבודה'!$C$5)/$D$11)/$D$11)</f>
        <v>0</v>
      </c>
      <c r="AU29" s="127">
        <f ca="1">IF(OR($F29&gt;$D$5,$F29&gt;MAX('הנחות עבודה'!$B$69:$B$89)),0,(VLOOKUP($F29,'התפלגות ייצור וסל דלקים'!$B$64:$BV$84,AU$2-$E$2,FALSE))*$D$9*$D$8*(HLOOKUP(AU$23,$G$18:$R$19,2,FALSE)*(1-$D$12)^($F29-'הנחות עבודה'!$C$5)/$D$11)/$D$11)</f>
        <v>0</v>
      </c>
      <c r="AV29" s="127">
        <f ca="1">IF(OR($F29&gt;$D$5,$F29&gt;MAX('הנחות עבודה'!$B$69:$B$89)),0,(VLOOKUP($F29,'התפלגות ייצור וסל דלקים'!$B$64:$BV$84,AV$2-$E$2,FALSE))*$D$9*$D$8*(HLOOKUP(AV$23,$G$18:$R$19,2,FALSE)*(1-$D$12)^($F29-'הנחות עבודה'!$C$5)/$D$11)/$D$11)</f>
        <v>0</v>
      </c>
      <c r="AW29" s="52">
        <f ca="1">IF(OR($F29&gt;$D$5,$F29&gt;MAX('הנחות עבודה'!$B$69:$B$89)),0,(VLOOKUP($F29,'התפלגות ייצור וסל דלקים'!$B$64:$BV$84,AW$2-$E$2,FALSE))*$D$9*$D$8*(HLOOKUP(AW$23,$G$18:$R$19,2,FALSE)*(1-$D$12)^($F29-'הנחות עבודה'!$C$5)/$D$11)/$D$11)</f>
        <v>7.1306959999999984E-5</v>
      </c>
      <c r="AX29" s="52">
        <f ca="1">IF(OR($F29&gt;$D$5,$F29&gt;MAX('הנחות עבודה'!$B$69:$B$89)),0,(VLOOKUP($F29,'התפלגות ייצור וסל דלקים'!$B$64:$BV$84,AX$2-$E$2,FALSE))*$D$9*$D$8*(HLOOKUP(AX$23,$G$18:$R$19,2,FALSE)*(1-$D$12)^($F29-'הנחות עבודה'!$C$5)/$D$11)/$D$11)</f>
        <v>4.6356356480000018E-4</v>
      </c>
      <c r="AY29" s="52">
        <f ca="1">IF(OR($F29&gt;$D$5,$F29&gt;MAX('הנחות עבודה'!$B$69:$B$89)),0,(VLOOKUP($F29,'התפלגות ייצור וסל דלקים'!$B$64:$BV$84,AY$2-$E$2,FALSE))*$D$9*$D$8*(HLOOKUP(AY$23,$G$18:$R$19,2,FALSE)*(1-$D$12)^($F29-'הנחות עבודה'!$C$5)/$D$11)/$D$11)</f>
        <v>0</v>
      </c>
      <c r="AZ29" s="52">
        <f ca="1">IF(OR($F29&gt;$D$5,$F29&gt;MAX('הנחות עבודה'!$B$69:$B$89)),0,(VLOOKUP($F29,'התפלגות ייצור וסל דלקים'!$B$64:$BV$84,AZ$2-$E$2,FALSE))*$D$9*$D$8*(HLOOKUP(AZ$23,$G$18:$R$19,2,FALSE)*(1-$D$12)^($F29-'הנחות עבודה'!$C$5)/$D$11)/$D$11)</f>
        <v>0</v>
      </c>
      <c r="BA29" s="52">
        <f ca="1">IF(OR($F29&gt;$D$5,$F29&gt;MAX('הנחות עבודה'!$B$69:$B$89)),0,(VLOOKUP($F29,'התפלגות ייצור וסל דלקים'!$B$64:$BV$84,BA$2-$E$2,FALSE))*$D$9*$D$8*(HLOOKUP(BA$23,$G$18:$R$19,2,FALSE)*(1-$D$12)^($F29-'הנחות עבודה'!$C$5)/$D$11)/$D$11)</f>
        <v>8.9198017499999996E-4</v>
      </c>
      <c r="BB29" s="52">
        <f ca="1">IF(OR($F29&gt;$D$5,$F29&gt;MAX('הנחות עבודה'!$B$69:$B$89)),0,(VLOOKUP($F29,'התפלגות ייצור וסל דלקים'!$B$64:$BV$84,BB$2-$E$2,FALSE))*$D$9*$D$8*(HLOOKUP(BB$23,$G$18:$R$19,2,FALSE)*(1-$D$12)^($F29-'הנחות עבודה'!$C$5)/$D$11)/$D$11)</f>
        <v>0</v>
      </c>
      <c r="BC29" s="42">
        <f ca="1">IF(OR($F29&gt;$D$5,$F29&gt;MAX('הנחות עבודה'!$B$69:$B$89)),0,(VLOOKUP($F29,'התפלגות ייצור וסל דלקים'!$B$64:$BV$84,BC$2-$E$2,FALSE))*$D$9*$D$8*(HLOOKUP(BC$23,$G$18:$R$19,2,FALSE)*(1-$D$12)^($F29-'הנחות עבודה'!$C$5)/$D$11)/$D$11)</f>
        <v>0</v>
      </c>
      <c r="BD29" s="44">
        <f ca="1">IF(OR($F29&gt;$D$5,$F29&gt;MAX('הנחות עבודה'!$B$69:$B$89)),0,(VLOOKUP($F29,'התפלגות ייצור וסל דלקים'!$B$64:$BV$84,BD$2-$E$2,FALSE))*$D$9*$D$8*(HLOOKUP(BD$23,$G$18:$R$19,2,FALSE)*(1-$D$12)^($F29-'הנחות עבודה'!$C$5)/$D$11)/$D$11)</f>
        <v>0</v>
      </c>
      <c r="BE29" s="44">
        <f ca="1">IF(OR($F29&gt;$D$5,$F29&gt;MAX('הנחות עבודה'!$B$69:$B$89)),0,(VLOOKUP($F29,'התפלגות ייצור וסל דלקים'!$B$64:$BV$84,BE$2-$E$2,FALSE))*$D$9*$D$8*(HLOOKUP(BE$23,$G$18:$R$19,2,FALSE)*(1-$D$12)^($F29-'הנחות עבודה'!$C$5)/$D$11)/$D$11)</f>
        <v>0</v>
      </c>
      <c r="BF29" s="44">
        <f ca="1">IF(OR($F29&gt;$D$5,$F29&gt;MAX('הנחות עבודה'!$B$69:$B$89)),0,(VLOOKUP($F29,'התפלגות ייצור וסל דלקים'!$B$64:$BV$84,BF$2-$E$2,FALSE))*$D$9*$D$8*(HLOOKUP(BF$23,$G$18:$R$19,2,FALSE)*(1-$D$12)^($F29-'הנחות עבודה'!$C$5)/$D$11)/$D$11)</f>
        <v>0</v>
      </c>
      <c r="BG29" s="44">
        <f ca="1">IF(OR($F29&gt;$D$5,$F29&gt;MAX('הנחות עבודה'!$B$69:$B$89)),0,(VLOOKUP($F29,'התפלגות ייצור וסל דלקים'!$B$64:$BV$84,BG$2-$E$2,FALSE))*$D$9*$D$8*(HLOOKUP(BG$23,$G$18:$R$19,2,FALSE)*(1-$D$12)^($F29-'הנחות עבודה'!$C$5)/$D$11)/$D$11)</f>
        <v>0</v>
      </c>
      <c r="BH29" s="44">
        <f ca="1">IF(OR($F29&gt;$D$5,$F29&gt;MAX('הנחות עבודה'!$B$69:$B$89)),0,(VLOOKUP($F29,'התפלגות ייצור וסל דלקים'!$B$64:$BV$84,BH$2-$E$2,FALSE))*$D$9*$D$8*(HLOOKUP(BH$23,$G$18:$R$19,2,FALSE)*(1-$D$12)^($F29-'הנחות עבודה'!$C$5)/$D$11)/$D$11)</f>
        <v>0</v>
      </c>
      <c r="BI29" s="42">
        <f ca="1">IF(OR($F29&gt;$D$5,$F29&gt;MAX('הנחות עבודה'!$B$69:$B$89)),0,(VLOOKUP($F29,'התפלגות ייצור וסל דלקים'!$B$64:$BV$84,BI$2-$E$2,FALSE))*$D$9*$D$8*(HLOOKUP(BI$23,$G$18:$R$19,2,FALSE)*(1-$D$12)^($F29-'הנחות עבודה'!$C$5)/$D$11)/$D$11)</f>
        <v>7.1549919999999999E-5</v>
      </c>
      <c r="BJ29" s="42">
        <f ca="1">IF(OR($F29&gt;$D$5,$F29&gt;MAX('הנחות עבודה'!$B$69:$B$89)),0,(VLOOKUP($F29,'התפלגות ייצור וסל דלקים'!$B$64:$BV$84,BJ$2-$E$2,FALSE))*$D$9*$D$8*(HLOOKUP(BJ$23,$G$18:$R$19,2,FALSE)*(1-$D$12)^($F29-'הנחות עבודה'!$C$5)/$D$11)/$D$11)</f>
        <v>4.4664761920000002E-4</v>
      </c>
      <c r="BK29" s="42">
        <f ca="1">IF(OR($F29&gt;$D$5,$F29&gt;MAX('הנחות עבודה'!$B$69:$B$89)),0,(VLOOKUP($F29,'התפלגות ייצור וסל דלקים'!$B$64:$BV$84,BK$2-$E$2,FALSE))*$D$9*$D$8*(HLOOKUP(BK$23,$G$18:$R$19,2,FALSE)*(1-$D$12)^($F29-'הנחות עבודה'!$C$5)/$D$11)/$D$11)</f>
        <v>0</v>
      </c>
      <c r="BL29" s="42">
        <f ca="1">IF(OR($F29&gt;$D$5,$F29&gt;MAX('הנחות עבודה'!$B$69:$B$89)),0,(VLOOKUP($F29,'התפלגות ייצור וסל דלקים'!$B$64:$BV$84,BL$2-$E$2,FALSE))*$D$9*$D$8*(HLOOKUP(BL$23,$G$18:$R$19,2,FALSE)*(1-$D$12)^($F29-'הנחות עבודה'!$C$5)/$D$11)/$D$11)</f>
        <v>0</v>
      </c>
      <c r="BM29" s="42">
        <f ca="1">IF(OR($F29&gt;$D$5,$F29&gt;MAX('הנחות עבודה'!$B$69:$B$89)),0,(VLOOKUP($F29,'התפלגות ייצור וסל דלקים'!$B$64:$BV$84,BM$2-$E$2,FALSE))*$D$9*$D$8*(HLOOKUP(BM$23,$G$18:$R$19,2,FALSE)*(1-$D$12)^($F29-'הנחות עבודה'!$C$5)/$D$11)/$D$11)</f>
        <v>8.9039024999999989E-4</v>
      </c>
      <c r="BN29" s="42">
        <f ca="1">IF(OR($F29&gt;$D$5,$F29&gt;MAX('הנחות עבודה'!$B$69:$B$89)),0,(VLOOKUP($F29,'התפלגות ייצור וסל דלקים'!$B$64:$BV$84,BN$2-$E$2,FALSE))*$D$9*$D$8*(HLOOKUP(BN$23,$G$18:$R$19,2,FALSE)*(1-$D$12)^($F29-'הנחות עבודה'!$C$5)/$D$11)/$D$11)</f>
        <v>0</v>
      </c>
      <c r="BO29" s="52">
        <f ca="1">IF(OR($F29&gt;$D$5,$F29&gt;MAX('הנחות עבודה'!$B$69:$B$89)),0,(VLOOKUP($F29,'התפלגות ייצור וסל דלקים'!$B$64:$BV$84,BO$2-$E$2,FALSE))*$D$9*$D$8*(HLOOKUP(BO$23,$G$18:$R$19,2,FALSE)*(1-$D$12)^($F29-'הנחות עבודה'!$C$5)/$D$11)/$D$11)</f>
        <v>0</v>
      </c>
      <c r="BP29" s="127">
        <f ca="1">IF(OR($F29&gt;$D$5,$F29&gt;MAX('הנחות עבודה'!$B$69:$B$89)),0,(VLOOKUP($F29,'התפלגות ייצור וסל דלקים'!$B$64:$BV$84,BP$2-$E$2,FALSE))*$D$9*$D$8*(HLOOKUP(BP$23,$G$18:$R$19,2,FALSE)*(1-$D$12)^($F29-'הנחות עבודה'!$C$5)/$D$11)/$D$11)</f>
        <v>0</v>
      </c>
      <c r="BQ29" s="127">
        <f ca="1">IF(OR($F29&gt;$D$5,$F29&gt;MAX('הנחות עבודה'!$B$69:$B$89)),0,(VLOOKUP($F29,'התפלגות ייצור וסל דלקים'!$B$64:$BV$84,BQ$2-$E$2,FALSE))*$D$9*$D$8*(HLOOKUP(BQ$23,$G$18:$R$19,2,FALSE)*(1-$D$12)^($F29-'הנחות עבודה'!$C$5)/$D$11)/$D$11)</f>
        <v>0</v>
      </c>
      <c r="BR29" s="127">
        <f ca="1">IF(OR($F29&gt;$D$5,$F29&gt;MAX('הנחות עבודה'!$B$69:$B$89)),0,(VLOOKUP($F29,'התפלגות ייצור וסל דלקים'!$B$64:$BV$84,BR$2-$E$2,FALSE))*$D$9*$D$8*(HLOOKUP(BR$23,$G$18:$R$19,2,FALSE)*(1-$D$12)^($F29-'הנחות עבודה'!$C$5)/$D$11)/$D$11)</f>
        <v>0</v>
      </c>
      <c r="BS29" s="127">
        <f ca="1">IF(OR($F29&gt;$D$5,$F29&gt;MAX('הנחות עבודה'!$B$69:$B$89)),0,(VLOOKUP($F29,'התפלגות ייצור וסל דלקים'!$B$64:$BV$84,BS$2-$E$2,FALSE))*$D$9*$D$8*(HLOOKUP(BS$23,$G$18:$R$19,2,FALSE)*(1-$D$12)^($F29-'הנחות עבודה'!$C$5)/$D$11)/$D$11)</f>
        <v>0</v>
      </c>
      <c r="BT29" s="127">
        <f ca="1">IF(OR($F29&gt;$D$5,$F29&gt;MAX('הנחות עבודה'!$B$69:$B$89)),0,(VLOOKUP($F29,'התפלגות ייצור וסל דלקים'!$B$64:$BV$84,BT$2-$E$2,FALSE))*$D$9*$D$8*(HLOOKUP(BT$23,$G$18:$R$19,2,FALSE)*(1-$D$12)^($F29-'הנחות עבודה'!$C$5)/$D$11)/$D$11)</f>
        <v>0</v>
      </c>
      <c r="BU29" s="52">
        <f ca="1">IF(OR($F29&gt;$D$5,$F29&gt;MAX('הנחות עבודה'!$B$69:$B$89)),0,(VLOOKUP($F29,'התפלגות ייצור וסל דלקים'!$B$64:$BV$84,BU$2-$E$2,FALSE))*$D$9*$D$8*(HLOOKUP(BU$23,$G$18:$R$19,2,FALSE)*(1-$D$12)^($F29-'הנחות עבודה'!$C$5)/$D$11)/$D$11)</f>
        <v>7.1549919999999999E-5</v>
      </c>
      <c r="BV29" s="52">
        <f ca="1">IF(OR($F29&gt;$D$5,$F29&gt;MAX('הנחות עבודה'!$B$69:$B$89)),0,(VLOOKUP($F29,'התפלגות ייצור וסל דלקים'!$B$64:$BV$84,BV$2-$E$2,FALSE))*$D$9*$D$8*(HLOOKUP(BV$23,$G$18:$R$19,2,FALSE)*(1-$D$12)^($F29-'הנחות עבודה'!$C$5)/$D$11)/$D$11)</f>
        <v>4.4664761920000002E-4</v>
      </c>
      <c r="BW29" s="52">
        <f ca="1">IF(OR($F29&gt;$D$5,$F29&gt;MAX('הנחות עבודה'!$B$69:$B$89)),0,(VLOOKUP($F29,'התפלגות ייצור וסל דלקים'!$B$64:$BV$84,BW$2-$E$2,FALSE))*$D$9*$D$8*(HLOOKUP(BW$23,$G$18:$R$19,2,FALSE)*(1-$D$12)^($F29-'הנחות עבודה'!$C$5)/$D$11)/$D$11)</f>
        <v>0</v>
      </c>
      <c r="BX29" s="52">
        <f ca="1">IF(OR($F29&gt;$D$5,$F29&gt;MAX('הנחות עבודה'!$B$69:$B$89)),0,(VLOOKUP($F29,'התפלגות ייצור וסל דלקים'!$B$64:$BV$84,BX$2-$E$2,FALSE))*$D$9*$D$8*(HLOOKUP(BX$23,$G$18:$R$19,2,FALSE)*(1-$D$12)^($F29-'הנחות עבודה'!$C$5)/$D$11)/$D$11)</f>
        <v>0</v>
      </c>
      <c r="BY29" s="52">
        <f ca="1">IF(OR($F29&gt;$D$5,$F29&gt;MAX('הנחות עבודה'!$B$69:$B$89)),0,(VLOOKUP($F29,'התפלגות ייצור וסל דלקים'!$B$64:$BV$84,BY$2-$E$2,FALSE))*$D$9*$D$8*(HLOOKUP(BY$23,$G$18:$R$19,2,FALSE)*(1-$D$12)^($F29-'הנחות עבודה'!$C$5)/$D$11)/$D$11)</f>
        <v>8.9039024999999989E-4</v>
      </c>
      <c r="BZ29" s="52">
        <f ca="1">IF(OR($F29&gt;$D$5,$F29&gt;MAX('הנחות עבודה'!$B$69:$B$89)),0,(VLOOKUP($F29,'התפלגות ייצור וסל דלקים'!$B$64:$BV$84,BZ$2-$E$2,FALSE))*$D$9*$D$8*(HLOOKUP(BZ$23,$G$18:$R$19,2,FALSE)*(1-$D$12)^($F29-'הנחות עבודה'!$C$5)/$D$11)/$D$11)</f>
        <v>0</v>
      </c>
    </row>
    <row r="30" spans="6:78" ht="15.75">
      <c r="F30" s="10">
        <f t="shared" si="108"/>
        <v>2026</v>
      </c>
      <c r="G30" s="42">
        <f ca="1">IF(OR($F30&gt;$D$5,$F30&gt;MAX('הנחות עבודה'!$B$69:$B$89)),0,(VLOOKUP($F30,'התפלגות ייצור וסל דלקים'!$B$64:$BV$84,G$2-$E$2,FALSE))*$D$9*$D$8*(HLOOKUP(G$23,$G$18:$R$19,2,FALSE)*(1-$D$12)^($F30-'הנחות עבודה'!$C$5)/$D$11)/$D$11)</f>
        <v>0</v>
      </c>
      <c r="H30" s="44">
        <f ca="1">IF(OR($F30&gt;$D$5,$F30&gt;MAX('הנחות עבודה'!$B$69:$B$89)),0,(VLOOKUP($F30,'התפלגות ייצור וסל דלקים'!$B$64:$BV$84,H$2-$E$2,FALSE))*$D$9*$D$8*(HLOOKUP(H$23,$G$18:$R$19,2,FALSE)*(1-$D$12)^($F30-'הנחות עבודה'!$C$5)/$D$11)/$D$11)</f>
        <v>0</v>
      </c>
      <c r="I30" s="44">
        <f ca="1">IF(OR($F30&gt;$D$5,$F30&gt;MAX('הנחות עבודה'!$B$69:$B$89)),0,(VLOOKUP($F30,'התפלגות ייצור וסל דלקים'!$B$64:$BV$84,I$2-$E$2,FALSE))*$D$9*$D$8*(HLOOKUP(I$23,$G$18:$R$19,2,FALSE)*(1-$D$12)^($F30-'הנחות עבודה'!$C$5)/$D$11)/$D$11)</f>
        <v>0</v>
      </c>
      <c r="J30" s="44">
        <f ca="1">IF(OR($F30&gt;$D$5,$F30&gt;MAX('הנחות עבודה'!$B$69:$B$89)),0,(VLOOKUP($F30,'התפלגות ייצור וסל דלקים'!$B$64:$BV$84,J$2-$E$2,FALSE))*$D$9*$D$8*(HLOOKUP(J$23,$G$18:$R$19,2,FALSE)*(1-$D$12)^($F30-'הנחות עבודה'!$C$5)/$D$11)/$D$11)</f>
        <v>0</v>
      </c>
      <c r="K30" s="44">
        <f ca="1">IF(OR($F30&gt;$D$5,$F30&gt;MAX('הנחות עבודה'!$B$69:$B$89)),0,(VLOOKUP($F30,'התפלגות ייצור וסל דלקים'!$B$64:$BV$84,K$2-$E$2,FALSE))*$D$9*$D$8*(HLOOKUP(K$23,$G$18:$R$19,2,FALSE)*(1-$D$12)^($F30-'הנחות עבודה'!$C$5)/$D$11)/$D$11)</f>
        <v>0</v>
      </c>
      <c r="L30" s="44">
        <f ca="1">IF(OR($F30&gt;$D$5,$F30&gt;MAX('הנחות עבודה'!$B$69:$B$89)),0,(VLOOKUP($F30,'התפלגות ייצור וסל דלקים'!$B$64:$BV$84,L$2-$E$2,FALSE))*$D$9*$D$8*(HLOOKUP(L$23,$G$18:$R$19,2,FALSE)*(1-$D$12)^($F30-'הנחות עבודה'!$C$5)/$D$11)/$D$11)</f>
        <v>0</v>
      </c>
      <c r="M30" s="42">
        <f ca="1">IF(OR($F30&gt;$D$5,$F30&gt;MAX('הנחות עבודה'!$B$69:$B$89)),0,(VLOOKUP($F30,'התפלגות ייצור וסל דלקים'!$B$64:$BV$84,M$2-$E$2,FALSE))*$D$9*$D$8*(HLOOKUP(M$23,$G$18:$R$19,2,FALSE)*(1-$D$12)^($F30-'הנחות עבודה'!$C$5)/$D$11)/$D$11)</f>
        <v>1.2241104000000003E-4</v>
      </c>
      <c r="N30" s="42">
        <f ca="1">IF(OR($F30&gt;$D$5,$F30&gt;MAX('הנחות עבודה'!$B$69:$B$89)),0,(VLOOKUP($F30,'התפלגות ייצור וסל דלקים'!$B$64:$BV$84,N$2-$E$2,FALSE))*$D$9*$D$8*(HLOOKUP(N$23,$G$18:$R$19,2,FALSE)*(1-$D$12)^($F30-'הנחות עבודה'!$C$5)/$D$11)/$D$11)</f>
        <v>4.7581471104000001E-4</v>
      </c>
      <c r="O30" s="42">
        <f ca="1">IF(OR($F30&gt;$D$5,$F30&gt;MAX('הנחות עבודה'!$B$69:$B$89)),0,(VLOOKUP($F30,'התפלגות ייצור וסל דלקים'!$B$64:$BV$84,O$2-$E$2,FALSE))*$D$9*$D$8*(HLOOKUP(O$23,$G$18:$R$19,2,FALSE)*(1-$D$12)^($F30-'הנחות עבודה'!$C$5)/$D$11)/$D$11)</f>
        <v>0</v>
      </c>
      <c r="P30" s="42">
        <f ca="1">IF(OR($F30&gt;$D$5,$F30&gt;MAX('הנחות עבודה'!$B$69:$B$89)),0,(VLOOKUP($F30,'התפלגות ייצור וסל דלקים'!$B$64:$BV$84,P$2-$E$2,FALSE))*$D$9*$D$8*(HLOOKUP(P$23,$G$18:$R$19,2,FALSE)*(1-$D$12)^($F30-'הנחות עבודה'!$C$5)/$D$11)/$D$11)</f>
        <v>0</v>
      </c>
      <c r="Q30" s="42">
        <f ca="1">IF(OR($F30&gt;$D$5,$F30&gt;MAX('הנחות עבודה'!$B$69:$B$89)),0,(VLOOKUP($F30,'התפלגות ייצור וסל דלקים'!$B$64:$BV$84,Q$2-$E$2,FALSE))*$D$9*$D$8*(HLOOKUP(Q$23,$G$18:$R$19,2,FALSE)*(1-$D$12)^($F30-'הנחות עבודה'!$C$5)/$D$11)/$D$11)</f>
        <v>0</v>
      </c>
      <c r="R30" s="42">
        <f ca="1">IF(OR($F30&gt;$D$5,$F30&gt;MAX('הנחות עבודה'!$B$69:$B$89)),0,(VLOOKUP($F30,'התפלגות ייצור וסל דלקים'!$B$64:$BV$84,R$2-$E$2,FALSE))*$D$9*$D$8*(HLOOKUP(R$23,$G$18:$R$19,2,FALSE)*(1-$D$12)^($F30-'הנחות עבודה'!$C$5)/$D$11)/$D$11)</f>
        <v>0</v>
      </c>
      <c r="S30" s="52">
        <f ca="1">IF(OR($F30&gt;$D$5,$F30&gt;MAX('הנחות עבודה'!$B$69:$B$89)),0,(VLOOKUP($F30,'התפלגות ייצור וסל דלקים'!$B$64:$BV$84,S$2-$E$2,FALSE))*$D$9*$D$8*(HLOOKUP(S$23,$G$18:$R$19,2,FALSE)*(1-$D$12)^($F30-'הנחות עבודה'!$C$5)/$D$11)/$D$11)</f>
        <v>0</v>
      </c>
      <c r="T30" s="127">
        <f ca="1">IF(OR($F30&gt;$D$5,$F30&gt;MAX('הנחות עבודה'!$B$69:$B$89)),0,(VLOOKUP($F30,'התפלגות ייצור וסל דלקים'!$B$64:$BV$84,T$2-$E$2,FALSE))*$D$9*$D$8*(HLOOKUP(T$23,$G$18:$R$19,2,FALSE)*(1-$D$12)^($F30-'הנחות עבודה'!$C$5)/$D$11)/$D$11)</f>
        <v>0</v>
      </c>
      <c r="U30" s="127">
        <f ca="1">IF(OR($F30&gt;$D$5,$F30&gt;MAX('הנחות עבודה'!$B$69:$B$89)),0,(VLOOKUP($F30,'התפלגות ייצור וסל דלקים'!$B$64:$BV$84,U$2-$E$2,FALSE))*$D$9*$D$8*(HLOOKUP(U$23,$G$18:$R$19,2,FALSE)*(1-$D$12)^($F30-'הנחות עבודה'!$C$5)/$D$11)/$D$11)</f>
        <v>0</v>
      </c>
      <c r="V30" s="127">
        <f ca="1">IF(OR($F30&gt;$D$5,$F30&gt;MAX('הנחות עבודה'!$B$69:$B$89)),0,(VLOOKUP($F30,'התפלגות ייצור וסל דלקים'!$B$64:$BV$84,V$2-$E$2,FALSE))*$D$9*$D$8*(HLOOKUP(V$23,$G$18:$R$19,2,FALSE)*(1-$D$12)^($F30-'הנחות עבודה'!$C$5)/$D$11)/$D$11)</f>
        <v>0</v>
      </c>
      <c r="W30" s="127">
        <f ca="1">IF(OR($F30&gt;$D$5,$F30&gt;MAX('הנחות עבודה'!$B$69:$B$89)),0,(VLOOKUP($F30,'התפלגות ייצור וסל דלקים'!$B$64:$BV$84,W$2-$E$2,FALSE))*$D$9*$D$8*(HLOOKUP(W$23,$G$18:$R$19,2,FALSE)*(1-$D$12)^($F30-'הנחות עבודה'!$C$5)/$D$11)/$D$11)</f>
        <v>0</v>
      </c>
      <c r="X30" s="127">
        <f ca="1">IF(OR($F30&gt;$D$5,$F30&gt;MAX('הנחות עבודה'!$B$69:$B$89)),0,(VLOOKUP($F30,'התפלגות ייצור וסל דלקים'!$B$64:$BV$84,X$2-$E$2,FALSE))*$D$9*$D$8*(HLOOKUP(X$23,$G$18:$R$19,2,FALSE)*(1-$D$12)^($F30-'הנחות עבודה'!$C$5)/$D$11)/$D$11)</f>
        <v>0</v>
      </c>
      <c r="Y30" s="52">
        <f ca="1">IF(OR($F30&gt;$D$5,$F30&gt;MAX('הנחות עבודה'!$B$69:$B$89)),0,(VLOOKUP($F30,'התפלגות ייצור וסל דלקים'!$B$64:$BV$84,Y$2-$E$2,FALSE))*$D$9*$D$8*(HLOOKUP(Y$23,$G$18:$R$19,2,FALSE)*(1-$D$12)^($F30-'הנחות עבודה'!$C$5)/$D$11)/$D$11)</f>
        <v>1.2241104000000003E-4</v>
      </c>
      <c r="Z30" s="52">
        <f ca="1">IF(OR($F30&gt;$D$5,$F30&gt;MAX('הנחות עבודה'!$B$69:$B$89)),0,(VLOOKUP($F30,'התפלגות ייצור וסל דלקים'!$B$64:$BV$84,Z$2-$E$2,FALSE))*$D$9*$D$8*(HLOOKUP(Z$23,$G$18:$R$19,2,FALSE)*(1-$D$12)^($F30-'הנחות עבודה'!$C$5)/$D$11)/$D$11)</f>
        <v>4.7581471104000001E-4</v>
      </c>
      <c r="AA30" s="52">
        <f ca="1">IF(OR($F30&gt;$D$5,$F30&gt;MAX('הנחות עבודה'!$B$69:$B$89)),0,(VLOOKUP($F30,'התפלגות ייצור וסל דלקים'!$B$64:$BV$84,AA$2-$E$2,FALSE))*$D$9*$D$8*(HLOOKUP(AA$23,$G$18:$R$19,2,FALSE)*(1-$D$12)^($F30-'הנחות עבודה'!$C$5)/$D$11)/$D$11)</f>
        <v>0</v>
      </c>
      <c r="AB30" s="52">
        <f ca="1">IF(OR($F30&gt;$D$5,$F30&gt;MAX('הנחות עבודה'!$B$69:$B$89)),0,(VLOOKUP($F30,'התפלגות ייצור וסל דלקים'!$B$64:$BV$84,AB$2-$E$2,FALSE))*$D$9*$D$8*(HLOOKUP(AB$23,$G$18:$R$19,2,FALSE)*(1-$D$12)^($F30-'הנחות עבודה'!$C$5)/$D$11)/$D$11)</f>
        <v>0</v>
      </c>
      <c r="AC30" s="52">
        <f ca="1">IF(OR($F30&gt;$D$5,$F30&gt;MAX('הנחות עבודה'!$B$69:$B$89)),0,(VLOOKUP($F30,'התפלגות ייצור וסל דלקים'!$B$64:$BV$84,AC$2-$E$2,FALSE))*$D$9*$D$8*(HLOOKUP(AC$23,$G$18:$R$19,2,FALSE)*(1-$D$12)^($F30-'הנחות עבודה'!$C$5)/$D$11)/$D$11)</f>
        <v>0</v>
      </c>
      <c r="AD30" s="52">
        <f ca="1">IF(OR($F30&gt;$D$5,$F30&gt;MAX('הנחות עבודה'!$B$69:$B$89)),0,(VLOOKUP($F30,'התפלגות ייצור וסל דלקים'!$B$64:$BV$84,AD$2-$E$2,FALSE))*$D$9*$D$8*(HLOOKUP(AD$23,$G$18:$R$19,2,FALSE)*(1-$D$12)^($F30-'הנחות עבודה'!$C$5)/$D$11)/$D$11)</f>
        <v>0</v>
      </c>
      <c r="AE30" s="42">
        <f ca="1">IF(OR($F30&gt;$D$5,$F30&gt;MAX('הנחות עבודה'!$B$69:$B$89)),0,(VLOOKUP($F30,'התפלגות ייצור וסל דלקים'!$B$64:$BV$84,AE$2-$E$2,FALSE))*$D$9*$D$8*(HLOOKUP(AE$23,$G$18:$R$19,2,FALSE)*(1-$D$12)^($F30-'הנחות עבודה'!$C$5)/$D$11)/$D$11)</f>
        <v>0</v>
      </c>
      <c r="AF30" s="44">
        <f ca="1">IF(OR($F30&gt;$D$5,$F30&gt;MAX('הנחות עבודה'!$B$69:$B$89)),0,(VLOOKUP($F30,'התפלגות ייצור וסל דלקים'!$B$64:$BV$84,AF$2-$E$2,FALSE))*$D$9*$D$8*(HLOOKUP(AF$23,$G$18:$R$19,2,FALSE)*(1-$D$12)^($F30-'הנחות עבודה'!$C$5)/$D$11)/$D$11)</f>
        <v>0</v>
      </c>
      <c r="AG30" s="44">
        <f ca="1">IF(OR($F30&gt;$D$5,$F30&gt;MAX('הנחות עבודה'!$B$69:$B$89)),0,(VLOOKUP($F30,'התפלגות ייצור וסל דלקים'!$B$64:$BV$84,AG$2-$E$2,FALSE))*$D$9*$D$8*(HLOOKUP(AG$23,$G$18:$R$19,2,FALSE)*(1-$D$12)^($F30-'הנחות עבודה'!$C$5)/$D$11)/$D$11)</f>
        <v>0</v>
      </c>
      <c r="AH30" s="44">
        <f ca="1">IF(OR($F30&gt;$D$5,$F30&gt;MAX('הנחות עבודה'!$B$69:$B$89)),0,(VLOOKUP($F30,'התפלגות ייצור וסל דלקים'!$B$64:$BV$84,AH$2-$E$2,FALSE))*$D$9*$D$8*(HLOOKUP(AH$23,$G$18:$R$19,2,FALSE)*(1-$D$12)^($F30-'הנחות עבודה'!$C$5)/$D$11)/$D$11)</f>
        <v>0</v>
      </c>
      <c r="AI30" s="44">
        <f ca="1">IF(OR($F30&gt;$D$5,$F30&gt;MAX('הנחות עבודה'!$B$69:$B$89)),0,(VLOOKUP($F30,'התפלגות ייצור וסל דלקים'!$B$64:$BV$84,AI$2-$E$2,FALSE))*$D$9*$D$8*(HLOOKUP(AI$23,$G$18:$R$19,2,FALSE)*(1-$D$12)^($F30-'הנחות עבודה'!$C$5)/$D$11)/$D$11)</f>
        <v>0</v>
      </c>
      <c r="AJ30" s="44">
        <f ca="1">IF(OR($F30&gt;$D$5,$F30&gt;MAX('הנחות עבודה'!$B$69:$B$89)),0,(VLOOKUP($F30,'התפלגות ייצור וסל דלקים'!$B$64:$BV$84,AJ$2-$E$2,FALSE))*$D$9*$D$8*(HLOOKUP(AJ$23,$G$18:$R$19,2,FALSE)*(1-$D$12)^($F30-'הנחות עבודה'!$C$5)/$D$11)/$D$11)</f>
        <v>0</v>
      </c>
      <c r="AK30" s="42">
        <f ca="1">IF(OR($F30&gt;$D$5,$F30&gt;MAX('הנחות עבודה'!$B$69:$B$89)),0,(VLOOKUP($F30,'התפלגות ייצור וסל דלקים'!$B$64:$BV$84,AK$2-$E$2,FALSE))*$D$9*$D$8*(HLOOKUP(AK$23,$G$18:$R$19,2,FALSE)*(1-$D$12)^($F30-'הנחות עבודה'!$C$5)/$D$11)/$D$11)</f>
        <v>1.1969864000000002E-4</v>
      </c>
      <c r="AL30" s="42">
        <f ca="1">IF(OR($F30&gt;$D$5,$F30&gt;MAX('הנחות עבודה'!$B$69:$B$89)),0,(VLOOKUP($F30,'התפלגות ייצור וסל דלקים'!$B$64:$BV$84,AL$2-$E$2,FALSE))*$D$9*$D$8*(HLOOKUP(AL$23,$G$18:$R$19,2,FALSE)*(1-$D$12)^($F30-'הנחות עבודה'!$C$5)/$D$11)/$D$11)</f>
        <v>4.4229059520000004E-4</v>
      </c>
      <c r="AM30" s="42">
        <f ca="1">IF(OR($F30&gt;$D$5,$F30&gt;MAX('הנחות עבודה'!$B$69:$B$89)),0,(VLOOKUP($F30,'התפלגות ייצור וסל דלקים'!$B$64:$BV$84,AM$2-$E$2,FALSE))*$D$9*$D$8*(HLOOKUP(AM$23,$G$18:$R$19,2,FALSE)*(1-$D$12)^($F30-'הנחות עבודה'!$C$5)/$D$11)/$D$11)</f>
        <v>0</v>
      </c>
      <c r="AN30" s="42">
        <f ca="1">IF(OR($F30&gt;$D$5,$F30&gt;MAX('הנחות עבודה'!$B$69:$B$89)),0,(VLOOKUP($F30,'התפלגות ייצור וסל דלקים'!$B$64:$BV$84,AN$2-$E$2,FALSE))*$D$9*$D$8*(HLOOKUP(AN$23,$G$18:$R$19,2,FALSE)*(1-$D$12)^($F30-'הנחות עבודה'!$C$5)/$D$11)/$D$11)</f>
        <v>0</v>
      </c>
      <c r="AO30" s="42">
        <f ca="1">IF(OR($F30&gt;$D$5,$F30&gt;MAX('הנחות עבודה'!$B$69:$B$89)),0,(VLOOKUP($F30,'התפלגות ייצור וסל דלקים'!$B$64:$BV$84,AO$2-$E$2,FALSE))*$D$9*$D$8*(HLOOKUP(AO$23,$G$18:$R$19,2,FALSE)*(1-$D$12)^($F30-'הנחות עבודה'!$C$5)/$D$11)/$D$11)</f>
        <v>0</v>
      </c>
      <c r="AP30" s="42">
        <f ca="1">IF(OR($F30&gt;$D$5,$F30&gt;MAX('הנחות עבודה'!$B$69:$B$89)),0,(VLOOKUP($F30,'התפלגות ייצור וסל דלקים'!$B$64:$BV$84,AP$2-$E$2,FALSE))*$D$9*$D$8*(HLOOKUP(AP$23,$G$18:$R$19,2,FALSE)*(1-$D$12)^($F30-'הנחות עבודה'!$C$5)/$D$11)/$D$11)</f>
        <v>0</v>
      </c>
      <c r="AQ30" s="52">
        <f ca="1">IF(OR($F30&gt;$D$5,$F30&gt;MAX('הנחות עבודה'!$B$69:$B$89)),0,(VLOOKUP($F30,'התפלגות ייצור וסל דלקים'!$B$64:$BV$84,AQ$2-$E$2,FALSE))*$D$9*$D$8*(HLOOKUP(AQ$23,$G$18:$R$19,2,FALSE)*(1-$D$12)^($F30-'הנחות עבודה'!$C$5)/$D$11)/$D$11)</f>
        <v>0</v>
      </c>
      <c r="AR30" s="127">
        <f ca="1">IF(OR($F30&gt;$D$5,$F30&gt;MAX('הנחות עבודה'!$B$69:$B$89)),0,(VLOOKUP($F30,'התפלגות ייצור וסל דלקים'!$B$64:$BV$84,AR$2-$E$2,FALSE))*$D$9*$D$8*(HLOOKUP(AR$23,$G$18:$R$19,2,FALSE)*(1-$D$12)^($F30-'הנחות עבודה'!$C$5)/$D$11)/$D$11)</f>
        <v>0</v>
      </c>
      <c r="AS30" s="127">
        <f ca="1">IF(OR($F30&gt;$D$5,$F30&gt;MAX('הנחות עבודה'!$B$69:$B$89)),0,(VLOOKUP($F30,'התפלגות ייצור וסל דלקים'!$B$64:$BV$84,AS$2-$E$2,FALSE))*$D$9*$D$8*(HLOOKUP(AS$23,$G$18:$R$19,2,FALSE)*(1-$D$12)^($F30-'הנחות עבודה'!$C$5)/$D$11)/$D$11)</f>
        <v>0</v>
      </c>
      <c r="AT30" s="127">
        <f ca="1">IF(OR($F30&gt;$D$5,$F30&gt;MAX('הנחות עבודה'!$B$69:$B$89)),0,(VLOOKUP($F30,'התפלגות ייצור וסל דלקים'!$B$64:$BV$84,AT$2-$E$2,FALSE))*$D$9*$D$8*(HLOOKUP(AT$23,$G$18:$R$19,2,FALSE)*(1-$D$12)^($F30-'הנחות עבודה'!$C$5)/$D$11)/$D$11)</f>
        <v>0</v>
      </c>
      <c r="AU30" s="127">
        <f ca="1">IF(OR($F30&gt;$D$5,$F30&gt;MAX('הנחות עבודה'!$B$69:$B$89)),0,(VLOOKUP($F30,'התפלגות ייצור וסל דלקים'!$B$64:$BV$84,AU$2-$E$2,FALSE))*$D$9*$D$8*(HLOOKUP(AU$23,$G$18:$R$19,2,FALSE)*(1-$D$12)^($F30-'הנחות עבודה'!$C$5)/$D$11)/$D$11)</f>
        <v>0</v>
      </c>
      <c r="AV30" s="127">
        <f ca="1">IF(OR($F30&gt;$D$5,$F30&gt;MAX('הנחות עבודה'!$B$69:$B$89)),0,(VLOOKUP($F30,'התפלגות ייצור וסל דלקים'!$B$64:$BV$84,AV$2-$E$2,FALSE))*$D$9*$D$8*(HLOOKUP(AV$23,$G$18:$R$19,2,FALSE)*(1-$D$12)^($F30-'הנחות עבודה'!$C$5)/$D$11)/$D$11)</f>
        <v>0</v>
      </c>
      <c r="AW30" s="52">
        <f ca="1">IF(OR($F30&gt;$D$5,$F30&gt;MAX('הנחות עבודה'!$B$69:$B$89)),0,(VLOOKUP($F30,'התפלגות ייצור וסל דלקים'!$B$64:$BV$84,AW$2-$E$2,FALSE))*$D$9*$D$8*(HLOOKUP(AW$23,$G$18:$R$19,2,FALSE)*(1-$D$12)^($F30-'הנחות עבודה'!$C$5)/$D$11)/$D$11)</f>
        <v>1.1969864000000002E-4</v>
      </c>
      <c r="AX30" s="52">
        <f ca="1">IF(OR($F30&gt;$D$5,$F30&gt;MAX('הנחות עבודה'!$B$69:$B$89)),0,(VLOOKUP($F30,'התפלגות ייצור וסל דלקים'!$B$64:$BV$84,AX$2-$E$2,FALSE))*$D$9*$D$8*(HLOOKUP(AX$23,$G$18:$R$19,2,FALSE)*(1-$D$12)^($F30-'הנחות עבודה'!$C$5)/$D$11)/$D$11)</f>
        <v>4.4229059520000004E-4</v>
      </c>
      <c r="AY30" s="52">
        <f ca="1">IF(OR($F30&gt;$D$5,$F30&gt;MAX('הנחות עבודה'!$B$69:$B$89)),0,(VLOOKUP($F30,'התפלגות ייצור וסל דלקים'!$B$64:$BV$84,AY$2-$E$2,FALSE))*$D$9*$D$8*(HLOOKUP(AY$23,$G$18:$R$19,2,FALSE)*(1-$D$12)^($F30-'הנחות עבודה'!$C$5)/$D$11)/$D$11)</f>
        <v>0</v>
      </c>
      <c r="AZ30" s="52">
        <f ca="1">IF(OR($F30&gt;$D$5,$F30&gt;MAX('הנחות עבודה'!$B$69:$B$89)),0,(VLOOKUP($F30,'התפלגות ייצור וסל דלקים'!$B$64:$BV$84,AZ$2-$E$2,FALSE))*$D$9*$D$8*(HLOOKUP(AZ$23,$G$18:$R$19,2,FALSE)*(1-$D$12)^($F30-'הנחות עבודה'!$C$5)/$D$11)/$D$11)</f>
        <v>0</v>
      </c>
      <c r="BA30" s="52">
        <f ca="1">IF(OR($F30&gt;$D$5,$F30&gt;MAX('הנחות עבודה'!$B$69:$B$89)),0,(VLOOKUP($F30,'התפלגות ייצור וסל דלקים'!$B$64:$BV$84,BA$2-$E$2,FALSE))*$D$9*$D$8*(HLOOKUP(BA$23,$G$18:$R$19,2,FALSE)*(1-$D$12)^($F30-'הנחות עבודה'!$C$5)/$D$11)/$D$11)</f>
        <v>0</v>
      </c>
      <c r="BB30" s="52">
        <f ca="1">IF(OR($F30&gt;$D$5,$F30&gt;MAX('הנחות עבודה'!$B$69:$B$89)),0,(VLOOKUP($F30,'התפלגות ייצור וסל דלקים'!$B$64:$BV$84,BB$2-$E$2,FALSE))*$D$9*$D$8*(HLOOKUP(BB$23,$G$18:$R$19,2,FALSE)*(1-$D$12)^($F30-'הנחות עבודה'!$C$5)/$D$11)/$D$11)</f>
        <v>0</v>
      </c>
      <c r="BC30" s="42">
        <f ca="1">IF(OR($F30&gt;$D$5,$F30&gt;MAX('הנחות עבודה'!$B$69:$B$89)),0,(VLOOKUP($F30,'התפלגות ייצור וסל דלקים'!$B$64:$BV$84,BC$2-$E$2,FALSE))*$D$9*$D$8*(HLOOKUP(BC$23,$G$18:$R$19,2,FALSE)*(1-$D$12)^($F30-'הנחות עבודה'!$C$5)/$D$11)/$D$11)</f>
        <v>0</v>
      </c>
      <c r="BD30" s="44">
        <f ca="1">IF(OR($F30&gt;$D$5,$F30&gt;MAX('הנחות עבודה'!$B$69:$B$89)),0,(VLOOKUP($F30,'התפלגות ייצור וסל דלקים'!$B$64:$BV$84,BD$2-$E$2,FALSE))*$D$9*$D$8*(HLOOKUP(BD$23,$G$18:$R$19,2,FALSE)*(1-$D$12)^($F30-'הנחות עבודה'!$C$5)/$D$11)/$D$11)</f>
        <v>0</v>
      </c>
      <c r="BE30" s="44">
        <f ca="1">IF(OR($F30&gt;$D$5,$F30&gt;MAX('הנחות עבודה'!$B$69:$B$89)),0,(VLOOKUP($F30,'התפלגות ייצור וסל דלקים'!$B$64:$BV$84,BE$2-$E$2,FALSE))*$D$9*$D$8*(HLOOKUP(BE$23,$G$18:$R$19,2,FALSE)*(1-$D$12)^($F30-'הנחות עבודה'!$C$5)/$D$11)/$D$11)</f>
        <v>0</v>
      </c>
      <c r="BF30" s="44">
        <f ca="1">IF(OR($F30&gt;$D$5,$F30&gt;MAX('הנחות עבודה'!$B$69:$B$89)),0,(VLOOKUP($F30,'התפלגות ייצור וסל דלקים'!$B$64:$BV$84,BF$2-$E$2,FALSE))*$D$9*$D$8*(HLOOKUP(BF$23,$G$18:$R$19,2,FALSE)*(1-$D$12)^($F30-'הנחות עבודה'!$C$5)/$D$11)/$D$11)</f>
        <v>0</v>
      </c>
      <c r="BG30" s="44">
        <f ca="1">IF(OR($F30&gt;$D$5,$F30&gt;MAX('הנחות עבודה'!$B$69:$B$89)),0,(VLOOKUP($F30,'התפלגות ייצור וסל דלקים'!$B$64:$BV$84,BG$2-$E$2,FALSE))*$D$9*$D$8*(HLOOKUP(BG$23,$G$18:$R$19,2,FALSE)*(1-$D$12)^($F30-'הנחות עבודה'!$C$5)/$D$11)/$D$11)</f>
        <v>0</v>
      </c>
      <c r="BH30" s="44">
        <f ca="1">IF(OR($F30&gt;$D$5,$F30&gt;MAX('הנחות עבודה'!$B$69:$B$89)),0,(VLOOKUP($F30,'התפלגות ייצור וסל דלקים'!$B$64:$BV$84,BH$2-$E$2,FALSE))*$D$9*$D$8*(HLOOKUP(BH$23,$G$18:$R$19,2,FALSE)*(1-$D$12)^($F30-'הנחות עבודה'!$C$5)/$D$11)/$D$11)</f>
        <v>0</v>
      </c>
      <c r="BI30" s="42">
        <f ca="1">IF(OR($F30&gt;$D$5,$F30&gt;MAX('הנחות עבודה'!$B$69:$B$89)),0,(VLOOKUP($F30,'התפלגות ייצור וסל דלקים'!$B$64:$BV$84,BI$2-$E$2,FALSE))*$D$9*$D$8*(HLOOKUP(BI$23,$G$18:$R$19,2,FALSE)*(1-$D$12)^($F30-'הנחות עבודה'!$C$5)/$D$11)/$D$11)</f>
        <v>1.20656E-4</v>
      </c>
      <c r="BJ30" s="42">
        <f ca="1">IF(OR($F30&gt;$D$5,$F30&gt;MAX('הנחות עבודה'!$B$69:$B$89)),0,(VLOOKUP($F30,'התפלגות ייצור וסל דלקים'!$B$64:$BV$84,BJ$2-$E$2,FALSE))*$D$9*$D$8*(HLOOKUP(BJ$23,$G$18:$R$19,2,FALSE)*(1-$D$12)^($F30-'הנחות עבודה'!$C$5)/$D$11)/$D$11)</f>
        <v>4.2066421760000004E-4</v>
      </c>
      <c r="BK30" s="42">
        <f ca="1">IF(OR($F30&gt;$D$5,$F30&gt;MAX('הנחות עבודה'!$B$69:$B$89)),0,(VLOOKUP($F30,'התפלגות ייצור וסל דלקים'!$B$64:$BV$84,BK$2-$E$2,FALSE))*$D$9*$D$8*(HLOOKUP(BK$23,$G$18:$R$19,2,FALSE)*(1-$D$12)^($F30-'הנחות עבודה'!$C$5)/$D$11)/$D$11)</f>
        <v>0</v>
      </c>
      <c r="BL30" s="42">
        <f ca="1">IF(OR($F30&gt;$D$5,$F30&gt;MAX('הנחות עבודה'!$B$69:$B$89)),0,(VLOOKUP($F30,'התפלגות ייצור וסל דלקים'!$B$64:$BV$84,BL$2-$E$2,FALSE))*$D$9*$D$8*(HLOOKUP(BL$23,$G$18:$R$19,2,FALSE)*(1-$D$12)^($F30-'הנחות עבודה'!$C$5)/$D$11)/$D$11)</f>
        <v>0</v>
      </c>
      <c r="BM30" s="42">
        <f ca="1">IF(OR($F30&gt;$D$5,$F30&gt;MAX('הנחות עבודה'!$B$69:$B$89)),0,(VLOOKUP($F30,'התפלגות ייצור וסל דלקים'!$B$64:$BV$84,BM$2-$E$2,FALSE))*$D$9*$D$8*(HLOOKUP(BM$23,$G$18:$R$19,2,FALSE)*(1-$D$12)^($F30-'הנחות עבודה'!$C$5)/$D$11)/$D$11)</f>
        <v>0</v>
      </c>
      <c r="BN30" s="42">
        <f ca="1">IF(OR($F30&gt;$D$5,$F30&gt;MAX('הנחות עבודה'!$B$69:$B$89)),0,(VLOOKUP($F30,'התפלגות ייצור וסל דלקים'!$B$64:$BV$84,BN$2-$E$2,FALSE))*$D$9*$D$8*(HLOOKUP(BN$23,$G$18:$R$19,2,FALSE)*(1-$D$12)^($F30-'הנחות עבודה'!$C$5)/$D$11)/$D$11)</f>
        <v>0</v>
      </c>
      <c r="BO30" s="52">
        <f ca="1">IF(OR($F30&gt;$D$5,$F30&gt;MAX('הנחות עבודה'!$B$69:$B$89)),0,(VLOOKUP($F30,'התפלגות ייצור וסל דלקים'!$B$64:$BV$84,BO$2-$E$2,FALSE))*$D$9*$D$8*(HLOOKUP(BO$23,$G$18:$R$19,2,FALSE)*(1-$D$12)^($F30-'הנחות עבודה'!$C$5)/$D$11)/$D$11)</f>
        <v>0</v>
      </c>
      <c r="BP30" s="127">
        <f ca="1">IF(OR($F30&gt;$D$5,$F30&gt;MAX('הנחות עבודה'!$B$69:$B$89)),0,(VLOOKUP($F30,'התפלגות ייצור וסל דלקים'!$B$64:$BV$84,BP$2-$E$2,FALSE))*$D$9*$D$8*(HLOOKUP(BP$23,$G$18:$R$19,2,FALSE)*(1-$D$12)^($F30-'הנחות עבודה'!$C$5)/$D$11)/$D$11)</f>
        <v>0</v>
      </c>
      <c r="BQ30" s="127">
        <f ca="1">IF(OR($F30&gt;$D$5,$F30&gt;MAX('הנחות עבודה'!$B$69:$B$89)),0,(VLOOKUP($F30,'התפלגות ייצור וסל דלקים'!$B$64:$BV$84,BQ$2-$E$2,FALSE))*$D$9*$D$8*(HLOOKUP(BQ$23,$G$18:$R$19,2,FALSE)*(1-$D$12)^($F30-'הנחות עבודה'!$C$5)/$D$11)/$D$11)</f>
        <v>0</v>
      </c>
      <c r="BR30" s="127">
        <f ca="1">IF(OR($F30&gt;$D$5,$F30&gt;MAX('הנחות עבודה'!$B$69:$B$89)),0,(VLOOKUP($F30,'התפלגות ייצור וסל דלקים'!$B$64:$BV$84,BR$2-$E$2,FALSE))*$D$9*$D$8*(HLOOKUP(BR$23,$G$18:$R$19,2,FALSE)*(1-$D$12)^($F30-'הנחות עבודה'!$C$5)/$D$11)/$D$11)</f>
        <v>0</v>
      </c>
      <c r="BS30" s="127">
        <f ca="1">IF(OR($F30&gt;$D$5,$F30&gt;MAX('הנחות עבודה'!$B$69:$B$89)),0,(VLOOKUP($F30,'התפלגות ייצור וסל דלקים'!$B$64:$BV$84,BS$2-$E$2,FALSE))*$D$9*$D$8*(HLOOKUP(BS$23,$G$18:$R$19,2,FALSE)*(1-$D$12)^($F30-'הנחות עבודה'!$C$5)/$D$11)/$D$11)</f>
        <v>0</v>
      </c>
      <c r="BT30" s="127">
        <f ca="1">IF(OR($F30&gt;$D$5,$F30&gt;MAX('הנחות עבודה'!$B$69:$B$89)),0,(VLOOKUP($F30,'התפלגות ייצור וסל דלקים'!$B$64:$BV$84,BT$2-$E$2,FALSE))*$D$9*$D$8*(HLOOKUP(BT$23,$G$18:$R$19,2,FALSE)*(1-$D$12)^($F30-'הנחות עבודה'!$C$5)/$D$11)/$D$11)</f>
        <v>0</v>
      </c>
      <c r="BU30" s="52">
        <f ca="1">IF(OR($F30&gt;$D$5,$F30&gt;MAX('הנחות עבודה'!$B$69:$B$89)),0,(VLOOKUP($F30,'התפלגות ייצור וסל דלקים'!$B$64:$BV$84,BU$2-$E$2,FALSE))*$D$9*$D$8*(HLOOKUP(BU$23,$G$18:$R$19,2,FALSE)*(1-$D$12)^($F30-'הנחות עבודה'!$C$5)/$D$11)/$D$11)</f>
        <v>1.20656E-4</v>
      </c>
      <c r="BV30" s="52">
        <f ca="1">IF(OR($F30&gt;$D$5,$F30&gt;MAX('הנחות עבודה'!$B$69:$B$89)),0,(VLOOKUP($F30,'התפלגות ייצור וסל דלקים'!$B$64:$BV$84,BV$2-$E$2,FALSE))*$D$9*$D$8*(HLOOKUP(BV$23,$G$18:$R$19,2,FALSE)*(1-$D$12)^($F30-'הנחות עבודה'!$C$5)/$D$11)/$D$11)</f>
        <v>4.2066421760000004E-4</v>
      </c>
      <c r="BW30" s="52">
        <f ca="1">IF(OR($F30&gt;$D$5,$F30&gt;MAX('הנחות עבודה'!$B$69:$B$89)),0,(VLOOKUP($F30,'התפלגות ייצור וסל דלקים'!$B$64:$BV$84,BW$2-$E$2,FALSE))*$D$9*$D$8*(HLOOKUP(BW$23,$G$18:$R$19,2,FALSE)*(1-$D$12)^($F30-'הנחות עבודה'!$C$5)/$D$11)/$D$11)</f>
        <v>0</v>
      </c>
      <c r="BX30" s="52">
        <f ca="1">IF(OR($F30&gt;$D$5,$F30&gt;MAX('הנחות עבודה'!$B$69:$B$89)),0,(VLOOKUP($F30,'התפלגות ייצור וסל דלקים'!$B$64:$BV$84,BX$2-$E$2,FALSE))*$D$9*$D$8*(HLOOKUP(BX$23,$G$18:$R$19,2,FALSE)*(1-$D$12)^($F30-'הנחות עבודה'!$C$5)/$D$11)/$D$11)</f>
        <v>0</v>
      </c>
      <c r="BY30" s="52">
        <f ca="1">IF(OR($F30&gt;$D$5,$F30&gt;MAX('הנחות עבודה'!$B$69:$B$89)),0,(VLOOKUP($F30,'התפלגות ייצור וסל דלקים'!$B$64:$BV$84,BY$2-$E$2,FALSE))*$D$9*$D$8*(HLOOKUP(BY$23,$G$18:$R$19,2,FALSE)*(1-$D$12)^($F30-'הנחות עבודה'!$C$5)/$D$11)/$D$11)</f>
        <v>0</v>
      </c>
      <c r="BZ30" s="52">
        <f ca="1">IF(OR($F30&gt;$D$5,$F30&gt;MAX('הנחות עבודה'!$B$69:$B$89)),0,(VLOOKUP($F30,'התפלגות ייצור וסל דלקים'!$B$64:$BV$84,BZ$2-$E$2,FALSE))*$D$9*$D$8*(HLOOKUP(BZ$23,$G$18:$R$19,2,FALSE)*(1-$D$12)^($F30-'הנחות עבודה'!$C$5)/$D$11)/$D$11)</f>
        <v>0</v>
      </c>
    </row>
    <row r="31" spans="6:78" ht="15.75">
      <c r="F31" s="10">
        <f t="shared" si="108"/>
        <v>2027</v>
      </c>
      <c r="G31" s="42">
        <f ca="1">IF(OR($F31&gt;$D$5,$F31&gt;MAX('הנחות עבודה'!$B$69:$B$89)),0,(VLOOKUP($F31,'התפלגות ייצור וסל דלקים'!$B$64:$BV$84,G$2-$E$2,FALSE))*$D$9*$D$8*(HLOOKUP(G$23,$G$18:$R$19,2,FALSE)*(1-$D$12)^($F31-'הנחות עבודה'!$C$5)/$D$11)/$D$11)</f>
        <v>0</v>
      </c>
      <c r="H31" s="44">
        <f ca="1">IF(OR($F31&gt;$D$5,$F31&gt;MAX('הנחות עבודה'!$B$69:$B$89)),0,(VLOOKUP($F31,'התפלגות ייצור וסל דלקים'!$B$64:$BV$84,H$2-$E$2,FALSE))*$D$9*$D$8*(HLOOKUP(H$23,$G$18:$R$19,2,FALSE)*(1-$D$12)^($F31-'הנחות עבודה'!$C$5)/$D$11)/$D$11)</f>
        <v>0</v>
      </c>
      <c r="I31" s="44">
        <f ca="1">IF(OR($F31&gt;$D$5,$F31&gt;MAX('הנחות עבודה'!$B$69:$B$89)),0,(VLOOKUP($F31,'התפלגות ייצור וסל דלקים'!$B$64:$BV$84,I$2-$E$2,FALSE))*$D$9*$D$8*(HLOOKUP(I$23,$G$18:$R$19,2,FALSE)*(1-$D$12)^($F31-'הנחות עבודה'!$C$5)/$D$11)/$D$11)</f>
        <v>0</v>
      </c>
      <c r="J31" s="44">
        <f ca="1">IF(OR($F31&gt;$D$5,$F31&gt;MAX('הנחות עבודה'!$B$69:$B$89)),0,(VLOOKUP($F31,'התפלגות ייצור וסל דלקים'!$B$64:$BV$84,J$2-$E$2,FALSE))*$D$9*$D$8*(HLOOKUP(J$23,$G$18:$R$19,2,FALSE)*(1-$D$12)^($F31-'הנחות עבודה'!$C$5)/$D$11)/$D$11)</f>
        <v>0</v>
      </c>
      <c r="K31" s="44">
        <f ca="1">IF(OR($F31&gt;$D$5,$F31&gt;MAX('הנחות עבודה'!$B$69:$B$89)),0,(VLOOKUP($F31,'התפלגות ייצור וסל דלקים'!$B$64:$BV$84,K$2-$E$2,FALSE))*$D$9*$D$8*(HLOOKUP(K$23,$G$18:$R$19,2,FALSE)*(1-$D$12)^($F31-'הנחות עבודה'!$C$5)/$D$11)/$D$11)</f>
        <v>0</v>
      </c>
      <c r="L31" s="44">
        <f ca="1">IF(OR($F31&gt;$D$5,$F31&gt;MAX('הנחות עבודה'!$B$69:$B$89)),0,(VLOOKUP($F31,'התפלגות ייצור וסל דלקים'!$B$64:$BV$84,L$2-$E$2,FALSE))*$D$9*$D$8*(HLOOKUP(L$23,$G$18:$R$19,2,FALSE)*(1-$D$12)^($F31-'הנחות עבודה'!$C$5)/$D$11)/$D$11)</f>
        <v>0</v>
      </c>
      <c r="M31" s="42">
        <f ca="1">IF(OR($F31&gt;$D$5,$F31&gt;MAX('הנחות עבודה'!$B$69:$B$89)),0,(VLOOKUP($F31,'התפלגות ייצור וסל דלקים'!$B$64:$BV$84,M$2-$E$2,FALSE))*$D$9*$D$8*(HLOOKUP(M$23,$G$18:$R$19,2,FALSE)*(1-$D$12)^($F31-'הנחות עבודה'!$C$5)/$D$11)/$D$11)</f>
        <v>1.1956519999999998E-4</v>
      </c>
      <c r="N31" s="42">
        <f ca="1">IF(OR($F31&gt;$D$5,$F31&gt;MAX('הנחות עבודה'!$B$69:$B$89)),0,(VLOOKUP($F31,'התפלגות ייצור וסל דלקים'!$B$64:$BV$84,N$2-$E$2,FALSE))*$D$9*$D$8*(HLOOKUP(N$23,$G$18:$R$19,2,FALSE)*(1-$D$12)^($F31-'הנחות עבודה'!$C$5)/$D$11)/$D$11)</f>
        <v>4.8961620862400003E-4</v>
      </c>
      <c r="O31" s="42">
        <f ca="1">IF(OR($F31&gt;$D$5,$F31&gt;MAX('הנחות עבודה'!$B$69:$B$89)),0,(VLOOKUP($F31,'התפלגות ייצור וסל דלקים'!$B$64:$BV$84,O$2-$E$2,FALSE))*$D$9*$D$8*(HLOOKUP(O$23,$G$18:$R$19,2,FALSE)*(1-$D$12)^($F31-'הנחות עבודה'!$C$5)/$D$11)/$D$11)</f>
        <v>0</v>
      </c>
      <c r="P31" s="42">
        <f ca="1">IF(OR($F31&gt;$D$5,$F31&gt;MAX('הנחות עבודה'!$B$69:$B$89)),0,(VLOOKUP($F31,'התפלגות ייצור וסל דלקים'!$B$64:$BV$84,P$2-$E$2,FALSE))*$D$9*$D$8*(HLOOKUP(P$23,$G$18:$R$19,2,FALSE)*(1-$D$12)^($F31-'הנחות עבודה'!$C$5)/$D$11)/$D$11)</f>
        <v>0</v>
      </c>
      <c r="Q31" s="42">
        <f ca="1">IF(OR($F31&gt;$D$5,$F31&gt;MAX('הנחות עבודה'!$B$69:$B$89)),0,(VLOOKUP($F31,'התפלגות ייצור וסל דלקים'!$B$64:$BV$84,Q$2-$E$2,FALSE))*$D$9*$D$8*(HLOOKUP(Q$23,$G$18:$R$19,2,FALSE)*(1-$D$12)^($F31-'הנחות עבודה'!$C$5)/$D$11)/$D$11)</f>
        <v>0</v>
      </c>
      <c r="R31" s="42">
        <f ca="1">IF(OR($F31&gt;$D$5,$F31&gt;MAX('הנחות עבודה'!$B$69:$B$89)),0,(VLOOKUP($F31,'התפלגות ייצור וסל דלקים'!$B$64:$BV$84,R$2-$E$2,FALSE))*$D$9*$D$8*(HLOOKUP(R$23,$G$18:$R$19,2,FALSE)*(1-$D$12)^($F31-'הנחות עבודה'!$C$5)/$D$11)/$D$11)</f>
        <v>0</v>
      </c>
      <c r="S31" s="52">
        <f ca="1">IF(OR($F31&gt;$D$5,$F31&gt;MAX('הנחות עבודה'!$B$69:$B$89)),0,(VLOOKUP($F31,'התפלגות ייצור וסל דלקים'!$B$64:$BV$84,S$2-$E$2,FALSE))*$D$9*$D$8*(HLOOKUP(S$23,$G$18:$R$19,2,FALSE)*(1-$D$12)^($F31-'הנחות עבודה'!$C$5)/$D$11)/$D$11)</f>
        <v>0</v>
      </c>
      <c r="T31" s="127">
        <f ca="1">IF(OR($F31&gt;$D$5,$F31&gt;MAX('הנחות עבודה'!$B$69:$B$89)),0,(VLOOKUP($F31,'התפלגות ייצור וסל דלקים'!$B$64:$BV$84,T$2-$E$2,FALSE))*$D$9*$D$8*(HLOOKUP(T$23,$G$18:$R$19,2,FALSE)*(1-$D$12)^($F31-'הנחות עבודה'!$C$5)/$D$11)/$D$11)</f>
        <v>0</v>
      </c>
      <c r="U31" s="127">
        <f ca="1">IF(OR($F31&gt;$D$5,$F31&gt;MAX('הנחות עבודה'!$B$69:$B$89)),0,(VLOOKUP($F31,'התפלגות ייצור וסל דלקים'!$B$64:$BV$84,U$2-$E$2,FALSE))*$D$9*$D$8*(HLOOKUP(U$23,$G$18:$R$19,2,FALSE)*(1-$D$12)^($F31-'הנחות עבודה'!$C$5)/$D$11)/$D$11)</f>
        <v>0</v>
      </c>
      <c r="V31" s="127">
        <f ca="1">IF(OR($F31&gt;$D$5,$F31&gt;MAX('הנחות עבודה'!$B$69:$B$89)),0,(VLOOKUP($F31,'התפלגות ייצור וסל דלקים'!$B$64:$BV$84,V$2-$E$2,FALSE))*$D$9*$D$8*(HLOOKUP(V$23,$G$18:$R$19,2,FALSE)*(1-$D$12)^($F31-'הנחות עבודה'!$C$5)/$D$11)/$D$11)</f>
        <v>0</v>
      </c>
      <c r="W31" s="127">
        <f ca="1">IF(OR($F31&gt;$D$5,$F31&gt;MAX('הנחות עבודה'!$B$69:$B$89)),0,(VLOOKUP($F31,'התפלגות ייצור וסל דלקים'!$B$64:$BV$84,W$2-$E$2,FALSE))*$D$9*$D$8*(HLOOKUP(W$23,$G$18:$R$19,2,FALSE)*(1-$D$12)^($F31-'הנחות עבודה'!$C$5)/$D$11)/$D$11)</f>
        <v>0</v>
      </c>
      <c r="X31" s="127">
        <f ca="1">IF(OR($F31&gt;$D$5,$F31&gt;MAX('הנחות עבודה'!$B$69:$B$89)),0,(VLOOKUP($F31,'התפלגות ייצור וסל דלקים'!$B$64:$BV$84,X$2-$E$2,FALSE))*$D$9*$D$8*(HLOOKUP(X$23,$G$18:$R$19,2,FALSE)*(1-$D$12)^($F31-'הנחות עבודה'!$C$5)/$D$11)/$D$11)</f>
        <v>0</v>
      </c>
      <c r="Y31" s="52">
        <f ca="1">IF(OR($F31&gt;$D$5,$F31&gt;MAX('הנחות עבודה'!$B$69:$B$89)),0,(VLOOKUP($F31,'התפלגות ייצור וסל דלקים'!$B$64:$BV$84,Y$2-$E$2,FALSE))*$D$9*$D$8*(HLOOKUP(Y$23,$G$18:$R$19,2,FALSE)*(1-$D$12)^($F31-'הנחות עבודה'!$C$5)/$D$11)/$D$11)</f>
        <v>1.1956519999999998E-4</v>
      </c>
      <c r="Z31" s="52">
        <f ca="1">IF(OR($F31&gt;$D$5,$F31&gt;MAX('הנחות עבודה'!$B$69:$B$89)),0,(VLOOKUP($F31,'התפלגות ייצור וסל דלקים'!$B$64:$BV$84,Z$2-$E$2,FALSE))*$D$9*$D$8*(HLOOKUP(Z$23,$G$18:$R$19,2,FALSE)*(1-$D$12)^($F31-'הנחות עבודה'!$C$5)/$D$11)/$D$11)</f>
        <v>4.8961620862400003E-4</v>
      </c>
      <c r="AA31" s="52">
        <f ca="1">IF(OR($F31&gt;$D$5,$F31&gt;MAX('הנחות עבודה'!$B$69:$B$89)),0,(VLOOKUP($F31,'התפלגות ייצור וסל דלקים'!$B$64:$BV$84,AA$2-$E$2,FALSE))*$D$9*$D$8*(HLOOKUP(AA$23,$G$18:$R$19,2,FALSE)*(1-$D$12)^($F31-'הנחות עבודה'!$C$5)/$D$11)/$D$11)</f>
        <v>0</v>
      </c>
      <c r="AB31" s="52">
        <f ca="1">IF(OR($F31&gt;$D$5,$F31&gt;MAX('הנחות עבודה'!$B$69:$B$89)),0,(VLOOKUP($F31,'התפלגות ייצור וסל דלקים'!$B$64:$BV$84,AB$2-$E$2,FALSE))*$D$9*$D$8*(HLOOKUP(AB$23,$G$18:$R$19,2,FALSE)*(1-$D$12)^($F31-'הנחות עבודה'!$C$5)/$D$11)/$D$11)</f>
        <v>0</v>
      </c>
      <c r="AC31" s="52">
        <f ca="1">IF(OR($F31&gt;$D$5,$F31&gt;MAX('הנחות עבודה'!$B$69:$B$89)),0,(VLOOKUP($F31,'התפלגות ייצור וסל דלקים'!$B$64:$BV$84,AC$2-$E$2,FALSE))*$D$9*$D$8*(HLOOKUP(AC$23,$G$18:$R$19,2,FALSE)*(1-$D$12)^($F31-'הנחות עבודה'!$C$5)/$D$11)/$D$11)</f>
        <v>0</v>
      </c>
      <c r="AD31" s="52">
        <f ca="1">IF(OR($F31&gt;$D$5,$F31&gt;MAX('הנחות עבודה'!$B$69:$B$89)),0,(VLOOKUP($F31,'התפלגות ייצור וסל דלקים'!$B$64:$BV$84,AD$2-$E$2,FALSE))*$D$9*$D$8*(HLOOKUP(AD$23,$G$18:$R$19,2,FALSE)*(1-$D$12)^($F31-'הנחות עבודה'!$C$5)/$D$11)/$D$11)</f>
        <v>0</v>
      </c>
      <c r="AE31" s="42">
        <f ca="1">IF(OR($F31&gt;$D$5,$F31&gt;MAX('הנחות עבודה'!$B$69:$B$89)),0,(VLOOKUP($F31,'התפלגות ייצור וסל דלקים'!$B$64:$BV$84,AE$2-$E$2,FALSE))*$D$9*$D$8*(HLOOKUP(AE$23,$G$18:$R$19,2,FALSE)*(1-$D$12)^($F31-'הנחות עבודה'!$C$5)/$D$11)/$D$11)</f>
        <v>0</v>
      </c>
      <c r="AF31" s="44">
        <f ca="1">IF(OR($F31&gt;$D$5,$F31&gt;MAX('הנחות עבודה'!$B$69:$B$89)),0,(VLOOKUP($F31,'התפלגות ייצור וסל דלקים'!$B$64:$BV$84,AF$2-$E$2,FALSE))*$D$9*$D$8*(HLOOKUP(AF$23,$G$18:$R$19,2,FALSE)*(1-$D$12)^($F31-'הנחות עבודה'!$C$5)/$D$11)/$D$11)</f>
        <v>0</v>
      </c>
      <c r="AG31" s="44">
        <f ca="1">IF(OR($F31&gt;$D$5,$F31&gt;MAX('הנחות עבודה'!$B$69:$B$89)),0,(VLOOKUP($F31,'התפלגות ייצור וסל דלקים'!$B$64:$BV$84,AG$2-$E$2,FALSE))*$D$9*$D$8*(HLOOKUP(AG$23,$G$18:$R$19,2,FALSE)*(1-$D$12)^($F31-'הנחות עבודה'!$C$5)/$D$11)/$D$11)</f>
        <v>0</v>
      </c>
      <c r="AH31" s="44">
        <f ca="1">IF(OR($F31&gt;$D$5,$F31&gt;MAX('הנחות עבודה'!$B$69:$B$89)),0,(VLOOKUP($F31,'התפלגות ייצור וסל דלקים'!$B$64:$BV$84,AH$2-$E$2,FALSE))*$D$9*$D$8*(HLOOKUP(AH$23,$G$18:$R$19,2,FALSE)*(1-$D$12)^($F31-'הנחות עבודה'!$C$5)/$D$11)/$D$11)</f>
        <v>0</v>
      </c>
      <c r="AI31" s="44">
        <f ca="1">IF(OR($F31&gt;$D$5,$F31&gt;MAX('הנחות עבודה'!$B$69:$B$89)),0,(VLOOKUP($F31,'התפלגות ייצור וסל דלקים'!$B$64:$BV$84,AI$2-$E$2,FALSE))*$D$9*$D$8*(HLOOKUP(AI$23,$G$18:$R$19,2,FALSE)*(1-$D$12)^($F31-'הנחות עבודה'!$C$5)/$D$11)/$D$11)</f>
        <v>0</v>
      </c>
      <c r="AJ31" s="44">
        <f ca="1">IF(OR($F31&gt;$D$5,$F31&gt;MAX('הנחות עבודה'!$B$69:$B$89)),0,(VLOOKUP($F31,'התפלגות ייצור וסל דלקים'!$B$64:$BV$84,AJ$2-$E$2,FALSE))*$D$9*$D$8*(HLOOKUP(AJ$23,$G$18:$R$19,2,FALSE)*(1-$D$12)^($F31-'הנחות עבודה'!$C$5)/$D$11)/$D$11)</f>
        <v>0</v>
      </c>
      <c r="AK31" s="42">
        <f ca="1">IF(OR($F31&gt;$D$5,$F31&gt;MAX('הנחות עבודה'!$B$69:$B$89)),0,(VLOOKUP($F31,'התפלגות ייצור וסל דלקים'!$B$64:$BV$84,AK$2-$E$2,FALSE))*$D$9*$D$8*(HLOOKUP(AK$23,$G$18:$R$19,2,FALSE)*(1-$D$12)^($F31-'הנחות עבודה'!$C$5)/$D$11)/$D$11)</f>
        <v>1.1863112000000002E-4</v>
      </c>
      <c r="AL31" s="42">
        <f ca="1">IF(OR($F31&gt;$D$5,$F31&gt;MAX('הנחות עבודה'!$B$69:$B$89)),0,(VLOOKUP($F31,'התפלגות ייצור וסל דלקים'!$B$64:$BV$84,AL$2-$E$2,FALSE))*$D$9*$D$8*(HLOOKUP(AL$23,$G$18:$R$19,2,FALSE)*(1-$D$12)^($F31-'הנחות עבודה'!$C$5)/$D$11)/$D$11)</f>
        <v>4.4828099852000009E-4</v>
      </c>
      <c r="AM31" s="42">
        <f ca="1">IF(OR($F31&gt;$D$5,$F31&gt;MAX('הנחות עבודה'!$B$69:$B$89)),0,(VLOOKUP($F31,'התפלגות ייצור וסל דלקים'!$B$64:$BV$84,AM$2-$E$2,FALSE))*$D$9*$D$8*(HLOOKUP(AM$23,$G$18:$R$19,2,FALSE)*(1-$D$12)^($F31-'הנחות עבודה'!$C$5)/$D$11)/$D$11)</f>
        <v>0</v>
      </c>
      <c r="AN31" s="42">
        <f ca="1">IF(OR($F31&gt;$D$5,$F31&gt;MAX('הנחות עבודה'!$B$69:$B$89)),0,(VLOOKUP($F31,'התפלגות ייצור וסל דלקים'!$B$64:$BV$84,AN$2-$E$2,FALSE))*$D$9*$D$8*(HLOOKUP(AN$23,$G$18:$R$19,2,FALSE)*(1-$D$12)^($F31-'הנחות עבודה'!$C$5)/$D$11)/$D$11)</f>
        <v>0</v>
      </c>
      <c r="AO31" s="42">
        <f ca="1">IF(OR($F31&gt;$D$5,$F31&gt;MAX('הנחות עבודה'!$B$69:$B$89)),0,(VLOOKUP($F31,'התפלגות ייצור וסל דלקים'!$B$64:$BV$84,AO$2-$E$2,FALSE))*$D$9*$D$8*(HLOOKUP(AO$23,$G$18:$R$19,2,FALSE)*(1-$D$12)^($F31-'הנחות עבודה'!$C$5)/$D$11)/$D$11)</f>
        <v>0</v>
      </c>
      <c r="AP31" s="42">
        <f ca="1">IF(OR($F31&gt;$D$5,$F31&gt;MAX('הנחות עבודה'!$B$69:$B$89)),0,(VLOOKUP($F31,'התפלגות ייצור וסל דלקים'!$B$64:$BV$84,AP$2-$E$2,FALSE))*$D$9*$D$8*(HLOOKUP(AP$23,$G$18:$R$19,2,FALSE)*(1-$D$12)^($F31-'הנחות עבודה'!$C$5)/$D$11)/$D$11)</f>
        <v>0</v>
      </c>
      <c r="AQ31" s="52">
        <f ca="1">IF(OR($F31&gt;$D$5,$F31&gt;MAX('הנחות עבודה'!$B$69:$B$89)),0,(VLOOKUP($F31,'התפלגות ייצור וסל דלקים'!$B$64:$BV$84,AQ$2-$E$2,FALSE))*$D$9*$D$8*(HLOOKUP(AQ$23,$G$18:$R$19,2,FALSE)*(1-$D$12)^($F31-'הנחות עבודה'!$C$5)/$D$11)/$D$11)</f>
        <v>0</v>
      </c>
      <c r="AR31" s="127">
        <f ca="1">IF(OR($F31&gt;$D$5,$F31&gt;MAX('הנחות עבודה'!$B$69:$B$89)),0,(VLOOKUP($F31,'התפלגות ייצור וסל דלקים'!$B$64:$BV$84,AR$2-$E$2,FALSE))*$D$9*$D$8*(HLOOKUP(AR$23,$G$18:$R$19,2,FALSE)*(1-$D$12)^($F31-'הנחות עבודה'!$C$5)/$D$11)/$D$11)</f>
        <v>0</v>
      </c>
      <c r="AS31" s="127">
        <f ca="1">IF(OR($F31&gt;$D$5,$F31&gt;MAX('הנחות עבודה'!$B$69:$B$89)),0,(VLOOKUP($F31,'התפלגות ייצור וסל דלקים'!$B$64:$BV$84,AS$2-$E$2,FALSE))*$D$9*$D$8*(HLOOKUP(AS$23,$G$18:$R$19,2,FALSE)*(1-$D$12)^($F31-'הנחות עבודה'!$C$5)/$D$11)/$D$11)</f>
        <v>0</v>
      </c>
      <c r="AT31" s="127">
        <f ca="1">IF(OR($F31&gt;$D$5,$F31&gt;MAX('הנחות עבודה'!$B$69:$B$89)),0,(VLOOKUP($F31,'התפלגות ייצור וסל דלקים'!$B$64:$BV$84,AT$2-$E$2,FALSE))*$D$9*$D$8*(HLOOKUP(AT$23,$G$18:$R$19,2,FALSE)*(1-$D$12)^($F31-'הנחות עבודה'!$C$5)/$D$11)/$D$11)</f>
        <v>0</v>
      </c>
      <c r="AU31" s="127">
        <f ca="1">IF(OR($F31&gt;$D$5,$F31&gt;MAX('הנחות עבודה'!$B$69:$B$89)),0,(VLOOKUP($F31,'התפלגות ייצור וסל דלקים'!$B$64:$BV$84,AU$2-$E$2,FALSE))*$D$9*$D$8*(HLOOKUP(AU$23,$G$18:$R$19,2,FALSE)*(1-$D$12)^($F31-'הנחות עבודה'!$C$5)/$D$11)/$D$11)</f>
        <v>0</v>
      </c>
      <c r="AV31" s="127">
        <f ca="1">IF(OR($F31&gt;$D$5,$F31&gt;MAX('הנחות עבודה'!$B$69:$B$89)),0,(VLOOKUP($F31,'התפלגות ייצור וסל דלקים'!$B$64:$BV$84,AV$2-$E$2,FALSE))*$D$9*$D$8*(HLOOKUP(AV$23,$G$18:$R$19,2,FALSE)*(1-$D$12)^($F31-'הנחות עבודה'!$C$5)/$D$11)/$D$11)</f>
        <v>0</v>
      </c>
      <c r="AW31" s="52">
        <f ca="1">IF(OR($F31&gt;$D$5,$F31&gt;MAX('הנחות עבודה'!$B$69:$B$89)),0,(VLOOKUP($F31,'התפלגות ייצור וסל דלקים'!$B$64:$BV$84,AW$2-$E$2,FALSE))*$D$9*$D$8*(HLOOKUP(AW$23,$G$18:$R$19,2,FALSE)*(1-$D$12)^($F31-'הנחות עבודה'!$C$5)/$D$11)/$D$11)</f>
        <v>1.1863112000000002E-4</v>
      </c>
      <c r="AX31" s="52">
        <f ca="1">IF(OR($F31&gt;$D$5,$F31&gt;MAX('הנחות עבודה'!$B$69:$B$89)),0,(VLOOKUP($F31,'התפלגות ייצור וסל דלקים'!$B$64:$BV$84,AX$2-$E$2,FALSE))*$D$9*$D$8*(HLOOKUP(AX$23,$G$18:$R$19,2,FALSE)*(1-$D$12)^($F31-'הנחות עבודה'!$C$5)/$D$11)/$D$11)</f>
        <v>4.4828099852000009E-4</v>
      </c>
      <c r="AY31" s="52">
        <f ca="1">IF(OR($F31&gt;$D$5,$F31&gt;MAX('הנחות עבודה'!$B$69:$B$89)),0,(VLOOKUP($F31,'התפלגות ייצור וסל דלקים'!$B$64:$BV$84,AY$2-$E$2,FALSE))*$D$9*$D$8*(HLOOKUP(AY$23,$G$18:$R$19,2,FALSE)*(1-$D$12)^($F31-'הנחות עבודה'!$C$5)/$D$11)/$D$11)</f>
        <v>0</v>
      </c>
      <c r="AZ31" s="52">
        <f ca="1">IF(OR($F31&gt;$D$5,$F31&gt;MAX('הנחות עבודה'!$B$69:$B$89)),0,(VLOOKUP($F31,'התפלגות ייצור וסל דלקים'!$B$64:$BV$84,AZ$2-$E$2,FALSE))*$D$9*$D$8*(HLOOKUP(AZ$23,$G$18:$R$19,2,FALSE)*(1-$D$12)^($F31-'הנחות עבודה'!$C$5)/$D$11)/$D$11)</f>
        <v>0</v>
      </c>
      <c r="BA31" s="52">
        <f ca="1">IF(OR($F31&gt;$D$5,$F31&gt;MAX('הנחות עבודה'!$B$69:$B$89)),0,(VLOOKUP($F31,'התפלגות ייצור וסל דלקים'!$B$64:$BV$84,BA$2-$E$2,FALSE))*$D$9*$D$8*(HLOOKUP(BA$23,$G$18:$R$19,2,FALSE)*(1-$D$12)^($F31-'הנחות עבודה'!$C$5)/$D$11)/$D$11)</f>
        <v>0</v>
      </c>
      <c r="BB31" s="52">
        <f ca="1">IF(OR($F31&gt;$D$5,$F31&gt;MAX('הנחות עבודה'!$B$69:$B$89)),0,(VLOOKUP($F31,'התפלגות ייצור וסל דלקים'!$B$64:$BV$84,BB$2-$E$2,FALSE))*$D$9*$D$8*(HLOOKUP(BB$23,$G$18:$R$19,2,FALSE)*(1-$D$12)^($F31-'הנחות עבודה'!$C$5)/$D$11)/$D$11)</f>
        <v>0</v>
      </c>
      <c r="BC31" s="42">
        <f ca="1">IF(OR($F31&gt;$D$5,$F31&gt;MAX('הנחות עבודה'!$B$69:$B$89)),0,(VLOOKUP($F31,'התפלגות ייצור וסל דלקים'!$B$64:$BV$84,BC$2-$E$2,FALSE))*$D$9*$D$8*(HLOOKUP(BC$23,$G$18:$R$19,2,FALSE)*(1-$D$12)^($F31-'הנחות עבודה'!$C$5)/$D$11)/$D$11)</f>
        <v>0</v>
      </c>
      <c r="BD31" s="44">
        <f ca="1">IF(OR($F31&gt;$D$5,$F31&gt;MAX('הנחות עבודה'!$B$69:$B$89)),0,(VLOOKUP($F31,'התפלגות ייצור וסל דלקים'!$B$64:$BV$84,BD$2-$E$2,FALSE))*$D$9*$D$8*(HLOOKUP(BD$23,$G$18:$R$19,2,FALSE)*(1-$D$12)^($F31-'הנחות עבודה'!$C$5)/$D$11)/$D$11)</f>
        <v>0</v>
      </c>
      <c r="BE31" s="44">
        <f ca="1">IF(OR($F31&gt;$D$5,$F31&gt;MAX('הנחות עבודה'!$B$69:$B$89)),0,(VLOOKUP($F31,'התפלגות ייצור וסל דלקים'!$B$64:$BV$84,BE$2-$E$2,FALSE))*$D$9*$D$8*(HLOOKUP(BE$23,$G$18:$R$19,2,FALSE)*(1-$D$12)^($F31-'הנחות עבודה'!$C$5)/$D$11)/$D$11)</f>
        <v>0</v>
      </c>
      <c r="BF31" s="44">
        <f ca="1">IF(OR($F31&gt;$D$5,$F31&gt;MAX('הנחות עבודה'!$B$69:$B$89)),0,(VLOOKUP($F31,'התפלגות ייצור וסל דלקים'!$B$64:$BV$84,BF$2-$E$2,FALSE))*$D$9*$D$8*(HLOOKUP(BF$23,$G$18:$R$19,2,FALSE)*(1-$D$12)^($F31-'הנחות עבודה'!$C$5)/$D$11)/$D$11)</f>
        <v>0</v>
      </c>
      <c r="BG31" s="44">
        <f ca="1">IF(OR($F31&gt;$D$5,$F31&gt;MAX('הנחות עבודה'!$B$69:$B$89)),0,(VLOOKUP($F31,'התפלגות ייצור וסל דלקים'!$B$64:$BV$84,BG$2-$E$2,FALSE))*$D$9*$D$8*(HLOOKUP(BG$23,$G$18:$R$19,2,FALSE)*(1-$D$12)^($F31-'הנחות עבודה'!$C$5)/$D$11)/$D$11)</f>
        <v>0</v>
      </c>
      <c r="BH31" s="44">
        <f ca="1">IF(OR($F31&gt;$D$5,$F31&gt;MAX('הנחות עבודה'!$B$69:$B$89)),0,(VLOOKUP($F31,'התפלגות ייצור וסל דלקים'!$B$64:$BV$84,BH$2-$E$2,FALSE))*$D$9*$D$8*(HLOOKUP(BH$23,$G$18:$R$19,2,FALSE)*(1-$D$12)^($F31-'הנחות עבודה'!$C$5)/$D$11)/$D$11)</f>
        <v>0</v>
      </c>
      <c r="BI31" s="42">
        <f ca="1">IF(OR($F31&gt;$D$5,$F31&gt;MAX('הנחות עבודה'!$B$69:$B$89)),0,(VLOOKUP($F31,'התפלגות ייצור וסל דלקים'!$B$64:$BV$84,BI$2-$E$2,FALSE))*$D$9*$D$8*(HLOOKUP(BI$23,$G$18:$R$19,2,FALSE)*(1-$D$12)^($F31-'הנחות עבודה'!$C$5)/$D$11)/$D$11)</f>
        <v>1.2031200000000001E-4</v>
      </c>
      <c r="BJ31" s="42">
        <f ca="1">IF(OR($F31&gt;$D$5,$F31&gt;MAX('הנחות עבודה'!$B$69:$B$89)),0,(VLOOKUP($F31,'התפלגות ייצור וסל דלקים'!$B$64:$BV$84,BJ$2-$E$2,FALSE))*$D$9*$D$8*(HLOOKUP(BJ$23,$G$18:$R$19,2,FALSE)*(1-$D$12)^($F31-'הנחות עבודה'!$C$5)/$D$11)/$D$11)</f>
        <v>4.2176927456000012E-4</v>
      </c>
      <c r="BK31" s="42">
        <f ca="1">IF(OR($F31&gt;$D$5,$F31&gt;MAX('הנחות עבודה'!$B$69:$B$89)),0,(VLOOKUP($F31,'התפלגות ייצור וסל דלקים'!$B$64:$BV$84,BK$2-$E$2,FALSE))*$D$9*$D$8*(HLOOKUP(BK$23,$G$18:$R$19,2,FALSE)*(1-$D$12)^($F31-'הנחות עבודה'!$C$5)/$D$11)/$D$11)</f>
        <v>0</v>
      </c>
      <c r="BL31" s="42">
        <f ca="1">IF(OR($F31&gt;$D$5,$F31&gt;MAX('הנחות עבודה'!$B$69:$B$89)),0,(VLOOKUP($F31,'התפלגות ייצור וסל דלקים'!$B$64:$BV$84,BL$2-$E$2,FALSE))*$D$9*$D$8*(HLOOKUP(BL$23,$G$18:$R$19,2,FALSE)*(1-$D$12)^($F31-'הנחות עבודה'!$C$5)/$D$11)/$D$11)</f>
        <v>0</v>
      </c>
      <c r="BM31" s="42">
        <f ca="1">IF(OR($F31&gt;$D$5,$F31&gt;MAX('הנחות עבודה'!$B$69:$B$89)),0,(VLOOKUP($F31,'התפלגות ייצור וסל דלקים'!$B$64:$BV$84,BM$2-$E$2,FALSE))*$D$9*$D$8*(HLOOKUP(BM$23,$G$18:$R$19,2,FALSE)*(1-$D$12)^($F31-'הנחות עבודה'!$C$5)/$D$11)/$D$11)</f>
        <v>0</v>
      </c>
      <c r="BN31" s="42">
        <f ca="1">IF(OR($F31&gt;$D$5,$F31&gt;MAX('הנחות עבודה'!$B$69:$B$89)),0,(VLOOKUP($F31,'התפלגות ייצור וסל דלקים'!$B$64:$BV$84,BN$2-$E$2,FALSE))*$D$9*$D$8*(HLOOKUP(BN$23,$G$18:$R$19,2,FALSE)*(1-$D$12)^($F31-'הנחות עבודה'!$C$5)/$D$11)/$D$11)</f>
        <v>0</v>
      </c>
      <c r="BO31" s="52">
        <f ca="1">IF(OR($F31&gt;$D$5,$F31&gt;MAX('הנחות עבודה'!$B$69:$B$89)),0,(VLOOKUP($F31,'התפלגות ייצור וסל דלקים'!$B$64:$BV$84,BO$2-$E$2,FALSE))*$D$9*$D$8*(HLOOKUP(BO$23,$G$18:$R$19,2,FALSE)*(1-$D$12)^($F31-'הנחות עבודה'!$C$5)/$D$11)/$D$11)</f>
        <v>0</v>
      </c>
      <c r="BP31" s="127">
        <f ca="1">IF(OR($F31&gt;$D$5,$F31&gt;MAX('הנחות עבודה'!$B$69:$B$89)),0,(VLOOKUP($F31,'התפלגות ייצור וסל דלקים'!$B$64:$BV$84,BP$2-$E$2,FALSE))*$D$9*$D$8*(HLOOKUP(BP$23,$G$18:$R$19,2,FALSE)*(1-$D$12)^($F31-'הנחות עבודה'!$C$5)/$D$11)/$D$11)</f>
        <v>0</v>
      </c>
      <c r="BQ31" s="127">
        <f ca="1">IF(OR($F31&gt;$D$5,$F31&gt;MAX('הנחות עבודה'!$B$69:$B$89)),0,(VLOOKUP($F31,'התפלגות ייצור וסל דלקים'!$B$64:$BV$84,BQ$2-$E$2,FALSE))*$D$9*$D$8*(HLOOKUP(BQ$23,$G$18:$R$19,2,FALSE)*(1-$D$12)^($F31-'הנחות עבודה'!$C$5)/$D$11)/$D$11)</f>
        <v>0</v>
      </c>
      <c r="BR31" s="127">
        <f ca="1">IF(OR($F31&gt;$D$5,$F31&gt;MAX('הנחות עבודה'!$B$69:$B$89)),0,(VLOOKUP($F31,'התפלגות ייצור וסל דלקים'!$B$64:$BV$84,BR$2-$E$2,FALSE))*$D$9*$D$8*(HLOOKUP(BR$23,$G$18:$R$19,2,FALSE)*(1-$D$12)^($F31-'הנחות עבודה'!$C$5)/$D$11)/$D$11)</f>
        <v>0</v>
      </c>
      <c r="BS31" s="127">
        <f ca="1">IF(OR($F31&gt;$D$5,$F31&gt;MAX('הנחות עבודה'!$B$69:$B$89)),0,(VLOOKUP($F31,'התפלגות ייצור וסל דלקים'!$B$64:$BV$84,BS$2-$E$2,FALSE))*$D$9*$D$8*(HLOOKUP(BS$23,$G$18:$R$19,2,FALSE)*(1-$D$12)^($F31-'הנחות עבודה'!$C$5)/$D$11)/$D$11)</f>
        <v>0</v>
      </c>
      <c r="BT31" s="127">
        <f ca="1">IF(OR($F31&gt;$D$5,$F31&gt;MAX('הנחות עבודה'!$B$69:$B$89)),0,(VLOOKUP($F31,'התפלגות ייצור וסל דלקים'!$B$64:$BV$84,BT$2-$E$2,FALSE))*$D$9*$D$8*(HLOOKUP(BT$23,$G$18:$R$19,2,FALSE)*(1-$D$12)^($F31-'הנחות עבודה'!$C$5)/$D$11)/$D$11)</f>
        <v>0</v>
      </c>
      <c r="BU31" s="52">
        <f ca="1">IF(OR($F31&gt;$D$5,$F31&gt;MAX('הנחות עבודה'!$B$69:$B$89)),0,(VLOOKUP($F31,'התפלגות ייצור וסל דלקים'!$B$64:$BV$84,BU$2-$E$2,FALSE))*$D$9*$D$8*(HLOOKUP(BU$23,$G$18:$R$19,2,FALSE)*(1-$D$12)^($F31-'הנחות עבודה'!$C$5)/$D$11)/$D$11)</f>
        <v>1.2031200000000001E-4</v>
      </c>
      <c r="BV31" s="52">
        <f ca="1">IF(OR($F31&gt;$D$5,$F31&gt;MAX('הנחות עבודה'!$B$69:$B$89)),0,(VLOOKUP($F31,'התפלגות ייצור וסל דלקים'!$B$64:$BV$84,BV$2-$E$2,FALSE))*$D$9*$D$8*(HLOOKUP(BV$23,$G$18:$R$19,2,FALSE)*(1-$D$12)^($F31-'הנחות עבודה'!$C$5)/$D$11)/$D$11)</f>
        <v>4.2176927456000012E-4</v>
      </c>
      <c r="BW31" s="52">
        <f ca="1">IF(OR($F31&gt;$D$5,$F31&gt;MAX('הנחות עבודה'!$B$69:$B$89)),0,(VLOOKUP($F31,'התפלגות ייצור וסל דלקים'!$B$64:$BV$84,BW$2-$E$2,FALSE))*$D$9*$D$8*(HLOOKUP(BW$23,$G$18:$R$19,2,FALSE)*(1-$D$12)^($F31-'הנחות עבודה'!$C$5)/$D$11)/$D$11)</f>
        <v>0</v>
      </c>
      <c r="BX31" s="52">
        <f ca="1">IF(OR($F31&gt;$D$5,$F31&gt;MAX('הנחות עבודה'!$B$69:$B$89)),0,(VLOOKUP($F31,'התפלגות ייצור וסל דלקים'!$B$64:$BV$84,BX$2-$E$2,FALSE))*$D$9*$D$8*(HLOOKUP(BX$23,$G$18:$R$19,2,FALSE)*(1-$D$12)^($F31-'הנחות עבודה'!$C$5)/$D$11)/$D$11)</f>
        <v>0</v>
      </c>
      <c r="BY31" s="52">
        <f ca="1">IF(OR($F31&gt;$D$5,$F31&gt;MAX('הנחות עבודה'!$B$69:$B$89)),0,(VLOOKUP($F31,'התפלגות ייצור וסל דלקים'!$B$64:$BV$84,BY$2-$E$2,FALSE))*$D$9*$D$8*(HLOOKUP(BY$23,$G$18:$R$19,2,FALSE)*(1-$D$12)^($F31-'הנחות עבודה'!$C$5)/$D$11)/$D$11)</f>
        <v>0</v>
      </c>
      <c r="BZ31" s="52">
        <f ca="1">IF(OR($F31&gt;$D$5,$F31&gt;MAX('הנחות עבודה'!$B$69:$B$89)),0,(VLOOKUP($F31,'התפלגות ייצור וסל דלקים'!$B$64:$BV$84,BZ$2-$E$2,FALSE))*$D$9*$D$8*(HLOOKUP(BZ$23,$G$18:$R$19,2,FALSE)*(1-$D$12)^($F31-'הנחות עבודה'!$C$5)/$D$11)/$D$11)</f>
        <v>0</v>
      </c>
    </row>
    <row r="32" spans="6:78" ht="15.75">
      <c r="F32" s="10">
        <f t="shared" si="108"/>
        <v>2028</v>
      </c>
      <c r="G32" s="42">
        <f ca="1">IF(OR($F32&gt;$D$5,$F32&gt;MAX('הנחות עבודה'!$B$69:$B$89)),0,(VLOOKUP($F32,'התפלגות ייצור וסל דלקים'!$B$64:$BV$84,G$2-$E$2,FALSE))*$D$9*$D$8*(HLOOKUP(G$23,$G$18:$R$19,2,FALSE)*(1-$D$12)^($F32-'הנחות עבודה'!$C$5)/$D$11)/$D$11)</f>
        <v>0</v>
      </c>
      <c r="H32" s="44">
        <f ca="1">IF(OR($F32&gt;$D$5,$F32&gt;MAX('הנחות עבודה'!$B$69:$B$89)),0,(VLOOKUP($F32,'התפלגות ייצור וסל דלקים'!$B$64:$BV$84,H$2-$E$2,FALSE))*$D$9*$D$8*(HLOOKUP(H$23,$G$18:$R$19,2,FALSE)*(1-$D$12)^($F32-'הנחות עבודה'!$C$5)/$D$11)/$D$11)</f>
        <v>0</v>
      </c>
      <c r="I32" s="44">
        <f ca="1">IF(OR($F32&gt;$D$5,$F32&gt;MAX('הנחות עבודה'!$B$69:$B$89)),0,(VLOOKUP($F32,'התפלגות ייצור וסל דלקים'!$B$64:$BV$84,I$2-$E$2,FALSE))*$D$9*$D$8*(HLOOKUP(I$23,$G$18:$R$19,2,FALSE)*(1-$D$12)^($F32-'הנחות עבודה'!$C$5)/$D$11)/$D$11)</f>
        <v>0</v>
      </c>
      <c r="J32" s="44">
        <f ca="1">IF(OR($F32&gt;$D$5,$F32&gt;MAX('הנחות עבודה'!$B$69:$B$89)),0,(VLOOKUP($F32,'התפלגות ייצור וסל דלקים'!$B$64:$BV$84,J$2-$E$2,FALSE))*$D$9*$D$8*(HLOOKUP(J$23,$G$18:$R$19,2,FALSE)*(1-$D$12)^($F32-'הנחות עבודה'!$C$5)/$D$11)/$D$11)</f>
        <v>0</v>
      </c>
      <c r="K32" s="44">
        <f ca="1">IF(OR($F32&gt;$D$5,$F32&gt;MAX('הנחות עבודה'!$B$69:$B$89)),0,(VLOOKUP($F32,'התפלגות ייצור וסל דלקים'!$B$64:$BV$84,K$2-$E$2,FALSE))*$D$9*$D$8*(HLOOKUP(K$23,$G$18:$R$19,2,FALSE)*(1-$D$12)^($F32-'הנחות עבודה'!$C$5)/$D$11)/$D$11)</f>
        <v>0</v>
      </c>
      <c r="L32" s="44">
        <f ca="1">IF(OR($F32&gt;$D$5,$F32&gt;MAX('הנחות עבודה'!$B$69:$B$89)),0,(VLOOKUP($F32,'התפלגות ייצור וסל דלקים'!$B$64:$BV$84,L$2-$E$2,FALSE))*$D$9*$D$8*(HLOOKUP(L$23,$G$18:$R$19,2,FALSE)*(1-$D$12)^($F32-'הנחות עבודה'!$C$5)/$D$11)/$D$11)</f>
        <v>0</v>
      </c>
      <c r="M32" s="42">
        <f ca="1">IF(OR($F32&gt;$D$5,$F32&gt;MAX('הנחות עבודה'!$B$69:$B$89)),0,(VLOOKUP($F32,'התפלגות ייצור וסל דלקים'!$B$64:$BV$84,M$2-$E$2,FALSE))*$D$9*$D$8*(HLOOKUP(M$23,$G$18:$R$19,2,FALSE)*(1-$D$12)^($F32-'הנחות עבודה'!$C$5)/$D$11)/$D$11)</f>
        <v>1.1709568E-4</v>
      </c>
      <c r="N32" s="42">
        <f ca="1">IF(OR($F32&gt;$D$5,$F32&gt;MAX('הנחות עבודה'!$B$69:$B$89)),0,(VLOOKUP($F32,'התפלגות ייצור וסל דלקים'!$B$64:$BV$84,N$2-$E$2,FALSE))*$D$9*$D$8*(HLOOKUP(N$23,$G$18:$R$19,2,FALSE)*(1-$D$12)^($F32-'הנחות עבודה'!$C$5)/$D$11)/$D$11)</f>
        <v>5.0147033124800001E-4</v>
      </c>
      <c r="O32" s="42">
        <f ca="1">IF(OR($F32&gt;$D$5,$F32&gt;MAX('הנחות עבודה'!$B$69:$B$89)),0,(VLOOKUP($F32,'התפלגות ייצור וסל דלקים'!$B$64:$BV$84,O$2-$E$2,FALSE))*$D$9*$D$8*(HLOOKUP(O$23,$G$18:$R$19,2,FALSE)*(1-$D$12)^($F32-'הנחות עבודה'!$C$5)/$D$11)/$D$11)</f>
        <v>0</v>
      </c>
      <c r="P32" s="42">
        <f ca="1">IF(OR($F32&gt;$D$5,$F32&gt;MAX('הנחות עבודה'!$B$69:$B$89)),0,(VLOOKUP($F32,'התפלגות ייצור וסל דלקים'!$B$64:$BV$84,P$2-$E$2,FALSE))*$D$9*$D$8*(HLOOKUP(P$23,$G$18:$R$19,2,FALSE)*(1-$D$12)^($F32-'הנחות עבודה'!$C$5)/$D$11)/$D$11)</f>
        <v>0</v>
      </c>
      <c r="Q32" s="42">
        <f ca="1">IF(OR($F32&gt;$D$5,$F32&gt;MAX('הנחות עבודה'!$B$69:$B$89)),0,(VLOOKUP($F32,'התפלגות ייצור וסל דלקים'!$B$64:$BV$84,Q$2-$E$2,FALSE))*$D$9*$D$8*(HLOOKUP(Q$23,$G$18:$R$19,2,FALSE)*(1-$D$12)^($F32-'הנחות עבודה'!$C$5)/$D$11)/$D$11)</f>
        <v>0</v>
      </c>
      <c r="R32" s="42">
        <f ca="1">IF(OR($F32&gt;$D$5,$F32&gt;MAX('הנחות עבודה'!$B$69:$B$89)),0,(VLOOKUP($F32,'התפלגות ייצור וסל דלקים'!$B$64:$BV$84,R$2-$E$2,FALSE))*$D$9*$D$8*(HLOOKUP(R$23,$G$18:$R$19,2,FALSE)*(1-$D$12)^($F32-'הנחות עבודה'!$C$5)/$D$11)/$D$11)</f>
        <v>0</v>
      </c>
      <c r="S32" s="52">
        <f ca="1">IF(OR($F32&gt;$D$5,$F32&gt;MAX('הנחות עבודה'!$B$69:$B$89)),0,(VLOOKUP($F32,'התפלגות ייצור וסל דלקים'!$B$64:$BV$84,S$2-$E$2,FALSE))*$D$9*$D$8*(HLOOKUP(S$23,$G$18:$R$19,2,FALSE)*(1-$D$12)^($F32-'הנחות עבודה'!$C$5)/$D$11)/$D$11)</f>
        <v>0</v>
      </c>
      <c r="T32" s="127">
        <f ca="1">IF(OR($F32&gt;$D$5,$F32&gt;MAX('הנחות עבודה'!$B$69:$B$89)),0,(VLOOKUP($F32,'התפלגות ייצור וסל דלקים'!$B$64:$BV$84,T$2-$E$2,FALSE))*$D$9*$D$8*(HLOOKUP(T$23,$G$18:$R$19,2,FALSE)*(1-$D$12)^($F32-'הנחות עבודה'!$C$5)/$D$11)/$D$11)</f>
        <v>0</v>
      </c>
      <c r="U32" s="127">
        <f ca="1">IF(OR($F32&gt;$D$5,$F32&gt;MAX('הנחות עבודה'!$B$69:$B$89)),0,(VLOOKUP($F32,'התפלגות ייצור וסל דלקים'!$B$64:$BV$84,U$2-$E$2,FALSE))*$D$9*$D$8*(HLOOKUP(U$23,$G$18:$R$19,2,FALSE)*(1-$D$12)^($F32-'הנחות עבודה'!$C$5)/$D$11)/$D$11)</f>
        <v>0</v>
      </c>
      <c r="V32" s="127">
        <f ca="1">IF(OR($F32&gt;$D$5,$F32&gt;MAX('הנחות עבודה'!$B$69:$B$89)),0,(VLOOKUP($F32,'התפלגות ייצור וסל דלקים'!$B$64:$BV$84,V$2-$E$2,FALSE))*$D$9*$D$8*(HLOOKUP(V$23,$G$18:$R$19,2,FALSE)*(1-$D$12)^($F32-'הנחות עבודה'!$C$5)/$D$11)/$D$11)</f>
        <v>0</v>
      </c>
      <c r="W32" s="127">
        <f ca="1">IF(OR($F32&gt;$D$5,$F32&gt;MAX('הנחות עבודה'!$B$69:$B$89)),0,(VLOOKUP($F32,'התפלגות ייצור וסל דלקים'!$B$64:$BV$84,W$2-$E$2,FALSE))*$D$9*$D$8*(HLOOKUP(W$23,$G$18:$R$19,2,FALSE)*(1-$D$12)^($F32-'הנחות עבודה'!$C$5)/$D$11)/$D$11)</f>
        <v>0</v>
      </c>
      <c r="X32" s="127">
        <f ca="1">IF(OR($F32&gt;$D$5,$F32&gt;MAX('הנחות עבודה'!$B$69:$B$89)),0,(VLOOKUP($F32,'התפלגות ייצור וסל דלקים'!$B$64:$BV$84,X$2-$E$2,FALSE))*$D$9*$D$8*(HLOOKUP(X$23,$G$18:$R$19,2,FALSE)*(1-$D$12)^($F32-'הנחות עבודה'!$C$5)/$D$11)/$D$11)</f>
        <v>0</v>
      </c>
      <c r="Y32" s="52">
        <f ca="1">IF(OR($F32&gt;$D$5,$F32&gt;MAX('הנחות עבודה'!$B$69:$B$89)),0,(VLOOKUP($F32,'התפלגות ייצור וסל דלקים'!$B$64:$BV$84,Y$2-$E$2,FALSE))*$D$9*$D$8*(HLOOKUP(Y$23,$G$18:$R$19,2,FALSE)*(1-$D$12)^($F32-'הנחות עבודה'!$C$5)/$D$11)/$D$11)</f>
        <v>1.1709568E-4</v>
      </c>
      <c r="Z32" s="52">
        <f ca="1">IF(OR($F32&gt;$D$5,$F32&gt;MAX('הנחות עבודה'!$B$69:$B$89)),0,(VLOOKUP($F32,'התפלגות ייצור וסל דלקים'!$B$64:$BV$84,Z$2-$E$2,FALSE))*$D$9*$D$8*(HLOOKUP(Z$23,$G$18:$R$19,2,FALSE)*(1-$D$12)^($F32-'הנחות עבודה'!$C$5)/$D$11)/$D$11)</f>
        <v>5.0147033124800001E-4</v>
      </c>
      <c r="AA32" s="52">
        <f ca="1">IF(OR($F32&gt;$D$5,$F32&gt;MAX('הנחות עבודה'!$B$69:$B$89)),0,(VLOOKUP($F32,'התפלגות ייצור וסל דלקים'!$B$64:$BV$84,AA$2-$E$2,FALSE))*$D$9*$D$8*(HLOOKUP(AA$23,$G$18:$R$19,2,FALSE)*(1-$D$12)^($F32-'הנחות עבודה'!$C$5)/$D$11)/$D$11)</f>
        <v>0</v>
      </c>
      <c r="AB32" s="52">
        <f ca="1">IF(OR($F32&gt;$D$5,$F32&gt;MAX('הנחות עבודה'!$B$69:$B$89)),0,(VLOOKUP($F32,'התפלגות ייצור וסל דלקים'!$B$64:$BV$84,AB$2-$E$2,FALSE))*$D$9*$D$8*(HLOOKUP(AB$23,$G$18:$R$19,2,FALSE)*(1-$D$12)^($F32-'הנחות עבודה'!$C$5)/$D$11)/$D$11)</f>
        <v>0</v>
      </c>
      <c r="AC32" s="52">
        <f ca="1">IF(OR($F32&gt;$D$5,$F32&gt;MAX('הנחות עבודה'!$B$69:$B$89)),0,(VLOOKUP($F32,'התפלגות ייצור וסל דלקים'!$B$64:$BV$84,AC$2-$E$2,FALSE))*$D$9*$D$8*(HLOOKUP(AC$23,$G$18:$R$19,2,FALSE)*(1-$D$12)^($F32-'הנחות עבודה'!$C$5)/$D$11)/$D$11)</f>
        <v>0</v>
      </c>
      <c r="AD32" s="52">
        <f ca="1">IF(OR($F32&gt;$D$5,$F32&gt;MAX('הנחות עבודה'!$B$69:$B$89)),0,(VLOOKUP($F32,'התפלגות ייצור וסל דלקים'!$B$64:$BV$84,AD$2-$E$2,FALSE))*$D$9*$D$8*(HLOOKUP(AD$23,$G$18:$R$19,2,FALSE)*(1-$D$12)^($F32-'הנחות עבודה'!$C$5)/$D$11)/$D$11)</f>
        <v>0</v>
      </c>
      <c r="AE32" s="42">
        <f ca="1">IF(OR($F32&gt;$D$5,$F32&gt;MAX('הנחות עבודה'!$B$69:$B$89)),0,(VLOOKUP($F32,'התפלגות ייצור וסל דלקים'!$B$64:$BV$84,AE$2-$E$2,FALSE))*$D$9*$D$8*(HLOOKUP(AE$23,$G$18:$R$19,2,FALSE)*(1-$D$12)^($F32-'הנחות עבודה'!$C$5)/$D$11)/$D$11)</f>
        <v>0</v>
      </c>
      <c r="AF32" s="44">
        <f ca="1">IF(OR($F32&gt;$D$5,$F32&gt;MAX('הנחות עבודה'!$B$69:$B$89)),0,(VLOOKUP($F32,'התפלגות ייצור וסל דלקים'!$B$64:$BV$84,AF$2-$E$2,FALSE))*$D$9*$D$8*(HLOOKUP(AF$23,$G$18:$R$19,2,FALSE)*(1-$D$12)^($F32-'הנחות עבודה'!$C$5)/$D$11)/$D$11)</f>
        <v>0</v>
      </c>
      <c r="AG32" s="44">
        <f ca="1">IF(OR($F32&gt;$D$5,$F32&gt;MAX('הנחות עבודה'!$B$69:$B$89)),0,(VLOOKUP($F32,'התפלגות ייצור וסל דלקים'!$B$64:$BV$84,AG$2-$E$2,FALSE))*$D$9*$D$8*(HLOOKUP(AG$23,$G$18:$R$19,2,FALSE)*(1-$D$12)^($F32-'הנחות עבודה'!$C$5)/$D$11)/$D$11)</f>
        <v>0</v>
      </c>
      <c r="AH32" s="44">
        <f ca="1">IF(OR($F32&gt;$D$5,$F32&gt;MAX('הנחות עבודה'!$B$69:$B$89)),0,(VLOOKUP($F32,'התפלגות ייצור וסל דלקים'!$B$64:$BV$84,AH$2-$E$2,FALSE))*$D$9*$D$8*(HLOOKUP(AH$23,$G$18:$R$19,2,FALSE)*(1-$D$12)^($F32-'הנחות עבודה'!$C$5)/$D$11)/$D$11)</f>
        <v>0</v>
      </c>
      <c r="AI32" s="44">
        <f ca="1">IF(OR($F32&gt;$D$5,$F32&gt;MAX('הנחות עבודה'!$B$69:$B$89)),0,(VLOOKUP($F32,'התפלגות ייצור וסל דלקים'!$B$64:$BV$84,AI$2-$E$2,FALSE))*$D$9*$D$8*(HLOOKUP(AI$23,$G$18:$R$19,2,FALSE)*(1-$D$12)^($F32-'הנחות עבודה'!$C$5)/$D$11)/$D$11)</f>
        <v>0</v>
      </c>
      <c r="AJ32" s="44">
        <f ca="1">IF(OR($F32&gt;$D$5,$F32&gt;MAX('הנחות עבודה'!$B$69:$B$89)),0,(VLOOKUP($F32,'התפלגות ייצור וסל דלקים'!$B$64:$BV$84,AJ$2-$E$2,FALSE))*$D$9*$D$8*(HLOOKUP(AJ$23,$G$18:$R$19,2,FALSE)*(1-$D$12)^($F32-'הנחות עבודה'!$C$5)/$D$11)/$D$11)</f>
        <v>0</v>
      </c>
      <c r="AK32" s="42">
        <f ca="1">IF(OR($F32&gt;$D$5,$F32&gt;MAX('הנחות עבודה'!$B$69:$B$89)),0,(VLOOKUP($F32,'התפלגות ייצור וסל דלקים'!$B$64:$BV$84,AK$2-$E$2,FALSE))*$D$9*$D$8*(HLOOKUP(AK$23,$G$18:$R$19,2,FALSE)*(1-$D$12)^($F32-'הנחות עבודה'!$C$5)/$D$11)/$D$11)</f>
        <v>1.1961312E-4</v>
      </c>
      <c r="AL32" s="42">
        <f ca="1">IF(OR($F32&gt;$D$5,$F32&gt;MAX('הנחות עבודה'!$B$69:$B$89)),0,(VLOOKUP($F32,'התפלגות ייצור וסל דלקים'!$B$64:$BV$84,AL$2-$E$2,FALSE))*$D$9*$D$8*(HLOOKUP(AL$23,$G$18:$R$19,2,FALSE)*(1-$D$12)^($F32-'הנחות עבודה'!$C$5)/$D$11)/$D$11)</f>
        <v>4.5046097264000003E-4</v>
      </c>
      <c r="AM32" s="42">
        <f ca="1">IF(OR($F32&gt;$D$5,$F32&gt;MAX('הנחות עבודה'!$B$69:$B$89)),0,(VLOOKUP($F32,'התפלגות ייצור וסל דלקים'!$B$64:$BV$84,AM$2-$E$2,FALSE))*$D$9*$D$8*(HLOOKUP(AM$23,$G$18:$R$19,2,FALSE)*(1-$D$12)^($F32-'הנחות עבודה'!$C$5)/$D$11)/$D$11)</f>
        <v>0</v>
      </c>
      <c r="AN32" s="42">
        <f ca="1">IF(OR($F32&gt;$D$5,$F32&gt;MAX('הנחות עבודה'!$B$69:$B$89)),0,(VLOOKUP($F32,'התפלגות ייצור וסל דלקים'!$B$64:$BV$84,AN$2-$E$2,FALSE))*$D$9*$D$8*(HLOOKUP(AN$23,$G$18:$R$19,2,FALSE)*(1-$D$12)^($F32-'הנחות עבודה'!$C$5)/$D$11)/$D$11)</f>
        <v>0</v>
      </c>
      <c r="AO32" s="42">
        <f ca="1">IF(OR($F32&gt;$D$5,$F32&gt;MAX('הנחות עבודה'!$B$69:$B$89)),0,(VLOOKUP($F32,'התפלגות ייצור וסל דלקים'!$B$64:$BV$84,AO$2-$E$2,FALSE))*$D$9*$D$8*(HLOOKUP(AO$23,$G$18:$R$19,2,FALSE)*(1-$D$12)^($F32-'הנחות עבודה'!$C$5)/$D$11)/$D$11)</f>
        <v>0</v>
      </c>
      <c r="AP32" s="42">
        <f ca="1">IF(OR($F32&gt;$D$5,$F32&gt;MAX('הנחות עבודה'!$B$69:$B$89)),0,(VLOOKUP($F32,'התפלגות ייצור וסל דלקים'!$B$64:$BV$84,AP$2-$E$2,FALSE))*$D$9*$D$8*(HLOOKUP(AP$23,$G$18:$R$19,2,FALSE)*(1-$D$12)^($F32-'הנחות עבודה'!$C$5)/$D$11)/$D$11)</f>
        <v>0</v>
      </c>
      <c r="AQ32" s="52">
        <f ca="1">IF(OR($F32&gt;$D$5,$F32&gt;MAX('הנחות עבודה'!$B$69:$B$89)),0,(VLOOKUP($F32,'התפלגות ייצור וסל דלקים'!$B$64:$BV$84,AQ$2-$E$2,FALSE))*$D$9*$D$8*(HLOOKUP(AQ$23,$G$18:$R$19,2,FALSE)*(1-$D$12)^($F32-'הנחות עבודה'!$C$5)/$D$11)/$D$11)</f>
        <v>0</v>
      </c>
      <c r="AR32" s="127">
        <f ca="1">IF(OR($F32&gt;$D$5,$F32&gt;MAX('הנחות עבודה'!$B$69:$B$89)),0,(VLOOKUP($F32,'התפלגות ייצור וסל דלקים'!$B$64:$BV$84,AR$2-$E$2,FALSE))*$D$9*$D$8*(HLOOKUP(AR$23,$G$18:$R$19,2,FALSE)*(1-$D$12)^($F32-'הנחות עבודה'!$C$5)/$D$11)/$D$11)</f>
        <v>0</v>
      </c>
      <c r="AS32" s="127">
        <f ca="1">IF(OR($F32&gt;$D$5,$F32&gt;MAX('הנחות עבודה'!$B$69:$B$89)),0,(VLOOKUP($F32,'התפלגות ייצור וסל דלקים'!$B$64:$BV$84,AS$2-$E$2,FALSE))*$D$9*$D$8*(HLOOKUP(AS$23,$G$18:$R$19,2,FALSE)*(1-$D$12)^($F32-'הנחות עבודה'!$C$5)/$D$11)/$D$11)</f>
        <v>0</v>
      </c>
      <c r="AT32" s="127">
        <f ca="1">IF(OR($F32&gt;$D$5,$F32&gt;MAX('הנחות עבודה'!$B$69:$B$89)),0,(VLOOKUP($F32,'התפלגות ייצור וסל דלקים'!$B$64:$BV$84,AT$2-$E$2,FALSE))*$D$9*$D$8*(HLOOKUP(AT$23,$G$18:$R$19,2,FALSE)*(1-$D$12)^($F32-'הנחות עבודה'!$C$5)/$D$11)/$D$11)</f>
        <v>0</v>
      </c>
      <c r="AU32" s="127">
        <f ca="1">IF(OR($F32&gt;$D$5,$F32&gt;MAX('הנחות עבודה'!$B$69:$B$89)),0,(VLOOKUP($F32,'התפלגות ייצור וסל דלקים'!$B$64:$BV$84,AU$2-$E$2,FALSE))*$D$9*$D$8*(HLOOKUP(AU$23,$G$18:$R$19,2,FALSE)*(1-$D$12)^($F32-'הנחות עבודה'!$C$5)/$D$11)/$D$11)</f>
        <v>0</v>
      </c>
      <c r="AV32" s="127">
        <f ca="1">IF(OR($F32&gt;$D$5,$F32&gt;MAX('הנחות עבודה'!$B$69:$B$89)),0,(VLOOKUP($F32,'התפלגות ייצור וסל דלקים'!$B$64:$BV$84,AV$2-$E$2,FALSE))*$D$9*$D$8*(HLOOKUP(AV$23,$G$18:$R$19,2,FALSE)*(1-$D$12)^($F32-'הנחות עבודה'!$C$5)/$D$11)/$D$11)</f>
        <v>0</v>
      </c>
      <c r="AW32" s="52">
        <f ca="1">IF(OR($F32&gt;$D$5,$F32&gt;MAX('הנחות עבודה'!$B$69:$B$89)),0,(VLOOKUP($F32,'התפלגות ייצור וסל דלקים'!$B$64:$BV$84,AW$2-$E$2,FALSE))*$D$9*$D$8*(HLOOKUP(AW$23,$G$18:$R$19,2,FALSE)*(1-$D$12)^($F32-'הנחות עבודה'!$C$5)/$D$11)/$D$11)</f>
        <v>1.1961312E-4</v>
      </c>
      <c r="AX32" s="52">
        <f ca="1">IF(OR($F32&gt;$D$5,$F32&gt;MAX('הנחות עבודה'!$B$69:$B$89)),0,(VLOOKUP($F32,'התפלגות ייצור וסל דלקים'!$B$64:$BV$84,AX$2-$E$2,FALSE))*$D$9*$D$8*(HLOOKUP(AX$23,$G$18:$R$19,2,FALSE)*(1-$D$12)^($F32-'הנחות עבודה'!$C$5)/$D$11)/$D$11)</f>
        <v>4.5046097264000003E-4</v>
      </c>
      <c r="AY32" s="52">
        <f ca="1">IF(OR($F32&gt;$D$5,$F32&gt;MAX('הנחות עבודה'!$B$69:$B$89)),0,(VLOOKUP($F32,'התפלגות ייצור וסל דלקים'!$B$64:$BV$84,AY$2-$E$2,FALSE))*$D$9*$D$8*(HLOOKUP(AY$23,$G$18:$R$19,2,FALSE)*(1-$D$12)^($F32-'הנחות עבודה'!$C$5)/$D$11)/$D$11)</f>
        <v>0</v>
      </c>
      <c r="AZ32" s="52">
        <f ca="1">IF(OR($F32&gt;$D$5,$F32&gt;MAX('הנחות עבודה'!$B$69:$B$89)),0,(VLOOKUP($F32,'התפלגות ייצור וסל דלקים'!$B$64:$BV$84,AZ$2-$E$2,FALSE))*$D$9*$D$8*(HLOOKUP(AZ$23,$G$18:$R$19,2,FALSE)*(1-$D$12)^($F32-'הנחות עבודה'!$C$5)/$D$11)/$D$11)</f>
        <v>0</v>
      </c>
      <c r="BA32" s="52">
        <f ca="1">IF(OR($F32&gt;$D$5,$F32&gt;MAX('הנחות עבודה'!$B$69:$B$89)),0,(VLOOKUP($F32,'התפלגות ייצור וסל דלקים'!$B$64:$BV$84,BA$2-$E$2,FALSE))*$D$9*$D$8*(HLOOKUP(BA$23,$G$18:$R$19,2,FALSE)*(1-$D$12)^($F32-'הנחות עבודה'!$C$5)/$D$11)/$D$11)</f>
        <v>0</v>
      </c>
      <c r="BB32" s="52">
        <f ca="1">IF(OR($F32&gt;$D$5,$F32&gt;MAX('הנחות עבודה'!$B$69:$B$89)),0,(VLOOKUP($F32,'התפלגות ייצור וסל דלקים'!$B$64:$BV$84,BB$2-$E$2,FALSE))*$D$9*$D$8*(HLOOKUP(BB$23,$G$18:$R$19,2,FALSE)*(1-$D$12)^($F32-'הנחות עבודה'!$C$5)/$D$11)/$D$11)</f>
        <v>0</v>
      </c>
      <c r="BC32" s="42">
        <f ca="1">IF(OR($F32&gt;$D$5,$F32&gt;MAX('הנחות עבודה'!$B$69:$B$89)),0,(VLOOKUP($F32,'התפלגות ייצור וסל דלקים'!$B$64:$BV$84,BC$2-$E$2,FALSE))*$D$9*$D$8*(HLOOKUP(BC$23,$G$18:$R$19,2,FALSE)*(1-$D$12)^($F32-'הנחות עבודה'!$C$5)/$D$11)/$D$11)</f>
        <v>0</v>
      </c>
      <c r="BD32" s="44">
        <f ca="1">IF(OR($F32&gt;$D$5,$F32&gt;MAX('הנחות עבודה'!$B$69:$B$89)),0,(VLOOKUP($F32,'התפלגות ייצור וסל דלקים'!$B$64:$BV$84,BD$2-$E$2,FALSE))*$D$9*$D$8*(HLOOKUP(BD$23,$G$18:$R$19,2,FALSE)*(1-$D$12)^($F32-'הנחות עבודה'!$C$5)/$D$11)/$D$11)</f>
        <v>0</v>
      </c>
      <c r="BE32" s="44">
        <f ca="1">IF(OR($F32&gt;$D$5,$F32&gt;MAX('הנחות עבודה'!$B$69:$B$89)),0,(VLOOKUP($F32,'התפלגות ייצור וסל דלקים'!$B$64:$BV$84,BE$2-$E$2,FALSE))*$D$9*$D$8*(HLOOKUP(BE$23,$G$18:$R$19,2,FALSE)*(1-$D$12)^($F32-'הנחות עבודה'!$C$5)/$D$11)/$D$11)</f>
        <v>0</v>
      </c>
      <c r="BF32" s="44">
        <f ca="1">IF(OR($F32&gt;$D$5,$F32&gt;MAX('הנחות עבודה'!$B$69:$B$89)),0,(VLOOKUP($F32,'התפלגות ייצור וסל דלקים'!$B$64:$BV$84,BF$2-$E$2,FALSE))*$D$9*$D$8*(HLOOKUP(BF$23,$G$18:$R$19,2,FALSE)*(1-$D$12)^($F32-'הנחות עבודה'!$C$5)/$D$11)/$D$11)</f>
        <v>0</v>
      </c>
      <c r="BG32" s="44">
        <f ca="1">IF(OR($F32&gt;$D$5,$F32&gt;MAX('הנחות עבודה'!$B$69:$B$89)),0,(VLOOKUP($F32,'התפלגות ייצור וסל דלקים'!$B$64:$BV$84,BG$2-$E$2,FALSE))*$D$9*$D$8*(HLOOKUP(BG$23,$G$18:$R$19,2,FALSE)*(1-$D$12)^($F32-'הנחות עבודה'!$C$5)/$D$11)/$D$11)</f>
        <v>0</v>
      </c>
      <c r="BH32" s="44">
        <f ca="1">IF(OR($F32&gt;$D$5,$F32&gt;MAX('הנחות עבודה'!$B$69:$B$89)),0,(VLOOKUP($F32,'התפלגות ייצור וסל דלקים'!$B$64:$BV$84,BH$2-$E$2,FALSE))*$D$9*$D$8*(HLOOKUP(BH$23,$G$18:$R$19,2,FALSE)*(1-$D$12)^($F32-'הנחות עבודה'!$C$5)/$D$11)/$D$11)</f>
        <v>0</v>
      </c>
      <c r="BI32" s="42">
        <f ca="1">IF(OR($F32&gt;$D$5,$F32&gt;MAX('הנחות עבודה'!$B$69:$B$89)),0,(VLOOKUP($F32,'התפלגות ייצור וסל דלקים'!$B$64:$BV$84,BI$2-$E$2,FALSE))*$D$9*$D$8*(HLOOKUP(BI$23,$G$18:$R$19,2,FALSE)*(1-$D$12)^($F32-'הנחות עבודה'!$C$5)/$D$11)/$D$11)</f>
        <v>1.22304E-4</v>
      </c>
      <c r="BJ32" s="42">
        <f ca="1">IF(OR($F32&gt;$D$5,$F32&gt;MAX('הנחות עבודה'!$B$69:$B$89)),0,(VLOOKUP($F32,'התפלגות ייצור וסל דלקים'!$B$64:$BV$84,BJ$2-$E$2,FALSE))*$D$9*$D$8*(HLOOKUP(BJ$23,$G$18:$R$19,2,FALSE)*(1-$D$12)^($F32-'הנחות עבודה'!$C$5)/$D$11)/$D$11)</f>
        <v>4.1862933712E-4</v>
      </c>
      <c r="BK32" s="42">
        <f ca="1">IF(OR($F32&gt;$D$5,$F32&gt;MAX('הנחות עבודה'!$B$69:$B$89)),0,(VLOOKUP($F32,'התפלגות ייצור וסל דלקים'!$B$64:$BV$84,BK$2-$E$2,FALSE))*$D$9*$D$8*(HLOOKUP(BK$23,$G$18:$R$19,2,FALSE)*(1-$D$12)^($F32-'הנחות עבודה'!$C$5)/$D$11)/$D$11)</f>
        <v>0</v>
      </c>
      <c r="BL32" s="42">
        <f ca="1">IF(OR($F32&gt;$D$5,$F32&gt;MAX('הנחות עבודה'!$B$69:$B$89)),0,(VLOOKUP($F32,'התפלגות ייצור וסל דלקים'!$B$64:$BV$84,BL$2-$E$2,FALSE))*$D$9*$D$8*(HLOOKUP(BL$23,$G$18:$R$19,2,FALSE)*(1-$D$12)^($F32-'הנחות עבודה'!$C$5)/$D$11)/$D$11)</f>
        <v>0</v>
      </c>
      <c r="BM32" s="42">
        <f ca="1">IF(OR($F32&gt;$D$5,$F32&gt;MAX('הנחות עבודה'!$B$69:$B$89)),0,(VLOOKUP($F32,'התפלגות ייצור וסל דלקים'!$B$64:$BV$84,BM$2-$E$2,FALSE))*$D$9*$D$8*(HLOOKUP(BM$23,$G$18:$R$19,2,FALSE)*(1-$D$12)^($F32-'הנחות עבודה'!$C$5)/$D$11)/$D$11)</f>
        <v>0</v>
      </c>
      <c r="BN32" s="42">
        <f ca="1">IF(OR($F32&gt;$D$5,$F32&gt;MAX('הנחות עבודה'!$B$69:$B$89)),0,(VLOOKUP($F32,'התפלגות ייצור וסל דלקים'!$B$64:$BV$84,BN$2-$E$2,FALSE))*$D$9*$D$8*(HLOOKUP(BN$23,$G$18:$R$19,2,FALSE)*(1-$D$12)^($F32-'הנחות עבודה'!$C$5)/$D$11)/$D$11)</f>
        <v>0</v>
      </c>
      <c r="BO32" s="52">
        <f ca="1">IF(OR($F32&gt;$D$5,$F32&gt;MAX('הנחות עבודה'!$B$69:$B$89)),0,(VLOOKUP($F32,'התפלגות ייצור וסל דלקים'!$B$64:$BV$84,BO$2-$E$2,FALSE))*$D$9*$D$8*(HLOOKUP(BO$23,$G$18:$R$19,2,FALSE)*(1-$D$12)^($F32-'הנחות עבודה'!$C$5)/$D$11)/$D$11)</f>
        <v>0</v>
      </c>
      <c r="BP32" s="127">
        <f ca="1">IF(OR($F32&gt;$D$5,$F32&gt;MAX('הנחות עבודה'!$B$69:$B$89)),0,(VLOOKUP($F32,'התפלגות ייצור וסל דלקים'!$B$64:$BV$84,BP$2-$E$2,FALSE))*$D$9*$D$8*(HLOOKUP(BP$23,$G$18:$R$19,2,FALSE)*(1-$D$12)^($F32-'הנחות עבודה'!$C$5)/$D$11)/$D$11)</f>
        <v>0</v>
      </c>
      <c r="BQ32" s="127">
        <f ca="1">IF(OR($F32&gt;$D$5,$F32&gt;MAX('הנחות עבודה'!$B$69:$B$89)),0,(VLOOKUP($F32,'התפלגות ייצור וסל דלקים'!$B$64:$BV$84,BQ$2-$E$2,FALSE))*$D$9*$D$8*(HLOOKUP(BQ$23,$G$18:$R$19,2,FALSE)*(1-$D$12)^($F32-'הנחות עבודה'!$C$5)/$D$11)/$D$11)</f>
        <v>0</v>
      </c>
      <c r="BR32" s="127">
        <f ca="1">IF(OR($F32&gt;$D$5,$F32&gt;MAX('הנחות עבודה'!$B$69:$B$89)),0,(VLOOKUP($F32,'התפלגות ייצור וסל דלקים'!$B$64:$BV$84,BR$2-$E$2,FALSE))*$D$9*$D$8*(HLOOKUP(BR$23,$G$18:$R$19,2,FALSE)*(1-$D$12)^($F32-'הנחות עבודה'!$C$5)/$D$11)/$D$11)</f>
        <v>0</v>
      </c>
      <c r="BS32" s="127">
        <f ca="1">IF(OR($F32&gt;$D$5,$F32&gt;MAX('הנחות עבודה'!$B$69:$B$89)),0,(VLOOKUP($F32,'התפלגות ייצור וסל דלקים'!$B$64:$BV$84,BS$2-$E$2,FALSE))*$D$9*$D$8*(HLOOKUP(BS$23,$G$18:$R$19,2,FALSE)*(1-$D$12)^($F32-'הנחות עבודה'!$C$5)/$D$11)/$D$11)</f>
        <v>0</v>
      </c>
      <c r="BT32" s="127">
        <f ca="1">IF(OR($F32&gt;$D$5,$F32&gt;MAX('הנחות עבודה'!$B$69:$B$89)),0,(VLOOKUP($F32,'התפלגות ייצור וסל דלקים'!$B$64:$BV$84,BT$2-$E$2,FALSE))*$D$9*$D$8*(HLOOKUP(BT$23,$G$18:$R$19,2,FALSE)*(1-$D$12)^($F32-'הנחות עבודה'!$C$5)/$D$11)/$D$11)</f>
        <v>0</v>
      </c>
      <c r="BU32" s="52">
        <f ca="1">IF(OR($F32&gt;$D$5,$F32&gt;MAX('הנחות עבודה'!$B$69:$B$89)),0,(VLOOKUP($F32,'התפלגות ייצור וסל דלקים'!$B$64:$BV$84,BU$2-$E$2,FALSE))*$D$9*$D$8*(HLOOKUP(BU$23,$G$18:$R$19,2,FALSE)*(1-$D$12)^($F32-'הנחות עבודה'!$C$5)/$D$11)/$D$11)</f>
        <v>1.22304E-4</v>
      </c>
      <c r="BV32" s="52">
        <f ca="1">IF(OR($F32&gt;$D$5,$F32&gt;MAX('הנחות עבודה'!$B$69:$B$89)),0,(VLOOKUP($F32,'התפלגות ייצור וסל דלקים'!$B$64:$BV$84,BV$2-$E$2,FALSE))*$D$9*$D$8*(HLOOKUP(BV$23,$G$18:$R$19,2,FALSE)*(1-$D$12)^($F32-'הנחות עבודה'!$C$5)/$D$11)/$D$11)</f>
        <v>4.1862933712E-4</v>
      </c>
      <c r="BW32" s="52">
        <f ca="1">IF(OR($F32&gt;$D$5,$F32&gt;MAX('הנחות עבודה'!$B$69:$B$89)),0,(VLOOKUP($F32,'התפלגות ייצור וסל דלקים'!$B$64:$BV$84,BW$2-$E$2,FALSE))*$D$9*$D$8*(HLOOKUP(BW$23,$G$18:$R$19,2,FALSE)*(1-$D$12)^($F32-'הנחות עבודה'!$C$5)/$D$11)/$D$11)</f>
        <v>0</v>
      </c>
      <c r="BX32" s="52">
        <f ca="1">IF(OR($F32&gt;$D$5,$F32&gt;MAX('הנחות עבודה'!$B$69:$B$89)),0,(VLOOKUP($F32,'התפלגות ייצור וסל דלקים'!$B$64:$BV$84,BX$2-$E$2,FALSE))*$D$9*$D$8*(HLOOKUP(BX$23,$G$18:$R$19,2,FALSE)*(1-$D$12)^($F32-'הנחות עבודה'!$C$5)/$D$11)/$D$11)</f>
        <v>0</v>
      </c>
      <c r="BY32" s="52">
        <f ca="1">IF(OR($F32&gt;$D$5,$F32&gt;MAX('הנחות עבודה'!$B$69:$B$89)),0,(VLOOKUP($F32,'התפלגות ייצור וסל דלקים'!$B$64:$BV$84,BY$2-$E$2,FALSE))*$D$9*$D$8*(HLOOKUP(BY$23,$G$18:$R$19,2,FALSE)*(1-$D$12)^($F32-'הנחות עבודה'!$C$5)/$D$11)/$D$11)</f>
        <v>0</v>
      </c>
      <c r="BZ32" s="52">
        <f ca="1">IF(OR($F32&gt;$D$5,$F32&gt;MAX('הנחות עבודה'!$B$69:$B$89)),0,(VLOOKUP($F32,'התפלגות ייצור וסל דלקים'!$B$64:$BV$84,BZ$2-$E$2,FALSE))*$D$9*$D$8*(HLOOKUP(BZ$23,$G$18:$R$19,2,FALSE)*(1-$D$12)^($F32-'הנחות עבודה'!$C$5)/$D$11)/$D$11)</f>
        <v>0</v>
      </c>
    </row>
    <row r="33" spans="6:78" ht="15.75">
      <c r="F33" s="10">
        <f t="shared" si="108"/>
        <v>2029</v>
      </c>
      <c r="G33" s="42">
        <f ca="1">IF(OR($F33&gt;$D$5,$F33&gt;MAX('הנחות עבודה'!$B$69:$B$89)),0,(VLOOKUP($F33,'התפלגות ייצור וסל דלקים'!$B$64:$BV$84,G$2-$E$2,FALSE))*$D$9*$D$8*(HLOOKUP(G$23,$G$18:$R$19,2,FALSE)*(1-$D$12)^($F33-'הנחות עבודה'!$C$5)/$D$11)/$D$11)</f>
        <v>0</v>
      </c>
      <c r="H33" s="44">
        <f ca="1">IF(OR($F33&gt;$D$5,$F33&gt;MAX('הנחות עבודה'!$B$69:$B$89)),0,(VLOOKUP($F33,'התפלגות ייצור וסל דלקים'!$B$64:$BV$84,H$2-$E$2,FALSE))*$D$9*$D$8*(HLOOKUP(H$23,$G$18:$R$19,2,FALSE)*(1-$D$12)^($F33-'הנחות עבודה'!$C$5)/$D$11)/$D$11)</f>
        <v>0</v>
      </c>
      <c r="I33" s="44">
        <f ca="1">IF(OR($F33&gt;$D$5,$F33&gt;MAX('הנחות עבודה'!$B$69:$B$89)),0,(VLOOKUP($F33,'התפלגות ייצור וסל דלקים'!$B$64:$BV$84,I$2-$E$2,FALSE))*$D$9*$D$8*(HLOOKUP(I$23,$G$18:$R$19,2,FALSE)*(1-$D$12)^($F33-'הנחות עבודה'!$C$5)/$D$11)/$D$11)</f>
        <v>0</v>
      </c>
      <c r="J33" s="44">
        <f ca="1">IF(OR($F33&gt;$D$5,$F33&gt;MAX('הנחות עבודה'!$B$69:$B$89)),0,(VLOOKUP($F33,'התפלגות ייצור וסל דלקים'!$B$64:$BV$84,J$2-$E$2,FALSE))*$D$9*$D$8*(HLOOKUP(J$23,$G$18:$R$19,2,FALSE)*(1-$D$12)^($F33-'הנחות עבודה'!$C$5)/$D$11)/$D$11)</f>
        <v>0</v>
      </c>
      <c r="K33" s="44">
        <f ca="1">IF(OR($F33&gt;$D$5,$F33&gt;MAX('הנחות עבודה'!$B$69:$B$89)),0,(VLOOKUP($F33,'התפלגות ייצור וסל דלקים'!$B$64:$BV$84,K$2-$E$2,FALSE))*$D$9*$D$8*(HLOOKUP(K$23,$G$18:$R$19,2,FALSE)*(1-$D$12)^($F33-'הנחות עבודה'!$C$5)/$D$11)/$D$11)</f>
        <v>0</v>
      </c>
      <c r="L33" s="44">
        <f ca="1">IF(OR($F33&gt;$D$5,$F33&gt;MAX('הנחות עבודה'!$B$69:$B$89)),0,(VLOOKUP($F33,'התפלגות ייצור וסל דלקים'!$B$64:$BV$84,L$2-$E$2,FALSE))*$D$9*$D$8*(HLOOKUP(L$23,$G$18:$R$19,2,FALSE)*(1-$D$12)^($F33-'הנחות עבודה'!$C$5)/$D$11)/$D$11)</f>
        <v>0</v>
      </c>
      <c r="M33" s="42">
        <f ca="1">IF(OR($F33&gt;$D$5,$F33&gt;MAX('הנחות עבודה'!$B$69:$B$89)),0,(VLOOKUP($F33,'התפלגות ייצור וסל דלקים'!$B$64:$BV$84,M$2-$E$2,FALSE))*$D$9*$D$8*(HLOOKUP(M$23,$G$18:$R$19,2,FALSE)*(1-$D$12)^($F33-'הנחות עבודה'!$C$5)/$D$11)/$D$11)</f>
        <v>1.1756872000000002E-4</v>
      </c>
      <c r="N33" s="42">
        <f ca="1">IF(OR($F33&gt;$D$5,$F33&gt;MAX('הנחות עבודה'!$B$69:$B$89)),0,(VLOOKUP($F33,'התפלגות ייצור וסל דלקים'!$B$64:$BV$84,N$2-$E$2,FALSE))*$D$9*$D$8*(HLOOKUP(N$23,$G$18:$R$19,2,FALSE)*(1-$D$12)^($F33-'הנחות עבודה'!$C$5)/$D$11)/$D$11)</f>
        <v>5.1389640447999996E-4</v>
      </c>
      <c r="O33" s="42">
        <f ca="1">IF(OR($F33&gt;$D$5,$F33&gt;MAX('הנחות עבודה'!$B$69:$B$89)),0,(VLOOKUP($F33,'התפלגות ייצור וסל דלקים'!$B$64:$BV$84,O$2-$E$2,FALSE))*$D$9*$D$8*(HLOOKUP(O$23,$G$18:$R$19,2,FALSE)*(1-$D$12)^($F33-'הנחות עבודה'!$C$5)/$D$11)/$D$11)</f>
        <v>0</v>
      </c>
      <c r="P33" s="42">
        <f ca="1">IF(OR($F33&gt;$D$5,$F33&gt;MAX('הנחות עבודה'!$B$69:$B$89)),0,(VLOOKUP($F33,'התפלגות ייצור וסל דלקים'!$B$64:$BV$84,P$2-$E$2,FALSE))*$D$9*$D$8*(HLOOKUP(P$23,$G$18:$R$19,2,FALSE)*(1-$D$12)^($F33-'הנחות עבודה'!$C$5)/$D$11)/$D$11)</f>
        <v>0</v>
      </c>
      <c r="Q33" s="42">
        <f ca="1">IF(OR($F33&gt;$D$5,$F33&gt;MAX('הנחות עבודה'!$B$69:$B$89)),0,(VLOOKUP($F33,'התפלגות ייצור וסל דלקים'!$B$64:$BV$84,Q$2-$E$2,FALSE))*$D$9*$D$8*(HLOOKUP(Q$23,$G$18:$R$19,2,FALSE)*(1-$D$12)^($F33-'הנחות עבודה'!$C$5)/$D$11)/$D$11)</f>
        <v>0</v>
      </c>
      <c r="R33" s="42">
        <f ca="1">IF(OR($F33&gt;$D$5,$F33&gt;MAX('הנחות עבודה'!$B$69:$B$89)),0,(VLOOKUP($F33,'התפלגות ייצור וסל דלקים'!$B$64:$BV$84,R$2-$E$2,FALSE))*$D$9*$D$8*(HLOOKUP(R$23,$G$18:$R$19,2,FALSE)*(1-$D$12)^($F33-'הנחות עבודה'!$C$5)/$D$11)/$D$11)</f>
        <v>0</v>
      </c>
      <c r="S33" s="52">
        <f ca="1">IF(OR($F33&gt;$D$5,$F33&gt;MAX('הנחות עבודה'!$B$69:$B$89)),0,(VLOOKUP($F33,'התפלגות ייצור וסל דלקים'!$B$64:$BV$84,S$2-$E$2,FALSE))*$D$9*$D$8*(HLOOKUP(S$23,$G$18:$R$19,2,FALSE)*(1-$D$12)^($F33-'הנחות עבודה'!$C$5)/$D$11)/$D$11)</f>
        <v>0</v>
      </c>
      <c r="T33" s="127">
        <f ca="1">IF(OR($F33&gt;$D$5,$F33&gt;MAX('הנחות עבודה'!$B$69:$B$89)),0,(VLOOKUP($F33,'התפלגות ייצור וסל דלקים'!$B$64:$BV$84,T$2-$E$2,FALSE))*$D$9*$D$8*(HLOOKUP(T$23,$G$18:$R$19,2,FALSE)*(1-$D$12)^($F33-'הנחות עבודה'!$C$5)/$D$11)/$D$11)</f>
        <v>0</v>
      </c>
      <c r="U33" s="127">
        <f ca="1">IF(OR($F33&gt;$D$5,$F33&gt;MAX('הנחות עבודה'!$B$69:$B$89)),0,(VLOOKUP($F33,'התפלגות ייצור וסל דלקים'!$B$64:$BV$84,U$2-$E$2,FALSE))*$D$9*$D$8*(HLOOKUP(U$23,$G$18:$R$19,2,FALSE)*(1-$D$12)^($F33-'הנחות עבודה'!$C$5)/$D$11)/$D$11)</f>
        <v>0</v>
      </c>
      <c r="V33" s="127">
        <f ca="1">IF(OR($F33&gt;$D$5,$F33&gt;MAX('הנחות עבודה'!$B$69:$B$89)),0,(VLOOKUP($F33,'התפלגות ייצור וסל דלקים'!$B$64:$BV$84,V$2-$E$2,FALSE))*$D$9*$D$8*(HLOOKUP(V$23,$G$18:$R$19,2,FALSE)*(1-$D$12)^($F33-'הנחות עבודה'!$C$5)/$D$11)/$D$11)</f>
        <v>0</v>
      </c>
      <c r="W33" s="127">
        <f ca="1">IF(OR($F33&gt;$D$5,$F33&gt;MAX('הנחות עבודה'!$B$69:$B$89)),0,(VLOOKUP($F33,'התפלגות ייצור וסל דלקים'!$B$64:$BV$84,W$2-$E$2,FALSE))*$D$9*$D$8*(HLOOKUP(W$23,$G$18:$R$19,2,FALSE)*(1-$D$12)^($F33-'הנחות עבודה'!$C$5)/$D$11)/$D$11)</f>
        <v>0</v>
      </c>
      <c r="X33" s="127">
        <f ca="1">IF(OR($F33&gt;$D$5,$F33&gt;MAX('הנחות עבודה'!$B$69:$B$89)),0,(VLOOKUP($F33,'התפלגות ייצור וסל דלקים'!$B$64:$BV$84,X$2-$E$2,FALSE))*$D$9*$D$8*(HLOOKUP(X$23,$G$18:$R$19,2,FALSE)*(1-$D$12)^($F33-'הנחות עבודה'!$C$5)/$D$11)/$D$11)</f>
        <v>0</v>
      </c>
      <c r="Y33" s="52">
        <f ca="1">IF(OR($F33&gt;$D$5,$F33&gt;MAX('הנחות עבודה'!$B$69:$B$89)),0,(VLOOKUP($F33,'התפלגות ייצור וסל דלקים'!$B$64:$BV$84,Y$2-$E$2,FALSE))*$D$9*$D$8*(HLOOKUP(Y$23,$G$18:$R$19,2,FALSE)*(1-$D$12)^($F33-'הנחות עבודה'!$C$5)/$D$11)/$D$11)</f>
        <v>1.1756872000000002E-4</v>
      </c>
      <c r="Z33" s="52">
        <f ca="1">IF(OR($F33&gt;$D$5,$F33&gt;MAX('הנחות עבודה'!$B$69:$B$89)),0,(VLOOKUP($F33,'התפלגות ייצור וסל דלקים'!$B$64:$BV$84,Z$2-$E$2,FALSE))*$D$9*$D$8*(HLOOKUP(Z$23,$G$18:$R$19,2,FALSE)*(1-$D$12)^($F33-'הנחות עבודה'!$C$5)/$D$11)/$D$11)</f>
        <v>5.1389640447999996E-4</v>
      </c>
      <c r="AA33" s="52">
        <f ca="1">IF(OR($F33&gt;$D$5,$F33&gt;MAX('הנחות עבודה'!$B$69:$B$89)),0,(VLOOKUP($F33,'התפלגות ייצור וסל דלקים'!$B$64:$BV$84,AA$2-$E$2,FALSE))*$D$9*$D$8*(HLOOKUP(AA$23,$G$18:$R$19,2,FALSE)*(1-$D$12)^($F33-'הנחות עבודה'!$C$5)/$D$11)/$D$11)</f>
        <v>0</v>
      </c>
      <c r="AB33" s="52">
        <f ca="1">IF(OR($F33&gt;$D$5,$F33&gt;MAX('הנחות עבודה'!$B$69:$B$89)),0,(VLOOKUP($F33,'התפלגות ייצור וסל דלקים'!$B$64:$BV$84,AB$2-$E$2,FALSE))*$D$9*$D$8*(HLOOKUP(AB$23,$G$18:$R$19,2,FALSE)*(1-$D$12)^($F33-'הנחות עבודה'!$C$5)/$D$11)/$D$11)</f>
        <v>0</v>
      </c>
      <c r="AC33" s="52">
        <f ca="1">IF(OR($F33&gt;$D$5,$F33&gt;MAX('הנחות עבודה'!$B$69:$B$89)),0,(VLOOKUP($F33,'התפלגות ייצור וסל דלקים'!$B$64:$BV$84,AC$2-$E$2,FALSE))*$D$9*$D$8*(HLOOKUP(AC$23,$G$18:$R$19,2,FALSE)*(1-$D$12)^($F33-'הנחות עבודה'!$C$5)/$D$11)/$D$11)</f>
        <v>0</v>
      </c>
      <c r="AD33" s="52">
        <f ca="1">IF(OR($F33&gt;$D$5,$F33&gt;MAX('הנחות עבודה'!$B$69:$B$89)),0,(VLOOKUP($F33,'התפלגות ייצור וסל דלקים'!$B$64:$BV$84,AD$2-$E$2,FALSE))*$D$9*$D$8*(HLOOKUP(AD$23,$G$18:$R$19,2,FALSE)*(1-$D$12)^($F33-'הנחות עבודה'!$C$5)/$D$11)/$D$11)</f>
        <v>0</v>
      </c>
      <c r="AE33" s="42">
        <f ca="1">IF(OR($F33&gt;$D$5,$F33&gt;MAX('הנחות עבודה'!$B$69:$B$89)),0,(VLOOKUP($F33,'התפלגות ייצור וסל דלקים'!$B$64:$BV$84,AE$2-$E$2,FALSE))*$D$9*$D$8*(HLOOKUP(AE$23,$G$18:$R$19,2,FALSE)*(1-$D$12)^($F33-'הנחות עבודה'!$C$5)/$D$11)/$D$11)</f>
        <v>0</v>
      </c>
      <c r="AF33" s="44">
        <f ca="1">IF(OR($F33&gt;$D$5,$F33&gt;MAX('הנחות עבודה'!$B$69:$B$89)),0,(VLOOKUP($F33,'התפלגות ייצור וסל דלקים'!$B$64:$BV$84,AF$2-$E$2,FALSE))*$D$9*$D$8*(HLOOKUP(AF$23,$G$18:$R$19,2,FALSE)*(1-$D$12)^($F33-'הנחות עבודה'!$C$5)/$D$11)/$D$11)</f>
        <v>0</v>
      </c>
      <c r="AG33" s="44">
        <f ca="1">IF(OR($F33&gt;$D$5,$F33&gt;MAX('הנחות עבודה'!$B$69:$B$89)),0,(VLOOKUP($F33,'התפלגות ייצור וסל דלקים'!$B$64:$BV$84,AG$2-$E$2,FALSE))*$D$9*$D$8*(HLOOKUP(AG$23,$G$18:$R$19,2,FALSE)*(1-$D$12)^($F33-'הנחות עבודה'!$C$5)/$D$11)/$D$11)</f>
        <v>0</v>
      </c>
      <c r="AH33" s="44">
        <f ca="1">IF(OR($F33&gt;$D$5,$F33&gt;MAX('הנחות עבודה'!$B$69:$B$89)),0,(VLOOKUP($F33,'התפלגות ייצור וסל דלקים'!$B$64:$BV$84,AH$2-$E$2,FALSE))*$D$9*$D$8*(HLOOKUP(AH$23,$G$18:$R$19,2,FALSE)*(1-$D$12)^($F33-'הנחות עבודה'!$C$5)/$D$11)/$D$11)</f>
        <v>0</v>
      </c>
      <c r="AI33" s="44">
        <f ca="1">IF(OR($F33&gt;$D$5,$F33&gt;MAX('הנחות עבודה'!$B$69:$B$89)),0,(VLOOKUP($F33,'התפלגות ייצור וסל דלקים'!$B$64:$BV$84,AI$2-$E$2,FALSE))*$D$9*$D$8*(HLOOKUP(AI$23,$G$18:$R$19,2,FALSE)*(1-$D$12)^($F33-'הנחות עבודה'!$C$5)/$D$11)/$D$11)</f>
        <v>0</v>
      </c>
      <c r="AJ33" s="44">
        <f ca="1">IF(OR($F33&gt;$D$5,$F33&gt;MAX('הנחות עבודה'!$B$69:$B$89)),0,(VLOOKUP($F33,'התפלגות ייצור וסל דלקים'!$B$64:$BV$84,AJ$2-$E$2,FALSE))*$D$9*$D$8*(HLOOKUP(AJ$23,$G$18:$R$19,2,FALSE)*(1-$D$12)^($F33-'הנחות עבודה'!$C$5)/$D$11)/$D$11)</f>
        <v>0</v>
      </c>
      <c r="AK33" s="42">
        <f ca="1">IF(OR($F33&gt;$D$5,$F33&gt;MAX('הנחות עבודה'!$B$69:$B$89)),0,(VLOOKUP($F33,'התפלגות ייצור וסל דלקים'!$B$64:$BV$84,AK$2-$E$2,FALSE))*$D$9*$D$8*(HLOOKUP(AK$23,$G$18:$R$19,2,FALSE)*(1-$D$12)^($F33-'הנחות עבודה'!$C$5)/$D$11)/$D$11)</f>
        <v>1.2172088000000003E-4</v>
      </c>
      <c r="AL33" s="42">
        <f ca="1">IF(OR($F33&gt;$D$5,$F33&gt;MAX('הנחות עבודה'!$B$69:$B$89)),0,(VLOOKUP($F33,'התפלגות ייצור וסל דלקים'!$B$64:$BV$84,AL$2-$E$2,FALSE))*$D$9*$D$8*(HLOOKUP(AL$23,$G$18:$R$19,2,FALSE)*(1-$D$12)^($F33-'הנחות עבודה'!$C$5)/$D$11)/$D$11)</f>
        <v>4.5447713440000003E-4</v>
      </c>
      <c r="AM33" s="42">
        <f ca="1">IF(OR($F33&gt;$D$5,$F33&gt;MAX('הנחות עבודה'!$B$69:$B$89)),0,(VLOOKUP($F33,'התפלגות ייצור וסל דלקים'!$B$64:$BV$84,AM$2-$E$2,FALSE))*$D$9*$D$8*(HLOOKUP(AM$23,$G$18:$R$19,2,FALSE)*(1-$D$12)^($F33-'הנחות עבודה'!$C$5)/$D$11)/$D$11)</f>
        <v>0</v>
      </c>
      <c r="AN33" s="42">
        <f ca="1">IF(OR($F33&gt;$D$5,$F33&gt;MAX('הנחות עבודה'!$B$69:$B$89)),0,(VLOOKUP($F33,'התפלגות ייצור וסל דלקים'!$B$64:$BV$84,AN$2-$E$2,FALSE))*$D$9*$D$8*(HLOOKUP(AN$23,$G$18:$R$19,2,FALSE)*(1-$D$12)^($F33-'הנחות עבודה'!$C$5)/$D$11)/$D$11)</f>
        <v>0</v>
      </c>
      <c r="AO33" s="42">
        <f ca="1">IF(OR($F33&gt;$D$5,$F33&gt;MAX('הנחות עבודה'!$B$69:$B$89)),0,(VLOOKUP($F33,'התפלגות ייצור וסל דלקים'!$B$64:$BV$84,AO$2-$E$2,FALSE))*$D$9*$D$8*(HLOOKUP(AO$23,$G$18:$R$19,2,FALSE)*(1-$D$12)^($F33-'הנחות עבודה'!$C$5)/$D$11)/$D$11)</f>
        <v>0</v>
      </c>
      <c r="AP33" s="42">
        <f ca="1">IF(OR($F33&gt;$D$5,$F33&gt;MAX('הנחות עבודה'!$B$69:$B$89)),0,(VLOOKUP($F33,'התפלגות ייצור וסל דלקים'!$B$64:$BV$84,AP$2-$E$2,FALSE))*$D$9*$D$8*(HLOOKUP(AP$23,$G$18:$R$19,2,FALSE)*(1-$D$12)^($F33-'הנחות עבודה'!$C$5)/$D$11)/$D$11)</f>
        <v>0</v>
      </c>
      <c r="AQ33" s="52">
        <f ca="1">IF(OR($F33&gt;$D$5,$F33&gt;MAX('הנחות עבודה'!$B$69:$B$89)),0,(VLOOKUP($F33,'התפלגות ייצור וסל דלקים'!$B$64:$BV$84,AQ$2-$E$2,FALSE))*$D$9*$D$8*(HLOOKUP(AQ$23,$G$18:$R$19,2,FALSE)*(1-$D$12)^($F33-'הנחות עבודה'!$C$5)/$D$11)/$D$11)</f>
        <v>0</v>
      </c>
      <c r="AR33" s="127">
        <f ca="1">IF(OR($F33&gt;$D$5,$F33&gt;MAX('הנחות עבודה'!$B$69:$B$89)),0,(VLOOKUP($F33,'התפלגות ייצור וסל דלקים'!$B$64:$BV$84,AR$2-$E$2,FALSE))*$D$9*$D$8*(HLOOKUP(AR$23,$G$18:$R$19,2,FALSE)*(1-$D$12)^($F33-'הנחות עבודה'!$C$5)/$D$11)/$D$11)</f>
        <v>0</v>
      </c>
      <c r="AS33" s="127">
        <f ca="1">IF(OR($F33&gt;$D$5,$F33&gt;MAX('הנחות עבודה'!$B$69:$B$89)),0,(VLOOKUP($F33,'התפלגות ייצור וסל דלקים'!$B$64:$BV$84,AS$2-$E$2,FALSE))*$D$9*$D$8*(HLOOKUP(AS$23,$G$18:$R$19,2,FALSE)*(1-$D$12)^($F33-'הנחות עבודה'!$C$5)/$D$11)/$D$11)</f>
        <v>0</v>
      </c>
      <c r="AT33" s="127">
        <f ca="1">IF(OR($F33&gt;$D$5,$F33&gt;MAX('הנחות עבודה'!$B$69:$B$89)),0,(VLOOKUP($F33,'התפלגות ייצור וסל דלקים'!$B$64:$BV$84,AT$2-$E$2,FALSE))*$D$9*$D$8*(HLOOKUP(AT$23,$G$18:$R$19,2,FALSE)*(1-$D$12)^($F33-'הנחות עבודה'!$C$5)/$D$11)/$D$11)</f>
        <v>0</v>
      </c>
      <c r="AU33" s="127">
        <f ca="1">IF(OR($F33&gt;$D$5,$F33&gt;MAX('הנחות עבודה'!$B$69:$B$89)),0,(VLOOKUP($F33,'התפלגות ייצור וסל דלקים'!$B$64:$BV$84,AU$2-$E$2,FALSE))*$D$9*$D$8*(HLOOKUP(AU$23,$G$18:$R$19,2,FALSE)*(1-$D$12)^($F33-'הנחות עבודה'!$C$5)/$D$11)/$D$11)</f>
        <v>0</v>
      </c>
      <c r="AV33" s="127">
        <f ca="1">IF(OR($F33&gt;$D$5,$F33&gt;MAX('הנחות עבודה'!$B$69:$B$89)),0,(VLOOKUP($F33,'התפלגות ייצור וסל דלקים'!$B$64:$BV$84,AV$2-$E$2,FALSE))*$D$9*$D$8*(HLOOKUP(AV$23,$G$18:$R$19,2,FALSE)*(1-$D$12)^($F33-'הנחות עבודה'!$C$5)/$D$11)/$D$11)</f>
        <v>0</v>
      </c>
      <c r="AW33" s="52">
        <f ca="1">IF(OR($F33&gt;$D$5,$F33&gt;MAX('הנחות עבודה'!$B$69:$B$89)),0,(VLOOKUP($F33,'התפלגות ייצור וסל דלקים'!$B$64:$BV$84,AW$2-$E$2,FALSE))*$D$9*$D$8*(HLOOKUP(AW$23,$G$18:$R$19,2,FALSE)*(1-$D$12)^($F33-'הנחות עבודה'!$C$5)/$D$11)/$D$11)</f>
        <v>1.2172088000000003E-4</v>
      </c>
      <c r="AX33" s="52">
        <f ca="1">IF(OR($F33&gt;$D$5,$F33&gt;MAX('הנחות עבודה'!$B$69:$B$89)),0,(VLOOKUP($F33,'התפלגות ייצור וסל דלקים'!$B$64:$BV$84,AX$2-$E$2,FALSE))*$D$9*$D$8*(HLOOKUP(AX$23,$G$18:$R$19,2,FALSE)*(1-$D$12)^($F33-'הנחות עבודה'!$C$5)/$D$11)/$D$11)</f>
        <v>4.5447713440000003E-4</v>
      </c>
      <c r="AY33" s="52">
        <f ca="1">IF(OR($F33&gt;$D$5,$F33&gt;MAX('הנחות עבודה'!$B$69:$B$89)),0,(VLOOKUP($F33,'התפלגות ייצור וסל דלקים'!$B$64:$BV$84,AY$2-$E$2,FALSE))*$D$9*$D$8*(HLOOKUP(AY$23,$G$18:$R$19,2,FALSE)*(1-$D$12)^($F33-'הנחות עבודה'!$C$5)/$D$11)/$D$11)</f>
        <v>0</v>
      </c>
      <c r="AZ33" s="52">
        <f ca="1">IF(OR($F33&gt;$D$5,$F33&gt;MAX('הנחות עבודה'!$B$69:$B$89)),0,(VLOOKUP($F33,'התפלגות ייצור וסל דלקים'!$B$64:$BV$84,AZ$2-$E$2,FALSE))*$D$9*$D$8*(HLOOKUP(AZ$23,$G$18:$R$19,2,FALSE)*(1-$D$12)^($F33-'הנחות עבודה'!$C$5)/$D$11)/$D$11)</f>
        <v>0</v>
      </c>
      <c r="BA33" s="52">
        <f ca="1">IF(OR($F33&gt;$D$5,$F33&gt;MAX('הנחות עבודה'!$B$69:$B$89)),0,(VLOOKUP($F33,'התפלגות ייצור וסל דלקים'!$B$64:$BV$84,BA$2-$E$2,FALSE))*$D$9*$D$8*(HLOOKUP(BA$23,$G$18:$R$19,2,FALSE)*(1-$D$12)^($F33-'הנחות עבודה'!$C$5)/$D$11)/$D$11)</f>
        <v>0</v>
      </c>
      <c r="BB33" s="52">
        <f ca="1">IF(OR($F33&gt;$D$5,$F33&gt;MAX('הנחות עבודה'!$B$69:$B$89)),0,(VLOOKUP($F33,'התפלגות ייצור וסל דלקים'!$B$64:$BV$84,BB$2-$E$2,FALSE))*$D$9*$D$8*(HLOOKUP(BB$23,$G$18:$R$19,2,FALSE)*(1-$D$12)^($F33-'הנחות עבודה'!$C$5)/$D$11)/$D$11)</f>
        <v>0</v>
      </c>
      <c r="BC33" s="42">
        <f ca="1">IF(OR($F33&gt;$D$5,$F33&gt;MAX('הנחות עבודה'!$B$69:$B$89)),0,(VLOOKUP($F33,'התפלגות ייצור וסל דלקים'!$B$64:$BV$84,BC$2-$E$2,FALSE))*$D$9*$D$8*(HLOOKUP(BC$23,$G$18:$R$19,2,FALSE)*(1-$D$12)^($F33-'הנחות עבודה'!$C$5)/$D$11)/$D$11)</f>
        <v>0</v>
      </c>
      <c r="BD33" s="44">
        <f ca="1">IF(OR($F33&gt;$D$5,$F33&gt;MAX('הנחות עבודה'!$B$69:$B$89)),0,(VLOOKUP($F33,'התפלגות ייצור וסל דלקים'!$B$64:$BV$84,BD$2-$E$2,FALSE))*$D$9*$D$8*(HLOOKUP(BD$23,$G$18:$R$19,2,FALSE)*(1-$D$12)^($F33-'הנחות עבודה'!$C$5)/$D$11)/$D$11)</f>
        <v>0</v>
      </c>
      <c r="BE33" s="44">
        <f ca="1">IF(OR($F33&gt;$D$5,$F33&gt;MAX('הנחות עבודה'!$B$69:$B$89)),0,(VLOOKUP($F33,'התפלגות ייצור וסל דלקים'!$B$64:$BV$84,BE$2-$E$2,FALSE))*$D$9*$D$8*(HLOOKUP(BE$23,$G$18:$R$19,2,FALSE)*(1-$D$12)^($F33-'הנחות עבודה'!$C$5)/$D$11)/$D$11)</f>
        <v>0</v>
      </c>
      <c r="BF33" s="44">
        <f ca="1">IF(OR($F33&gt;$D$5,$F33&gt;MAX('הנחות עבודה'!$B$69:$B$89)),0,(VLOOKUP($F33,'התפלגות ייצור וסל דלקים'!$B$64:$BV$84,BF$2-$E$2,FALSE))*$D$9*$D$8*(HLOOKUP(BF$23,$G$18:$R$19,2,FALSE)*(1-$D$12)^($F33-'הנחות עבודה'!$C$5)/$D$11)/$D$11)</f>
        <v>0</v>
      </c>
      <c r="BG33" s="44">
        <f ca="1">IF(OR($F33&gt;$D$5,$F33&gt;MAX('הנחות עבודה'!$B$69:$B$89)),0,(VLOOKUP($F33,'התפלגות ייצור וסל דלקים'!$B$64:$BV$84,BG$2-$E$2,FALSE))*$D$9*$D$8*(HLOOKUP(BG$23,$G$18:$R$19,2,FALSE)*(1-$D$12)^($F33-'הנחות עבודה'!$C$5)/$D$11)/$D$11)</f>
        <v>0</v>
      </c>
      <c r="BH33" s="44">
        <f ca="1">IF(OR($F33&gt;$D$5,$F33&gt;MAX('הנחות עבודה'!$B$69:$B$89)),0,(VLOOKUP($F33,'התפלגות ייצור וסל דלקים'!$B$64:$BV$84,BH$2-$E$2,FALSE))*$D$9*$D$8*(HLOOKUP(BH$23,$G$18:$R$19,2,FALSE)*(1-$D$12)^($F33-'הנחות עבודה'!$C$5)/$D$11)/$D$11)</f>
        <v>0</v>
      </c>
      <c r="BI33" s="42">
        <f ca="1">IF(OR($F33&gt;$D$5,$F33&gt;MAX('הנחות עבודה'!$B$69:$B$89)),0,(VLOOKUP($F33,'התפלגות ייצור וסל דלקים'!$B$64:$BV$84,BI$2-$E$2,FALSE))*$D$9*$D$8*(HLOOKUP(BI$23,$G$18:$R$19,2,FALSE)*(1-$D$12)^($F33-'הנחות עבודה'!$C$5)/$D$11)/$D$11)</f>
        <v>1.2484E-4</v>
      </c>
      <c r="BJ33" s="42">
        <f ca="1">IF(OR($F33&gt;$D$5,$F33&gt;MAX('הנחות עבודה'!$B$69:$B$89)),0,(VLOOKUP($F33,'התפלגות ייצור וסל דלקים'!$B$64:$BV$84,BJ$2-$E$2,FALSE))*$D$9*$D$8*(HLOOKUP(BJ$23,$G$18:$R$19,2,FALSE)*(1-$D$12)^($F33-'הנחות עבודה'!$C$5)/$D$11)/$D$11)</f>
        <v>4.1750117120000006E-4</v>
      </c>
      <c r="BK33" s="42">
        <f ca="1">IF(OR($F33&gt;$D$5,$F33&gt;MAX('הנחות עבודה'!$B$69:$B$89)),0,(VLOOKUP($F33,'התפלגות ייצור וסל דלקים'!$B$64:$BV$84,BK$2-$E$2,FALSE))*$D$9*$D$8*(HLOOKUP(BK$23,$G$18:$R$19,2,FALSE)*(1-$D$12)^($F33-'הנחות עבודה'!$C$5)/$D$11)/$D$11)</f>
        <v>0</v>
      </c>
      <c r="BL33" s="42">
        <f ca="1">IF(OR($F33&gt;$D$5,$F33&gt;MAX('הנחות עבודה'!$B$69:$B$89)),0,(VLOOKUP($F33,'התפלגות ייצור וסל דלקים'!$B$64:$BV$84,BL$2-$E$2,FALSE))*$D$9*$D$8*(HLOOKUP(BL$23,$G$18:$R$19,2,FALSE)*(1-$D$12)^($F33-'הנחות עבודה'!$C$5)/$D$11)/$D$11)</f>
        <v>0</v>
      </c>
      <c r="BM33" s="42">
        <f ca="1">IF(OR($F33&gt;$D$5,$F33&gt;MAX('הנחות עבודה'!$B$69:$B$89)),0,(VLOOKUP($F33,'התפלגות ייצור וסל דלקים'!$B$64:$BV$84,BM$2-$E$2,FALSE))*$D$9*$D$8*(HLOOKUP(BM$23,$G$18:$R$19,2,FALSE)*(1-$D$12)^($F33-'הנחות עבודה'!$C$5)/$D$11)/$D$11)</f>
        <v>0</v>
      </c>
      <c r="BN33" s="42">
        <f ca="1">IF(OR($F33&gt;$D$5,$F33&gt;MAX('הנחות עבודה'!$B$69:$B$89)),0,(VLOOKUP($F33,'התפלגות ייצור וסל דלקים'!$B$64:$BV$84,BN$2-$E$2,FALSE))*$D$9*$D$8*(HLOOKUP(BN$23,$G$18:$R$19,2,FALSE)*(1-$D$12)^($F33-'הנחות עבודה'!$C$5)/$D$11)/$D$11)</f>
        <v>0</v>
      </c>
      <c r="BO33" s="52">
        <f ca="1">IF(OR($F33&gt;$D$5,$F33&gt;MAX('הנחות עבודה'!$B$69:$B$89)),0,(VLOOKUP($F33,'התפלגות ייצור וסל דלקים'!$B$64:$BV$84,BO$2-$E$2,FALSE))*$D$9*$D$8*(HLOOKUP(BO$23,$G$18:$R$19,2,FALSE)*(1-$D$12)^($F33-'הנחות עבודה'!$C$5)/$D$11)/$D$11)</f>
        <v>0</v>
      </c>
      <c r="BP33" s="127">
        <f ca="1">IF(OR($F33&gt;$D$5,$F33&gt;MAX('הנחות עבודה'!$B$69:$B$89)),0,(VLOOKUP($F33,'התפלגות ייצור וסל דלקים'!$B$64:$BV$84,BP$2-$E$2,FALSE))*$D$9*$D$8*(HLOOKUP(BP$23,$G$18:$R$19,2,FALSE)*(1-$D$12)^($F33-'הנחות עבודה'!$C$5)/$D$11)/$D$11)</f>
        <v>0</v>
      </c>
      <c r="BQ33" s="127">
        <f ca="1">IF(OR($F33&gt;$D$5,$F33&gt;MAX('הנחות עבודה'!$B$69:$B$89)),0,(VLOOKUP($F33,'התפלגות ייצור וסל דלקים'!$B$64:$BV$84,BQ$2-$E$2,FALSE))*$D$9*$D$8*(HLOOKUP(BQ$23,$G$18:$R$19,2,FALSE)*(1-$D$12)^($F33-'הנחות עבודה'!$C$5)/$D$11)/$D$11)</f>
        <v>0</v>
      </c>
      <c r="BR33" s="127">
        <f ca="1">IF(OR($F33&gt;$D$5,$F33&gt;MAX('הנחות עבודה'!$B$69:$B$89)),0,(VLOOKUP($F33,'התפלגות ייצור וסל דלקים'!$B$64:$BV$84,BR$2-$E$2,FALSE))*$D$9*$D$8*(HLOOKUP(BR$23,$G$18:$R$19,2,FALSE)*(1-$D$12)^($F33-'הנחות עבודה'!$C$5)/$D$11)/$D$11)</f>
        <v>0</v>
      </c>
      <c r="BS33" s="127">
        <f ca="1">IF(OR($F33&gt;$D$5,$F33&gt;MAX('הנחות עבודה'!$B$69:$B$89)),0,(VLOOKUP($F33,'התפלגות ייצור וסל דלקים'!$B$64:$BV$84,BS$2-$E$2,FALSE))*$D$9*$D$8*(HLOOKUP(BS$23,$G$18:$R$19,2,FALSE)*(1-$D$12)^($F33-'הנחות עבודה'!$C$5)/$D$11)/$D$11)</f>
        <v>0</v>
      </c>
      <c r="BT33" s="127">
        <f ca="1">IF(OR($F33&gt;$D$5,$F33&gt;MAX('הנחות עבודה'!$B$69:$B$89)),0,(VLOOKUP($F33,'התפלגות ייצור וסל דלקים'!$B$64:$BV$84,BT$2-$E$2,FALSE))*$D$9*$D$8*(HLOOKUP(BT$23,$G$18:$R$19,2,FALSE)*(1-$D$12)^($F33-'הנחות עבודה'!$C$5)/$D$11)/$D$11)</f>
        <v>0</v>
      </c>
      <c r="BU33" s="52">
        <f ca="1">IF(OR($F33&gt;$D$5,$F33&gt;MAX('הנחות עבודה'!$B$69:$B$89)),0,(VLOOKUP($F33,'התפלגות ייצור וסל דלקים'!$B$64:$BV$84,BU$2-$E$2,FALSE))*$D$9*$D$8*(HLOOKUP(BU$23,$G$18:$R$19,2,FALSE)*(1-$D$12)^($F33-'הנחות עבודה'!$C$5)/$D$11)/$D$11)</f>
        <v>1.2484E-4</v>
      </c>
      <c r="BV33" s="52">
        <f ca="1">IF(OR($F33&gt;$D$5,$F33&gt;MAX('הנחות עבודה'!$B$69:$B$89)),0,(VLOOKUP($F33,'התפלגות ייצור וסל דלקים'!$B$64:$BV$84,BV$2-$E$2,FALSE))*$D$9*$D$8*(HLOOKUP(BV$23,$G$18:$R$19,2,FALSE)*(1-$D$12)^($F33-'הנחות עבודה'!$C$5)/$D$11)/$D$11)</f>
        <v>4.1750117120000006E-4</v>
      </c>
      <c r="BW33" s="52">
        <f ca="1">IF(OR($F33&gt;$D$5,$F33&gt;MAX('הנחות עבודה'!$B$69:$B$89)),0,(VLOOKUP($F33,'התפלגות ייצור וסל דלקים'!$B$64:$BV$84,BW$2-$E$2,FALSE))*$D$9*$D$8*(HLOOKUP(BW$23,$G$18:$R$19,2,FALSE)*(1-$D$12)^($F33-'הנחות עבודה'!$C$5)/$D$11)/$D$11)</f>
        <v>0</v>
      </c>
      <c r="BX33" s="52">
        <f ca="1">IF(OR($F33&gt;$D$5,$F33&gt;MAX('הנחות עבודה'!$B$69:$B$89)),0,(VLOOKUP($F33,'התפלגות ייצור וסל דלקים'!$B$64:$BV$84,BX$2-$E$2,FALSE))*$D$9*$D$8*(HLOOKUP(BX$23,$G$18:$R$19,2,FALSE)*(1-$D$12)^($F33-'הנחות עבודה'!$C$5)/$D$11)/$D$11)</f>
        <v>0</v>
      </c>
      <c r="BY33" s="52">
        <f ca="1">IF(OR($F33&gt;$D$5,$F33&gt;MAX('הנחות עבודה'!$B$69:$B$89)),0,(VLOOKUP($F33,'התפלגות ייצור וסל דלקים'!$B$64:$BV$84,BY$2-$E$2,FALSE))*$D$9*$D$8*(HLOOKUP(BY$23,$G$18:$R$19,2,FALSE)*(1-$D$12)^($F33-'הנחות עבודה'!$C$5)/$D$11)/$D$11)</f>
        <v>0</v>
      </c>
      <c r="BZ33" s="52">
        <f ca="1">IF(OR($F33&gt;$D$5,$F33&gt;MAX('הנחות עבודה'!$B$69:$B$89)),0,(VLOOKUP($F33,'התפלגות ייצור וסל דלקים'!$B$64:$BV$84,BZ$2-$E$2,FALSE))*$D$9*$D$8*(HLOOKUP(BZ$23,$G$18:$R$19,2,FALSE)*(1-$D$12)^($F33-'הנחות עבודה'!$C$5)/$D$11)/$D$11)</f>
        <v>0</v>
      </c>
    </row>
    <row r="34" spans="6:78" ht="15.75">
      <c r="F34" s="10">
        <f t="shared" si="108"/>
        <v>2030</v>
      </c>
      <c r="G34" s="42">
        <f ca="1">IF(OR($F34&gt;$D$5,$F34&gt;MAX('הנחות עבודה'!$B$69:$B$89)),0,(VLOOKUP($F34,'התפלגות ייצור וסל דלקים'!$B$64:$BV$84,G$2-$E$2,FALSE))*$D$9*$D$8*(HLOOKUP(G$23,$G$18:$R$19,2,FALSE)*(1-$D$12)^($F34-'הנחות עבודה'!$C$5)/$D$11)/$D$11)</f>
        <v>0</v>
      </c>
      <c r="H34" s="44">
        <f ca="1">IF(OR($F34&gt;$D$5,$F34&gt;MAX('הנחות עבודה'!$B$69:$B$89)),0,(VLOOKUP($F34,'התפלגות ייצור וסל דלקים'!$B$64:$BV$84,H$2-$E$2,FALSE))*$D$9*$D$8*(HLOOKUP(H$23,$G$18:$R$19,2,FALSE)*(1-$D$12)^($F34-'הנחות עבודה'!$C$5)/$D$11)/$D$11)</f>
        <v>0</v>
      </c>
      <c r="I34" s="44">
        <f ca="1">IF(OR($F34&gt;$D$5,$F34&gt;MAX('הנחות עבודה'!$B$69:$B$89)),0,(VLOOKUP($F34,'התפלגות ייצור וסל דלקים'!$B$64:$BV$84,I$2-$E$2,FALSE))*$D$9*$D$8*(HLOOKUP(I$23,$G$18:$R$19,2,FALSE)*(1-$D$12)^($F34-'הנחות עבודה'!$C$5)/$D$11)/$D$11)</f>
        <v>0</v>
      </c>
      <c r="J34" s="44">
        <f ca="1">IF(OR($F34&gt;$D$5,$F34&gt;MAX('הנחות עבודה'!$B$69:$B$89)),0,(VLOOKUP($F34,'התפלגות ייצור וסל דלקים'!$B$64:$BV$84,J$2-$E$2,FALSE))*$D$9*$D$8*(HLOOKUP(J$23,$G$18:$R$19,2,FALSE)*(1-$D$12)^($F34-'הנחות עבודה'!$C$5)/$D$11)/$D$11)</f>
        <v>0</v>
      </c>
      <c r="K34" s="44">
        <f ca="1">IF(OR($F34&gt;$D$5,$F34&gt;MAX('הנחות עבודה'!$B$69:$B$89)),0,(VLOOKUP($F34,'התפלגות ייצור וסל דלקים'!$B$64:$BV$84,K$2-$E$2,FALSE))*$D$9*$D$8*(HLOOKUP(K$23,$G$18:$R$19,2,FALSE)*(1-$D$12)^($F34-'הנחות עבודה'!$C$5)/$D$11)/$D$11)</f>
        <v>0</v>
      </c>
      <c r="L34" s="44">
        <f ca="1">IF(OR($F34&gt;$D$5,$F34&gt;MAX('הנחות עבודה'!$B$69:$B$89)),0,(VLOOKUP($F34,'התפלגות ייצור וסל דלקים'!$B$64:$BV$84,L$2-$E$2,FALSE))*$D$9*$D$8*(HLOOKUP(L$23,$G$18:$R$19,2,FALSE)*(1-$D$12)^($F34-'הנחות עבודה'!$C$5)/$D$11)/$D$11)</f>
        <v>0</v>
      </c>
      <c r="M34" s="42">
        <f ca="1">IF(OR($F34&gt;$D$5,$F34&gt;MAX('הנחות עבודה'!$B$69:$B$89)),0,(VLOOKUP($F34,'התפלגות ייצור וסל דלקים'!$B$64:$BV$84,M$2-$E$2,FALSE))*$D$9*$D$8*(HLOOKUP(M$23,$G$18:$R$19,2,FALSE)*(1-$D$12)^($F34-'הנחות עבודה'!$C$5)/$D$11)/$D$11)</f>
        <v>1.1640567999999999E-4</v>
      </c>
      <c r="N34" s="42">
        <f ca="1">IF(OR($F34&gt;$D$5,$F34&gt;MAX('הנחות עבודה'!$B$69:$B$89)),0,(VLOOKUP($F34,'התפלגות ייצור וסל דלקים'!$B$64:$BV$84,N$2-$E$2,FALSE))*$D$9*$D$8*(HLOOKUP(N$23,$G$18:$R$19,2,FALSE)*(1-$D$12)^($F34-'הנחות עבודה'!$C$5)/$D$11)/$D$11)</f>
        <v>5.2654561384E-4</v>
      </c>
      <c r="O34" s="42">
        <f ca="1">IF(OR($F34&gt;$D$5,$F34&gt;MAX('הנחות עבודה'!$B$69:$B$89)),0,(VLOOKUP($F34,'התפלגות ייצור וסל דלקים'!$B$64:$BV$84,O$2-$E$2,FALSE))*$D$9*$D$8*(HLOOKUP(O$23,$G$18:$R$19,2,FALSE)*(1-$D$12)^($F34-'הנחות עבודה'!$C$5)/$D$11)/$D$11)</f>
        <v>0</v>
      </c>
      <c r="P34" s="42">
        <f ca="1">IF(OR($F34&gt;$D$5,$F34&gt;MAX('הנחות עבודה'!$B$69:$B$89)),0,(VLOOKUP($F34,'התפלגות ייצור וסל דלקים'!$B$64:$BV$84,P$2-$E$2,FALSE))*$D$9*$D$8*(HLOOKUP(P$23,$G$18:$R$19,2,FALSE)*(1-$D$12)^($F34-'הנחות עבודה'!$C$5)/$D$11)/$D$11)</f>
        <v>0</v>
      </c>
      <c r="Q34" s="42">
        <f ca="1">IF(OR($F34&gt;$D$5,$F34&gt;MAX('הנחות עבודה'!$B$69:$B$89)),0,(VLOOKUP($F34,'התפלגות ייצור וסל דלקים'!$B$64:$BV$84,Q$2-$E$2,FALSE))*$D$9*$D$8*(HLOOKUP(Q$23,$G$18:$R$19,2,FALSE)*(1-$D$12)^($F34-'הנחות עבודה'!$C$5)/$D$11)/$D$11)</f>
        <v>0</v>
      </c>
      <c r="R34" s="42">
        <f ca="1">IF(OR($F34&gt;$D$5,$F34&gt;MAX('הנחות עבודה'!$B$69:$B$89)),0,(VLOOKUP($F34,'התפלגות ייצור וסל דלקים'!$B$64:$BV$84,R$2-$E$2,FALSE))*$D$9*$D$8*(HLOOKUP(R$23,$G$18:$R$19,2,FALSE)*(1-$D$12)^($F34-'הנחות עבודה'!$C$5)/$D$11)/$D$11)</f>
        <v>0</v>
      </c>
      <c r="S34" s="52">
        <f ca="1">IF(OR($F34&gt;$D$5,$F34&gt;MAX('הנחות עבודה'!$B$69:$B$89)),0,(VLOOKUP($F34,'התפלגות ייצור וסל דלקים'!$B$64:$BV$84,S$2-$E$2,FALSE))*$D$9*$D$8*(HLOOKUP(S$23,$G$18:$R$19,2,FALSE)*(1-$D$12)^($F34-'הנחות עבודה'!$C$5)/$D$11)/$D$11)</f>
        <v>0</v>
      </c>
      <c r="T34" s="127">
        <f ca="1">IF(OR($F34&gt;$D$5,$F34&gt;MAX('הנחות עבודה'!$B$69:$B$89)),0,(VLOOKUP($F34,'התפלגות ייצור וסל דלקים'!$B$64:$BV$84,T$2-$E$2,FALSE))*$D$9*$D$8*(HLOOKUP(T$23,$G$18:$R$19,2,FALSE)*(1-$D$12)^($F34-'הנחות עבודה'!$C$5)/$D$11)/$D$11)</f>
        <v>0</v>
      </c>
      <c r="U34" s="127">
        <f ca="1">IF(OR($F34&gt;$D$5,$F34&gt;MAX('הנחות עבודה'!$B$69:$B$89)),0,(VLOOKUP($F34,'התפלגות ייצור וסל דלקים'!$B$64:$BV$84,U$2-$E$2,FALSE))*$D$9*$D$8*(HLOOKUP(U$23,$G$18:$R$19,2,FALSE)*(1-$D$12)^($F34-'הנחות עבודה'!$C$5)/$D$11)/$D$11)</f>
        <v>0</v>
      </c>
      <c r="V34" s="127">
        <f ca="1">IF(OR($F34&gt;$D$5,$F34&gt;MAX('הנחות עבודה'!$B$69:$B$89)),0,(VLOOKUP($F34,'התפלגות ייצור וסל דלקים'!$B$64:$BV$84,V$2-$E$2,FALSE))*$D$9*$D$8*(HLOOKUP(V$23,$G$18:$R$19,2,FALSE)*(1-$D$12)^($F34-'הנחות עבודה'!$C$5)/$D$11)/$D$11)</f>
        <v>0</v>
      </c>
      <c r="W34" s="127">
        <f ca="1">IF(OR($F34&gt;$D$5,$F34&gt;MAX('הנחות עבודה'!$B$69:$B$89)),0,(VLOOKUP($F34,'התפלגות ייצור וסל דלקים'!$B$64:$BV$84,W$2-$E$2,FALSE))*$D$9*$D$8*(HLOOKUP(W$23,$G$18:$R$19,2,FALSE)*(1-$D$12)^($F34-'הנחות עבודה'!$C$5)/$D$11)/$D$11)</f>
        <v>0</v>
      </c>
      <c r="X34" s="127">
        <f ca="1">IF(OR($F34&gt;$D$5,$F34&gt;MAX('הנחות עבודה'!$B$69:$B$89)),0,(VLOOKUP($F34,'התפלגות ייצור וסל דלקים'!$B$64:$BV$84,X$2-$E$2,FALSE))*$D$9*$D$8*(HLOOKUP(X$23,$G$18:$R$19,2,FALSE)*(1-$D$12)^($F34-'הנחות עבודה'!$C$5)/$D$11)/$D$11)</f>
        <v>0</v>
      </c>
      <c r="Y34" s="52">
        <f ca="1">IF(OR($F34&gt;$D$5,$F34&gt;MAX('הנחות עבודה'!$B$69:$B$89)),0,(VLOOKUP($F34,'התפלגות ייצור וסל דלקים'!$B$64:$BV$84,Y$2-$E$2,FALSE))*$D$9*$D$8*(HLOOKUP(Y$23,$G$18:$R$19,2,FALSE)*(1-$D$12)^($F34-'הנחות עבודה'!$C$5)/$D$11)/$D$11)</f>
        <v>1.1640567999999999E-4</v>
      </c>
      <c r="Z34" s="52">
        <f ca="1">IF(OR($F34&gt;$D$5,$F34&gt;MAX('הנחות עבודה'!$B$69:$B$89)),0,(VLOOKUP($F34,'התפלגות ייצור וסל דלקים'!$B$64:$BV$84,Z$2-$E$2,FALSE))*$D$9*$D$8*(HLOOKUP(Z$23,$G$18:$R$19,2,FALSE)*(1-$D$12)^($F34-'הנחות עבודה'!$C$5)/$D$11)/$D$11)</f>
        <v>5.2654561384E-4</v>
      </c>
      <c r="AA34" s="52">
        <f ca="1">IF(OR($F34&gt;$D$5,$F34&gt;MAX('הנחות עבודה'!$B$69:$B$89)),0,(VLOOKUP($F34,'התפלגות ייצור וסל דלקים'!$B$64:$BV$84,AA$2-$E$2,FALSE))*$D$9*$D$8*(HLOOKUP(AA$23,$G$18:$R$19,2,FALSE)*(1-$D$12)^($F34-'הנחות עבודה'!$C$5)/$D$11)/$D$11)</f>
        <v>0</v>
      </c>
      <c r="AB34" s="52">
        <f ca="1">IF(OR($F34&gt;$D$5,$F34&gt;MAX('הנחות עבודה'!$B$69:$B$89)),0,(VLOOKUP($F34,'התפלגות ייצור וסל דלקים'!$B$64:$BV$84,AB$2-$E$2,FALSE))*$D$9*$D$8*(HLOOKUP(AB$23,$G$18:$R$19,2,FALSE)*(1-$D$12)^($F34-'הנחות עבודה'!$C$5)/$D$11)/$D$11)</f>
        <v>0</v>
      </c>
      <c r="AC34" s="52">
        <f ca="1">IF(OR($F34&gt;$D$5,$F34&gt;MAX('הנחות עבודה'!$B$69:$B$89)),0,(VLOOKUP($F34,'התפלגות ייצור וסל דלקים'!$B$64:$BV$84,AC$2-$E$2,FALSE))*$D$9*$D$8*(HLOOKUP(AC$23,$G$18:$R$19,2,FALSE)*(1-$D$12)^($F34-'הנחות עבודה'!$C$5)/$D$11)/$D$11)</f>
        <v>0</v>
      </c>
      <c r="AD34" s="52">
        <f ca="1">IF(OR($F34&gt;$D$5,$F34&gt;MAX('הנחות עבודה'!$B$69:$B$89)),0,(VLOOKUP($F34,'התפלגות ייצור וסל דלקים'!$B$64:$BV$84,AD$2-$E$2,FALSE))*$D$9*$D$8*(HLOOKUP(AD$23,$G$18:$R$19,2,FALSE)*(1-$D$12)^($F34-'הנחות עבודה'!$C$5)/$D$11)/$D$11)</f>
        <v>0</v>
      </c>
      <c r="AE34" s="42">
        <f ca="1">IF(OR($F34&gt;$D$5,$F34&gt;MAX('הנחות עבודה'!$B$69:$B$89)),0,(VLOOKUP($F34,'התפלגות ייצור וסל דלקים'!$B$64:$BV$84,AE$2-$E$2,FALSE))*$D$9*$D$8*(HLOOKUP(AE$23,$G$18:$R$19,2,FALSE)*(1-$D$12)^($F34-'הנחות עבודה'!$C$5)/$D$11)/$D$11)</f>
        <v>0</v>
      </c>
      <c r="AF34" s="44">
        <f ca="1">IF(OR($F34&gt;$D$5,$F34&gt;MAX('הנחות עבודה'!$B$69:$B$89)),0,(VLOOKUP($F34,'התפלגות ייצור וסל דלקים'!$B$64:$BV$84,AF$2-$E$2,FALSE))*$D$9*$D$8*(HLOOKUP(AF$23,$G$18:$R$19,2,FALSE)*(1-$D$12)^($F34-'הנחות עבודה'!$C$5)/$D$11)/$D$11)</f>
        <v>0</v>
      </c>
      <c r="AG34" s="44">
        <f ca="1">IF(OR($F34&gt;$D$5,$F34&gt;MAX('הנחות עבודה'!$B$69:$B$89)),0,(VLOOKUP($F34,'התפלגות ייצור וסל דלקים'!$B$64:$BV$84,AG$2-$E$2,FALSE))*$D$9*$D$8*(HLOOKUP(AG$23,$G$18:$R$19,2,FALSE)*(1-$D$12)^($F34-'הנחות עבודה'!$C$5)/$D$11)/$D$11)</f>
        <v>0</v>
      </c>
      <c r="AH34" s="44">
        <f ca="1">IF(OR($F34&gt;$D$5,$F34&gt;MAX('הנחות עבודה'!$B$69:$B$89)),0,(VLOOKUP($F34,'התפלגות ייצור וסל דלקים'!$B$64:$BV$84,AH$2-$E$2,FALSE))*$D$9*$D$8*(HLOOKUP(AH$23,$G$18:$R$19,2,FALSE)*(1-$D$12)^($F34-'הנחות עבודה'!$C$5)/$D$11)/$D$11)</f>
        <v>0</v>
      </c>
      <c r="AI34" s="44">
        <f ca="1">IF(OR($F34&gt;$D$5,$F34&gt;MAX('הנחות עבודה'!$B$69:$B$89)),0,(VLOOKUP($F34,'התפלגות ייצור וסל דלקים'!$B$64:$BV$84,AI$2-$E$2,FALSE))*$D$9*$D$8*(HLOOKUP(AI$23,$G$18:$R$19,2,FALSE)*(1-$D$12)^($F34-'הנחות עבודה'!$C$5)/$D$11)/$D$11)</f>
        <v>0</v>
      </c>
      <c r="AJ34" s="44">
        <f ca="1">IF(OR($F34&gt;$D$5,$F34&gt;MAX('הנחות עבודה'!$B$69:$B$89)),0,(VLOOKUP($F34,'התפלגות ייצור וסל דלקים'!$B$64:$BV$84,AJ$2-$E$2,FALSE))*$D$9*$D$8*(HLOOKUP(AJ$23,$G$18:$R$19,2,FALSE)*(1-$D$12)^($F34-'הנחות עבודה'!$C$5)/$D$11)/$D$11)</f>
        <v>0</v>
      </c>
      <c r="AK34" s="42">
        <f ca="1">IF(OR($F34&gt;$D$5,$F34&gt;MAX('הנחות עבודה'!$B$69:$B$89)),0,(VLOOKUP($F34,'התפלגות ייצור וסל דלקים'!$B$64:$BV$84,AK$2-$E$2,FALSE))*$D$9*$D$8*(HLOOKUP(AK$23,$G$18:$R$19,2,FALSE)*(1-$D$12)^($F34-'הנחות עבודה'!$C$5)/$D$11)/$D$11)</f>
        <v>1.2331608E-4</v>
      </c>
      <c r="AL34" s="42">
        <f ca="1">IF(OR($F34&gt;$D$5,$F34&gt;MAX('הנחות עבודה'!$B$69:$B$89)),0,(VLOOKUP($F34,'התפלגות ייצור וסל דלקים'!$B$64:$BV$84,AL$2-$E$2,FALSE))*$D$9*$D$8*(HLOOKUP(AL$23,$G$18:$R$19,2,FALSE)*(1-$D$12)^($F34-'הנחות עבודה'!$C$5)/$D$11)/$D$11)</f>
        <v>4.5735866600000004E-4</v>
      </c>
      <c r="AM34" s="42">
        <f ca="1">IF(OR($F34&gt;$D$5,$F34&gt;MAX('הנחות עבודה'!$B$69:$B$89)),0,(VLOOKUP($F34,'התפלגות ייצור וסל דלקים'!$B$64:$BV$84,AM$2-$E$2,FALSE))*$D$9*$D$8*(HLOOKUP(AM$23,$G$18:$R$19,2,FALSE)*(1-$D$12)^($F34-'הנחות עבודה'!$C$5)/$D$11)/$D$11)</f>
        <v>0</v>
      </c>
      <c r="AN34" s="42">
        <f ca="1">IF(OR($F34&gt;$D$5,$F34&gt;MAX('הנחות עבודה'!$B$69:$B$89)),0,(VLOOKUP($F34,'התפלגות ייצור וסל דלקים'!$B$64:$BV$84,AN$2-$E$2,FALSE))*$D$9*$D$8*(HLOOKUP(AN$23,$G$18:$R$19,2,FALSE)*(1-$D$12)^($F34-'הנחות עבודה'!$C$5)/$D$11)/$D$11)</f>
        <v>0</v>
      </c>
      <c r="AO34" s="42">
        <f ca="1">IF(OR($F34&gt;$D$5,$F34&gt;MAX('הנחות עבודה'!$B$69:$B$89)),0,(VLOOKUP($F34,'התפלגות ייצור וסל דלקים'!$B$64:$BV$84,AO$2-$E$2,FALSE))*$D$9*$D$8*(HLOOKUP(AO$23,$G$18:$R$19,2,FALSE)*(1-$D$12)^($F34-'הנחות עבודה'!$C$5)/$D$11)/$D$11)</f>
        <v>0</v>
      </c>
      <c r="AP34" s="42">
        <f ca="1">IF(OR($F34&gt;$D$5,$F34&gt;MAX('הנחות עבודה'!$B$69:$B$89)),0,(VLOOKUP($F34,'התפלגות ייצור וסל דלקים'!$B$64:$BV$84,AP$2-$E$2,FALSE))*$D$9*$D$8*(HLOOKUP(AP$23,$G$18:$R$19,2,FALSE)*(1-$D$12)^($F34-'הנחות עבודה'!$C$5)/$D$11)/$D$11)</f>
        <v>0</v>
      </c>
      <c r="AQ34" s="52">
        <f ca="1">IF(OR($F34&gt;$D$5,$F34&gt;MAX('הנחות עבודה'!$B$69:$B$89)),0,(VLOOKUP($F34,'התפלגות ייצור וסל דלקים'!$B$64:$BV$84,AQ$2-$E$2,FALSE))*$D$9*$D$8*(HLOOKUP(AQ$23,$G$18:$R$19,2,FALSE)*(1-$D$12)^($F34-'הנחות עבודה'!$C$5)/$D$11)/$D$11)</f>
        <v>0</v>
      </c>
      <c r="AR34" s="127">
        <f ca="1">IF(OR($F34&gt;$D$5,$F34&gt;MAX('הנחות עבודה'!$B$69:$B$89)),0,(VLOOKUP($F34,'התפלגות ייצור וסל דלקים'!$B$64:$BV$84,AR$2-$E$2,FALSE))*$D$9*$D$8*(HLOOKUP(AR$23,$G$18:$R$19,2,FALSE)*(1-$D$12)^($F34-'הנחות עבודה'!$C$5)/$D$11)/$D$11)</f>
        <v>0</v>
      </c>
      <c r="AS34" s="127">
        <f ca="1">IF(OR($F34&gt;$D$5,$F34&gt;MAX('הנחות עבודה'!$B$69:$B$89)),0,(VLOOKUP($F34,'התפלגות ייצור וסל דלקים'!$B$64:$BV$84,AS$2-$E$2,FALSE))*$D$9*$D$8*(HLOOKUP(AS$23,$G$18:$R$19,2,FALSE)*(1-$D$12)^($F34-'הנחות עבודה'!$C$5)/$D$11)/$D$11)</f>
        <v>0</v>
      </c>
      <c r="AT34" s="127">
        <f ca="1">IF(OR($F34&gt;$D$5,$F34&gt;MAX('הנחות עבודה'!$B$69:$B$89)),0,(VLOOKUP($F34,'התפלגות ייצור וסל דלקים'!$B$64:$BV$84,AT$2-$E$2,FALSE))*$D$9*$D$8*(HLOOKUP(AT$23,$G$18:$R$19,2,FALSE)*(1-$D$12)^($F34-'הנחות עבודה'!$C$5)/$D$11)/$D$11)</f>
        <v>0</v>
      </c>
      <c r="AU34" s="127">
        <f ca="1">IF(OR($F34&gt;$D$5,$F34&gt;MAX('הנחות עבודה'!$B$69:$B$89)),0,(VLOOKUP($F34,'התפלגות ייצור וסל דלקים'!$B$64:$BV$84,AU$2-$E$2,FALSE))*$D$9*$D$8*(HLOOKUP(AU$23,$G$18:$R$19,2,FALSE)*(1-$D$12)^($F34-'הנחות עבודה'!$C$5)/$D$11)/$D$11)</f>
        <v>0</v>
      </c>
      <c r="AV34" s="127">
        <f ca="1">IF(OR($F34&gt;$D$5,$F34&gt;MAX('הנחות עבודה'!$B$69:$B$89)),0,(VLOOKUP($F34,'התפלגות ייצור וסל דלקים'!$B$64:$BV$84,AV$2-$E$2,FALSE))*$D$9*$D$8*(HLOOKUP(AV$23,$G$18:$R$19,2,FALSE)*(1-$D$12)^($F34-'הנחות עבודה'!$C$5)/$D$11)/$D$11)</f>
        <v>0</v>
      </c>
      <c r="AW34" s="52">
        <f ca="1">IF(OR($F34&gt;$D$5,$F34&gt;MAX('הנחות עבודה'!$B$69:$B$89)),0,(VLOOKUP($F34,'התפלגות ייצור וסל דלקים'!$B$64:$BV$84,AW$2-$E$2,FALSE))*$D$9*$D$8*(HLOOKUP(AW$23,$G$18:$R$19,2,FALSE)*(1-$D$12)^($F34-'הנחות עבודה'!$C$5)/$D$11)/$D$11)</f>
        <v>1.2331608E-4</v>
      </c>
      <c r="AX34" s="52">
        <f ca="1">IF(OR($F34&gt;$D$5,$F34&gt;MAX('הנחות עבודה'!$B$69:$B$89)),0,(VLOOKUP($F34,'התפלגות ייצור וסל דלקים'!$B$64:$BV$84,AX$2-$E$2,FALSE))*$D$9*$D$8*(HLOOKUP(AX$23,$G$18:$R$19,2,FALSE)*(1-$D$12)^($F34-'הנחות עבודה'!$C$5)/$D$11)/$D$11)</f>
        <v>4.5735866600000004E-4</v>
      </c>
      <c r="AY34" s="52">
        <f ca="1">IF(OR($F34&gt;$D$5,$F34&gt;MAX('הנחות עבודה'!$B$69:$B$89)),0,(VLOOKUP($F34,'התפלגות ייצור וסל דלקים'!$B$64:$BV$84,AY$2-$E$2,FALSE))*$D$9*$D$8*(HLOOKUP(AY$23,$G$18:$R$19,2,FALSE)*(1-$D$12)^($F34-'הנחות עבודה'!$C$5)/$D$11)/$D$11)</f>
        <v>0</v>
      </c>
      <c r="AZ34" s="52">
        <f ca="1">IF(OR($F34&gt;$D$5,$F34&gt;MAX('הנחות עבודה'!$B$69:$B$89)),0,(VLOOKUP($F34,'התפלגות ייצור וסל דלקים'!$B$64:$BV$84,AZ$2-$E$2,FALSE))*$D$9*$D$8*(HLOOKUP(AZ$23,$G$18:$R$19,2,FALSE)*(1-$D$12)^($F34-'הנחות עבודה'!$C$5)/$D$11)/$D$11)</f>
        <v>0</v>
      </c>
      <c r="BA34" s="52">
        <f ca="1">IF(OR($F34&gt;$D$5,$F34&gt;MAX('הנחות עבודה'!$B$69:$B$89)),0,(VLOOKUP($F34,'התפלגות ייצור וסל דלקים'!$B$64:$BV$84,BA$2-$E$2,FALSE))*$D$9*$D$8*(HLOOKUP(BA$23,$G$18:$R$19,2,FALSE)*(1-$D$12)^($F34-'הנחות עבודה'!$C$5)/$D$11)/$D$11)</f>
        <v>0</v>
      </c>
      <c r="BB34" s="52">
        <f ca="1">IF(OR($F34&gt;$D$5,$F34&gt;MAX('הנחות עבודה'!$B$69:$B$89)),0,(VLOOKUP($F34,'התפלגות ייצור וסל דלקים'!$B$64:$BV$84,BB$2-$E$2,FALSE))*$D$9*$D$8*(HLOOKUP(BB$23,$G$18:$R$19,2,FALSE)*(1-$D$12)^($F34-'הנחות עבודה'!$C$5)/$D$11)/$D$11)</f>
        <v>0</v>
      </c>
      <c r="BC34" s="42">
        <f ca="1">IF(OR($F34&gt;$D$5,$F34&gt;MAX('הנחות עבודה'!$B$69:$B$89)),0,(VLOOKUP($F34,'התפלגות ייצור וסל דלקים'!$B$64:$BV$84,BC$2-$E$2,FALSE))*$D$9*$D$8*(HLOOKUP(BC$23,$G$18:$R$19,2,FALSE)*(1-$D$12)^($F34-'הנחות עבודה'!$C$5)/$D$11)/$D$11)</f>
        <v>0</v>
      </c>
      <c r="BD34" s="44">
        <f ca="1">IF(OR($F34&gt;$D$5,$F34&gt;MAX('הנחות עבודה'!$B$69:$B$89)),0,(VLOOKUP($F34,'התפלגות ייצור וסל דלקים'!$B$64:$BV$84,BD$2-$E$2,FALSE))*$D$9*$D$8*(HLOOKUP(BD$23,$G$18:$R$19,2,FALSE)*(1-$D$12)^($F34-'הנחות עבודה'!$C$5)/$D$11)/$D$11)</f>
        <v>0</v>
      </c>
      <c r="BE34" s="44">
        <f ca="1">IF(OR($F34&gt;$D$5,$F34&gt;MAX('הנחות עבודה'!$B$69:$B$89)),0,(VLOOKUP($F34,'התפלגות ייצור וסל דלקים'!$B$64:$BV$84,BE$2-$E$2,FALSE))*$D$9*$D$8*(HLOOKUP(BE$23,$G$18:$R$19,2,FALSE)*(1-$D$12)^($F34-'הנחות עבודה'!$C$5)/$D$11)/$D$11)</f>
        <v>0</v>
      </c>
      <c r="BF34" s="44">
        <f ca="1">IF(OR($F34&gt;$D$5,$F34&gt;MAX('הנחות עבודה'!$B$69:$B$89)),0,(VLOOKUP($F34,'התפלגות ייצור וסל דלקים'!$B$64:$BV$84,BF$2-$E$2,FALSE))*$D$9*$D$8*(HLOOKUP(BF$23,$G$18:$R$19,2,FALSE)*(1-$D$12)^($F34-'הנחות עבודה'!$C$5)/$D$11)/$D$11)</f>
        <v>0</v>
      </c>
      <c r="BG34" s="44">
        <f ca="1">IF(OR($F34&gt;$D$5,$F34&gt;MAX('הנחות עבודה'!$B$69:$B$89)),0,(VLOOKUP($F34,'התפלגות ייצור וסל דלקים'!$B$64:$BV$84,BG$2-$E$2,FALSE))*$D$9*$D$8*(HLOOKUP(BG$23,$G$18:$R$19,2,FALSE)*(1-$D$12)^($F34-'הנחות עבודה'!$C$5)/$D$11)/$D$11)</f>
        <v>0</v>
      </c>
      <c r="BH34" s="44">
        <f ca="1">IF(OR($F34&gt;$D$5,$F34&gt;MAX('הנחות עבודה'!$B$69:$B$89)),0,(VLOOKUP($F34,'התפלגות ייצור וסל דלקים'!$B$64:$BV$84,BH$2-$E$2,FALSE))*$D$9*$D$8*(HLOOKUP(BH$23,$G$18:$R$19,2,FALSE)*(1-$D$12)^($F34-'הנחות עבודה'!$C$5)/$D$11)/$D$11)</f>
        <v>0</v>
      </c>
      <c r="BI34" s="42">
        <f ca="1">IF(OR($F34&gt;$D$5,$F34&gt;MAX('הנחות עבודה'!$B$69:$B$89)),0,(VLOOKUP($F34,'התפלגות ייצור וסל דלקים'!$B$64:$BV$84,BI$2-$E$2,FALSE))*$D$9*$D$8*(HLOOKUP(BI$23,$G$18:$R$19,2,FALSE)*(1-$D$12)^($F34-'הנחות עבודה'!$C$5)/$D$11)/$D$11)</f>
        <v>1.2561600000000003E-4</v>
      </c>
      <c r="BJ34" s="42">
        <f ca="1">IF(OR($F34&gt;$D$5,$F34&gt;MAX('הנחות עבודה'!$B$69:$B$89)),0,(VLOOKUP($F34,'התפלגות ייצור וסל דלקים'!$B$64:$BV$84,BJ$2-$E$2,FALSE))*$D$9*$D$8*(HLOOKUP(BJ$23,$G$18:$R$19,2,FALSE)*(1-$D$12)^($F34-'הנחות עבודה'!$C$5)/$D$11)/$D$11)</f>
        <v>4.1640977359999989E-4</v>
      </c>
      <c r="BK34" s="42">
        <f ca="1">IF(OR($F34&gt;$D$5,$F34&gt;MAX('הנחות עבודה'!$B$69:$B$89)),0,(VLOOKUP($F34,'התפלגות ייצור וסל דלקים'!$B$64:$BV$84,BK$2-$E$2,FALSE))*$D$9*$D$8*(HLOOKUP(BK$23,$G$18:$R$19,2,FALSE)*(1-$D$12)^($F34-'הנחות עבודה'!$C$5)/$D$11)/$D$11)</f>
        <v>0</v>
      </c>
      <c r="BL34" s="42">
        <f ca="1">IF(OR($F34&gt;$D$5,$F34&gt;MAX('הנחות עבודה'!$B$69:$B$89)),0,(VLOOKUP($F34,'התפלגות ייצור וסל דלקים'!$B$64:$BV$84,BL$2-$E$2,FALSE))*$D$9*$D$8*(HLOOKUP(BL$23,$G$18:$R$19,2,FALSE)*(1-$D$12)^($F34-'הנחות עבודה'!$C$5)/$D$11)/$D$11)</f>
        <v>0</v>
      </c>
      <c r="BM34" s="42">
        <f ca="1">IF(OR($F34&gt;$D$5,$F34&gt;MAX('הנחות עבודה'!$B$69:$B$89)),0,(VLOOKUP($F34,'התפלגות ייצור וסל דלקים'!$B$64:$BV$84,BM$2-$E$2,FALSE))*$D$9*$D$8*(HLOOKUP(BM$23,$G$18:$R$19,2,FALSE)*(1-$D$12)^($F34-'הנחות עבודה'!$C$5)/$D$11)/$D$11)</f>
        <v>0</v>
      </c>
      <c r="BN34" s="42">
        <f ca="1">IF(OR($F34&gt;$D$5,$F34&gt;MAX('הנחות עבודה'!$B$69:$B$89)),0,(VLOOKUP($F34,'התפלגות ייצור וסל דלקים'!$B$64:$BV$84,BN$2-$E$2,FALSE))*$D$9*$D$8*(HLOOKUP(BN$23,$G$18:$R$19,2,FALSE)*(1-$D$12)^($F34-'הנחות עבודה'!$C$5)/$D$11)/$D$11)</f>
        <v>0</v>
      </c>
      <c r="BO34" s="52">
        <f ca="1">IF(OR($F34&gt;$D$5,$F34&gt;MAX('הנחות עבודה'!$B$69:$B$89)),0,(VLOOKUP($F34,'התפלגות ייצור וסל דלקים'!$B$64:$BV$84,BO$2-$E$2,FALSE))*$D$9*$D$8*(HLOOKUP(BO$23,$G$18:$R$19,2,FALSE)*(1-$D$12)^($F34-'הנחות עבודה'!$C$5)/$D$11)/$D$11)</f>
        <v>0</v>
      </c>
      <c r="BP34" s="127">
        <f ca="1">IF(OR($F34&gt;$D$5,$F34&gt;MAX('הנחות עבודה'!$B$69:$B$89)),0,(VLOOKUP($F34,'התפלגות ייצור וסל דלקים'!$B$64:$BV$84,BP$2-$E$2,FALSE))*$D$9*$D$8*(HLOOKUP(BP$23,$G$18:$R$19,2,FALSE)*(1-$D$12)^($F34-'הנחות עבודה'!$C$5)/$D$11)/$D$11)</f>
        <v>0</v>
      </c>
      <c r="BQ34" s="127">
        <f ca="1">IF(OR($F34&gt;$D$5,$F34&gt;MAX('הנחות עבודה'!$B$69:$B$89)),0,(VLOOKUP($F34,'התפלגות ייצור וסל דלקים'!$B$64:$BV$84,BQ$2-$E$2,FALSE))*$D$9*$D$8*(HLOOKUP(BQ$23,$G$18:$R$19,2,FALSE)*(1-$D$12)^($F34-'הנחות עבודה'!$C$5)/$D$11)/$D$11)</f>
        <v>0</v>
      </c>
      <c r="BR34" s="127">
        <f ca="1">IF(OR($F34&gt;$D$5,$F34&gt;MAX('הנחות עבודה'!$B$69:$B$89)),0,(VLOOKUP($F34,'התפלגות ייצור וסל דלקים'!$B$64:$BV$84,BR$2-$E$2,FALSE))*$D$9*$D$8*(HLOOKUP(BR$23,$G$18:$R$19,2,FALSE)*(1-$D$12)^($F34-'הנחות עבודה'!$C$5)/$D$11)/$D$11)</f>
        <v>0</v>
      </c>
      <c r="BS34" s="127">
        <f ca="1">IF(OR($F34&gt;$D$5,$F34&gt;MAX('הנחות עבודה'!$B$69:$B$89)),0,(VLOOKUP($F34,'התפלגות ייצור וסל דלקים'!$B$64:$BV$84,BS$2-$E$2,FALSE))*$D$9*$D$8*(HLOOKUP(BS$23,$G$18:$R$19,2,FALSE)*(1-$D$12)^($F34-'הנחות עבודה'!$C$5)/$D$11)/$D$11)</f>
        <v>0</v>
      </c>
      <c r="BT34" s="127">
        <f ca="1">IF(OR($F34&gt;$D$5,$F34&gt;MAX('הנחות עבודה'!$B$69:$B$89)),0,(VLOOKUP($F34,'התפלגות ייצור וסל דלקים'!$B$64:$BV$84,BT$2-$E$2,FALSE))*$D$9*$D$8*(HLOOKUP(BT$23,$G$18:$R$19,2,FALSE)*(1-$D$12)^($F34-'הנחות עבודה'!$C$5)/$D$11)/$D$11)</f>
        <v>0</v>
      </c>
      <c r="BU34" s="52">
        <f ca="1">IF(OR($F34&gt;$D$5,$F34&gt;MAX('הנחות עבודה'!$B$69:$B$89)),0,(VLOOKUP($F34,'התפלגות ייצור וסל דלקים'!$B$64:$BV$84,BU$2-$E$2,FALSE))*$D$9*$D$8*(HLOOKUP(BU$23,$G$18:$R$19,2,FALSE)*(1-$D$12)^($F34-'הנחות עבודה'!$C$5)/$D$11)/$D$11)</f>
        <v>1.2561600000000003E-4</v>
      </c>
      <c r="BV34" s="52">
        <f ca="1">IF(OR($F34&gt;$D$5,$F34&gt;MAX('הנחות עבודה'!$B$69:$B$89)),0,(VLOOKUP($F34,'התפלגות ייצור וסל דלקים'!$B$64:$BV$84,BV$2-$E$2,FALSE))*$D$9*$D$8*(HLOOKUP(BV$23,$G$18:$R$19,2,FALSE)*(1-$D$12)^($F34-'הנחות עבודה'!$C$5)/$D$11)/$D$11)</f>
        <v>4.1640977359999989E-4</v>
      </c>
      <c r="BW34" s="52">
        <f ca="1">IF(OR($F34&gt;$D$5,$F34&gt;MAX('הנחות עבודה'!$B$69:$B$89)),0,(VLOOKUP($F34,'התפלגות ייצור וסל דלקים'!$B$64:$BV$84,BW$2-$E$2,FALSE))*$D$9*$D$8*(HLOOKUP(BW$23,$G$18:$R$19,2,FALSE)*(1-$D$12)^($F34-'הנחות עבודה'!$C$5)/$D$11)/$D$11)</f>
        <v>0</v>
      </c>
      <c r="BX34" s="52">
        <f ca="1">IF(OR($F34&gt;$D$5,$F34&gt;MAX('הנחות עבודה'!$B$69:$B$89)),0,(VLOOKUP($F34,'התפלגות ייצור וסל דלקים'!$B$64:$BV$84,BX$2-$E$2,FALSE))*$D$9*$D$8*(HLOOKUP(BX$23,$G$18:$R$19,2,FALSE)*(1-$D$12)^($F34-'הנחות עבודה'!$C$5)/$D$11)/$D$11)</f>
        <v>0</v>
      </c>
      <c r="BY34" s="52">
        <f ca="1">IF(OR($F34&gt;$D$5,$F34&gt;MAX('הנחות עבודה'!$B$69:$B$89)),0,(VLOOKUP($F34,'התפלגות ייצור וסל דלקים'!$B$64:$BV$84,BY$2-$E$2,FALSE))*$D$9*$D$8*(HLOOKUP(BY$23,$G$18:$R$19,2,FALSE)*(1-$D$12)^($F34-'הנחות עבודה'!$C$5)/$D$11)/$D$11)</f>
        <v>0</v>
      </c>
      <c r="BZ34" s="52">
        <f ca="1">IF(OR($F34&gt;$D$5,$F34&gt;MAX('הנחות עבודה'!$B$69:$B$89)),0,(VLOOKUP($F34,'התפלגות ייצור וסל דלקים'!$B$64:$BV$84,BZ$2-$E$2,FALSE))*$D$9*$D$8*(HLOOKUP(BZ$23,$G$18:$R$19,2,FALSE)*(1-$D$12)^($F34-'הנחות עבודה'!$C$5)/$D$11)/$D$11)</f>
        <v>0</v>
      </c>
    </row>
    <row r="35" spans="6:78" ht="15.75">
      <c r="F35" s="10">
        <f t="shared" si="108"/>
        <v>2031</v>
      </c>
      <c r="G35" s="42">
        <f ca="1">IF(OR($F35&gt;$D$5,$F35&gt;MAX('הנחות עבודה'!$B$69:$B$89)),0,(VLOOKUP($F35,'התפלגות ייצור וסל דלקים'!$B$64:$BV$84,G$2-$E$2,FALSE))*$D$9*$D$8*(HLOOKUP(G$23,$G$18:$R$19,2,FALSE)*(1-$D$12)^($F35-'הנחות עבודה'!$C$5)/$D$11)/$D$11)</f>
        <v>0</v>
      </c>
      <c r="H35" s="44">
        <f ca="1">IF(OR($F35&gt;$D$5,$F35&gt;MAX('הנחות עבודה'!$B$69:$B$89)),0,(VLOOKUP($F35,'התפלגות ייצור וסל דלקים'!$B$64:$BV$84,H$2-$E$2,FALSE))*$D$9*$D$8*(HLOOKUP(H$23,$G$18:$R$19,2,FALSE)*(1-$D$12)^($F35-'הנחות עבודה'!$C$5)/$D$11)/$D$11)</f>
        <v>0</v>
      </c>
      <c r="I35" s="44">
        <f ca="1">IF(OR($F35&gt;$D$5,$F35&gt;MAX('הנחות עבודה'!$B$69:$B$89)),0,(VLOOKUP($F35,'התפלגות ייצור וסל דלקים'!$B$64:$BV$84,I$2-$E$2,FALSE))*$D$9*$D$8*(HLOOKUP(I$23,$G$18:$R$19,2,FALSE)*(1-$D$12)^($F35-'הנחות עבודה'!$C$5)/$D$11)/$D$11)</f>
        <v>0</v>
      </c>
      <c r="J35" s="44">
        <f ca="1">IF(OR($F35&gt;$D$5,$F35&gt;MAX('הנחות עבודה'!$B$69:$B$89)),0,(VLOOKUP($F35,'התפלגות ייצור וסל דלקים'!$B$64:$BV$84,J$2-$E$2,FALSE))*$D$9*$D$8*(HLOOKUP(J$23,$G$18:$R$19,2,FALSE)*(1-$D$12)^($F35-'הנחות עבודה'!$C$5)/$D$11)/$D$11)</f>
        <v>0</v>
      </c>
      <c r="K35" s="44">
        <f ca="1">IF(OR($F35&gt;$D$5,$F35&gt;MAX('הנחות עבודה'!$B$69:$B$89)),0,(VLOOKUP($F35,'התפלגות ייצור וסל דלקים'!$B$64:$BV$84,K$2-$E$2,FALSE))*$D$9*$D$8*(HLOOKUP(K$23,$G$18:$R$19,2,FALSE)*(1-$D$12)^($F35-'הנחות עבודה'!$C$5)/$D$11)/$D$11)</f>
        <v>0</v>
      </c>
      <c r="L35" s="44">
        <f ca="1">IF(OR($F35&gt;$D$5,$F35&gt;MAX('הנחות עבודה'!$B$69:$B$89)),0,(VLOOKUP($F35,'התפלגות ייצור וסל דלקים'!$B$64:$BV$84,L$2-$E$2,FALSE))*$D$9*$D$8*(HLOOKUP(L$23,$G$18:$R$19,2,FALSE)*(1-$D$12)^($F35-'הנחות עבודה'!$C$5)/$D$11)/$D$11)</f>
        <v>0</v>
      </c>
      <c r="M35" s="42">
        <f ca="1">IF(OR($F35&gt;$D$5,$F35&gt;MAX('הנחות עבודה'!$B$69:$B$89)),0,(VLOOKUP($F35,'התפלגות ייצור וסל דלקים'!$B$64:$BV$84,M$2-$E$2,FALSE))*$D$9*$D$8*(HLOOKUP(M$23,$G$18:$R$19,2,FALSE)*(1-$D$12)^($F35-'הנחות עבודה'!$C$5)/$D$11)/$D$11)</f>
        <v>1.1597544E-4</v>
      </c>
      <c r="N35" s="42">
        <f ca="1">IF(OR($F35&gt;$D$5,$F35&gt;MAX('הנחות עבודה'!$B$69:$B$89)),0,(VLOOKUP($F35,'התפלגות ייצור וסל דלקים'!$B$64:$BV$84,N$2-$E$2,FALSE))*$D$9*$D$8*(HLOOKUP(N$23,$G$18:$R$19,2,FALSE)*(1-$D$12)^($F35-'הנחות עבודה'!$C$5)/$D$11)/$D$11)</f>
        <v>5.5097691920832003E-4</v>
      </c>
      <c r="O35" s="42">
        <f ca="1">IF(OR($F35&gt;$D$5,$F35&gt;MAX('הנחות עבודה'!$B$69:$B$89)),0,(VLOOKUP($F35,'התפלגות ייצור וסל דלקים'!$B$64:$BV$84,O$2-$E$2,FALSE))*$D$9*$D$8*(HLOOKUP(O$23,$G$18:$R$19,2,FALSE)*(1-$D$12)^($F35-'הנחות עבודה'!$C$5)/$D$11)/$D$11)</f>
        <v>0</v>
      </c>
      <c r="P35" s="42">
        <f ca="1">IF(OR($F35&gt;$D$5,$F35&gt;MAX('הנחות עבודה'!$B$69:$B$89)),0,(VLOOKUP($F35,'התפלגות ייצור וסל דלקים'!$B$64:$BV$84,P$2-$E$2,FALSE))*$D$9*$D$8*(HLOOKUP(P$23,$G$18:$R$19,2,FALSE)*(1-$D$12)^($F35-'הנחות עבודה'!$C$5)/$D$11)/$D$11)</f>
        <v>0</v>
      </c>
      <c r="Q35" s="42">
        <f ca="1">IF(OR($F35&gt;$D$5,$F35&gt;MAX('הנחות עבודה'!$B$69:$B$89)),0,(VLOOKUP($F35,'התפלגות ייצור וסל דלקים'!$B$64:$BV$84,Q$2-$E$2,FALSE))*$D$9*$D$8*(HLOOKUP(Q$23,$G$18:$R$19,2,FALSE)*(1-$D$12)^($F35-'הנחות עבודה'!$C$5)/$D$11)/$D$11)</f>
        <v>0</v>
      </c>
      <c r="R35" s="42">
        <f ca="1">IF(OR($F35&gt;$D$5,$F35&gt;MAX('הנחות עבודה'!$B$69:$B$89)),0,(VLOOKUP($F35,'התפלגות ייצור וסל דלקים'!$B$64:$BV$84,R$2-$E$2,FALSE))*$D$9*$D$8*(HLOOKUP(R$23,$G$18:$R$19,2,FALSE)*(1-$D$12)^($F35-'הנחות עבודה'!$C$5)/$D$11)/$D$11)</f>
        <v>0</v>
      </c>
      <c r="S35" s="52">
        <f ca="1">IF(OR($F35&gt;$D$5,$F35&gt;MAX('הנחות עבודה'!$B$69:$B$89)),0,(VLOOKUP($F35,'התפלגות ייצור וסל דלקים'!$B$64:$BV$84,S$2-$E$2,FALSE))*$D$9*$D$8*(HLOOKUP(S$23,$G$18:$R$19,2,FALSE)*(1-$D$12)^($F35-'הנחות עבודה'!$C$5)/$D$11)/$D$11)</f>
        <v>0</v>
      </c>
      <c r="T35" s="127">
        <f ca="1">IF(OR($F35&gt;$D$5,$F35&gt;MAX('הנחות עבודה'!$B$69:$B$89)),0,(VLOOKUP($F35,'התפלגות ייצור וסל דלקים'!$B$64:$BV$84,T$2-$E$2,FALSE))*$D$9*$D$8*(HLOOKUP(T$23,$G$18:$R$19,2,FALSE)*(1-$D$12)^($F35-'הנחות עבודה'!$C$5)/$D$11)/$D$11)</f>
        <v>0</v>
      </c>
      <c r="U35" s="127">
        <f ca="1">IF(OR($F35&gt;$D$5,$F35&gt;MAX('הנחות עבודה'!$B$69:$B$89)),0,(VLOOKUP($F35,'התפלגות ייצור וסל דלקים'!$B$64:$BV$84,U$2-$E$2,FALSE))*$D$9*$D$8*(HLOOKUP(U$23,$G$18:$R$19,2,FALSE)*(1-$D$12)^($F35-'הנחות עבודה'!$C$5)/$D$11)/$D$11)</f>
        <v>0</v>
      </c>
      <c r="V35" s="127">
        <f ca="1">IF(OR($F35&gt;$D$5,$F35&gt;MAX('הנחות עבודה'!$B$69:$B$89)),0,(VLOOKUP($F35,'התפלגות ייצור וסל דלקים'!$B$64:$BV$84,V$2-$E$2,FALSE))*$D$9*$D$8*(HLOOKUP(V$23,$G$18:$R$19,2,FALSE)*(1-$D$12)^($F35-'הנחות עבודה'!$C$5)/$D$11)/$D$11)</f>
        <v>0</v>
      </c>
      <c r="W35" s="127">
        <f ca="1">IF(OR($F35&gt;$D$5,$F35&gt;MAX('הנחות עבודה'!$B$69:$B$89)),0,(VLOOKUP($F35,'התפלגות ייצור וסל דלקים'!$B$64:$BV$84,W$2-$E$2,FALSE))*$D$9*$D$8*(HLOOKUP(W$23,$G$18:$R$19,2,FALSE)*(1-$D$12)^($F35-'הנחות עבודה'!$C$5)/$D$11)/$D$11)</f>
        <v>0</v>
      </c>
      <c r="X35" s="127">
        <f ca="1">IF(OR($F35&gt;$D$5,$F35&gt;MAX('הנחות עבודה'!$B$69:$B$89)),0,(VLOOKUP($F35,'התפלגות ייצור וסל דלקים'!$B$64:$BV$84,X$2-$E$2,FALSE))*$D$9*$D$8*(HLOOKUP(X$23,$G$18:$R$19,2,FALSE)*(1-$D$12)^($F35-'הנחות עבודה'!$C$5)/$D$11)/$D$11)</f>
        <v>0</v>
      </c>
      <c r="Y35" s="52">
        <f ca="1">IF(OR($F35&gt;$D$5,$F35&gt;MAX('הנחות עבודה'!$B$69:$B$89)),0,(VLOOKUP($F35,'התפלגות ייצור וסל דלקים'!$B$64:$BV$84,Y$2-$E$2,FALSE))*$D$9*$D$8*(HLOOKUP(Y$23,$G$18:$R$19,2,FALSE)*(1-$D$12)^($F35-'הנחות עבודה'!$C$5)/$D$11)/$D$11)</f>
        <v>1.1597544E-4</v>
      </c>
      <c r="Z35" s="52">
        <f ca="1">IF(OR($F35&gt;$D$5,$F35&gt;MAX('הנחות עבודה'!$B$69:$B$89)),0,(VLOOKUP($F35,'התפלגות ייצור וסל דלקים'!$B$64:$BV$84,Z$2-$E$2,FALSE))*$D$9*$D$8*(HLOOKUP(Z$23,$G$18:$R$19,2,FALSE)*(1-$D$12)^($F35-'הנחות עבודה'!$C$5)/$D$11)/$D$11)</f>
        <v>5.5097691920832003E-4</v>
      </c>
      <c r="AA35" s="52">
        <f ca="1">IF(OR($F35&gt;$D$5,$F35&gt;MAX('הנחות עבודה'!$B$69:$B$89)),0,(VLOOKUP($F35,'התפלגות ייצור וסל דלקים'!$B$64:$BV$84,AA$2-$E$2,FALSE))*$D$9*$D$8*(HLOOKUP(AA$23,$G$18:$R$19,2,FALSE)*(1-$D$12)^($F35-'הנחות עבודה'!$C$5)/$D$11)/$D$11)</f>
        <v>0</v>
      </c>
      <c r="AB35" s="52">
        <f ca="1">IF(OR($F35&gt;$D$5,$F35&gt;MAX('הנחות עבודה'!$B$69:$B$89)),0,(VLOOKUP($F35,'התפלגות ייצור וסל דלקים'!$B$64:$BV$84,AB$2-$E$2,FALSE))*$D$9*$D$8*(HLOOKUP(AB$23,$G$18:$R$19,2,FALSE)*(1-$D$12)^($F35-'הנחות עבודה'!$C$5)/$D$11)/$D$11)</f>
        <v>0</v>
      </c>
      <c r="AC35" s="52">
        <f ca="1">IF(OR($F35&gt;$D$5,$F35&gt;MAX('הנחות עבודה'!$B$69:$B$89)),0,(VLOOKUP($F35,'התפלגות ייצור וסל דלקים'!$B$64:$BV$84,AC$2-$E$2,FALSE))*$D$9*$D$8*(HLOOKUP(AC$23,$G$18:$R$19,2,FALSE)*(1-$D$12)^($F35-'הנחות עבודה'!$C$5)/$D$11)/$D$11)</f>
        <v>0</v>
      </c>
      <c r="AD35" s="52">
        <f ca="1">IF(OR($F35&gt;$D$5,$F35&gt;MAX('הנחות עבודה'!$B$69:$B$89)),0,(VLOOKUP($F35,'התפלגות ייצור וסל דלקים'!$B$64:$BV$84,AD$2-$E$2,FALSE))*$D$9*$D$8*(HLOOKUP(AD$23,$G$18:$R$19,2,FALSE)*(1-$D$12)^($F35-'הנחות עבודה'!$C$5)/$D$11)/$D$11)</f>
        <v>0</v>
      </c>
      <c r="AE35" s="42">
        <f ca="1">IF(OR($F35&gt;$D$5,$F35&gt;MAX('הנחות עבודה'!$B$69:$B$89)),0,(VLOOKUP($F35,'התפלגות ייצור וסל דלקים'!$B$64:$BV$84,AE$2-$E$2,FALSE))*$D$9*$D$8*(HLOOKUP(AE$23,$G$18:$R$19,2,FALSE)*(1-$D$12)^($F35-'הנחות עבודה'!$C$5)/$D$11)/$D$11)</f>
        <v>0</v>
      </c>
      <c r="AF35" s="44">
        <f ca="1">IF(OR($F35&gt;$D$5,$F35&gt;MAX('הנחות עבודה'!$B$69:$B$89)),0,(VLOOKUP($F35,'התפלגות ייצור וסל דלקים'!$B$64:$BV$84,AF$2-$E$2,FALSE))*$D$9*$D$8*(HLOOKUP(AF$23,$G$18:$R$19,2,FALSE)*(1-$D$12)^($F35-'הנחות עבודה'!$C$5)/$D$11)/$D$11)</f>
        <v>0</v>
      </c>
      <c r="AG35" s="44">
        <f ca="1">IF(OR($F35&gt;$D$5,$F35&gt;MAX('הנחות עבודה'!$B$69:$B$89)),0,(VLOOKUP($F35,'התפלגות ייצור וסל דלקים'!$B$64:$BV$84,AG$2-$E$2,FALSE))*$D$9*$D$8*(HLOOKUP(AG$23,$G$18:$R$19,2,FALSE)*(1-$D$12)^($F35-'הנחות עבודה'!$C$5)/$D$11)/$D$11)</f>
        <v>0</v>
      </c>
      <c r="AH35" s="44">
        <f ca="1">IF(OR($F35&gt;$D$5,$F35&gt;MAX('הנחות עבודה'!$B$69:$B$89)),0,(VLOOKUP($F35,'התפלגות ייצור וסל דלקים'!$B$64:$BV$84,AH$2-$E$2,FALSE))*$D$9*$D$8*(HLOOKUP(AH$23,$G$18:$R$19,2,FALSE)*(1-$D$12)^($F35-'הנחות עבודה'!$C$5)/$D$11)/$D$11)</f>
        <v>0</v>
      </c>
      <c r="AI35" s="44">
        <f ca="1">IF(OR($F35&gt;$D$5,$F35&gt;MAX('הנחות עבודה'!$B$69:$B$89)),0,(VLOOKUP($F35,'התפלגות ייצור וסל דלקים'!$B$64:$BV$84,AI$2-$E$2,FALSE))*$D$9*$D$8*(HLOOKUP(AI$23,$G$18:$R$19,2,FALSE)*(1-$D$12)^($F35-'הנחות עבודה'!$C$5)/$D$11)/$D$11)</f>
        <v>0</v>
      </c>
      <c r="AJ35" s="44">
        <f ca="1">IF(OR($F35&gt;$D$5,$F35&gt;MAX('הנחות עבודה'!$B$69:$B$89)),0,(VLOOKUP($F35,'התפלגות ייצור וסל דלקים'!$B$64:$BV$84,AJ$2-$E$2,FALSE))*$D$9*$D$8*(HLOOKUP(AJ$23,$G$18:$R$19,2,FALSE)*(1-$D$12)^($F35-'הנחות עבודה'!$C$5)/$D$11)/$D$11)</f>
        <v>0</v>
      </c>
      <c r="AK35" s="42">
        <f ca="1">IF(OR($F35&gt;$D$5,$F35&gt;MAX('הנחות עבודה'!$B$69:$B$89)),0,(VLOOKUP($F35,'התפלגות ייצור וסל דלקים'!$B$64:$BV$84,AK$2-$E$2,FALSE))*$D$9*$D$8*(HLOOKUP(AK$23,$G$18:$R$19,2,FALSE)*(1-$D$12)^($F35-'הנחות עבודה'!$C$5)/$D$11)/$D$11)</f>
        <v>1.23196E-4</v>
      </c>
      <c r="AL35" s="42">
        <f ca="1">IF(OR($F35&gt;$D$5,$F35&gt;MAX('הנחות עבודה'!$B$69:$B$89)),0,(VLOOKUP($F35,'התפלגות ייצור וסל דלקים'!$B$64:$BV$84,AL$2-$E$2,FALSE))*$D$9*$D$8*(HLOOKUP(AL$23,$G$18:$R$19,2,FALSE)*(1-$D$12)^($F35-'הנחות עבודה'!$C$5)/$D$11)/$D$11)</f>
        <v>4.8188799529536003E-4</v>
      </c>
      <c r="AM35" s="42">
        <f ca="1">IF(OR($F35&gt;$D$5,$F35&gt;MAX('הנחות עבודה'!$B$69:$B$89)),0,(VLOOKUP($F35,'התפלגות ייצור וסל דלקים'!$B$64:$BV$84,AM$2-$E$2,FALSE))*$D$9*$D$8*(HLOOKUP(AM$23,$G$18:$R$19,2,FALSE)*(1-$D$12)^($F35-'הנחות עבודה'!$C$5)/$D$11)/$D$11)</f>
        <v>0</v>
      </c>
      <c r="AN35" s="42">
        <f ca="1">IF(OR($F35&gt;$D$5,$F35&gt;MAX('הנחות עבודה'!$B$69:$B$89)),0,(VLOOKUP($F35,'התפלגות ייצור וסל דלקים'!$B$64:$BV$84,AN$2-$E$2,FALSE))*$D$9*$D$8*(HLOOKUP(AN$23,$G$18:$R$19,2,FALSE)*(1-$D$12)^($F35-'הנחות עבודה'!$C$5)/$D$11)/$D$11)</f>
        <v>0</v>
      </c>
      <c r="AO35" s="42">
        <f ca="1">IF(OR($F35&gt;$D$5,$F35&gt;MAX('הנחות עבודה'!$B$69:$B$89)),0,(VLOOKUP($F35,'התפלגות ייצור וסל דלקים'!$B$64:$BV$84,AO$2-$E$2,FALSE))*$D$9*$D$8*(HLOOKUP(AO$23,$G$18:$R$19,2,FALSE)*(1-$D$12)^($F35-'הנחות עבודה'!$C$5)/$D$11)/$D$11)</f>
        <v>0</v>
      </c>
      <c r="AP35" s="42">
        <f ca="1">IF(OR($F35&gt;$D$5,$F35&gt;MAX('הנחות עבודה'!$B$69:$B$89)),0,(VLOOKUP($F35,'התפלגות ייצור וסל דלקים'!$B$64:$BV$84,AP$2-$E$2,FALSE))*$D$9*$D$8*(HLOOKUP(AP$23,$G$18:$R$19,2,FALSE)*(1-$D$12)^($F35-'הנחות עבודה'!$C$5)/$D$11)/$D$11)</f>
        <v>0</v>
      </c>
      <c r="AQ35" s="52">
        <f ca="1">IF(OR($F35&gt;$D$5,$F35&gt;MAX('הנחות עבודה'!$B$69:$B$89)),0,(VLOOKUP($F35,'התפלגות ייצור וסל דלקים'!$B$64:$BV$84,AQ$2-$E$2,FALSE))*$D$9*$D$8*(HLOOKUP(AQ$23,$G$18:$R$19,2,FALSE)*(1-$D$12)^($F35-'הנחות עבודה'!$C$5)/$D$11)/$D$11)</f>
        <v>0</v>
      </c>
      <c r="AR35" s="127">
        <f ca="1">IF(OR($F35&gt;$D$5,$F35&gt;MAX('הנחות עבודה'!$B$69:$B$89)),0,(VLOOKUP($F35,'התפלגות ייצור וסל דלקים'!$B$64:$BV$84,AR$2-$E$2,FALSE))*$D$9*$D$8*(HLOOKUP(AR$23,$G$18:$R$19,2,FALSE)*(1-$D$12)^($F35-'הנחות עבודה'!$C$5)/$D$11)/$D$11)</f>
        <v>0</v>
      </c>
      <c r="AS35" s="127">
        <f ca="1">IF(OR($F35&gt;$D$5,$F35&gt;MAX('הנחות עבודה'!$B$69:$B$89)),0,(VLOOKUP($F35,'התפלגות ייצור וסל דלקים'!$B$64:$BV$84,AS$2-$E$2,FALSE))*$D$9*$D$8*(HLOOKUP(AS$23,$G$18:$R$19,2,FALSE)*(1-$D$12)^($F35-'הנחות עבודה'!$C$5)/$D$11)/$D$11)</f>
        <v>0</v>
      </c>
      <c r="AT35" s="127">
        <f ca="1">IF(OR($F35&gt;$D$5,$F35&gt;MAX('הנחות עבודה'!$B$69:$B$89)),0,(VLOOKUP($F35,'התפלגות ייצור וסל דלקים'!$B$64:$BV$84,AT$2-$E$2,FALSE))*$D$9*$D$8*(HLOOKUP(AT$23,$G$18:$R$19,2,FALSE)*(1-$D$12)^($F35-'הנחות עבודה'!$C$5)/$D$11)/$D$11)</f>
        <v>0</v>
      </c>
      <c r="AU35" s="127">
        <f ca="1">IF(OR($F35&gt;$D$5,$F35&gt;MAX('הנחות עבודה'!$B$69:$B$89)),0,(VLOOKUP($F35,'התפלגות ייצור וסל דלקים'!$B$64:$BV$84,AU$2-$E$2,FALSE))*$D$9*$D$8*(HLOOKUP(AU$23,$G$18:$R$19,2,FALSE)*(1-$D$12)^($F35-'הנחות עבודה'!$C$5)/$D$11)/$D$11)</f>
        <v>0</v>
      </c>
      <c r="AV35" s="127">
        <f ca="1">IF(OR($F35&gt;$D$5,$F35&gt;MAX('הנחות עבודה'!$B$69:$B$89)),0,(VLOOKUP($F35,'התפלגות ייצור וסל דלקים'!$B$64:$BV$84,AV$2-$E$2,FALSE))*$D$9*$D$8*(HLOOKUP(AV$23,$G$18:$R$19,2,FALSE)*(1-$D$12)^($F35-'הנחות עבודה'!$C$5)/$D$11)/$D$11)</f>
        <v>0</v>
      </c>
      <c r="AW35" s="52">
        <f ca="1">IF(OR($F35&gt;$D$5,$F35&gt;MAX('הנחות עבודה'!$B$69:$B$89)),0,(VLOOKUP($F35,'התפלגות ייצור וסל דלקים'!$B$64:$BV$84,AW$2-$E$2,FALSE))*$D$9*$D$8*(HLOOKUP(AW$23,$G$18:$R$19,2,FALSE)*(1-$D$12)^($F35-'הנחות עבודה'!$C$5)/$D$11)/$D$11)</f>
        <v>1.23196E-4</v>
      </c>
      <c r="AX35" s="52">
        <f ca="1">IF(OR($F35&gt;$D$5,$F35&gt;MAX('הנחות עבודה'!$B$69:$B$89)),0,(VLOOKUP($F35,'התפלגות ייצור וסל דלקים'!$B$64:$BV$84,AX$2-$E$2,FALSE))*$D$9*$D$8*(HLOOKUP(AX$23,$G$18:$R$19,2,FALSE)*(1-$D$12)^($F35-'הנחות עבודה'!$C$5)/$D$11)/$D$11)</f>
        <v>4.8188799529536003E-4</v>
      </c>
      <c r="AY35" s="52">
        <f ca="1">IF(OR($F35&gt;$D$5,$F35&gt;MAX('הנחות עבודה'!$B$69:$B$89)),0,(VLOOKUP($F35,'התפלגות ייצור וסל דלקים'!$B$64:$BV$84,AY$2-$E$2,FALSE))*$D$9*$D$8*(HLOOKUP(AY$23,$G$18:$R$19,2,FALSE)*(1-$D$12)^($F35-'הנחות עבודה'!$C$5)/$D$11)/$D$11)</f>
        <v>0</v>
      </c>
      <c r="AZ35" s="52">
        <f ca="1">IF(OR($F35&gt;$D$5,$F35&gt;MAX('הנחות עבודה'!$B$69:$B$89)),0,(VLOOKUP($F35,'התפלגות ייצור וסל דלקים'!$B$64:$BV$84,AZ$2-$E$2,FALSE))*$D$9*$D$8*(HLOOKUP(AZ$23,$G$18:$R$19,2,FALSE)*(1-$D$12)^($F35-'הנחות עבודה'!$C$5)/$D$11)/$D$11)</f>
        <v>0</v>
      </c>
      <c r="BA35" s="52">
        <f ca="1">IF(OR($F35&gt;$D$5,$F35&gt;MAX('הנחות עבודה'!$B$69:$B$89)),0,(VLOOKUP($F35,'התפלגות ייצור וסל דלקים'!$B$64:$BV$84,BA$2-$E$2,FALSE))*$D$9*$D$8*(HLOOKUP(BA$23,$G$18:$R$19,2,FALSE)*(1-$D$12)^($F35-'הנחות עבודה'!$C$5)/$D$11)/$D$11)</f>
        <v>0</v>
      </c>
      <c r="BB35" s="52">
        <f ca="1">IF(OR($F35&gt;$D$5,$F35&gt;MAX('הנחות עבודה'!$B$69:$B$89)),0,(VLOOKUP($F35,'התפלגות ייצור וסל דלקים'!$B$64:$BV$84,BB$2-$E$2,FALSE))*$D$9*$D$8*(HLOOKUP(BB$23,$G$18:$R$19,2,FALSE)*(1-$D$12)^($F35-'הנחות עבודה'!$C$5)/$D$11)/$D$11)</f>
        <v>0</v>
      </c>
      <c r="BC35" s="42">
        <f ca="1">IF(OR($F35&gt;$D$5,$F35&gt;MAX('הנחות עבודה'!$B$69:$B$89)),0,(VLOOKUP($F35,'התפלגות ייצור וסל דלקים'!$B$64:$BV$84,BC$2-$E$2,FALSE))*$D$9*$D$8*(HLOOKUP(BC$23,$G$18:$R$19,2,FALSE)*(1-$D$12)^($F35-'הנחות עבודה'!$C$5)/$D$11)/$D$11)</f>
        <v>0</v>
      </c>
      <c r="BD35" s="44">
        <f ca="1">IF(OR($F35&gt;$D$5,$F35&gt;MAX('הנחות עבודה'!$B$69:$B$89)),0,(VLOOKUP($F35,'התפלגות ייצור וסל דלקים'!$B$64:$BV$84,BD$2-$E$2,FALSE))*$D$9*$D$8*(HLOOKUP(BD$23,$G$18:$R$19,2,FALSE)*(1-$D$12)^($F35-'הנחות עבודה'!$C$5)/$D$11)/$D$11)</f>
        <v>0</v>
      </c>
      <c r="BE35" s="44">
        <f ca="1">IF(OR($F35&gt;$D$5,$F35&gt;MAX('הנחות עבודה'!$B$69:$B$89)),0,(VLOOKUP($F35,'התפלגות ייצור וסל דלקים'!$B$64:$BV$84,BE$2-$E$2,FALSE))*$D$9*$D$8*(HLOOKUP(BE$23,$G$18:$R$19,2,FALSE)*(1-$D$12)^($F35-'הנחות עבודה'!$C$5)/$D$11)/$D$11)</f>
        <v>0</v>
      </c>
      <c r="BF35" s="44">
        <f ca="1">IF(OR($F35&gt;$D$5,$F35&gt;MAX('הנחות עבודה'!$B$69:$B$89)),0,(VLOOKUP($F35,'התפלגות ייצור וסל דלקים'!$B$64:$BV$84,BF$2-$E$2,FALSE))*$D$9*$D$8*(HLOOKUP(BF$23,$G$18:$R$19,2,FALSE)*(1-$D$12)^($F35-'הנחות עבודה'!$C$5)/$D$11)/$D$11)</f>
        <v>0</v>
      </c>
      <c r="BG35" s="44">
        <f ca="1">IF(OR($F35&gt;$D$5,$F35&gt;MAX('הנחות עבודה'!$B$69:$B$89)),0,(VLOOKUP($F35,'התפלגות ייצור וסל דלקים'!$B$64:$BV$84,BG$2-$E$2,FALSE))*$D$9*$D$8*(HLOOKUP(BG$23,$G$18:$R$19,2,FALSE)*(1-$D$12)^($F35-'הנחות עבודה'!$C$5)/$D$11)/$D$11)</f>
        <v>0</v>
      </c>
      <c r="BH35" s="44">
        <f ca="1">IF(OR($F35&gt;$D$5,$F35&gt;MAX('הנחות עבודה'!$B$69:$B$89)),0,(VLOOKUP($F35,'התפלגות ייצור וסל דלקים'!$B$64:$BV$84,BH$2-$E$2,FALSE))*$D$9*$D$8*(HLOOKUP(BH$23,$G$18:$R$19,2,FALSE)*(1-$D$12)^($F35-'הנחות עבודה'!$C$5)/$D$11)/$D$11)</f>
        <v>0</v>
      </c>
      <c r="BI35" s="42">
        <f ca="1">IF(OR($F35&gt;$D$5,$F35&gt;MAX('הנחות עבודה'!$B$69:$B$89)),0,(VLOOKUP($F35,'התפלגות ייצור וסל דלקים'!$B$64:$BV$84,BI$2-$E$2,FALSE))*$D$9*$D$8*(HLOOKUP(BI$23,$G$18:$R$19,2,FALSE)*(1-$D$12)^($F35-'הנחות עבודה'!$C$5)/$D$11)/$D$11)</f>
        <v>1.2574400000000001E-4</v>
      </c>
      <c r="BJ35" s="42">
        <f ca="1">IF(OR($F35&gt;$D$5,$F35&gt;MAX('הנחות עבודה'!$B$69:$B$89)),0,(VLOOKUP($F35,'התפלגות ייצור וסל דלקים'!$B$64:$BV$84,BJ$2-$E$2,FALSE))*$D$9*$D$8*(HLOOKUP(BJ$23,$G$18:$R$19,2,FALSE)*(1-$D$12)^($F35-'הנחות עבודה'!$C$5)/$D$11)/$D$11)</f>
        <v>4.4069203784976002E-4</v>
      </c>
      <c r="BK35" s="42">
        <f ca="1">IF(OR($F35&gt;$D$5,$F35&gt;MAX('הנחות עבודה'!$B$69:$B$89)),0,(VLOOKUP($F35,'התפלגות ייצור וסל דלקים'!$B$64:$BV$84,BK$2-$E$2,FALSE))*$D$9*$D$8*(HLOOKUP(BK$23,$G$18:$R$19,2,FALSE)*(1-$D$12)^($F35-'הנחות עבודה'!$C$5)/$D$11)/$D$11)</f>
        <v>0</v>
      </c>
      <c r="BL35" s="42">
        <f ca="1">IF(OR($F35&gt;$D$5,$F35&gt;MAX('הנחות עבודה'!$B$69:$B$89)),0,(VLOOKUP($F35,'התפלגות ייצור וסל דלקים'!$B$64:$BV$84,BL$2-$E$2,FALSE))*$D$9*$D$8*(HLOOKUP(BL$23,$G$18:$R$19,2,FALSE)*(1-$D$12)^($F35-'הנחות עבודה'!$C$5)/$D$11)/$D$11)</f>
        <v>0</v>
      </c>
      <c r="BM35" s="42">
        <f ca="1">IF(OR($F35&gt;$D$5,$F35&gt;MAX('הנחות עבודה'!$B$69:$B$89)),0,(VLOOKUP($F35,'התפלגות ייצור וסל דלקים'!$B$64:$BV$84,BM$2-$E$2,FALSE))*$D$9*$D$8*(HLOOKUP(BM$23,$G$18:$R$19,2,FALSE)*(1-$D$12)^($F35-'הנחות עבודה'!$C$5)/$D$11)/$D$11)</f>
        <v>0</v>
      </c>
      <c r="BN35" s="42">
        <f ca="1">IF(OR($F35&gt;$D$5,$F35&gt;MAX('הנחות עבודה'!$B$69:$B$89)),0,(VLOOKUP($F35,'התפלגות ייצור וסל דלקים'!$B$64:$BV$84,BN$2-$E$2,FALSE))*$D$9*$D$8*(HLOOKUP(BN$23,$G$18:$R$19,2,FALSE)*(1-$D$12)^($F35-'הנחות עבודה'!$C$5)/$D$11)/$D$11)</f>
        <v>0</v>
      </c>
      <c r="BO35" s="52">
        <f ca="1">IF(OR($F35&gt;$D$5,$F35&gt;MAX('הנחות עבודה'!$B$69:$B$89)),0,(VLOOKUP($F35,'התפלגות ייצור וסל דלקים'!$B$64:$BV$84,BO$2-$E$2,FALSE))*$D$9*$D$8*(HLOOKUP(BO$23,$G$18:$R$19,2,FALSE)*(1-$D$12)^($F35-'הנחות עבודה'!$C$5)/$D$11)/$D$11)</f>
        <v>0</v>
      </c>
      <c r="BP35" s="127">
        <f ca="1">IF(OR($F35&gt;$D$5,$F35&gt;MAX('הנחות עבודה'!$B$69:$B$89)),0,(VLOOKUP($F35,'התפלגות ייצור וסל דלקים'!$B$64:$BV$84,BP$2-$E$2,FALSE))*$D$9*$D$8*(HLOOKUP(BP$23,$G$18:$R$19,2,FALSE)*(1-$D$12)^($F35-'הנחות עבודה'!$C$5)/$D$11)/$D$11)</f>
        <v>0</v>
      </c>
      <c r="BQ35" s="127">
        <f ca="1">IF(OR($F35&gt;$D$5,$F35&gt;MAX('הנחות עבודה'!$B$69:$B$89)),0,(VLOOKUP($F35,'התפלגות ייצור וסל דלקים'!$B$64:$BV$84,BQ$2-$E$2,FALSE))*$D$9*$D$8*(HLOOKUP(BQ$23,$G$18:$R$19,2,FALSE)*(1-$D$12)^($F35-'הנחות עבודה'!$C$5)/$D$11)/$D$11)</f>
        <v>0</v>
      </c>
      <c r="BR35" s="127">
        <f ca="1">IF(OR($F35&gt;$D$5,$F35&gt;MAX('הנחות עבודה'!$B$69:$B$89)),0,(VLOOKUP($F35,'התפלגות ייצור וסל דלקים'!$B$64:$BV$84,BR$2-$E$2,FALSE))*$D$9*$D$8*(HLOOKUP(BR$23,$G$18:$R$19,2,FALSE)*(1-$D$12)^($F35-'הנחות עבודה'!$C$5)/$D$11)/$D$11)</f>
        <v>0</v>
      </c>
      <c r="BS35" s="127">
        <f ca="1">IF(OR($F35&gt;$D$5,$F35&gt;MAX('הנחות עבודה'!$B$69:$B$89)),0,(VLOOKUP($F35,'התפלגות ייצור וסל דלקים'!$B$64:$BV$84,BS$2-$E$2,FALSE))*$D$9*$D$8*(HLOOKUP(BS$23,$G$18:$R$19,2,FALSE)*(1-$D$12)^($F35-'הנחות עבודה'!$C$5)/$D$11)/$D$11)</f>
        <v>0</v>
      </c>
      <c r="BT35" s="127">
        <f ca="1">IF(OR($F35&gt;$D$5,$F35&gt;MAX('הנחות עבודה'!$B$69:$B$89)),0,(VLOOKUP($F35,'התפלגות ייצור וסל דלקים'!$B$64:$BV$84,BT$2-$E$2,FALSE))*$D$9*$D$8*(HLOOKUP(BT$23,$G$18:$R$19,2,FALSE)*(1-$D$12)^($F35-'הנחות עבודה'!$C$5)/$D$11)/$D$11)</f>
        <v>0</v>
      </c>
      <c r="BU35" s="52">
        <f ca="1">IF(OR($F35&gt;$D$5,$F35&gt;MAX('הנחות עבודה'!$B$69:$B$89)),0,(VLOOKUP($F35,'התפלגות ייצור וסל דלקים'!$B$64:$BV$84,BU$2-$E$2,FALSE))*$D$9*$D$8*(HLOOKUP(BU$23,$G$18:$R$19,2,FALSE)*(1-$D$12)^($F35-'הנחות עבודה'!$C$5)/$D$11)/$D$11)</f>
        <v>1.2574400000000001E-4</v>
      </c>
      <c r="BV35" s="52">
        <f ca="1">IF(OR($F35&gt;$D$5,$F35&gt;MAX('הנחות עבודה'!$B$69:$B$89)),0,(VLOOKUP($F35,'התפלגות ייצור וסל דלקים'!$B$64:$BV$84,BV$2-$E$2,FALSE))*$D$9*$D$8*(HLOOKUP(BV$23,$G$18:$R$19,2,FALSE)*(1-$D$12)^($F35-'הנחות עבודה'!$C$5)/$D$11)/$D$11)</f>
        <v>4.4069203784976002E-4</v>
      </c>
      <c r="BW35" s="52">
        <f ca="1">IF(OR($F35&gt;$D$5,$F35&gt;MAX('הנחות עבודה'!$B$69:$B$89)),0,(VLOOKUP($F35,'התפלגות ייצור וסל דלקים'!$B$64:$BV$84,BW$2-$E$2,FALSE))*$D$9*$D$8*(HLOOKUP(BW$23,$G$18:$R$19,2,FALSE)*(1-$D$12)^($F35-'הנחות עבודה'!$C$5)/$D$11)/$D$11)</f>
        <v>0</v>
      </c>
      <c r="BX35" s="52">
        <f ca="1">IF(OR($F35&gt;$D$5,$F35&gt;MAX('הנחות עבודה'!$B$69:$B$89)),0,(VLOOKUP($F35,'התפלגות ייצור וסל דלקים'!$B$64:$BV$84,BX$2-$E$2,FALSE))*$D$9*$D$8*(HLOOKUP(BX$23,$G$18:$R$19,2,FALSE)*(1-$D$12)^($F35-'הנחות עבודה'!$C$5)/$D$11)/$D$11)</f>
        <v>0</v>
      </c>
      <c r="BY35" s="52">
        <f ca="1">IF(OR($F35&gt;$D$5,$F35&gt;MAX('הנחות עבודה'!$B$69:$B$89)),0,(VLOOKUP($F35,'התפלגות ייצור וסל דלקים'!$B$64:$BV$84,BY$2-$E$2,FALSE))*$D$9*$D$8*(HLOOKUP(BY$23,$G$18:$R$19,2,FALSE)*(1-$D$12)^($F35-'הנחות עבודה'!$C$5)/$D$11)/$D$11)</f>
        <v>0</v>
      </c>
      <c r="BZ35" s="52">
        <f ca="1">IF(OR($F35&gt;$D$5,$F35&gt;MAX('הנחות עבודה'!$B$69:$B$89)),0,(VLOOKUP($F35,'התפלגות ייצור וסל דלקים'!$B$64:$BV$84,BZ$2-$E$2,FALSE))*$D$9*$D$8*(HLOOKUP(BZ$23,$G$18:$R$19,2,FALSE)*(1-$D$12)^($F35-'הנחות עבודה'!$C$5)/$D$11)/$D$11)</f>
        <v>0</v>
      </c>
    </row>
    <row r="36" spans="6:78" ht="15.75">
      <c r="F36" s="10">
        <f t="shared" si="108"/>
        <v>2032</v>
      </c>
      <c r="G36" s="42">
        <f ca="1">IF(OR($F36&gt;$D$5,$F36&gt;MAX('הנחות עבודה'!$B$69:$B$89)),0,(VLOOKUP($F36,'התפלגות ייצור וסל דלקים'!$B$64:$BV$84,G$2-$E$2,FALSE))*$D$9*$D$8*(HLOOKUP(G$23,$G$18:$R$19,2,FALSE)*(1-$D$12)^($F36-'הנחות עבודה'!$C$5)/$D$11)/$D$11)</f>
        <v>0</v>
      </c>
      <c r="H36" s="44">
        <f ca="1">IF(OR($F36&gt;$D$5,$F36&gt;MAX('הנחות עבודה'!$B$69:$B$89)),0,(VLOOKUP($F36,'התפלגות ייצור וסל דלקים'!$B$64:$BV$84,H$2-$E$2,FALSE))*$D$9*$D$8*(HLOOKUP(H$23,$G$18:$R$19,2,FALSE)*(1-$D$12)^($F36-'הנחות עבודה'!$C$5)/$D$11)/$D$11)</f>
        <v>0</v>
      </c>
      <c r="I36" s="44">
        <f ca="1">IF(OR($F36&gt;$D$5,$F36&gt;MAX('הנחות עבודה'!$B$69:$B$89)),0,(VLOOKUP($F36,'התפלגות ייצור וסל דלקים'!$B$64:$BV$84,I$2-$E$2,FALSE))*$D$9*$D$8*(HLOOKUP(I$23,$G$18:$R$19,2,FALSE)*(1-$D$12)^($F36-'הנחות עבודה'!$C$5)/$D$11)/$D$11)</f>
        <v>0</v>
      </c>
      <c r="J36" s="44">
        <f ca="1">IF(OR($F36&gt;$D$5,$F36&gt;MAX('הנחות עבודה'!$B$69:$B$89)),0,(VLOOKUP($F36,'התפלגות ייצור וסל דלקים'!$B$64:$BV$84,J$2-$E$2,FALSE))*$D$9*$D$8*(HLOOKUP(J$23,$G$18:$R$19,2,FALSE)*(1-$D$12)^($F36-'הנחות עבודה'!$C$5)/$D$11)/$D$11)</f>
        <v>0</v>
      </c>
      <c r="K36" s="44">
        <f ca="1">IF(OR($F36&gt;$D$5,$F36&gt;MAX('הנחות עבודה'!$B$69:$B$89)),0,(VLOOKUP($F36,'התפלגות ייצור וסל דלקים'!$B$64:$BV$84,K$2-$E$2,FALSE))*$D$9*$D$8*(HLOOKUP(K$23,$G$18:$R$19,2,FALSE)*(1-$D$12)^($F36-'הנחות עבודה'!$C$5)/$D$11)/$D$11)</f>
        <v>0</v>
      </c>
      <c r="L36" s="44">
        <f ca="1">IF(OR($F36&gt;$D$5,$F36&gt;MAX('הנחות עבודה'!$B$69:$B$89)),0,(VLOOKUP($F36,'התפלגות ייצור וסל דלקים'!$B$64:$BV$84,L$2-$E$2,FALSE))*$D$9*$D$8*(HLOOKUP(L$23,$G$18:$R$19,2,FALSE)*(1-$D$12)^($F36-'הנחות עבודה'!$C$5)/$D$11)/$D$11)</f>
        <v>0</v>
      </c>
      <c r="M36" s="42">
        <f ca="1">IF(OR($F36&gt;$D$5,$F36&gt;MAX('הנחות עבודה'!$B$69:$B$89)),0,(VLOOKUP($F36,'התפלגות ייצור וסל דלקים'!$B$64:$BV$84,M$2-$E$2,FALSE))*$D$9*$D$8*(HLOOKUP(M$23,$G$18:$R$19,2,FALSE)*(1-$D$12)^($F36-'הנחות עבודה'!$C$5)/$D$11)/$D$11)</f>
        <v>1.1592168000000001E-4</v>
      </c>
      <c r="N36" s="42">
        <f ca="1">IF(OR($F36&gt;$D$5,$F36&gt;MAX('הנחות עבודה'!$B$69:$B$89)),0,(VLOOKUP($F36,'התפלגות ייצור וסל דלקים'!$B$64:$BV$84,N$2-$E$2,FALSE))*$D$9*$D$8*(HLOOKUP(N$23,$G$18:$R$19,2,FALSE)*(1-$D$12)^($F36-'הנחות עבודה'!$C$5)/$D$11)/$D$11)</f>
        <v>5.7572465042027027E-4</v>
      </c>
      <c r="O36" s="42">
        <f ca="1">IF(OR($F36&gt;$D$5,$F36&gt;MAX('הנחות עבודה'!$B$69:$B$89)),0,(VLOOKUP($F36,'התפלגות ייצור וסל דלקים'!$B$64:$BV$84,O$2-$E$2,FALSE))*$D$9*$D$8*(HLOOKUP(O$23,$G$18:$R$19,2,FALSE)*(1-$D$12)^($F36-'הנחות עבודה'!$C$5)/$D$11)/$D$11)</f>
        <v>0</v>
      </c>
      <c r="P36" s="42">
        <f ca="1">IF(OR($F36&gt;$D$5,$F36&gt;MAX('הנחות עבודה'!$B$69:$B$89)),0,(VLOOKUP($F36,'התפלגות ייצור וסל דלקים'!$B$64:$BV$84,P$2-$E$2,FALSE))*$D$9*$D$8*(HLOOKUP(P$23,$G$18:$R$19,2,FALSE)*(1-$D$12)^($F36-'הנחות עבודה'!$C$5)/$D$11)/$D$11)</f>
        <v>0</v>
      </c>
      <c r="Q36" s="42">
        <f ca="1">IF(OR($F36&gt;$D$5,$F36&gt;MAX('הנחות עבודה'!$B$69:$B$89)),0,(VLOOKUP($F36,'התפלגות ייצור וסל דלקים'!$B$64:$BV$84,Q$2-$E$2,FALSE))*$D$9*$D$8*(HLOOKUP(Q$23,$G$18:$R$19,2,FALSE)*(1-$D$12)^($F36-'הנחות עבודה'!$C$5)/$D$11)/$D$11)</f>
        <v>0</v>
      </c>
      <c r="R36" s="42">
        <f ca="1">IF(OR($F36&gt;$D$5,$F36&gt;MAX('הנחות עבודה'!$B$69:$B$89)),0,(VLOOKUP($F36,'התפלגות ייצור וסל דלקים'!$B$64:$BV$84,R$2-$E$2,FALSE))*$D$9*$D$8*(HLOOKUP(R$23,$G$18:$R$19,2,FALSE)*(1-$D$12)^($F36-'הנחות עבודה'!$C$5)/$D$11)/$D$11)</f>
        <v>0</v>
      </c>
      <c r="S36" s="52">
        <f ca="1">IF(OR($F36&gt;$D$5,$F36&gt;MAX('הנחות עבודה'!$B$69:$B$89)),0,(VLOOKUP($F36,'התפלגות ייצור וסל דלקים'!$B$64:$BV$84,S$2-$E$2,FALSE))*$D$9*$D$8*(HLOOKUP(S$23,$G$18:$R$19,2,FALSE)*(1-$D$12)^($F36-'הנחות עבודה'!$C$5)/$D$11)/$D$11)</f>
        <v>0</v>
      </c>
      <c r="T36" s="127">
        <f ca="1">IF(OR($F36&gt;$D$5,$F36&gt;MAX('הנחות עבודה'!$B$69:$B$89)),0,(VLOOKUP($F36,'התפלגות ייצור וסל דלקים'!$B$64:$BV$84,T$2-$E$2,FALSE))*$D$9*$D$8*(HLOOKUP(T$23,$G$18:$R$19,2,FALSE)*(1-$D$12)^($F36-'הנחות עבודה'!$C$5)/$D$11)/$D$11)</f>
        <v>0</v>
      </c>
      <c r="U36" s="127">
        <f ca="1">IF(OR($F36&gt;$D$5,$F36&gt;MAX('הנחות עבודה'!$B$69:$B$89)),0,(VLOOKUP($F36,'התפלגות ייצור וסל דלקים'!$B$64:$BV$84,U$2-$E$2,FALSE))*$D$9*$D$8*(HLOOKUP(U$23,$G$18:$R$19,2,FALSE)*(1-$D$12)^($F36-'הנחות עבודה'!$C$5)/$D$11)/$D$11)</f>
        <v>0</v>
      </c>
      <c r="V36" s="127">
        <f ca="1">IF(OR($F36&gt;$D$5,$F36&gt;MAX('הנחות עבודה'!$B$69:$B$89)),0,(VLOOKUP($F36,'התפלגות ייצור וסל דלקים'!$B$64:$BV$84,V$2-$E$2,FALSE))*$D$9*$D$8*(HLOOKUP(V$23,$G$18:$R$19,2,FALSE)*(1-$D$12)^($F36-'הנחות עבודה'!$C$5)/$D$11)/$D$11)</f>
        <v>0</v>
      </c>
      <c r="W36" s="127">
        <f ca="1">IF(OR($F36&gt;$D$5,$F36&gt;MAX('הנחות עבודה'!$B$69:$B$89)),0,(VLOOKUP($F36,'התפלגות ייצור וסל דלקים'!$B$64:$BV$84,W$2-$E$2,FALSE))*$D$9*$D$8*(HLOOKUP(W$23,$G$18:$R$19,2,FALSE)*(1-$D$12)^($F36-'הנחות עבודה'!$C$5)/$D$11)/$D$11)</f>
        <v>0</v>
      </c>
      <c r="X36" s="127">
        <f ca="1">IF(OR($F36&gt;$D$5,$F36&gt;MAX('הנחות עבודה'!$B$69:$B$89)),0,(VLOOKUP($F36,'התפלגות ייצור וסל דלקים'!$B$64:$BV$84,X$2-$E$2,FALSE))*$D$9*$D$8*(HLOOKUP(X$23,$G$18:$R$19,2,FALSE)*(1-$D$12)^($F36-'הנחות עבודה'!$C$5)/$D$11)/$D$11)</f>
        <v>0</v>
      </c>
      <c r="Y36" s="52">
        <f ca="1">IF(OR($F36&gt;$D$5,$F36&gt;MAX('הנחות עבודה'!$B$69:$B$89)),0,(VLOOKUP($F36,'התפלגות ייצור וסל דלקים'!$B$64:$BV$84,Y$2-$E$2,FALSE))*$D$9*$D$8*(HLOOKUP(Y$23,$G$18:$R$19,2,FALSE)*(1-$D$12)^($F36-'הנחות עבודה'!$C$5)/$D$11)/$D$11)</f>
        <v>1.1592168000000001E-4</v>
      </c>
      <c r="Z36" s="52">
        <f ca="1">IF(OR($F36&gt;$D$5,$F36&gt;MAX('הנחות עבודה'!$B$69:$B$89)),0,(VLOOKUP($F36,'התפלגות ייצור וסל דלקים'!$B$64:$BV$84,Z$2-$E$2,FALSE))*$D$9*$D$8*(HLOOKUP(Z$23,$G$18:$R$19,2,FALSE)*(1-$D$12)^($F36-'הנחות עבודה'!$C$5)/$D$11)/$D$11)</f>
        <v>5.7572465042027027E-4</v>
      </c>
      <c r="AA36" s="52">
        <f ca="1">IF(OR($F36&gt;$D$5,$F36&gt;MAX('הנחות עבודה'!$B$69:$B$89)),0,(VLOOKUP($F36,'התפלגות ייצור וסל דלקים'!$B$64:$BV$84,AA$2-$E$2,FALSE))*$D$9*$D$8*(HLOOKUP(AA$23,$G$18:$R$19,2,FALSE)*(1-$D$12)^($F36-'הנחות עבודה'!$C$5)/$D$11)/$D$11)</f>
        <v>0</v>
      </c>
      <c r="AB36" s="52">
        <f ca="1">IF(OR($F36&gt;$D$5,$F36&gt;MAX('הנחות עבודה'!$B$69:$B$89)),0,(VLOOKUP($F36,'התפלגות ייצור וסל דלקים'!$B$64:$BV$84,AB$2-$E$2,FALSE))*$D$9*$D$8*(HLOOKUP(AB$23,$G$18:$R$19,2,FALSE)*(1-$D$12)^($F36-'הנחות עבודה'!$C$5)/$D$11)/$D$11)</f>
        <v>0</v>
      </c>
      <c r="AC36" s="52">
        <f ca="1">IF(OR($F36&gt;$D$5,$F36&gt;MAX('הנחות עבודה'!$B$69:$B$89)),0,(VLOOKUP($F36,'התפלגות ייצור וסל דלקים'!$B$64:$BV$84,AC$2-$E$2,FALSE))*$D$9*$D$8*(HLOOKUP(AC$23,$G$18:$R$19,2,FALSE)*(1-$D$12)^($F36-'הנחות עבודה'!$C$5)/$D$11)/$D$11)</f>
        <v>0</v>
      </c>
      <c r="AD36" s="52">
        <f ca="1">IF(OR($F36&gt;$D$5,$F36&gt;MAX('הנחות עבודה'!$B$69:$B$89)),0,(VLOOKUP($F36,'התפלגות ייצור וסל דלקים'!$B$64:$BV$84,AD$2-$E$2,FALSE))*$D$9*$D$8*(HLOOKUP(AD$23,$G$18:$R$19,2,FALSE)*(1-$D$12)^($F36-'הנחות עבודה'!$C$5)/$D$11)/$D$11)</f>
        <v>0</v>
      </c>
      <c r="AE36" s="42">
        <f ca="1">IF(OR($F36&gt;$D$5,$F36&gt;MAX('הנחות עבודה'!$B$69:$B$89)),0,(VLOOKUP($F36,'התפלגות ייצור וסל דלקים'!$B$64:$BV$84,AE$2-$E$2,FALSE))*$D$9*$D$8*(HLOOKUP(AE$23,$G$18:$R$19,2,FALSE)*(1-$D$12)^($F36-'הנחות עבודה'!$C$5)/$D$11)/$D$11)</f>
        <v>0</v>
      </c>
      <c r="AF36" s="44">
        <f ca="1">IF(OR($F36&gt;$D$5,$F36&gt;MAX('הנחות עבודה'!$B$69:$B$89)),0,(VLOOKUP($F36,'התפלגות ייצור וסל דלקים'!$B$64:$BV$84,AF$2-$E$2,FALSE))*$D$9*$D$8*(HLOOKUP(AF$23,$G$18:$R$19,2,FALSE)*(1-$D$12)^($F36-'הנחות עבודה'!$C$5)/$D$11)/$D$11)</f>
        <v>0</v>
      </c>
      <c r="AG36" s="44">
        <f ca="1">IF(OR($F36&gt;$D$5,$F36&gt;MAX('הנחות עבודה'!$B$69:$B$89)),0,(VLOOKUP($F36,'התפלגות ייצור וסל דלקים'!$B$64:$BV$84,AG$2-$E$2,FALSE))*$D$9*$D$8*(HLOOKUP(AG$23,$G$18:$R$19,2,FALSE)*(1-$D$12)^($F36-'הנחות עבודה'!$C$5)/$D$11)/$D$11)</f>
        <v>0</v>
      </c>
      <c r="AH36" s="44">
        <f ca="1">IF(OR($F36&gt;$D$5,$F36&gt;MAX('הנחות עבודה'!$B$69:$B$89)),0,(VLOOKUP($F36,'התפלגות ייצור וסל דלקים'!$B$64:$BV$84,AH$2-$E$2,FALSE))*$D$9*$D$8*(HLOOKUP(AH$23,$G$18:$R$19,2,FALSE)*(1-$D$12)^($F36-'הנחות עבודה'!$C$5)/$D$11)/$D$11)</f>
        <v>0</v>
      </c>
      <c r="AI36" s="44">
        <f ca="1">IF(OR($F36&gt;$D$5,$F36&gt;MAX('הנחות עבודה'!$B$69:$B$89)),0,(VLOOKUP($F36,'התפלגות ייצור וסל דלקים'!$B$64:$BV$84,AI$2-$E$2,FALSE))*$D$9*$D$8*(HLOOKUP(AI$23,$G$18:$R$19,2,FALSE)*(1-$D$12)^($F36-'הנחות עבודה'!$C$5)/$D$11)/$D$11)</f>
        <v>0</v>
      </c>
      <c r="AJ36" s="44">
        <f ca="1">IF(OR($F36&gt;$D$5,$F36&gt;MAX('הנחות עבודה'!$B$69:$B$89)),0,(VLOOKUP($F36,'התפלגות ייצור וסל דלקים'!$B$64:$BV$84,AJ$2-$E$2,FALSE))*$D$9*$D$8*(HLOOKUP(AJ$23,$G$18:$R$19,2,FALSE)*(1-$D$12)^($F36-'הנחות עבודה'!$C$5)/$D$11)/$D$11)</f>
        <v>0</v>
      </c>
      <c r="AK36" s="42">
        <f ca="1">IF(OR($F36&gt;$D$5,$F36&gt;MAX('הנחות עבודה'!$B$69:$B$89)),0,(VLOOKUP($F36,'התפלגות ייצור וסל דלקים'!$B$64:$BV$84,AK$2-$E$2,FALSE))*$D$9*$D$8*(HLOOKUP(AK$23,$G$18:$R$19,2,FALSE)*(1-$D$12)^($F36-'הנחות עבודה'!$C$5)/$D$11)/$D$11)</f>
        <v>1.2367280000000002E-4</v>
      </c>
      <c r="AL36" s="42">
        <f ca="1">IF(OR($F36&gt;$D$5,$F36&gt;MAX('הנחות עבודה'!$B$69:$B$89)),0,(VLOOKUP($F36,'התפלגות ייצור וסל דלקים'!$B$64:$BV$84,AL$2-$E$2,FALSE))*$D$9*$D$8*(HLOOKUP(AL$23,$G$18:$R$19,2,FALSE)*(1-$D$12)^($F36-'הנחות עבודה'!$C$5)/$D$11)/$D$11)</f>
        <v>5.0646854965078793E-4</v>
      </c>
      <c r="AM36" s="42">
        <f ca="1">IF(OR($F36&gt;$D$5,$F36&gt;MAX('הנחות עבודה'!$B$69:$B$89)),0,(VLOOKUP($F36,'התפלגות ייצור וסל דלקים'!$B$64:$BV$84,AM$2-$E$2,FALSE))*$D$9*$D$8*(HLOOKUP(AM$23,$G$18:$R$19,2,FALSE)*(1-$D$12)^($F36-'הנחות עבודה'!$C$5)/$D$11)/$D$11)</f>
        <v>0</v>
      </c>
      <c r="AN36" s="42">
        <f ca="1">IF(OR($F36&gt;$D$5,$F36&gt;MAX('הנחות עבודה'!$B$69:$B$89)),0,(VLOOKUP($F36,'התפלגות ייצור וסל דלקים'!$B$64:$BV$84,AN$2-$E$2,FALSE))*$D$9*$D$8*(HLOOKUP(AN$23,$G$18:$R$19,2,FALSE)*(1-$D$12)^($F36-'הנחות עבודה'!$C$5)/$D$11)/$D$11)</f>
        <v>0</v>
      </c>
      <c r="AO36" s="42">
        <f ca="1">IF(OR($F36&gt;$D$5,$F36&gt;MAX('הנחות עבודה'!$B$69:$B$89)),0,(VLOOKUP($F36,'התפלגות ייצור וסל דלקים'!$B$64:$BV$84,AO$2-$E$2,FALSE))*$D$9*$D$8*(HLOOKUP(AO$23,$G$18:$R$19,2,FALSE)*(1-$D$12)^($F36-'הנחות עבודה'!$C$5)/$D$11)/$D$11)</f>
        <v>0</v>
      </c>
      <c r="AP36" s="42">
        <f ca="1">IF(OR($F36&gt;$D$5,$F36&gt;MAX('הנחות עבודה'!$B$69:$B$89)),0,(VLOOKUP($F36,'התפלגות ייצור וסל דלקים'!$B$64:$BV$84,AP$2-$E$2,FALSE))*$D$9*$D$8*(HLOOKUP(AP$23,$G$18:$R$19,2,FALSE)*(1-$D$12)^($F36-'הנחות עבודה'!$C$5)/$D$11)/$D$11)</f>
        <v>0</v>
      </c>
      <c r="AQ36" s="52">
        <f ca="1">IF(OR($F36&gt;$D$5,$F36&gt;MAX('הנחות עבודה'!$B$69:$B$89)),0,(VLOOKUP($F36,'התפלגות ייצור וסל דלקים'!$B$64:$BV$84,AQ$2-$E$2,FALSE))*$D$9*$D$8*(HLOOKUP(AQ$23,$G$18:$R$19,2,FALSE)*(1-$D$12)^($F36-'הנחות עבודה'!$C$5)/$D$11)/$D$11)</f>
        <v>0</v>
      </c>
      <c r="AR36" s="127">
        <f ca="1">IF(OR($F36&gt;$D$5,$F36&gt;MAX('הנחות עבודה'!$B$69:$B$89)),0,(VLOOKUP($F36,'התפלגות ייצור וסל דלקים'!$B$64:$BV$84,AR$2-$E$2,FALSE))*$D$9*$D$8*(HLOOKUP(AR$23,$G$18:$R$19,2,FALSE)*(1-$D$12)^($F36-'הנחות עבודה'!$C$5)/$D$11)/$D$11)</f>
        <v>0</v>
      </c>
      <c r="AS36" s="127">
        <f ca="1">IF(OR($F36&gt;$D$5,$F36&gt;MAX('הנחות עבודה'!$B$69:$B$89)),0,(VLOOKUP($F36,'התפלגות ייצור וסל דלקים'!$B$64:$BV$84,AS$2-$E$2,FALSE))*$D$9*$D$8*(HLOOKUP(AS$23,$G$18:$R$19,2,FALSE)*(1-$D$12)^($F36-'הנחות עבודה'!$C$5)/$D$11)/$D$11)</f>
        <v>0</v>
      </c>
      <c r="AT36" s="127">
        <f ca="1">IF(OR($F36&gt;$D$5,$F36&gt;MAX('הנחות עבודה'!$B$69:$B$89)),0,(VLOOKUP($F36,'התפלגות ייצור וסל דלקים'!$B$64:$BV$84,AT$2-$E$2,FALSE))*$D$9*$D$8*(HLOOKUP(AT$23,$G$18:$R$19,2,FALSE)*(1-$D$12)^($F36-'הנחות עבודה'!$C$5)/$D$11)/$D$11)</f>
        <v>0</v>
      </c>
      <c r="AU36" s="127">
        <f ca="1">IF(OR($F36&gt;$D$5,$F36&gt;MAX('הנחות עבודה'!$B$69:$B$89)),0,(VLOOKUP($F36,'התפלגות ייצור וסל דלקים'!$B$64:$BV$84,AU$2-$E$2,FALSE))*$D$9*$D$8*(HLOOKUP(AU$23,$G$18:$R$19,2,FALSE)*(1-$D$12)^($F36-'הנחות עבודה'!$C$5)/$D$11)/$D$11)</f>
        <v>0</v>
      </c>
      <c r="AV36" s="127">
        <f ca="1">IF(OR($F36&gt;$D$5,$F36&gt;MAX('הנחות עבודה'!$B$69:$B$89)),0,(VLOOKUP($F36,'התפלגות ייצור וסל דלקים'!$B$64:$BV$84,AV$2-$E$2,FALSE))*$D$9*$D$8*(HLOOKUP(AV$23,$G$18:$R$19,2,FALSE)*(1-$D$12)^($F36-'הנחות עבודה'!$C$5)/$D$11)/$D$11)</f>
        <v>0</v>
      </c>
      <c r="AW36" s="52">
        <f ca="1">IF(OR($F36&gt;$D$5,$F36&gt;MAX('הנחות עבודה'!$B$69:$B$89)),0,(VLOOKUP($F36,'התפלגות ייצור וסל דלקים'!$B$64:$BV$84,AW$2-$E$2,FALSE))*$D$9*$D$8*(HLOOKUP(AW$23,$G$18:$R$19,2,FALSE)*(1-$D$12)^($F36-'הנחות עבודה'!$C$5)/$D$11)/$D$11)</f>
        <v>1.2367280000000002E-4</v>
      </c>
      <c r="AX36" s="52">
        <f ca="1">IF(OR($F36&gt;$D$5,$F36&gt;MAX('הנחות עבודה'!$B$69:$B$89)),0,(VLOOKUP($F36,'התפלגות ייצור וסל דלקים'!$B$64:$BV$84,AX$2-$E$2,FALSE))*$D$9*$D$8*(HLOOKUP(AX$23,$G$18:$R$19,2,FALSE)*(1-$D$12)^($F36-'הנחות עבודה'!$C$5)/$D$11)/$D$11)</f>
        <v>5.0646854965078793E-4</v>
      </c>
      <c r="AY36" s="52">
        <f ca="1">IF(OR($F36&gt;$D$5,$F36&gt;MAX('הנחות עבודה'!$B$69:$B$89)),0,(VLOOKUP($F36,'התפלגות ייצור וסל דלקים'!$B$64:$BV$84,AY$2-$E$2,FALSE))*$D$9*$D$8*(HLOOKUP(AY$23,$G$18:$R$19,2,FALSE)*(1-$D$12)^($F36-'הנחות עבודה'!$C$5)/$D$11)/$D$11)</f>
        <v>0</v>
      </c>
      <c r="AZ36" s="52">
        <f ca="1">IF(OR($F36&gt;$D$5,$F36&gt;MAX('הנחות עבודה'!$B$69:$B$89)),0,(VLOOKUP($F36,'התפלגות ייצור וסל דלקים'!$B$64:$BV$84,AZ$2-$E$2,FALSE))*$D$9*$D$8*(HLOOKUP(AZ$23,$G$18:$R$19,2,FALSE)*(1-$D$12)^($F36-'הנחות עבודה'!$C$5)/$D$11)/$D$11)</f>
        <v>0</v>
      </c>
      <c r="BA36" s="52">
        <f ca="1">IF(OR($F36&gt;$D$5,$F36&gt;MAX('הנחות עבודה'!$B$69:$B$89)),0,(VLOOKUP($F36,'התפלגות ייצור וסל דלקים'!$B$64:$BV$84,BA$2-$E$2,FALSE))*$D$9*$D$8*(HLOOKUP(BA$23,$G$18:$R$19,2,FALSE)*(1-$D$12)^($F36-'הנחות עבודה'!$C$5)/$D$11)/$D$11)</f>
        <v>0</v>
      </c>
      <c r="BB36" s="52">
        <f ca="1">IF(OR($F36&gt;$D$5,$F36&gt;MAX('הנחות עבודה'!$B$69:$B$89)),0,(VLOOKUP($F36,'התפלגות ייצור וסל דלקים'!$B$64:$BV$84,BB$2-$E$2,FALSE))*$D$9*$D$8*(HLOOKUP(BB$23,$G$18:$R$19,2,FALSE)*(1-$D$12)^($F36-'הנחות עבודה'!$C$5)/$D$11)/$D$11)</f>
        <v>0</v>
      </c>
      <c r="BC36" s="42">
        <f ca="1">IF(OR($F36&gt;$D$5,$F36&gt;MAX('הנחות עבודה'!$B$69:$B$89)),0,(VLOOKUP($F36,'התפלגות ייצור וסל דלקים'!$B$64:$BV$84,BC$2-$E$2,FALSE))*$D$9*$D$8*(HLOOKUP(BC$23,$G$18:$R$19,2,FALSE)*(1-$D$12)^($F36-'הנחות עבודה'!$C$5)/$D$11)/$D$11)</f>
        <v>0</v>
      </c>
      <c r="BD36" s="44">
        <f ca="1">IF(OR($F36&gt;$D$5,$F36&gt;MAX('הנחות עבודה'!$B$69:$B$89)),0,(VLOOKUP($F36,'התפלגות ייצור וסל דלקים'!$B$64:$BV$84,BD$2-$E$2,FALSE))*$D$9*$D$8*(HLOOKUP(BD$23,$G$18:$R$19,2,FALSE)*(1-$D$12)^($F36-'הנחות עבודה'!$C$5)/$D$11)/$D$11)</f>
        <v>0</v>
      </c>
      <c r="BE36" s="44">
        <f ca="1">IF(OR($F36&gt;$D$5,$F36&gt;MAX('הנחות עבודה'!$B$69:$B$89)),0,(VLOOKUP($F36,'התפלגות ייצור וסל דלקים'!$B$64:$BV$84,BE$2-$E$2,FALSE))*$D$9*$D$8*(HLOOKUP(BE$23,$G$18:$R$19,2,FALSE)*(1-$D$12)^($F36-'הנחות עבודה'!$C$5)/$D$11)/$D$11)</f>
        <v>0</v>
      </c>
      <c r="BF36" s="44">
        <f ca="1">IF(OR($F36&gt;$D$5,$F36&gt;MAX('הנחות עבודה'!$B$69:$B$89)),0,(VLOOKUP($F36,'התפלגות ייצור וסל דלקים'!$B$64:$BV$84,BF$2-$E$2,FALSE))*$D$9*$D$8*(HLOOKUP(BF$23,$G$18:$R$19,2,FALSE)*(1-$D$12)^($F36-'הנחות עבודה'!$C$5)/$D$11)/$D$11)</f>
        <v>0</v>
      </c>
      <c r="BG36" s="44">
        <f ca="1">IF(OR($F36&gt;$D$5,$F36&gt;MAX('הנחות עבודה'!$B$69:$B$89)),0,(VLOOKUP($F36,'התפלגות ייצור וסל דלקים'!$B$64:$BV$84,BG$2-$E$2,FALSE))*$D$9*$D$8*(HLOOKUP(BG$23,$G$18:$R$19,2,FALSE)*(1-$D$12)^($F36-'הנחות עבודה'!$C$5)/$D$11)/$D$11)</f>
        <v>0</v>
      </c>
      <c r="BH36" s="44">
        <f ca="1">IF(OR($F36&gt;$D$5,$F36&gt;MAX('הנחות עבודה'!$B$69:$B$89)),0,(VLOOKUP($F36,'התפלגות ייצור וסל דלקים'!$B$64:$BV$84,BH$2-$E$2,FALSE))*$D$9*$D$8*(HLOOKUP(BH$23,$G$18:$R$19,2,FALSE)*(1-$D$12)^($F36-'הנחות עבודה'!$C$5)/$D$11)/$D$11)</f>
        <v>0</v>
      </c>
      <c r="BI36" s="42">
        <f ca="1">IF(OR($F36&gt;$D$5,$F36&gt;MAX('הנחות עבודה'!$B$69:$B$89)),0,(VLOOKUP($F36,'התפלגות ייצור וסל דלקים'!$B$64:$BV$84,BI$2-$E$2,FALSE))*$D$9*$D$8*(HLOOKUP(BI$23,$G$18:$R$19,2,FALSE)*(1-$D$12)^($F36-'הנחות עבודה'!$C$5)/$D$11)/$D$11)</f>
        <v>1.2651200000000001E-4</v>
      </c>
      <c r="BJ36" s="42">
        <f ca="1">IF(OR($F36&gt;$D$5,$F36&gt;MAX('הנחות עבודה'!$B$69:$B$89)),0,(VLOOKUP($F36,'התפלגות ייצור וסל דלקים'!$B$64:$BV$84,BJ$2-$E$2,FALSE))*$D$9*$D$8*(HLOOKUP(BJ$23,$G$18:$R$19,2,FALSE)*(1-$D$12)^($F36-'הנחות עבודה'!$C$5)/$D$11)/$D$11)</f>
        <v>4.6523884666986148E-4</v>
      </c>
      <c r="BK36" s="42">
        <f ca="1">IF(OR($F36&gt;$D$5,$F36&gt;MAX('הנחות עבודה'!$B$69:$B$89)),0,(VLOOKUP($F36,'התפלגות ייצור וסל דלקים'!$B$64:$BV$84,BK$2-$E$2,FALSE))*$D$9*$D$8*(HLOOKUP(BK$23,$G$18:$R$19,2,FALSE)*(1-$D$12)^($F36-'הנחות עבודה'!$C$5)/$D$11)/$D$11)</f>
        <v>0</v>
      </c>
      <c r="BL36" s="42">
        <f ca="1">IF(OR($F36&gt;$D$5,$F36&gt;MAX('הנחות עבודה'!$B$69:$B$89)),0,(VLOOKUP($F36,'התפלגות ייצור וסל דלקים'!$B$64:$BV$84,BL$2-$E$2,FALSE))*$D$9*$D$8*(HLOOKUP(BL$23,$G$18:$R$19,2,FALSE)*(1-$D$12)^($F36-'הנחות עבודה'!$C$5)/$D$11)/$D$11)</f>
        <v>0</v>
      </c>
      <c r="BM36" s="42">
        <f ca="1">IF(OR($F36&gt;$D$5,$F36&gt;MAX('הנחות עבודה'!$B$69:$B$89)),0,(VLOOKUP($F36,'התפלגות ייצור וסל דלקים'!$B$64:$BV$84,BM$2-$E$2,FALSE))*$D$9*$D$8*(HLOOKUP(BM$23,$G$18:$R$19,2,FALSE)*(1-$D$12)^($F36-'הנחות עבודה'!$C$5)/$D$11)/$D$11)</f>
        <v>0</v>
      </c>
      <c r="BN36" s="42">
        <f ca="1">IF(OR($F36&gt;$D$5,$F36&gt;MAX('הנחות עבודה'!$B$69:$B$89)),0,(VLOOKUP($F36,'התפלגות ייצור וסל דלקים'!$B$64:$BV$84,BN$2-$E$2,FALSE))*$D$9*$D$8*(HLOOKUP(BN$23,$G$18:$R$19,2,FALSE)*(1-$D$12)^($F36-'הנחות עבודה'!$C$5)/$D$11)/$D$11)</f>
        <v>0</v>
      </c>
      <c r="BO36" s="52">
        <f ca="1">IF(OR($F36&gt;$D$5,$F36&gt;MAX('הנחות עבודה'!$B$69:$B$89)),0,(VLOOKUP($F36,'התפלגות ייצור וסל דלקים'!$B$64:$BV$84,BO$2-$E$2,FALSE))*$D$9*$D$8*(HLOOKUP(BO$23,$G$18:$R$19,2,FALSE)*(1-$D$12)^($F36-'הנחות עבודה'!$C$5)/$D$11)/$D$11)</f>
        <v>0</v>
      </c>
      <c r="BP36" s="127">
        <f ca="1">IF(OR($F36&gt;$D$5,$F36&gt;MAX('הנחות עבודה'!$B$69:$B$89)),0,(VLOOKUP($F36,'התפלגות ייצור וסל דלקים'!$B$64:$BV$84,BP$2-$E$2,FALSE))*$D$9*$D$8*(HLOOKUP(BP$23,$G$18:$R$19,2,FALSE)*(1-$D$12)^($F36-'הנחות עבודה'!$C$5)/$D$11)/$D$11)</f>
        <v>0</v>
      </c>
      <c r="BQ36" s="127">
        <f ca="1">IF(OR($F36&gt;$D$5,$F36&gt;MAX('הנחות עבודה'!$B$69:$B$89)),0,(VLOOKUP($F36,'התפלגות ייצור וסל דלקים'!$B$64:$BV$84,BQ$2-$E$2,FALSE))*$D$9*$D$8*(HLOOKUP(BQ$23,$G$18:$R$19,2,FALSE)*(1-$D$12)^($F36-'הנחות עבודה'!$C$5)/$D$11)/$D$11)</f>
        <v>0</v>
      </c>
      <c r="BR36" s="127">
        <f ca="1">IF(OR($F36&gt;$D$5,$F36&gt;MAX('הנחות עבודה'!$B$69:$B$89)),0,(VLOOKUP($F36,'התפלגות ייצור וסל דלקים'!$B$64:$BV$84,BR$2-$E$2,FALSE))*$D$9*$D$8*(HLOOKUP(BR$23,$G$18:$R$19,2,FALSE)*(1-$D$12)^($F36-'הנחות עבודה'!$C$5)/$D$11)/$D$11)</f>
        <v>0</v>
      </c>
      <c r="BS36" s="127">
        <f ca="1">IF(OR($F36&gt;$D$5,$F36&gt;MAX('הנחות עבודה'!$B$69:$B$89)),0,(VLOOKUP($F36,'התפלגות ייצור וסל דלקים'!$B$64:$BV$84,BS$2-$E$2,FALSE))*$D$9*$D$8*(HLOOKUP(BS$23,$G$18:$R$19,2,FALSE)*(1-$D$12)^($F36-'הנחות עבודה'!$C$5)/$D$11)/$D$11)</f>
        <v>0</v>
      </c>
      <c r="BT36" s="127">
        <f ca="1">IF(OR($F36&gt;$D$5,$F36&gt;MAX('הנחות עבודה'!$B$69:$B$89)),0,(VLOOKUP($F36,'התפלגות ייצור וסל דלקים'!$B$64:$BV$84,BT$2-$E$2,FALSE))*$D$9*$D$8*(HLOOKUP(BT$23,$G$18:$R$19,2,FALSE)*(1-$D$12)^($F36-'הנחות עבודה'!$C$5)/$D$11)/$D$11)</f>
        <v>0</v>
      </c>
      <c r="BU36" s="52">
        <f ca="1">IF(OR($F36&gt;$D$5,$F36&gt;MAX('הנחות עבודה'!$B$69:$B$89)),0,(VLOOKUP($F36,'התפלגות ייצור וסל דלקים'!$B$64:$BV$84,BU$2-$E$2,FALSE))*$D$9*$D$8*(HLOOKUP(BU$23,$G$18:$R$19,2,FALSE)*(1-$D$12)^($F36-'הנחות עבודה'!$C$5)/$D$11)/$D$11)</f>
        <v>1.2651200000000001E-4</v>
      </c>
      <c r="BV36" s="52">
        <f ca="1">IF(OR($F36&gt;$D$5,$F36&gt;MAX('הנחות עבודה'!$B$69:$B$89)),0,(VLOOKUP($F36,'התפלגות ייצור וסל דלקים'!$B$64:$BV$84,BV$2-$E$2,FALSE))*$D$9*$D$8*(HLOOKUP(BV$23,$G$18:$R$19,2,FALSE)*(1-$D$12)^($F36-'הנחות עבודה'!$C$5)/$D$11)/$D$11)</f>
        <v>4.6523884666986148E-4</v>
      </c>
      <c r="BW36" s="52">
        <f ca="1">IF(OR($F36&gt;$D$5,$F36&gt;MAX('הנחות עבודה'!$B$69:$B$89)),0,(VLOOKUP($F36,'התפלגות ייצור וסל דלקים'!$B$64:$BV$84,BW$2-$E$2,FALSE))*$D$9*$D$8*(HLOOKUP(BW$23,$G$18:$R$19,2,FALSE)*(1-$D$12)^($F36-'הנחות עבודה'!$C$5)/$D$11)/$D$11)</f>
        <v>0</v>
      </c>
      <c r="BX36" s="52">
        <f ca="1">IF(OR($F36&gt;$D$5,$F36&gt;MAX('הנחות עבודה'!$B$69:$B$89)),0,(VLOOKUP($F36,'התפלגות ייצור וסל דלקים'!$B$64:$BV$84,BX$2-$E$2,FALSE))*$D$9*$D$8*(HLOOKUP(BX$23,$G$18:$R$19,2,FALSE)*(1-$D$12)^($F36-'הנחות עבודה'!$C$5)/$D$11)/$D$11)</f>
        <v>0</v>
      </c>
      <c r="BY36" s="52">
        <f ca="1">IF(OR($F36&gt;$D$5,$F36&gt;MAX('הנחות עבודה'!$B$69:$B$89)),0,(VLOOKUP($F36,'התפלגות ייצור וסל דלקים'!$B$64:$BV$84,BY$2-$E$2,FALSE))*$D$9*$D$8*(HLOOKUP(BY$23,$G$18:$R$19,2,FALSE)*(1-$D$12)^($F36-'הנחות עבודה'!$C$5)/$D$11)/$D$11)</f>
        <v>0</v>
      </c>
      <c r="BZ36" s="52">
        <f ca="1">IF(OR($F36&gt;$D$5,$F36&gt;MAX('הנחות עבודה'!$B$69:$B$89)),0,(VLOOKUP($F36,'התפלגות ייצור וסל דלקים'!$B$64:$BV$84,BZ$2-$E$2,FALSE))*$D$9*$D$8*(HLOOKUP(BZ$23,$G$18:$R$19,2,FALSE)*(1-$D$12)^($F36-'הנחות עבודה'!$C$5)/$D$11)/$D$11)</f>
        <v>0</v>
      </c>
    </row>
    <row r="37" spans="6:78" ht="15.75">
      <c r="F37" s="10">
        <f t="shared" si="108"/>
        <v>2033</v>
      </c>
      <c r="G37" s="42">
        <f ca="1">IF(OR($F37&gt;$D$5,$F37&gt;MAX('הנחות עבודה'!$B$69:$B$89)),0,(VLOOKUP($F37,'התפלגות ייצור וסל דלקים'!$B$64:$BV$84,G$2-$E$2,FALSE))*$D$9*$D$8*(HLOOKUP(G$23,$G$18:$R$19,2,FALSE)*(1-$D$12)^($F37-'הנחות עבודה'!$C$5)/$D$11)/$D$11)</f>
        <v>0</v>
      </c>
      <c r="H37" s="44">
        <f ca="1">IF(OR($F37&gt;$D$5,$F37&gt;MAX('הנחות עבודה'!$B$69:$B$89)),0,(VLOOKUP($F37,'התפלגות ייצור וסל דלקים'!$B$64:$BV$84,H$2-$E$2,FALSE))*$D$9*$D$8*(HLOOKUP(H$23,$G$18:$R$19,2,FALSE)*(1-$D$12)^($F37-'הנחות עבודה'!$C$5)/$D$11)/$D$11)</f>
        <v>0</v>
      </c>
      <c r="I37" s="44">
        <f ca="1">IF(OR($F37&gt;$D$5,$F37&gt;MAX('הנחות עבודה'!$B$69:$B$89)),0,(VLOOKUP($F37,'התפלגות ייצור וסל דלקים'!$B$64:$BV$84,I$2-$E$2,FALSE))*$D$9*$D$8*(HLOOKUP(I$23,$G$18:$R$19,2,FALSE)*(1-$D$12)^($F37-'הנחות עבודה'!$C$5)/$D$11)/$D$11)</f>
        <v>0</v>
      </c>
      <c r="J37" s="44">
        <f ca="1">IF(OR($F37&gt;$D$5,$F37&gt;MAX('הנחות עבודה'!$B$69:$B$89)),0,(VLOOKUP($F37,'התפלגות ייצור וסל דלקים'!$B$64:$BV$84,J$2-$E$2,FALSE))*$D$9*$D$8*(HLOOKUP(J$23,$G$18:$R$19,2,FALSE)*(1-$D$12)^($F37-'הנחות עבודה'!$C$5)/$D$11)/$D$11)</f>
        <v>0</v>
      </c>
      <c r="K37" s="44">
        <f ca="1">IF(OR($F37&gt;$D$5,$F37&gt;MAX('הנחות עבודה'!$B$69:$B$89)),0,(VLOOKUP($F37,'התפלגות ייצור וסל דלקים'!$B$64:$BV$84,K$2-$E$2,FALSE))*$D$9*$D$8*(HLOOKUP(K$23,$G$18:$R$19,2,FALSE)*(1-$D$12)^($F37-'הנחות עבודה'!$C$5)/$D$11)/$D$11)</f>
        <v>0</v>
      </c>
      <c r="L37" s="44">
        <f ca="1">IF(OR($F37&gt;$D$5,$F37&gt;MAX('הנחות עבודה'!$B$69:$B$89)),0,(VLOOKUP($F37,'התפלגות ייצור וסל דלקים'!$B$64:$BV$84,L$2-$E$2,FALSE))*$D$9*$D$8*(HLOOKUP(L$23,$G$18:$R$19,2,FALSE)*(1-$D$12)^($F37-'הנחות עבודה'!$C$5)/$D$11)/$D$11)</f>
        <v>0</v>
      </c>
      <c r="M37" s="42">
        <f ca="1">IF(OR($F37&gt;$D$5,$F37&gt;MAX('הנחות עבודה'!$B$69:$B$89)),0,(VLOOKUP($F37,'התפלגות ייצור וסל דלקים'!$B$64:$BV$84,M$2-$E$2,FALSE))*$D$9*$D$8*(HLOOKUP(M$23,$G$18:$R$19,2,FALSE)*(1-$D$12)^($F37-'הנחות עבודה'!$C$5)/$D$11)/$D$11)</f>
        <v>1.1832095999999999E-4</v>
      </c>
      <c r="N37" s="42">
        <f ca="1">IF(OR($F37&gt;$D$5,$F37&gt;MAX('הנחות עבודה'!$B$69:$B$89)),0,(VLOOKUP($F37,'התפלגות ייצור וסל דלקים'!$B$64:$BV$84,N$2-$E$2,FALSE))*$D$9*$D$8*(HLOOKUP(N$23,$G$18:$R$19,2,FALSE)*(1-$D$12)^($F37-'הנחות עבודה'!$C$5)/$D$11)/$D$11)</f>
        <v>5.9864991725586375E-4</v>
      </c>
      <c r="O37" s="42">
        <f ca="1">IF(OR($F37&gt;$D$5,$F37&gt;MAX('הנחות עבודה'!$B$69:$B$89)),0,(VLOOKUP($F37,'התפלגות ייצור וסל דלקים'!$B$64:$BV$84,O$2-$E$2,FALSE))*$D$9*$D$8*(HLOOKUP(O$23,$G$18:$R$19,2,FALSE)*(1-$D$12)^($F37-'הנחות עבודה'!$C$5)/$D$11)/$D$11)</f>
        <v>0</v>
      </c>
      <c r="P37" s="42">
        <f ca="1">IF(OR($F37&gt;$D$5,$F37&gt;MAX('הנחות עבודה'!$B$69:$B$89)),0,(VLOOKUP($F37,'התפלגות ייצור וסל דלקים'!$B$64:$BV$84,P$2-$E$2,FALSE))*$D$9*$D$8*(HLOOKUP(P$23,$G$18:$R$19,2,FALSE)*(1-$D$12)^($F37-'הנחות עבודה'!$C$5)/$D$11)/$D$11)</f>
        <v>0</v>
      </c>
      <c r="Q37" s="42">
        <f ca="1">IF(OR($F37&gt;$D$5,$F37&gt;MAX('הנחות עבודה'!$B$69:$B$89)),0,(VLOOKUP($F37,'התפלגות ייצור וסל דלקים'!$B$64:$BV$84,Q$2-$E$2,FALSE))*$D$9*$D$8*(HLOOKUP(Q$23,$G$18:$R$19,2,FALSE)*(1-$D$12)^($F37-'הנחות עבודה'!$C$5)/$D$11)/$D$11)</f>
        <v>0</v>
      </c>
      <c r="R37" s="42">
        <f ca="1">IF(OR($F37&gt;$D$5,$F37&gt;MAX('הנחות עבודה'!$B$69:$B$89)),0,(VLOOKUP($F37,'התפלגות ייצור וסל דלקים'!$B$64:$BV$84,R$2-$E$2,FALSE))*$D$9*$D$8*(HLOOKUP(R$23,$G$18:$R$19,2,FALSE)*(1-$D$12)^($F37-'הנחות עבודה'!$C$5)/$D$11)/$D$11)</f>
        <v>0</v>
      </c>
      <c r="S37" s="52">
        <f ca="1">IF(OR($F37&gt;$D$5,$F37&gt;MAX('הנחות עבודה'!$B$69:$B$89)),0,(VLOOKUP($F37,'התפלגות ייצור וסל דלקים'!$B$64:$BV$84,S$2-$E$2,FALSE))*$D$9*$D$8*(HLOOKUP(S$23,$G$18:$R$19,2,FALSE)*(1-$D$12)^($F37-'הנחות עבודה'!$C$5)/$D$11)/$D$11)</f>
        <v>0</v>
      </c>
      <c r="T37" s="127">
        <f ca="1">IF(OR($F37&gt;$D$5,$F37&gt;MAX('הנחות עבודה'!$B$69:$B$89)),0,(VLOOKUP($F37,'התפלגות ייצור וסל דלקים'!$B$64:$BV$84,T$2-$E$2,FALSE))*$D$9*$D$8*(HLOOKUP(T$23,$G$18:$R$19,2,FALSE)*(1-$D$12)^($F37-'הנחות עבודה'!$C$5)/$D$11)/$D$11)</f>
        <v>0</v>
      </c>
      <c r="U37" s="127">
        <f ca="1">IF(OR($F37&gt;$D$5,$F37&gt;MAX('הנחות עבודה'!$B$69:$B$89)),0,(VLOOKUP($F37,'התפלגות ייצור וסל דלקים'!$B$64:$BV$84,U$2-$E$2,FALSE))*$D$9*$D$8*(HLOOKUP(U$23,$G$18:$R$19,2,FALSE)*(1-$D$12)^($F37-'הנחות עבודה'!$C$5)/$D$11)/$D$11)</f>
        <v>0</v>
      </c>
      <c r="V37" s="127">
        <f ca="1">IF(OR($F37&gt;$D$5,$F37&gt;MAX('הנחות עבודה'!$B$69:$B$89)),0,(VLOOKUP($F37,'התפלגות ייצור וסל דלקים'!$B$64:$BV$84,V$2-$E$2,FALSE))*$D$9*$D$8*(HLOOKUP(V$23,$G$18:$R$19,2,FALSE)*(1-$D$12)^($F37-'הנחות עבודה'!$C$5)/$D$11)/$D$11)</f>
        <v>0</v>
      </c>
      <c r="W37" s="127">
        <f ca="1">IF(OR($F37&gt;$D$5,$F37&gt;MAX('הנחות עבודה'!$B$69:$B$89)),0,(VLOOKUP($F37,'התפלגות ייצור וסל דלקים'!$B$64:$BV$84,W$2-$E$2,FALSE))*$D$9*$D$8*(HLOOKUP(W$23,$G$18:$R$19,2,FALSE)*(1-$D$12)^($F37-'הנחות עבודה'!$C$5)/$D$11)/$D$11)</f>
        <v>0</v>
      </c>
      <c r="X37" s="127">
        <f ca="1">IF(OR($F37&gt;$D$5,$F37&gt;MAX('הנחות עבודה'!$B$69:$B$89)),0,(VLOOKUP($F37,'התפלגות ייצור וסל דלקים'!$B$64:$BV$84,X$2-$E$2,FALSE))*$D$9*$D$8*(HLOOKUP(X$23,$G$18:$R$19,2,FALSE)*(1-$D$12)^($F37-'הנחות עבודה'!$C$5)/$D$11)/$D$11)</f>
        <v>0</v>
      </c>
      <c r="Y37" s="52">
        <f ca="1">IF(OR($F37&gt;$D$5,$F37&gt;MAX('הנחות עבודה'!$B$69:$B$89)),0,(VLOOKUP($F37,'התפלגות ייצור וסל דלקים'!$B$64:$BV$84,Y$2-$E$2,FALSE))*$D$9*$D$8*(HLOOKUP(Y$23,$G$18:$R$19,2,FALSE)*(1-$D$12)^($F37-'הנחות עבודה'!$C$5)/$D$11)/$D$11)</f>
        <v>1.1832095999999999E-4</v>
      </c>
      <c r="Z37" s="52">
        <f ca="1">IF(OR($F37&gt;$D$5,$F37&gt;MAX('הנחות עבודה'!$B$69:$B$89)),0,(VLOOKUP($F37,'התפלגות ייצור וסל דלקים'!$B$64:$BV$84,Z$2-$E$2,FALSE))*$D$9*$D$8*(HLOOKUP(Z$23,$G$18:$R$19,2,FALSE)*(1-$D$12)^($F37-'הנחות עבודה'!$C$5)/$D$11)/$D$11)</f>
        <v>5.9864991725586375E-4</v>
      </c>
      <c r="AA37" s="52">
        <f ca="1">IF(OR($F37&gt;$D$5,$F37&gt;MAX('הנחות עבודה'!$B$69:$B$89)),0,(VLOOKUP($F37,'התפלגות ייצור וסל דלקים'!$B$64:$BV$84,AA$2-$E$2,FALSE))*$D$9*$D$8*(HLOOKUP(AA$23,$G$18:$R$19,2,FALSE)*(1-$D$12)^($F37-'הנחות עבודה'!$C$5)/$D$11)/$D$11)</f>
        <v>0</v>
      </c>
      <c r="AB37" s="52">
        <f ca="1">IF(OR($F37&gt;$D$5,$F37&gt;MAX('הנחות עבודה'!$B$69:$B$89)),0,(VLOOKUP($F37,'התפלגות ייצור וסל דלקים'!$B$64:$BV$84,AB$2-$E$2,FALSE))*$D$9*$D$8*(HLOOKUP(AB$23,$G$18:$R$19,2,FALSE)*(1-$D$12)^($F37-'הנחות עבודה'!$C$5)/$D$11)/$D$11)</f>
        <v>0</v>
      </c>
      <c r="AC37" s="52">
        <f ca="1">IF(OR($F37&gt;$D$5,$F37&gt;MAX('הנחות עבודה'!$B$69:$B$89)),0,(VLOOKUP($F37,'התפלגות ייצור וסל דלקים'!$B$64:$BV$84,AC$2-$E$2,FALSE))*$D$9*$D$8*(HLOOKUP(AC$23,$G$18:$R$19,2,FALSE)*(1-$D$12)^($F37-'הנחות עבודה'!$C$5)/$D$11)/$D$11)</f>
        <v>0</v>
      </c>
      <c r="AD37" s="52">
        <f ca="1">IF(OR($F37&gt;$D$5,$F37&gt;MAX('הנחות עבודה'!$B$69:$B$89)),0,(VLOOKUP($F37,'התפלגות ייצור וסל דלקים'!$B$64:$BV$84,AD$2-$E$2,FALSE))*$D$9*$D$8*(HLOOKUP(AD$23,$G$18:$R$19,2,FALSE)*(1-$D$12)^($F37-'הנחות עבודה'!$C$5)/$D$11)/$D$11)</f>
        <v>0</v>
      </c>
      <c r="AE37" s="42">
        <f ca="1">IF(OR($F37&gt;$D$5,$F37&gt;MAX('הנחות עבודה'!$B$69:$B$89)),0,(VLOOKUP($F37,'התפלגות ייצור וסל דלקים'!$B$64:$BV$84,AE$2-$E$2,FALSE))*$D$9*$D$8*(HLOOKUP(AE$23,$G$18:$R$19,2,FALSE)*(1-$D$12)^($F37-'הנחות עבודה'!$C$5)/$D$11)/$D$11)</f>
        <v>0</v>
      </c>
      <c r="AF37" s="44">
        <f ca="1">IF(OR($F37&gt;$D$5,$F37&gt;MAX('הנחות עבודה'!$B$69:$B$89)),0,(VLOOKUP($F37,'התפלגות ייצור וסל דלקים'!$B$64:$BV$84,AF$2-$E$2,FALSE))*$D$9*$D$8*(HLOOKUP(AF$23,$G$18:$R$19,2,FALSE)*(1-$D$12)^($F37-'הנחות עבודה'!$C$5)/$D$11)/$D$11)</f>
        <v>0</v>
      </c>
      <c r="AG37" s="44">
        <f ca="1">IF(OR($F37&gt;$D$5,$F37&gt;MAX('הנחות עבודה'!$B$69:$B$89)),0,(VLOOKUP($F37,'התפלגות ייצור וסל דלקים'!$B$64:$BV$84,AG$2-$E$2,FALSE))*$D$9*$D$8*(HLOOKUP(AG$23,$G$18:$R$19,2,FALSE)*(1-$D$12)^($F37-'הנחות עבודה'!$C$5)/$D$11)/$D$11)</f>
        <v>0</v>
      </c>
      <c r="AH37" s="44">
        <f ca="1">IF(OR($F37&gt;$D$5,$F37&gt;MAX('הנחות עבודה'!$B$69:$B$89)),0,(VLOOKUP($F37,'התפלגות ייצור וסל דלקים'!$B$64:$BV$84,AH$2-$E$2,FALSE))*$D$9*$D$8*(HLOOKUP(AH$23,$G$18:$R$19,2,FALSE)*(1-$D$12)^($F37-'הנחות עבודה'!$C$5)/$D$11)/$D$11)</f>
        <v>0</v>
      </c>
      <c r="AI37" s="44">
        <f ca="1">IF(OR($F37&gt;$D$5,$F37&gt;MAX('הנחות עבודה'!$B$69:$B$89)),0,(VLOOKUP($F37,'התפלגות ייצור וסל דלקים'!$B$64:$BV$84,AI$2-$E$2,FALSE))*$D$9*$D$8*(HLOOKUP(AI$23,$G$18:$R$19,2,FALSE)*(1-$D$12)^($F37-'הנחות עבודה'!$C$5)/$D$11)/$D$11)</f>
        <v>0</v>
      </c>
      <c r="AJ37" s="44">
        <f ca="1">IF(OR($F37&gt;$D$5,$F37&gt;MAX('הנחות עבודה'!$B$69:$B$89)),0,(VLOOKUP($F37,'התפלגות ייצור וסל דלקים'!$B$64:$BV$84,AJ$2-$E$2,FALSE))*$D$9*$D$8*(HLOOKUP(AJ$23,$G$18:$R$19,2,FALSE)*(1-$D$12)^($F37-'הנחות עבודה'!$C$5)/$D$11)/$D$11)</f>
        <v>0</v>
      </c>
      <c r="AK37" s="42">
        <f ca="1">IF(OR($F37&gt;$D$5,$F37&gt;MAX('הנחות עבודה'!$B$69:$B$89)),0,(VLOOKUP($F37,'התפלגות ייצור וסל דלקים'!$B$64:$BV$84,AK$2-$E$2,FALSE))*$D$9*$D$8*(HLOOKUP(AK$23,$G$18:$R$19,2,FALSE)*(1-$D$12)^($F37-'הנחות עבודה'!$C$5)/$D$11)/$D$11)</f>
        <v>1.2607088E-4</v>
      </c>
      <c r="AL37" s="42">
        <f ca="1">IF(OR($F37&gt;$D$5,$F37&gt;MAX('הנחות עבודה'!$B$69:$B$89)),0,(VLOOKUP($F37,'התפלגות ייצור וסל דלקים'!$B$64:$BV$84,AL$2-$E$2,FALSE))*$D$9*$D$8*(HLOOKUP(AL$23,$G$18:$R$19,2,FALSE)*(1-$D$12)^($F37-'הנחות עבודה'!$C$5)/$D$11)/$D$11)</f>
        <v>5.2973745229099834E-4</v>
      </c>
      <c r="AM37" s="42">
        <f ca="1">IF(OR($F37&gt;$D$5,$F37&gt;MAX('הנחות עבודה'!$B$69:$B$89)),0,(VLOOKUP($F37,'התפלגות ייצור וסל דלקים'!$B$64:$BV$84,AM$2-$E$2,FALSE))*$D$9*$D$8*(HLOOKUP(AM$23,$G$18:$R$19,2,FALSE)*(1-$D$12)^($F37-'הנחות עבודה'!$C$5)/$D$11)/$D$11)</f>
        <v>0</v>
      </c>
      <c r="AN37" s="42">
        <f ca="1">IF(OR($F37&gt;$D$5,$F37&gt;MAX('הנחות עבודה'!$B$69:$B$89)),0,(VLOOKUP($F37,'התפלגות ייצור וסל דלקים'!$B$64:$BV$84,AN$2-$E$2,FALSE))*$D$9*$D$8*(HLOOKUP(AN$23,$G$18:$R$19,2,FALSE)*(1-$D$12)^($F37-'הנחות עבודה'!$C$5)/$D$11)/$D$11)</f>
        <v>0</v>
      </c>
      <c r="AO37" s="42">
        <f ca="1">IF(OR($F37&gt;$D$5,$F37&gt;MAX('הנחות עבודה'!$B$69:$B$89)),0,(VLOOKUP($F37,'התפלגות ייצור וסל דלקים'!$B$64:$BV$84,AO$2-$E$2,FALSE))*$D$9*$D$8*(HLOOKUP(AO$23,$G$18:$R$19,2,FALSE)*(1-$D$12)^($F37-'הנחות עבודה'!$C$5)/$D$11)/$D$11)</f>
        <v>0</v>
      </c>
      <c r="AP37" s="42">
        <f ca="1">IF(OR($F37&gt;$D$5,$F37&gt;MAX('הנחות עבודה'!$B$69:$B$89)),0,(VLOOKUP($F37,'התפלגות ייצור וסל דלקים'!$B$64:$BV$84,AP$2-$E$2,FALSE))*$D$9*$D$8*(HLOOKUP(AP$23,$G$18:$R$19,2,FALSE)*(1-$D$12)^($F37-'הנחות עבודה'!$C$5)/$D$11)/$D$11)</f>
        <v>0</v>
      </c>
      <c r="AQ37" s="52">
        <f ca="1">IF(OR($F37&gt;$D$5,$F37&gt;MAX('הנחות עבודה'!$B$69:$B$89)),0,(VLOOKUP($F37,'התפלגות ייצור וסל דלקים'!$B$64:$BV$84,AQ$2-$E$2,FALSE))*$D$9*$D$8*(HLOOKUP(AQ$23,$G$18:$R$19,2,FALSE)*(1-$D$12)^($F37-'הנחות עבודה'!$C$5)/$D$11)/$D$11)</f>
        <v>0</v>
      </c>
      <c r="AR37" s="127">
        <f ca="1">IF(OR($F37&gt;$D$5,$F37&gt;MAX('הנחות עבודה'!$B$69:$B$89)),0,(VLOOKUP($F37,'התפלגות ייצור וסל דלקים'!$B$64:$BV$84,AR$2-$E$2,FALSE))*$D$9*$D$8*(HLOOKUP(AR$23,$G$18:$R$19,2,FALSE)*(1-$D$12)^($F37-'הנחות עבודה'!$C$5)/$D$11)/$D$11)</f>
        <v>0</v>
      </c>
      <c r="AS37" s="127">
        <f ca="1">IF(OR($F37&gt;$D$5,$F37&gt;MAX('הנחות עבודה'!$B$69:$B$89)),0,(VLOOKUP($F37,'התפלגות ייצור וסל דלקים'!$B$64:$BV$84,AS$2-$E$2,FALSE))*$D$9*$D$8*(HLOOKUP(AS$23,$G$18:$R$19,2,FALSE)*(1-$D$12)^($F37-'הנחות עבודה'!$C$5)/$D$11)/$D$11)</f>
        <v>0</v>
      </c>
      <c r="AT37" s="127">
        <f ca="1">IF(OR($F37&gt;$D$5,$F37&gt;MAX('הנחות עבודה'!$B$69:$B$89)),0,(VLOOKUP($F37,'התפלגות ייצור וסל דלקים'!$B$64:$BV$84,AT$2-$E$2,FALSE))*$D$9*$D$8*(HLOOKUP(AT$23,$G$18:$R$19,2,FALSE)*(1-$D$12)^($F37-'הנחות עבודה'!$C$5)/$D$11)/$D$11)</f>
        <v>0</v>
      </c>
      <c r="AU37" s="127">
        <f ca="1">IF(OR($F37&gt;$D$5,$F37&gt;MAX('הנחות עבודה'!$B$69:$B$89)),0,(VLOOKUP($F37,'התפלגות ייצור וסל דלקים'!$B$64:$BV$84,AU$2-$E$2,FALSE))*$D$9*$D$8*(HLOOKUP(AU$23,$G$18:$R$19,2,FALSE)*(1-$D$12)^($F37-'הנחות עבודה'!$C$5)/$D$11)/$D$11)</f>
        <v>0</v>
      </c>
      <c r="AV37" s="127">
        <f ca="1">IF(OR($F37&gt;$D$5,$F37&gt;MAX('הנחות עבודה'!$B$69:$B$89)),0,(VLOOKUP($F37,'התפלגות ייצור וסל דלקים'!$B$64:$BV$84,AV$2-$E$2,FALSE))*$D$9*$D$8*(HLOOKUP(AV$23,$G$18:$R$19,2,FALSE)*(1-$D$12)^($F37-'הנחות עבודה'!$C$5)/$D$11)/$D$11)</f>
        <v>0</v>
      </c>
      <c r="AW37" s="52">
        <f ca="1">IF(OR($F37&gt;$D$5,$F37&gt;MAX('הנחות עבודה'!$B$69:$B$89)),0,(VLOOKUP($F37,'התפלגות ייצור וסל דלקים'!$B$64:$BV$84,AW$2-$E$2,FALSE))*$D$9*$D$8*(HLOOKUP(AW$23,$G$18:$R$19,2,FALSE)*(1-$D$12)^($F37-'הנחות עבודה'!$C$5)/$D$11)/$D$11)</f>
        <v>1.2607088E-4</v>
      </c>
      <c r="AX37" s="52">
        <f ca="1">IF(OR($F37&gt;$D$5,$F37&gt;MAX('הנחות עבודה'!$B$69:$B$89)),0,(VLOOKUP($F37,'התפלגות ייצור וסל דלקים'!$B$64:$BV$84,AX$2-$E$2,FALSE))*$D$9*$D$8*(HLOOKUP(AX$23,$G$18:$R$19,2,FALSE)*(1-$D$12)^($F37-'הנחות עבודה'!$C$5)/$D$11)/$D$11)</f>
        <v>5.2973745229099834E-4</v>
      </c>
      <c r="AY37" s="52">
        <f ca="1">IF(OR($F37&gt;$D$5,$F37&gt;MAX('הנחות עבודה'!$B$69:$B$89)),0,(VLOOKUP($F37,'התפלגות ייצור וסל דלקים'!$B$64:$BV$84,AY$2-$E$2,FALSE))*$D$9*$D$8*(HLOOKUP(AY$23,$G$18:$R$19,2,FALSE)*(1-$D$12)^($F37-'הנחות עבודה'!$C$5)/$D$11)/$D$11)</f>
        <v>0</v>
      </c>
      <c r="AZ37" s="52">
        <f ca="1">IF(OR($F37&gt;$D$5,$F37&gt;MAX('הנחות עבודה'!$B$69:$B$89)),0,(VLOOKUP($F37,'התפלגות ייצור וסל דלקים'!$B$64:$BV$84,AZ$2-$E$2,FALSE))*$D$9*$D$8*(HLOOKUP(AZ$23,$G$18:$R$19,2,FALSE)*(1-$D$12)^($F37-'הנחות עבודה'!$C$5)/$D$11)/$D$11)</f>
        <v>0</v>
      </c>
      <c r="BA37" s="52">
        <f ca="1">IF(OR($F37&gt;$D$5,$F37&gt;MAX('הנחות עבודה'!$B$69:$B$89)),0,(VLOOKUP($F37,'התפלגות ייצור וסל דלקים'!$B$64:$BV$84,BA$2-$E$2,FALSE))*$D$9*$D$8*(HLOOKUP(BA$23,$G$18:$R$19,2,FALSE)*(1-$D$12)^($F37-'הנחות עבודה'!$C$5)/$D$11)/$D$11)</f>
        <v>0</v>
      </c>
      <c r="BB37" s="52">
        <f ca="1">IF(OR($F37&gt;$D$5,$F37&gt;MAX('הנחות עבודה'!$B$69:$B$89)),0,(VLOOKUP($F37,'התפלגות ייצור וסל דלקים'!$B$64:$BV$84,BB$2-$E$2,FALSE))*$D$9*$D$8*(HLOOKUP(BB$23,$G$18:$R$19,2,FALSE)*(1-$D$12)^($F37-'הנחות עבודה'!$C$5)/$D$11)/$D$11)</f>
        <v>0</v>
      </c>
      <c r="BC37" s="42">
        <f ca="1">IF(OR($F37&gt;$D$5,$F37&gt;MAX('הנחות עבודה'!$B$69:$B$89)),0,(VLOOKUP($F37,'התפלגות ייצור וסל דלקים'!$B$64:$BV$84,BC$2-$E$2,FALSE))*$D$9*$D$8*(HLOOKUP(BC$23,$G$18:$R$19,2,FALSE)*(1-$D$12)^($F37-'הנחות עבודה'!$C$5)/$D$11)/$D$11)</f>
        <v>0</v>
      </c>
      <c r="BD37" s="44">
        <f ca="1">IF(OR($F37&gt;$D$5,$F37&gt;MAX('הנחות עבודה'!$B$69:$B$89)),0,(VLOOKUP($F37,'התפלגות ייצור וסל דלקים'!$B$64:$BV$84,BD$2-$E$2,FALSE))*$D$9*$D$8*(HLOOKUP(BD$23,$G$18:$R$19,2,FALSE)*(1-$D$12)^($F37-'הנחות עבודה'!$C$5)/$D$11)/$D$11)</f>
        <v>0</v>
      </c>
      <c r="BE37" s="44">
        <f ca="1">IF(OR($F37&gt;$D$5,$F37&gt;MAX('הנחות עבודה'!$B$69:$B$89)),0,(VLOOKUP($F37,'התפלגות ייצור וסל דלקים'!$B$64:$BV$84,BE$2-$E$2,FALSE))*$D$9*$D$8*(HLOOKUP(BE$23,$G$18:$R$19,2,FALSE)*(1-$D$12)^($F37-'הנחות עבודה'!$C$5)/$D$11)/$D$11)</f>
        <v>0</v>
      </c>
      <c r="BF37" s="44">
        <f ca="1">IF(OR($F37&gt;$D$5,$F37&gt;MAX('הנחות עבודה'!$B$69:$B$89)),0,(VLOOKUP($F37,'התפלגות ייצור וסל דלקים'!$B$64:$BV$84,BF$2-$E$2,FALSE))*$D$9*$D$8*(HLOOKUP(BF$23,$G$18:$R$19,2,FALSE)*(1-$D$12)^($F37-'הנחות עבודה'!$C$5)/$D$11)/$D$11)</f>
        <v>0</v>
      </c>
      <c r="BG37" s="44">
        <f ca="1">IF(OR($F37&gt;$D$5,$F37&gt;MAX('הנחות עבודה'!$B$69:$B$89)),0,(VLOOKUP($F37,'התפלגות ייצור וסל דלקים'!$B$64:$BV$84,BG$2-$E$2,FALSE))*$D$9*$D$8*(HLOOKUP(BG$23,$G$18:$R$19,2,FALSE)*(1-$D$12)^($F37-'הנחות עבודה'!$C$5)/$D$11)/$D$11)</f>
        <v>0</v>
      </c>
      <c r="BH37" s="44">
        <f ca="1">IF(OR($F37&gt;$D$5,$F37&gt;MAX('הנחות עבודה'!$B$69:$B$89)),0,(VLOOKUP($F37,'התפלגות ייצור וסל דלקים'!$B$64:$BV$84,BH$2-$E$2,FALSE))*$D$9*$D$8*(HLOOKUP(BH$23,$G$18:$R$19,2,FALSE)*(1-$D$12)^($F37-'הנחות עבודה'!$C$5)/$D$11)/$D$11)</f>
        <v>0</v>
      </c>
      <c r="BI37" s="42">
        <f ca="1">IF(OR($F37&gt;$D$5,$F37&gt;MAX('הנחות עבודה'!$B$69:$B$89)),0,(VLOOKUP($F37,'התפלגות ייצור וסל דלקים'!$B$64:$BV$84,BI$2-$E$2,FALSE))*$D$9*$D$8*(HLOOKUP(BI$23,$G$18:$R$19,2,FALSE)*(1-$D$12)^($F37-'הנחות עבודה'!$C$5)/$D$11)/$D$11)</f>
        <v>1.2933600000000002E-4</v>
      </c>
      <c r="BJ37" s="42">
        <f ca="1">IF(OR($F37&gt;$D$5,$F37&gt;MAX('הנחות עבודה'!$B$69:$B$89)),0,(VLOOKUP($F37,'התפלגות ייצור וסל דלקים'!$B$64:$BV$84,BJ$2-$E$2,FALSE))*$D$9*$D$8*(HLOOKUP(BJ$23,$G$18:$R$19,2,FALSE)*(1-$D$12)^($F37-'הנחות עבודה'!$C$5)/$D$11)/$D$11)</f>
        <v>4.8831237168795762E-4</v>
      </c>
      <c r="BK37" s="42">
        <f ca="1">IF(OR($F37&gt;$D$5,$F37&gt;MAX('הנחות עבודה'!$B$69:$B$89)),0,(VLOOKUP($F37,'התפלגות ייצור וסל דלקים'!$B$64:$BV$84,BK$2-$E$2,FALSE))*$D$9*$D$8*(HLOOKUP(BK$23,$G$18:$R$19,2,FALSE)*(1-$D$12)^($F37-'הנחות עבודה'!$C$5)/$D$11)/$D$11)</f>
        <v>0</v>
      </c>
      <c r="BL37" s="42">
        <f ca="1">IF(OR($F37&gt;$D$5,$F37&gt;MAX('הנחות עבודה'!$B$69:$B$89)),0,(VLOOKUP($F37,'התפלגות ייצור וסל דלקים'!$B$64:$BV$84,BL$2-$E$2,FALSE))*$D$9*$D$8*(HLOOKUP(BL$23,$G$18:$R$19,2,FALSE)*(1-$D$12)^($F37-'הנחות עבודה'!$C$5)/$D$11)/$D$11)</f>
        <v>0</v>
      </c>
      <c r="BM37" s="42">
        <f ca="1">IF(OR($F37&gt;$D$5,$F37&gt;MAX('הנחות עבודה'!$B$69:$B$89)),0,(VLOOKUP($F37,'התפלגות ייצור וסל דלקים'!$B$64:$BV$84,BM$2-$E$2,FALSE))*$D$9*$D$8*(HLOOKUP(BM$23,$G$18:$R$19,2,FALSE)*(1-$D$12)^($F37-'הנחות עבודה'!$C$5)/$D$11)/$D$11)</f>
        <v>0</v>
      </c>
      <c r="BN37" s="42">
        <f ca="1">IF(OR($F37&gt;$D$5,$F37&gt;MAX('הנחות עבודה'!$B$69:$B$89)),0,(VLOOKUP($F37,'התפלגות ייצור וסל דלקים'!$B$64:$BV$84,BN$2-$E$2,FALSE))*$D$9*$D$8*(HLOOKUP(BN$23,$G$18:$R$19,2,FALSE)*(1-$D$12)^($F37-'הנחות עבודה'!$C$5)/$D$11)/$D$11)</f>
        <v>0</v>
      </c>
      <c r="BO37" s="52">
        <f ca="1">IF(OR($F37&gt;$D$5,$F37&gt;MAX('הנחות עבודה'!$B$69:$B$89)),0,(VLOOKUP($F37,'התפלגות ייצור וסל דלקים'!$B$64:$BV$84,BO$2-$E$2,FALSE))*$D$9*$D$8*(HLOOKUP(BO$23,$G$18:$R$19,2,FALSE)*(1-$D$12)^($F37-'הנחות עבודה'!$C$5)/$D$11)/$D$11)</f>
        <v>0</v>
      </c>
      <c r="BP37" s="127">
        <f ca="1">IF(OR($F37&gt;$D$5,$F37&gt;MAX('הנחות עבודה'!$B$69:$B$89)),0,(VLOOKUP($F37,'התפלגות ייצור וסל דלקים'!$B$64:$BV$84,BP$2-$E$2,FALSE))*$D$9*$D$8*(HLOOKUP(BP$23,$G$18:$R$19,2,FALSE)*(1-$D$12)^($F37-'הנחות עבודה'!$C$5)/$D$11)/$D$11)</f>
        <v>0</v>
      </c>
      <c r="BQ37" s="127">
        <f ca="1">IF(OR($F37&gt;$D$5,$F37&gt;MAX('הנחות עבודה'!$B$69:$B$89)),0,(VLOOKUP($F37,'התפלגות ייצור וסל דלקים'!$B$64:$BV$84,BQ$2-$E$2,FALSE))*$D$9*$D$8*(HLOOKUP(BQ$23,$G$18:$R$19,2,FALSE)*(1-$D$12)^($F37-'הנחות עבודה'!$C$5)/$D$11)/$D$11)</f>
        <v>0</v>
      </c>
      <c r="BR37" s="127">
        <f ca="1">IF(OR($F37&gt;$D$5,$F37&gt;MAX('הנחות עבודה'!$B$69:$B$89)),0,(VLOOKUP($F37,'התפלגות ייצור וסל דלקים'!$B$64:$BV$84,BR$2-$E$2,FALSE))*$D$9*$D$8*(HLOOKUP(BR$23,$G$18:$R$19,2,FALSE)*(1-$D$12)^($F37-'הנחות עבודה'!$C$5)/$D$11)/$D$11)</f>
        <v>0</v>
      </c>
      <c r="BS37" s="127">
        <f ca="1">IF(OR($F37&gt;$D$5,$F37&gt;MAX('הנחות עבודה'!$B$69:$B$89)),0,(VLOOKUP($F37,'התפלגות ייצור וסל דלקים'!$B$64:$BV$84,BS$2-$E$2,FALSE))*$D$9*$D$8*(HLOOKUP(BS$23,$G$18:$R$19,2,FALSE)*(1-$D$12)^($F37-'הנחות עבודה'!$C$5)/$D$11)/$D$11)</f>
        <v>0</v>
      </c>
      <c r="BT37" s="127">
        <f ca="1">IF(OR($F37&gt;$D$5,$F37&gt;MAX('הנחות עבודה'!$B$69:$B$89)),0,(VLOOKUP($F37,'התפלגות ייצור וסל דלקים'!$B$64:$BV$84,BT$2-$E$2,FALSE))*$D$9*$D$8*(HLOOKUP(BT$23,$G$18:$R$19,2,FALSE)*(1-$D$12)^($F37-'הנחות עבודה'!$C$5)/$D$11)/$D$11)</f>
        <v>0</v>
      </c>
      <c r="BU37" s="52">
        <f ca="1">IF(OR($F37&gt;$D$5,$F37&gt;MAX('הנחות עבודה'!$B$69:$B$89)),0,(VLOOKUP($F37,'התפלגות ייצור וסל דלקים'!$B$64:$BV$84,BU$2-$E$2,FALSE))*$D$9*$D$8*(HLOOKUP(BU$23,$G$18:$R$19,2,FALSE)*(1-$D$12)^($F37-'הנחות עבודה'!$C$5)/$D$11)/$D$11)</f>
        <v>1.2933600000000002E-4</v>
      </c>
      <c r="BV37" s="52">
        <f ca="1">IF(OR($F37&gt;$D$5,$F37&gt;MAX('הנחות עבודה'!$B$69:$B$89)),0,(VLOOKUP($F37,'התפלגות ייצור וסל דלקים'!$B$64:$BV$84,BV$2-$E$2,FALSE))*$D$9*$D$8*(HLOOKUP(BV$23,$G$18:$R$19,2,FALSE)*(1-$D$12)^($F37-'הנחות עבודה'!$C$5)/$D$11)/$D$11)</f>
        <v>4.8831237168795762E-4</v>
      </c>
      <c r="BW37" s="52">
        <f ca="1">IF(OR($F37&gt;$D$5,$F37&gt;MAX('הנחות עבודה'!$B$69:$B$89)),0,(VLOOKUP($F37,'התפלגות ייצור וסל דלקים'!$B$64:$BV$84,BW$2-$E$2,FALSE))*$D$9*$D$8*(HLOOKUP(BW$23,$G$18:$R$19,2,FALSE)*(1-$D$12)^($F37-'הנחות עבודה'!$C$5)/$D$11)/$D$11)</f>
        <v>0</v>
      </c>
      <c r="BX37" s="52">
        <f ca="1">IF(OR($F37&gt;$D$5,$F37&gt;MAX('הנחות עבודה'!$B$69:$B$89)),0,(VLOOKUP($F37,'התפלגות ייצור וסל דלקים'!$B$64:$BV$84,BX$2-$E$2,FALSE))*$D$9*$D$8*(HLOOKUP(BX$23,$G$18:$R$19,2,FALSE)*(1-$D$12)^($F37-'הנחות עבודה'!$C$5)/$D$11)/$D$11)</f>
        <v>0</v>
      </c>
      <c r="BY37" s="52">
        <f ca="1">IF(OR($F37&gt;$D$5,$F37&gt;MAX('הנחות עבודה'!$B$69:$B$89)),0,(VLOOKUP($F37,'התפלגות ייצור וסל דלקים'!$B$64:$BV$84,BY$2-$E$2,FALSE))*$D$9*$D$8*(HLOOKUP(BY$23,$G$18:$R$19,2,FALSE)*(1-$D$12)^($F37-'הנחות עבודה'!$C$5)/$D$11)/$D$11)</f>
        <v>0</v>
      </c>
      <c r="BZ37" s="52">
        <f ca="1">IF(OR($F37&gt;$D$5,$F37&gt;MAX('הנחות עבודה'!$B$69:$B$89)),0,(VLOOKUP($F37,'התפלגות ייצור וסל דלקים'!$B$64:$BV$84,BZ$2-$E$2,FALSE))*$D$9*$D$8*(HLOOKUP(BZ$23,$G$18:$R$19,2,FALSE)*(1-$D$12)^($F37-'הנחות עבודה'!$C$5)/$D$11)/$D$11)</f>
        <v>0</v>
      </c>
    </row>
    <row r="38" spans="6:78" ht="15.75">
      <c r="F38" s="10">
        <f t="shared" si="108"/>
        <v>2034</v>
      </c>
      <c r="G38" s="42">
        <f ca="1">IF(OR($F38&gt;$D$5,$F38&gt;MAX('הנחות עבודה'!$B$69:$B$89)),0,(VLOOKUP($F38,'התפלגות ייצור וסל דלקים'!$B$64:$BV$84,G$2-$E$2,FALSE))*$D$9*$D$8*(HLOOKUP(G$23,$G$18:$R$19,2,FALSE)*(1-$D$12)^($F38-'הנחות עבודה'!$C$5)/$D$11)/$D$11)</f>
        <v>0</v>
      </c>
      <c r="H38" s="44">
        <f ca="1">IF(OR($F38&gt;$D$5,$F38&gt;MAX('הנחות עבודה'!$B$69:$B$89)),0,(VLOOKUP($F38,'התפלגות ייצור וסל דלקים'!$B$64:$BV$84,H$2-$E$2,FALSE))*$D$9*$D$8*(HLOOKUP(H$23,$G$18:$R$19,2,FALSE)*(1-$D$12)^($F38-'הנחות עבודה'!$C$5)/$D$11)/$D$11)</f>
        <v>0</v>
      </c>
      <c r="I38" s="44">
        <f ca="1">IF(OR($F38&gt;$D$5,$F38&gt;MAX('הנחות עבודה'!$B$69:$B$89)),0,(VLOOKUP($F38,'התפלגות ייצור וסל דלקים'!$B$64:$BV$84,I$2-$E$2,FALSE))*$D$9*$D$8*(HLOOKUP(I$23,$G$18:$R$19,2,FALSE)*(1-$D$12)^($F38-'הנחות עבודה'!$C$5)/$D$11)/$D$11)</f>
        <v>0</v>
      </c>
      <c r="J38" s="44">
        <f ca="1">IF(OR($F38&gt;$D$5,$F38&gt;MAX('הנחות עבודה'!$B$69:$B$89)),0,(VLOOKUP($F38,'התפלגות ייצור וסל דלקים'!$B$64:$BV$84,J$2-$E$2,FALSE))*$D$9*$D$8*(HLOOKUP(J$23,$G$18:$R$19,2,FALSE)*(1-$D$12)^($F38-'הנחות עבודה'!$C$5)/$D$11)/$D$11)</f>
        <v>0</v>
      </c>
      <c r="K38" s="44">
        <f ca="1">IF(OR($F38&gt;$D$5,$F38&gt;MAX('הנחות עבודה'!$B$69:$B$89)),0,(VLOOKUP($F38,'התפלגות ייצור וסל דלקים'!$B$64:$BV$84,K$2-$E$2,FALSE))*$D$9*$D$8*(HLOOKUP(K$23,$G$18:$R$19,2,FALSE)*(1-$D$12)^($F38-'הנחות עבודה'!$C$5)/$D$11)/$D$11)</f>
        <v>0</v>
      </c>
      <c r="L38" s="44">
        <f ca="1">IF(OR($F38&gt;$D$5,$F38&gt;MAX('הנחות עבודה'!$B$69:$B$89)),0,(VLOOKUP($F38,'התפלגות ייצור וסל דלקים'!$B$64:$BV$84,L$2-$E$2,FALSE))*$D$9*$D$8*(HLOOKUP(L$23,$G$18:$R$19,2,FALSE)*(1-$D$12)^($F38-'הנחות עבודה'!$C$5)/$D$11)/$D$11)</f>
        <v>0</v>
      </c>
      <c r="M38" s="42">
        <f ca="1">IF(OR($F38&gt;$D$5,$F38&gt;MAX('הנחות עבודה'!$B$69:$B$89)),0,(VLOOKUP($F38,'התפלגות ייצור וסל דלקים'!$B$64:$BV$84,M$2-$E$2,FALSE))*$D$9*$D$8*(HLOOKUP(M$23,$G$18:$R$19,2,FALSE)*(1-$D$12)^($F38-'הנחות עבודה'!$C$5)/$D$11)/$D$11)</f>
        <v>1.1773183999999999E-4</v>
      </c>
      <c r="N38" s="42">
        <f ca="1">IF(OR($F38&gt;$D$5,$F38&gt;MAX('הנחות עבודה'!$B$69:$B$89)),0,(VLOOKUP($F38,'התפלגות ייצור וסל דלקים'!$B$64:$BV$84,N$2-$E$2,FALSE))*$D$9*$D$8*(HLOOKUP(N$23,$G$18:$R$19,2,FALSE)*(1-$D$12)^($F38-'הנחות עבודה'!$C$5)/$D$11)/$D$11)</f>
        <v>6.2540109958088644E-4</v>
      </c>
      <c r="O38" s="42">
        <f ca="1">IF(OR($F38&gt;$D$5,$F38&gt;MAX('הנחות עבודה'!$B$69:$B$89)),0,(VLOOKUP($F38,'התפלגות ייצור וסל דלקים'!$B$64:$BV$84,O$2-$E$2,FALSE))*$D$9*$D$8*(HLOOKUP(O$23,$G$18:$R$19,2,FALSE)*(1-$D$12)^($F38-'הנחות עבודה'!$C$5)/$D$11)/$D$11)</f>
        <v>0</v>
      </c>
      <c r="P38" s="42">
        <f ca="1">IF(OR($F38&gt;$D$5,$F38&gt;MAX('הנחות עבודה'!$B$69:$B$89)),0,(VLOOKUP($F38,'התפלגות ייצור וסל דלקים'!$B$64:$BV$84,P$2-$E$2,FALSE))*$D$9*$D$8*(HLOOKUP(P$23,$G$18:$R$19,2,FALSE)*(1-$D$12)^($F38-'הנחות עבודה'!$C$5)/$D$11)/$D$11)</f>
        <v>0</v>
      </c>
      <c r="Q38" s="42">
        <f ca="1">IF(OR($F38&gt;$D$5,$F38&gt;MAX('הנחות עבודה'!$B$69:$B$89)),0,(VLOOKUP($F38,'התפלגות ייצור וסל דלקים'!$B$64:$BV$84,Q$2-$E$2,FALSE))*$D$9*$D$8*(HLOOKUP(Q$23,$G$18:$R$19,2,FALSE)*(1-$D$12)^($F38-'הנחות עבודה'!$C$5)/$D$11)/$D$11)</f>
        <v>0</v>
      </c>
      <c r="R38" s="42">
        <f ca="1">IF(OR($F38&gt;$D$5,$F38&gt;MAX('הנחות עבודה'!$B$69:$B$89)),0,(VLOOKUP($F38,'התפלגות ייצור וסל דלקים'!$B$64:$BV$84,R$2-$E$2,FALSE))*$D$9*$D$8*(HLOOKUP(R$23,$G$18:$R$19,2,FALSE)*(1-$D$12)^($F38-'הנחות עבודה'!$C$5)/$D$11)/$D$11)</f>
        <v>0</v>
      </c>
      <c r="S38" s="52">
        <f ca="1">IF(OR($F38&gt;$D$5,$F38&gt;MAX('הנחות עבודה'!$B$69:$B$89)),0,(VLOOKUP($F38,'התפלגות ייצור וסל דלקים'!$B$64:$BV$84,S$2-$E$2,FALSE))*$D$9*$D$8*(HLOOKUP(S$23,$G$18:$R$19,2,FALSE)*(1-$D$12)^($F38-'הנחות עבודה'!$C$5)/$D$11)/$D$11)</f>
        <v>0</v>
      </c>
      <c r="T38" s="127">
        <f ca="1">IF(OR($F38&gt;$D$5,$F38&gt;MAX('הנחות עבודה'!$B$69:$B$89)),0,(VLOOKUP($F38,'התפלגות ייצור וסל דלקים'!$B$64:$BV$84,T$2-$E$2,FALSE))*$D$9*$D$8*(HLOOKUP(T$23,$G$18:$R$19,2,FALSE)*(1-$D$12)^($F38-'הנחות עבודה'!$C$5)/$D$11)/$D$11)</f>
        <v>0</v>
      </c>
      <c r="U38" s="127">
        <f ca="1">IF(OR($F38&gt;$D$5,$F38&gt;MAX('הנחות עבודה'!$B$69:$B$89)),0,(VLOOKUP($F38,'התפלגות ייצור וסל דלקים'!$B$64:$BV$84,U$2-$E$2,FALSE))*$D$9*$D$8*(HLOOKUP(U$23,$G$18:$R$19,2,FALSE)*(1-$D$12)^($F38-'הנחות עבודה'!$C$5)/$D$11)/$D$11)</f>
        <v>0</v>
      </c>
      <c r="V38" s="127">
        <f ca="1">IF(OR($F38&gt;$D$5,$F38&gt;MAX('הנחות עבודה'!$B$69:$B$89)),0,(VLOOKUP($F38,'התפלגות ייצור וסל דלקים'!$B$64:$BV$84,V$2-$E$2,FALSE))*$D$9*$D$8*(HLOOKUP(V$23,$G$18:$R$19,2,FALSE)*(1-$D$12)^($F38-'הנחות עבודה'!$C$5)/$D$11)/$D$11)</f>
        <v>0</v>
      </c>
      <c r="W38" s="127">
        <f ca="1">IF(OR($F38&gt;$D$5,$F38&gt;MAX('הנחות עבודה'!$B$69:$B$89)),0,(VLOOKUP($F38,'התפלגות ייצור וסל דלקים'!$B$64:$BV$84,W$2-$E$2,FALSE))*$D$9*$D$8*(HLOOKUP(W$23,$G$18:$R$19,2,FALSE)*(1-$D$12)^($F38-'הנחות עבודה'!$C$5)/$D$11)/$D$11)</f>
        <v>0</v>
      </c>
      <c r="X38" s="127">
        <f ca="1">IF(OR($F38&gt;$D$5,$F38&gt;MAX('הנחות עבודה'!$B$69:$B$89)),0,(VLOOKUP($F38,'התפלגות ייצור וסל דלקים'!$B$64:$BV$84,X$2-$E$2,FALSE))*$D$9*$D$8*(HLOOKUP(X$23,$G$18:$R$19,2,FALSE)*(1-$D$12)^($F38-'הנחות עבודה'!$C$5)/$D$11)/$D$11)</f>
        <v>0</v>
      </c>
      <c r="Y38" s="52">
        <f ca="1">IF(OR($F38&gt;$D$5,$F38&gt;MAX('הנחות עבודה'!$B$69:$B$89)),0,(VLOOKUP($F38,'התפלגות ייצור וסל דלקים'!$B$64:$BV$84,Y$2-$E$2,FALSE))*$D$9*$D$8*(HLOOKUP(Y$23,$G$18:$R$19,2,FALSE)*(1-$D$12)^($F38-'הנחות עבודה'!$C$5)/$D$11)/$D$11)</f>
        <v>1.1773183999999999E-4</v>
      </c>
      <c r="Z38" s="52">
        <f ca="1">IF(OR($F38&gt;$D$5,$F38&gt;MAX('הנחות עבודה'!$B$69:$B$89)),0,(VLOOKUP($F38,'התפלגות ייצור וסל דלקים'!$B$64:$BV$84,Z$2-$E$2,FALSE))*$D$9*$D$8*(HLOOKUP(Z$23,$G$18:$R$19,2,FALSE)*(1-$D$12)^($F38-'הנחות עבודה'!$C$5)/$D$11)/$D$11)</f>
        <v>6.2540109958088644E-4</v>
      </c>
      <c r="AA38" s="52">
        <f ca="1">IF(OR($F38&gt;$D$5,$F38&gt;MAX('הנחות עבודה'!$B$69:$B$89)),0,(VLOOKUP($F38,'התפלגות ייצור וסל דלקים'!$B$64:$BV$84,AA$2-$E$2,FALSE))*$D$9*$D$8*(HLOOKUP(AA$23,$G$18:$R$19,2,FALSE)*(1-$D$12)^($F38-'הנחות עבודה'!$C$5)/$D$11)/$D$11)</f>
        <v>0</v>
      </c>
      <c r="AB38" s="52">
        <f ca="1">IF(OR($F38&gt;$D$5,$F38&gt;MAX('הנחות עבודה'!$B$69:$B$89)),0,(VLOOKUP($F38,'התפלגות ייצור וסל דלקים'!$B$64:$BV$84,AB$2-$E$2,FALSE))*$D$9*$D$8*(HLOOKUP(AB$23,$G$18:$R$19,2,FALSE)*(1-$D$12)^($F38-'הנחות עבודה'!$C$5)/$D$11)/$D$11)</f>
        <v>0</v>
      </c>
      <c r="AC38" s="52">
        <f ca="1">IF(OR($F38&gt;$D$5,$F38&gt;MAX('הנחות עבודה'!$B$69:$B$89)),0,(VLOOKUP($F38,'התפלגות ייצור וסל דלקים'!$B$64:$BV$84,AC$2-$E$2,FALSE))*$D$9*$D$8*(HLOOKUP(AC$23,$G$18:$R$19,2,FALSE)*(1-$D$12)^($F38-'הנחות עבודה'!$C$5)/$D$11)/$D$11)</f>
        <v>0</v>
      </c>
      <c r="AD38" s="52">
        <f ca="1">IF(OR($F38&gt;$D$5,$F38&gt;MAX('הנחות עבודה'!$B$69:$B$89)),0,(VLOOKUP($F38,'התפלגות ייצור וסל דלקים'!$B$64:$BV$84,AD$2-$E$2,FALSE))*$D$9*$D$8*(HLOOKUP(AD$23,$G$18:$R$19,2,FALSE)*(1-$D$12)^($F38-'הנחות עבודה'!$C$5)/$D$11)/$D$11)</f>
        <v>0</v>
      </c>
      <c r="AE38" s="42">
        <f ca="1">IF(OR($F38&gt;$D$5,$F38&gt;MAX('הנחות עבודה'!$B$69:$B$89)),0,(VLOOKUP($F38,'התפלגות ייצור וסל דלקים'!$B$64:$BV$84,AE$2-$E$2,FALSE))*$D$9*$D$8*(HLOOKUP(AE$23,$G$18:$R$19,2,FALSE)*(1-$D$12)^($F38-'הנחות עבודה'!$C$5)/$D$11)/$D$11)</f>
        <v>0</v>
      </c>
      <c r="AF38" s="44">
        <f ca="1">IF(OR($F38&gt;$D$5,$F38&gt;MAX('הנחות עבודה'!$B$69:$B$89)),0,(VLOOKUP($F38,'התפלגות ייצור וסל דלקים'!$B$64:$BV$84,AF$2-$E$2,FALSE))*$D$9*$D$8*(HLOOKUP(AF$23,$G$18:$R$19,2,FALSE)*(1-$D$12)^($F38-'הנחות עבודה'!$C$5)/$D$11)/$D$11)</f>
        <v>0</v>
      </c>
      <c r="AG38" s="44">
        <f ca="1">IF(OR($F38&gt;$D$5,$F38&gt;MAX('הנחות עבודה'!$B$69:$B$89)),0,(VLOOKUP($F38,'התפלגות ייצור וסל דלקים'!$B$64:$BV$84,AG$2-$E$2,FALSE))*$D$9*$D$8*(HLOOKUP(AG$23,$G$18:$R$19,2,FALSE)*(1-$D$12)^($F38-'הנחות עבודה'!$C$5)/$D$11)/$D$11)</f>
        <v>0</v>
      </c>
      <c r="AH38" s="44">
        <f ca="1">IF(OR($F38&gt;$D$5,$F38&gt;MAX('הנחות עבודה'!$B$69:$B$89)),0,(VLOOKUP($F38,'התפלגות ייצור וסל דלקים'!$B$64:$BV$84,AH$2-$E$2,FALSE))*$D$9*$D$8*(HLOOKUP(AH$23,$G$18:$R$19,2,FALSE)*(1-$D$12)^($F38-'הנחות עבודה'!$C$5)/$D$11)/$D$11)</f>
        <v>0</v>
      </c>
      <c r="AI38" s="44">
        <f ca="1">IF(OR($F38&gt;$D$5,$F38&gt;MAX('הנחות עבודה'!$B$69:$B$89)),0,(VLOOKUP($F38,'התפלגות ייצור וסל דלקים'!$B$64:$BV$84,AI$2-$E$2,FALSE))*$D$9*$D$8*(HLOOKUP(AI$23,$G$18:$R$19,2,FALSE)*(1-$D$12)^($F38-'הנחות עבודה'!$C$5)/$D$11)/$D$11)</f>
        <v>0</v>
      </c>
      <c r="AJ38" s="44">
        <f ca="1">IF(OR($F38&gt;$D$5,$F38&gt;MAX('הנחות עבודה'!$B$69:$B$89)),0,(VLOOKUP($F38,'התפלגות ייצור וסל דלקים'!$B$64:$BV$84,AJ$2-$E$2,FALSE))*$D$9*$D$8*(HLOOKUP(AJ$23,$G$18:$R$19,2,FALSE)*(1-$D$12)^($F38-'הנחות עבודה'!$C$5)/$D$11)/$D$11)</f>
        <v>0</v>
      </c>
      <c r="AK38" s="42">
        <f ca="1">IF(OR($F38&gt;$D$5,$F38&gt;MAX('הנחות עבודה'!$B$69:$B$89)),0,(VLOOKUP($F38,'התפלגות ייצור וסל דלקים'!$B$64:$BV$84,AK$2-$E$2,FALSE))*$D$9*$D$8*(HLOOKUP(AK$23,$G$18:$R$19,2,FALSE)*(1-$D$12)^($F38-'הנחות עבודה'!$C$5)/$D$11)/$D$11)</f>
        <v>1.2555928000000001E-4</v>
      </c>
      <c r="AL38" s="42">
        <f ca="1">IF(OR($F38&gt;$D$5,$F38&gt;MAX('הנחות עבודה'!$B$69:$B$89)),0,(VLOOKUP($F38,'התפלגות ייצור וסל דלקים'!$B$64:$BV$84,AL$2-$E$2,FALSE))*$D$9*$D$8*(HLOOKUP(AL$23,$G$18:$R$19,2,FALSE)*(1-$D$12)^($F38-'הנחות עבודה'!$C$5)/$D$11)/$D$11)</f>
        <v>5.567698164458103E-4</v>
      </c>
      <c r="AM38" s="42">
        <f ca="1">IF(OR($F38&gt;$D$5,$F38&gt;MAX('הנחות עבודה'!$B$69:$B$89)),0,(VLOOKUP($F38,'התפלגות ייצור וסל דלקים'!$B$64:$BV$84,AM$2-$E$2,FALSE))*$D$9*$D$8*(HLOOKUP(AM$23,$G$18:$R$19,2,FALSE)*(1-$D$12)^($F38-'הנחות עבודה'!$C$5)/$D$11)/$D$11)</f>
        <v>0</v>
      </c>
      <c r="AN38" s="42">
        <f ca="1">IF(OR($F38&gt;$D$5,$F38&gt;MAX('הנחות עבודה'!$B$69:$B$89)),0,(VLOOKUP($F38,'התפלגות ייצור וסל דלקים'!$B$64:$BV$84,AN$2-$E$2,FALSE))*$D$9*$D$8*(HLOOKUP(AN$23,$G$18:$R$19,2,FALSE)*(1-$D$12)^($F38-'הנחות עבודה'!$C$5)/$D$11)/$D$11)</f>
        <v>0</v>
      </c>
      <c r="AO38" s="42">
        <f ca="1">IF(OR($F38&gt;$D$5,$F38&gt;MAX('הנחות עבודה'!$B$69:$B$89)),0,(VLOOKUP($F38,'התפלגות ייצור וסל דלקים'!$B$64:$BV$84,AO$2-$E$2,FALSE))*$D$9*$D$8*(HLOOKUP(AO$23,$G$18:$R$19,2,FALSE)*(1-$D$12)^($F38-'הנחות עבודה'!$C$5)/$D$11)/$D$11)</f>
        <v>0</v>
      </c>
      <c r="AP38" s="42">
        <f ca="1">IF(OR($F38&gt;$D$5,$F38&gt;MAX('הנחות עבודה'!$B$69:$B$89)),0,(VLOOKUP($F38,'התפלגות ייצור וסל דלקים'!$B$64:$BV$84,AP$2-$E$2,FALSE))*$D$9*$D$8*(HLOOKUP(AP$23,$G$18:$R$19,2,FALSE)*(1-$D$12)^($F38-'הנחות עבודה'!$C$5)/$D$11)/$D$11)</f>
        <v>0</v>
      </c>
      <c r="AQ38" s="52">
        <f ca="1">IF(OR($F38&gt;$D$5,$F38&gt;MAX('הנחות עבודה'!$B$69:$B$89)),0,(VLOOKUP($F38,'התפלגות ייצור וסל דלקים'!$B$64:$BV$84,AQ$2-$E$2,FALSE))*$D$9*$D$8*(HLOOKUP(AQ$23,$G$18:$R$19,2,FALSE)*(1-$D$12)^($F38-'הנחות עבודה'!$C$5)/$D$11)/$D$11)</f>
        <v>0</v>
      </c>
      <c r="AR38" s="127">
        <f ca="1">IF(OR($F38&gt;$D$5,$F38&gt;MAX('הנחות עבודה'!$B$69:$B$89)),0,(VLOOKUP($F38,'התפלגות ייצור וסל דלקים'!$B$64:$BV$84,AR$2-$E$2,FALSE))*$D$9*$D$8*(HLOOKUP(AR$23,$G$18:$R$19,2,FALSE)*(1-$D$12)^($F38-'הנחות עבודה'!$C$5)/$D$11)/$D$11)</f>
        <v>0</v>
      </c>
      <c r="AS38" s="127">
        <f ca="1">IF(OR($F38&gt;$D$5,$F38&gt;MAX('הנחות עבודה'!$B$69:$B$89)),0,(VLOOKUP($F38,'התפלגות ייצור וסל דלקים'!$B$64:$BV$84,AS$2-$E$2,FALSE))*$D$9*$D$8*(HLOOKUP(AS$23,$G$18:$R$19,2,FALSE)*(1-$D$12)^($F38-'הנחות עבודה'!$C$5)/$D$11)/$D$11)</f>
        <v>0</v>
      </c>
      <c r="AT38" s="127">
        <f ca="1">IF(OR($F38&gt;$D$5,$F38&gt;MAX('הנחות עבודה'!$B$69:$B$89)),0,(VLOOKUP($F38,'התפלגות ייצור וסל דלקים'!$B$64:$BV$84,AT$2-$E$2,FALSE))*$D$9*$D$8*(HLOOKUP(AT$23,$G$18:$R$19,2,FALSE)*(1-$D$12)^($F38-'הנחות עבודה'!$C$5)/$D$11)/$D$11)</f>
        <v>0</v>
      </c>
      <c r="AU38" s="127">
        <f ca="1">IF(OR($F38&gt;$D$5,$F38&gt;MAX('הנחות עבודה'!$B$69:$B$89)),0,(VLOOKUP($F38,'התפלגות ייצור וסל דלקים'!$B$64:$BV$84,AU$2-$E$2,FALSE))*$D$9*$D$8*(HLOOKUP(AU$23,$G$18:$R$19,2,FALSE)*(1-$D$12)^($F38-'הנחות עבודה'!$C$5)/$D$11)/$D$11)</f>
        <v>0</v>
      </c>
      <c r="AV38" s="127">
        <f ca="1">IF(OR($F38&gt;$D$5,$F38&gt;MAX('הנחות עבודה'!$B$69:$B$89)),0,(VLOOKUP($F38,'התפלגות ייצור וסל דלקים'!$B$64:$BV$84,AV$2-$E$2,FALSE))*$D$9*$D$8*(HLOOKUP(AV$23,$G$18:$R$19,2,FALSE)*(1-$D$12)^($F38-'הנחות עבודה'!$C$5)/$D$11)/$D$11)</f>
        <v>0</v>
      </c>
      <c r="AW38" s="52">
        <f ca="1">IF(OR($F38&gt;$D$5,$F38&gt;MAX('הנחות עבודה'!$B$69:$B$89)),0,(VLOOKUP($F38,'התפלגות ייצור וסל דלקים'!$B$64:$BV$84,AW$2-$E$2,FALSE))*$D$9*$D$8*(HLOOKUP(AW$23,$G$18:$R$19,2,FALSE)*(1-$D$12)^($F38-'הנחות עבודה'!$C$5)/$D$11)/$D$11)</f>
        <v>1.2555928000000001E-4</v>
      </c>
      <c r="AX38" s="52">
        <f ca="1">IF(OR($F38&gt;$D$5,$F38&gt;MAX('הנחות עבודה'!$B$69:$B$89)),0,(VLOOKUP($F38,'התפלגות ייצור וסל דלקים'!$B$64:$BV$84,AX$2-$E$2,FALSE))*$D$9*$D$8*(HLOOKUP(AX$23,$G$18:$R$19,2,FALSE)*(1-$D$12)^($F38-'הנחות עבודה'!$C$5)/$D$11)/$D$11)</f>
        <v>5.567698164458103E-4</v>
      </c>
      <c r="AY38" s="52">
        <f ca="1">IF(OR($F38&gt;$D$5,$F38&gt;MAX('הנחות עבודה'!$B$69:$B$89)),0,(VLOOKUP($F38,'התפלגות ייצור וסל דלקים'!$B$64:$BV$84,AY$2-$E$2,FALSE))*$D$9*$D$8*(HLOOKUP(AY$23,$G$18:$R$19,2,FALSE)*(1-$D$12)^($F38-'הנחות עבודה'!$C$5)/$D$11)/$D$11)</f>
        <v>0</v>
      </c>
      <c r="AZ38" s="52">
        <f ca="1">IF(OR($F38&gt;$D$5,$F38&gt;MAX('הנחות עבודה'!$B$69:$B$89)),0,(VLOOKUP($F38,'התפלגות ייצור וסל דלקים'!$B$64:$BV$84,AZ$2-$E$2,FALSE))*$D$9*$D$8*(HLOOKUP(AZ$23,$G$18:$R$19,2,FALSE)*(1-$D$12)^($F38-'הנחות עבודה'!$C$5)/$D$11)/$D$11)</f>
        <v>0</v>
      </c>
      <c r="BA38" s="52">
        <f ca="1">IF(OR($F38&gt;$D$5,$F38&gt;MAX('הנחות עבודה'!$B$69:$B$89)),0,(VLOOKUP($F38,'התפלגות ייצור וסל דלקים'!$B$64:$BV$84,BA$2-$E$2,FALSE))*$D$9*$D$8*(HLOOKUP(BA$23,$G$18:$R$19,2,FALSE)*(1-$D$12)^($F38-'הנחות עבודה'!$C$5)/$D$11)/$D$11)</f>
        <v>0</v>
      </c>
      <c r="BB38" s="52">
        <f ca="1">IF(OR($F38&gt;$D$5,$F38&gt;MAX('הנחות עבודה'!$B$69:$B$89)),0,(VLOOKUP($F38,'התפלגות ייצור וסל דלקים'!$B$64:$BV$84,BB$2-$E$2,FALSE))*$D$9*$D$8*(HLOOKUP(BB$23,$G$18:$R$19,2,FALSE)*(1-$D$12)^($F38-'הנחות עבודה'!$C$5)/$D$11)/$D$11)</f>
        <v>0</v>
      </c>
      <c r="BC38" s="42">
        <f ca="1">IF(OR($F38&gt;$D$5,$F38&gt;MAX('הנחות עבודה'!$B$69:$B$89)),0,(VLOOKUP($F38,'התפלגות ייצור וסל דלקים'!$B$64:$BV$84,BC$2-$E$2,FALSE))*$D$9*$D$8*(HLOOKUP(BC$23,$G$18:$R$19,2,FALSE)*(1-$D$12)^($F38-'הנחות עבודה'!$C$5)/$D$11)/$D$11)</f>
        <v>0</v>
      </c>
      <c r="BD38" s="44">
        <f ca="1">IF(OR($F38&gt;$D$5,$F38&gt;MAX('הנחות עבודה'!$B$69:$B$89)),0,(VLOOKUP($F38,'התפלגות ייצור וסל דלקים'!$B$64:$BV$84,BD$2-$E$2,FALSE))*$D$9*$D$8*(HLOOKUP(BD$23,$G$18:$R$19,2,FALSE)*(1-$D$12)^($F38-'הנחות עבודה'!$C$5)/$D$11)/$D$11)</f>
        <v>0</v>
      </c>
      <c r="BE38" s="44">
        <f ca="1">IF(OR($F38&gt;$D$5,$F38&gt;MAX('הנחות עבודה'!$B$69:$B$89)),0,(VLOOKUP($F38,'התפלגות ייצור וסל דלקים'!$B$64:$BV$84,BE$2-$E$2,FALSE))*$D$9*$D$8*(HLOOKUP(BE$23,$G$18:$R$19,2,FALSE)*(1-$D$12)^($F38-'הנחות עבודה'!$C$5)/$D$11)/$D$11)</f>
        <v>0</v>
      </c>
      <c r="BF38" s="44">
        <f ca="1">IF(OR($F38&gt;$D$5,$F38&gt;MAX('הנחות עבודה'!$B$69:$B$89)),0,(VLOOKUP($F38,'התפלגות ייצור וסל דלקים'!$B$64:$BV$84,BF$2-$E$2,FALSE))*$D$9*$D$8*(HLOOKUP(BF$23,$G$18:$R$19,2,FALSE)*(1-$D$12)^($F38-'הנחות עבודה'!$C$5)/$D$11)/$D$11)</f>
        <v>0</v>
      </c>
      <c r="BG38" s="44">
        <f ca="1">IF(OR($F38&gt;$D$5,$F38&gt;MAX('הנחות עבודה'!$B$69:$B$89)),0,(VLOOKUP($F38,'התפלגות ייצור וסל דלקים'!$B$64:$BV$84,BG$2-$E$2,FALSE))*$D$9*$D$8*(HLOOKUP(BG$23,$G$18:$R$19,2,FALSE)*(1-$D$12)^($F38-'הנחות עבודה'!$C$5)/$D$11)/$D$11)</f>
        <v>0</v>
      </c>
      <c r="BH38" s="44">
        <f ca="1">IF(OR($F38&gt;$D$5,$F38&gt;MAX('הנחות עבודה'!$B$69:$B$89)),0,(VLOOKUP($F38,'התפלגות ייצור וסל דלקים'!$B$64:$BV$84,BH$2-$E$2,FALSE))*$D$9*$D$8*(HLOOKUP(BH$23,$G$18:$R$19,2,FALSE)*(1-$D$12)^($F38-'הנחות עבודה'!$C$5)/$D$11)/$D$11)</f>
        <v>0</v>
      </c>
      <c r="BI38" s="42">
        <f ca="1">IF(OR($F38&gt;$D$5,$F38&gt;MAX('הנחות עבודה'!$B$69:$B$89)),0,(VLOOKUP($F38,'התפלגות ייצור וסל דלקים'!$B$64:$BV$84,BI$2-$E$2,FALSE))*$D$9*$D$8*(HLOOKUP(BI$23,$G$18:$R$19,2,FALSE)*(1-$D$12)^($F38-'הנחות עבודה'!$C$5)/$D$11)/$D$11)</f>
        <v>1.2861600000000002E-4</v>
      </c>
      <c r="BJ38" s="42">
        <f ca="1">IF(OR($F38&gt;$D$5,$F38&gt;MAX('הנחות עבודה'!$B$69:$B$89)),0,(VLOOKUP($F38,'התפלגות ייצור וסל דלקים'!$B$64:$BV$84,BJ$2-$E$2,FALSE))*$D$9*$D$8*(HLOOKUP(BJ$23,$G$18:$R$19,2,FALSE)*(1-$D$12)^($F38-'הנחות עבודה'!$C$5)/$D$11)/$D$11)</f>
        <v>5.1580069448638774E-4</v>
      </c>
      <c r="BK38" s="42">
        <f ca="1">IF(OR($F38&gt;$D$5,$F38&gt;MAX('הנחות עבודה'!$B$69:$B$89)),0,(VLOOKUP($F38,'התפלגות ייצור וסל דלקים'!$B$64:$BV$84,BK$2-$E$2,FALSE))*$D$9*$D$8*(HLOOKUP(BK$23,$G$18:$R$19,2,FALSE)*(1-$D$12)^($F38-'הנחות עבודה'!$C$5)/$D$11)/$D$11)</f>
        <v>0</v>
      </c>
      <c r="BL38" s="42">
        <f ca="1">IF(OR($F38&gt;$D$5,$F38&gt;MAX('הנחות עבודה'!$B$69:$B$89)),0,(VLOOKUP($F38,'התפלגות ייצור וסל דלקים'!$B$64:$BV$84,BL$2-$E$2,FALSE))*$D$9*$D$8*(HLOOKUP(BL$23,$G$18:$R$19,2,FALSE)*(1-$D$12)^($F38-'הנחות עבודה'!$C$5)/$D$11)/$D$11)</f>
        <v>0</v>
      </c>
      <c r="BM38" s="42">
        <f ca="1">IF(OR($F38&gt;$D$5,$F38&gt;MAX('הנחות עבודה'!$B$69:$B$89)),0,(VLOOKUP($F38,'התפלגות ייצור וסל דלקים'!$B$64:$BV$84,BM$2-$E$2,FALSE))*$D$9*$D$8*(HLOOKUP(BM$23,$G$18:$R$19,2,FALSE)*(1-$D$12)^($F38-'הנחות עבודה'!$C$5)/$D$11)/$D$11)</f>
        <v>0</v>
      </c>
      <c r="BN38" s="42">
        <f ca="1">IF(OR($F38&gt;$D$5,$F38&gt;MAX('הנחות עבודה'!$B$69:$B$89)),0,(VLOOKUP($F38,'התפלגות ייצור וסל דלקים'!$B$64:$BV$84,BN$2-$E$2,FALSE))*$D$9*$D$8*(HLOOKUP(BN$23,$G$18:$R$19,2,FALSE)*(1-$D$12)^($F38-'הנחות עבודה'!$C$5)/$D$11)/$D$11)</f>
        <v>0</v>
      </c>
      <c r="BO38" s="52">
        <f ca="1">IF(OR($F38&gt;$D$5,$F38&gt;MAX('הנחות עבודה'!$B$69:$B$89)),0,(VLOOKUP($F38,'התפלגות ייצור וסל דלקים'!$B$64:$BV$84,BO$2-$E$2,FALSE))*$D$9*$D$8*(HLOOKUP(BO$23,$G$18:$R$19,2,FALSE)*(1-$D$12)^($F38-'הנחות עבודה'!$C$5)/$D$11)/$D$11)</f>
        <v>0</v>
      </c>
      <c r="BP38" s="127">
        <f ca="1">IF(OR($F38&gt;$D$5,$F38&gt;MAX('הנחות עבודה'!$B$69:$B$89)),0,(VLOOKUP($F38,'התפלגות ייצור וסל דלקים'!$B$64:$BV$84,BP$2-$E$2,FALSE))*$D$9*$D$8*(HLOOKUP(BP$23,$G$18:$R$19,2,FALSE)*(1-$D$12)^($F38-'הנחות עבודה'!$C$5)/$D$11)/$D$11)</f>
        <v>0</v>
      </c>
      <c r="BQ38" s="127">
        <f ca="1">IF(OR($F38&gt;$D$5,$F38&gt;MAX('הנחות עבודה'!$B$69:$B$89)),0,(VLOOKUP($F38,'התפלגות ייצור וסל דלקים'!$B$64:$BV$84,BQ$2-$E$2,FALSE))*$D$9*$D$8*(HLOOKUP(BQ$23,$G$18:$R$19,2,FALSE)*(1-$D$12)^($F38-'הנחות עבודה'!$C$5)/$D$11)/$D$11)</f>
        <v>0</v>
      </c>
      <c r="BR38" s="127">
        <f ca="1">IF(OR($F38&gt;$D$5,$F38&gt;MAX('הנחות עבודה'!$B$69:$B$89)),0,(VLOOKUP($F38,'התפלגות ייצור וסל דלקים'!$B$64:$BV$84,BR$2-$E$2,FALSE))*$D$9*$D$8*(HLOOKUP(BR$23,$G$18:$R$19,2,FALSE)*(1-$D$12)^($F38-'הנחות עבודה'!$C$5)/$D$11)/$D$11)</f>
        <v>0</v>
      </c>
      <c r="BS38" s="127">
        <f ca="1">IF(OR($F38&gt;$D$5,$F38&gt;MAX('הנחות עבודה'!$B$69:$B$89)),0,(VLOOKUP($F38,'התפלגות ייצור וסל דלקים'!$B$64:$BV$84,BS$2-$E$2,FALSE))*$D$9*$D$8*(HLOOKUP(BS$23,$G$18:$R$19,2,FALSE)*(1-$D$12)^($F38-'הנחות עבודה'!$C$5)/$D$11)/$D$11)</f>
        <v>0</v>
      </c>
      <c r="BT38" s="127">
        <f ca="1">IF(OR($F38&gt;$D$5,$F38&gt;MAX('הנחות עבודה'!$B$69:$B$89)),0,(VLOOKUP($F38,'התפלגות ייצור וסל דלקים'!$B$64:$BV$84,BT$2-$E$2,FALSE))*$D$9*$D$8*(HLOOKUP(BT$23,$G$18:$R$19,2,FALSE)*(1-$D$12)^($F38-'הנחות עבודה'!$C$5)/$D$11)/$D$11)</f>
        <v>0</v>
      </c>
      <c r="BU38" s="52">
        <f ca="1">IF(OR($F38&gt;$D$5,$F38&gt;MAX('הנחות עבודה'!$B$69:$B$89)),0,(VLOOKUP($F38,'התפלגות ייצור וסל דלקים'!$B$64:$BV$84,BU$2-$E$2,FALSE))*$D$9*$D$8*(HLOOKUP(BU$23,$G$18:$R$19,2,FALSE)*(1-$D$12)^($F38-'הנחות עבודה'!$C$5)/$D$11)/$D$11)</f>
        <v>1.2861600000000002E-4</v>
      </c>
      <c r="BV38" s="52">
        <f ca="1">IF(OR($F38&gt;$D$5,$F38&gt;MAX('הנחות עבודה'!$B$69:$B$89)),0,(VLOOKUP($F38,'התפלגות ייצור וסל דלקים'!$B$64:$BV$84,BV$2-$E$2,FALSE))*$D$9*$D$8*(HLOOKUP(BV$23,$G$18:$R$19,2,FALSE)*(1-$D$12)^($F38-'הנחות עבודה'!$C$5)/$D$11)/$D$11)</f>
        <v>5.1580069448638774E-4</v>
      </c>
      <c r="BW38" s="52">
        <f ca="1">IF(OR($F38&gt;$D$5,$F38&gt;MAX('הנחות עבודה'!$B$69:$B$89)),0,(VLOOKUP($F38,'התפלגות ייצור וסל דלקים'!$B$64:$BV$84,BW$2-$E$2,FALSE))*$D$9*$D$8*(HLOOKUP(BW$23,$G$18:$R$19,2,FALSE)*(1-$D$12)^($F38-'הנחות עבודה'!$C$5)/$D$11)/$D$11)</f>
        <v>0</v>
      </c>
      <c r="BX38" s="52">
        <f ca="1">IF(OR($F38&gt;$D$5,$F38&gt;MAX('הנחות עבודה'!$B$69:$B$89)),0,(VLOOKUP($F38,'התפלגות ייצור וסל דלקים'!$B$64:$BV$84,BX$2-$E$2,FALSE))*$D$9*$D$8*(HLOOKUP(BX$23,$G$18:$R$19,2,FALSE)*(1-$D$12)^($F38-'הנחות עבודה'!$C$5)/$D$11)/$D$11)</f>
        <v>0</v>
      </c>
      <c r="BY38" s="52">
        <f ca="1">IF(OR($F38&gt;$D$5,$F38&gt;MAX('הנחות עבודה'!$B$69:$B$89)),0,(VLOOKUP($F38,'התפלגות ייצור וסל דלקים'!$B$64:$BV$84,BY$2-$E$2,FALSE))*$D$9*$D$8*(HLOOKUP(BY$23,$G$18:$R$19,2,FALSE)*(1-$D$12)^($F38-'הנחות עבודה'!$C$5)/$D$11)/$D$11)</f>
        <v>0</v>
      </c>
      <c r="BZ38" s="52">
        <f ca="1">IF(OR($F38&gt;$D$5,$F38&gt;MAX('הנחות עבודה'!$B$69:$B$89)),0,(VLOOKUP($F38,'התפלגות ייצור וסל דלקים'!$B$64:$BV$84,BZ$2-$E$2,FALSE))*$D$9*$D$8*(HLOOKUP(BZ$23,$G$18:$R$19,2,FALSE)*(1-$D$12)^($F38-'הנחות עבודה'!$C$5)/$D$11)/$D$11)</f>
        <v>0</v>
      </c>
    </row>
    <row r="39" spans="6:78" ht="15.75">
      <c r="F39" s="10">
        <f t="shared" si="108"/>
        <v>2035</v>
      </c>
      <c r="G39" s="42">
        <f ca="1">IF(OR($F39&gt;$D$5,$F39&gt;MAX('הנחות עבודה'!$B$69:$B$89)),0,(VLOOKUP($F39,'התפלגות ייצור וסל דלקים'!$B$64:$BV$84,G$2-$E$2,FALSE))*$D$9*$D$8*(HLOOKUP(G$23,$G$18:$R$19,2,FALSE)*(1-$D$12)^($F39-'הנחות עבודה'!$C$5)/$D$11)/$D$11)</f>
        <v>0</v>
      </c>
      <c r="H39" s="44">
        <f ca="1">IF(OR($F39&gt;$D$5,$F39&gt;MAX('הנחות עבודה'!$B$69:$B$89)),0,(VLOOKUP($F39,'התפלגות ייצור וסל דלקים'!$B$64:$BV$84,H$2-$E$2,FALSE))*$D$9*$D$8*(HLOOKUP(H$23,$G$18:$R$19,2,FALSE)*(1-$D$12)^($F39-'הנחות עבודה'!$C$5)/$D$11)/$D$11)</f>
        <v>0</v>
      </c>
      <c r="I39" s="44">
        <f ca="1">IF(OR($F39&gt;$D$5,$F39&gt;MAX('הנחות עבודה'!$B$69:$B$89)),0,(VLOOKUP($F39,'התפלגות ייצור וסל דלקים'!$B$64:$BV$84,I$2-$E$2,FALSE))*$D$9*$D$8*(HLOOKUP(I$23,$G$18:$R$19,2,FALSE)*(1-$D$12)^($F39-'הנחות עבודה'!$C$5)/$D$11)/$D$11)</f>
        <v>0</v>
      </c>
      <c r="J39" s="44">
        <f ca="1">IF(OR($F39&gt;$D$5,$F39&gt;MAX('הנחות עבודה'!$B$69:$B$89)),0,(VLOOKUP($F39,'התפלגות ייצור וסל דלקים'!$B$64:$BV$84,J$2-$E$2,FALSE))*$D$9*$D$8*(HLOOKUP(J$23,$G$18:$R$19,2,FALSE)*(1-$D$12)^($F39-'הנחות עבודה'!$C$5)/$D$11)/$D$11)</f>
        <v>0</v>
      </c>
      <c r="K39" s="44">
        <f ca="1">IF(OR($F39&gt;$D$5,$F39&gt;MAX('הנחות עבודה'!$B$69:$B$89)),0,(VLOOKUP($F39,'התפלגות ייצור וסל דלקים'!$B$64:$BV$84,K$2-$E$2,FALSE))*$D$9*$D$8*(HLOOKUP(K$23,$G$18:$R$19,2,FALSE)*(1-$D$12)^($F39-'הנחות עבודה'!$C$5)/$D$11)/$D$11)</f>
        <v>0</v>
      </c>
      <c r="L39" s="44">
        <f ca="1">IF(OR($F39&gt;$D$5,$F39&gt;MAX('הנחות עבודה'!$B$69:$B$89)),0,(VLOOKUP($F39,'התפלגות ייצור וסל דלקים'!$B$64:$BV$84,L$2-$E$2,FALSE))*$D$9*$D$8*(HLOOKUP(L$23,$G$18:$R$19,2,FALSE)*(1-$D$12)^($F39-'הנחות עבודה'!$C$5)/$D$11)/$D$11)</f>
        <v>0</v>
      </c>
      <c r="M39" s="42">
        <f ca="1">IF(OR($F39&gt;$D$5,$F39&gt;MAX('הנחות עבודה'!$B$69:$B$89)),0,(VLOOKUP($F39,'התפלגות ייצור וסל דלקים'!$B$64:$BV$84,M$2-$E$2,FALSE))*$D$9*$D$8*(HLOOKUP(M$23,$G$18:$R$19,2,FALSE)*(1-$D$12)^($F39-'הנחות עבודה'!$C$5)/$D$11)/$D$11)</f>
        <v>1.1849088000000001E-4</v>
      </c>
      <c r="N39" s="42">
        <f ca="1">IF(OR($F39&gt;$D$5,$F39&gt;MAX('הנחות עבודה'!$B$69:$B$89)),0,(VLOOKUP($F39,'התפלגות ייצור וסל דלקים'!$B$64:$BV$84,N$2-$E$2,FALSE))*$D$9*$D$8*(HLOOKUP(N$23,$G$18:$R$19,2,FALSE)*(1-$D$12)^($F39-'הנחות עבודה'!$C$5)/$D$11)/$D$11)</f>
        <v>6.515297062543151E-4</v>
      </c>
      <c r="O39" s="42">
        <f ca="1">IF(OR($F39&gt;$D$5,$F39&gt;MAX('הנחות עבודה'!$B$69:$B$89)),0,(VLOOKUP($F39,'התפלגות ייצור וסל דלקים'!$B$64:$BV$84,O$2-$E$2,FALSE))*$D$9*$D$8*(HLOOKUP(O$23,$G$18:$R$19,2,FALSE)*(1-$D$12)^($F39-'הנחות עבודה'!$C$5)/$D$11)/$D$11)</f>
        <v>0</v>
      </c>
      <c r="P39" s="42">
        <f ca="1">IF(OR($F39&gt;$D$5,$F39&gt;MAX('הנחות עבודה'!$B$69:$B$89)),0,(VLOOKUP($F39,'התפלגות ייצור וסל דלקים'!$B$64:$BV$84,P$2-$E$2,FALSE))*$D$9*$D$8*(HLOOKUP(P$23,$G$18:$R$19,2,FALSE)*(1-$D$12)^($F39-'הנחות עבודה'!$C$5)/$D$11)/$D$11)</f>
        <v>0</v>
      </c>
      <c r="Q39" s="42">
        <f ca="1">IF(OR($F39&gt;$D$5,$F39&gt;MAX('הנחות עבודה'!$B$69:$B$89)),0,(VLOOKUP($F39,'התפלגות ייצור וסל דלקים'!$B$64:$BV$84,Q$2-$E$2,FALSE))*$D$9*$D$8*(HLOOKUP(Q$23,$G$18:$R$19,2,FALSE)*(1-$D$12)^($F39-'הנחות עבודה'!$C$5)/$D$11)/$D$11)</f>
        <v>0</v>
      </c>
      <c r="R39" s="42">
        <f ca="1">IF(OR($F39&gt;$D$5,$F39&gt;MAX('הנחות עבודה'!$B$69:$B$89)),0,(VLOOKUP($F39,'התפלגות ייצור וסל דלקים'!$B$64:$BV$84,R$2-$E$2,FALSE))*$D$9*$D$8*(HLOOKUP(R$23,$G$18:$R$19,2,FALSE)*(1-$D$12)^($F39-'הנחות עבודה'!$C$5)/$D$11)/$D$11)</f>
        <v>0</v>
      </c>
      <c r="S39" s="52">
        <f ca="1">IF(OR($F39&gt;$D$5,$F39&gt;MAX('הנחות עבודה'!$B$69:$B$89)),0,(VLOOKUP($F39,'התפלגות ייצור וסל דלקים'!$B$64:$BV$84,S$2-$E$2,FALSE))*$D$9*$D$8*(HLOOKUP(S$23,$G$18:$R$19,2,FALSE)*(1-$D$12)^($F39-'הנחות עבודה'!$C$5)/$D$11)/$D$11)</f>
        <v>0</v>
      </c>
      <c r="T39" s="127">
        <f ca="1">IF(OR($F39&gt;$D$5,$F39&gt;MAX('הנחות עבודה'!$B$69:$B$89)),0,(VLOOKUP($F39,'התפלגות ייצור וסל דלקים'!$B$64:$BV$84,T$2-$E$2,FALSE))*$D$9*$D$8*(HLOOKUP(T$23,$G$18:$R$19,2,FALSE)*(1-$D$12)^($F39-'הנחות עבודה'!$C$5)/$D$11)/$D$11)</f>
        <v>0</v>
      </c>
      <c r="U39" s="127">
        <f ca="1">IF(OR($F39&gt;$D$5,$F39&gt;MAX('הנחות עבודה'!$B$69:$B$89)),0,(VLOOKUP($F39,'התפלגות ייצור וסל דלקים'!$B$64:$BV$84,U$2-$E$2,FALSE))*$D$9*$D$8*(HLOOKUP(U$23,$G$18:$R$19,2,FALSE)*(1-$D$12)^($F39-'הנחות עבודה'!$C$5)/$D$11)/$D$11)</f>
        <v>0</v>
      </c>
      <c r="V39" s="127">
        <f ca="1">IF(OR($F39&gt;$D$5,$F39&gt;MAX('הנחות עבודה'!$B$69:$B$89)),0,(VLOOKUP($F39,'התפלגות ייצור וסל דלקים'!$B$64:$BV$84,V$2-$E$2,FALSE))*$D$9*$D$8*(HLOOKUP(V$23,$G$18:$R$19,2,FALSE)*(1-$D$12)^($F39-'הנחות עבודה'!$C$5)/$D$11)/$D$11)</f>
        <v>0</v>
      </c>
      <c r="W39" s="127">
        <f ca="1">IF(OR($F39&gt;$D$5,$F39&gt;MAX('הנחות עבודה'!$B$69:$B$89)),0,(VLOOKUP($F39,'התפלגות ייצור וסל דלקים'!$B$64:$BV$84,W$2-$E$2,FALSE))*$D$9*$D$8*(HLOOKUP(W$23,$G$18:$R$19,2,FALSE)*(1-$D$12)^($F39-'הנחות עבודה'!$C$5)/$D$11)/$D$11)</f>
        <v>0</v>
      </c>
      <c r="X39" s="127">
        <f ca="1">IF(OR($F39&gt;$D$5,$F39&gt;MAX('הנחות עבודה'!$B$69:$B$89)),0,(VLOOKUP($F39,'התפלגות ייצור וסל דלקים'!$B$64:$BV$84,X$2-$E$2,FALSE))*$D$9*$D$8*(HLOOKUP(X$23,$G$18:$R$19,2,FALSE)*(1-$D$12)^($F39-'הנחות עבודה'!$C$5)/$D$11)/$D$11)</f>
        <v>0</v>
      </c>
      <c r="Y39" s="52">
        <f ca="1">IF(OR($F39&gt;$D$5,$F39&gt;MAX('הנחות עבודה'!$B$69:$B$89)),0,(VLOOKUP($F39,'התפלגות ייצור וסל דלקים'!$B$64:$BV$84,Y$2-$E$2,FALSE))*$D$9*$D$8*(HLOOKUP(Y$23,$G$18:$R$19,2,FALSE)*(1-$D$12)^($F39-'הנחות עבודה'!$C$5)/$D$11)/$D$11)</f>
        <v>1.1849088000000001E-4</v>
      </c>
      <c r="Z39" s="52">
        <f ca="1">IF(OR($F39&gt;$D$5,$F39&gt;MAX('הנחות עבודה'!$B$69:$B$89)),0,(VLOOKUP($F39,'התפלגות ייצור וסל דלקים'!$B$64:$BV$84,Z$2-$E$2,FALSE))*$D$9*$D$8*(HLOOKUP(Z$23,$G$18:$R$19,2,FALSE)*(1-$D$12)^($F39-'הנחות עבודה'!$C$5)/$D$11)/$D$11)</f>
        <v>6.515297062543151E-4</v>
      </c>
      <c r="AA39" s="52">
        <f ca="1">IF(OR($F39&gt;$D$5,$F39&gt;MAX('הנחות עבודה'!$B$69:$B$89)),0,(VLOOKUP($F39,'התפלגות ייצור וסל דלקים'!$B$64:$BV$84,AA$2-$E$2,FALSE))*$D$9*$D$8*(HLOOKUP(AA$23,$G$18:$R$19,2,FALSE)*(1-$D$12)^($F39-'הנחות עבודה'!$C$5)/$D$11)/$D$11)</f>
        <v>0</v>
      </c>
      <c r="AB39" s="52">
        <f ca="1">IF(OR($F39&gt;$D$5,$F39&gt;MAX('הנחות עבודה'!$B$69:$B$89)),0,(VLOOKUP($F39,'התפלגות ייצור וסל דלקים'!$B$64:$BV$84,AB$2-$E$2,FALSE))*$D$9*$D$8*(HLOOKUP(AB$23,$G$18:$R$19,2,FALSE)*(1-$D$12)^($F39-'הנחות עבודה'!$C$5)/$D$11)/$D$11)</f>
        <v>0</v>
      </c>
      <c r="AC39" s="52">
        <f ca="1">IF(OR($F39&gt;$D$5,$F39&gt;MAX('הנחות עבודה'!$B$69:$B$89)),0,(VLOOKUP($F39,'התפלגות ייצור וסל דלקים'!$B$64:$BV$84,AC$2-$E$2,FALSE))*$D$9*$D$8*(HLOOKUP(AC$23,$G$18:$R$19,2,FALSE)*(1-$D$12)^($F39-'הנחות עבודה'!$C$5)/$D$11)/$D$11)</f>
        <v>0</v>
      </c>
      <c r="AD39" s="52">
        <f ca="1">IF(OR($F39&gt;$D$5,$F39&gt;MAX('הנחות עבודה'!$B$69:$B$89)),0,(VLOOKUP($F39,'התפלגות ייצור וסל דלקים'!$B$64:$BV$84,AD$2-$E$2,FALSE))*$D$9*$D$8*(HLOOKUP(AD$23,$G$18:$R$19,2,FALSE)*(1-$D$12)^($F39-'הנחות עבודה'!$C$5)/$D$11)/$D$11)</f>
        <v>0</v>
      </c>
      <c r="AE39" s="42">
        <f ca="1">IF(OR($F39&gt;$D$5,$F39&gt;MAX('הנחות עבודה'!$B$69:$B$89)),0,(VLOOKUP($F39,'התפלגות ייצור וסל דלקים'!$B$64:$BV$84,AE$2-$E$2,FALSE))*$D$9*$D$8*(HLOOKUP(AE$23,$G$18:$R$19,2,FALSE)*(1-$D$12)^($F39-'הנחות עבודה'!$C$5)/$D$11)/$D$11)</f>
        <v>0</v>
      </c>
      <c r="AF39" s="44">
        <f ca="1">IF(OR($F39&gt;$D$5,$F39&gt;MAX('הנחות עבודה'!$B$69:$B$89)),0,(VLOOKUP($F39,'התפלגות ייצור וסל דלקים'!$B$64:$BV$84,AF$2-$E$2,FALSE))*$D$9*$D$8*(HLOOKUP(AF$23,$G$18:$R$19,2,FALSE)*(1-$D$12)^($F39-'הנחות עבודה'!$C$5)/$D$11)/$D$11)</f>
        <v>0</v>
      </c>
      <c r="AG39" s="44">
        <f ca="1">IF(OR($F39&gt;$D$5,$F39&gt;MAX('הנחות עבודה'!$B$69:$B$89)),0,(VLOOKUP($F39,'התפלגות ייצור וסל דלקים'!$B$64:$BV$84,AG$2-$E$2,FALSE))*$D$9*$D$8*(HLOOKUP(AG$23,$G$18:$R$19,2,FALSE)*(1-$D$12)^($F39-'הנחות עבודה'!$C$5)/$D$11)/$D$11)</f>
        <v>0</v>
      </c>
      <c r="AH39" s="44">
        <f ca="1">IF(OR($F39&gt;$D$5,$F39&gt;MAX('הנחות עבודה'!$B$69:$B$89)),0,(VLOOKUP($F39,'התפלגות ייצור וסל דלקים'!$B$64:$BV$84,AH$2-$E$2,FALSE))*$D$9*$D$8*(HLOOKUP(AH$23,$G$18:$R$19,2,FALSE)*(1-$D$12)^($F39-'הנחות עבודה'!$C$5)/$D$11)/$D$11)</f>
        <v>0</v>
      </c>
      <c r="AI39" s="44">
        <f ca="1">IF(OR($F39&gt;$D$5,$F39&gt;MAX('הנחות עבודה'!$B$69:$B$89)),0,(VLOOKUP($F39,'התפלגות ייצור וסל דלקים'!$B$64:$BV$84,AI$2-$E$2,FALSE))*$D$9*$D$8*(HLOOKUP(AI$23,$G$18:$R$19,2,FALSE)*(1-$D$12)^($F39-'הנחות עבודה'!$C$5)/$D$11)/$D$11)</f>
        <v>0</v>
      </c>
      <c r="AJ39" s="44">
        <f ca="1">IF(OR($F39&gt;$D$5,$F39&gt;MAX('הנחות עבודה'!$B$69:$B$89)),0,(VLOOKUP($F39,'התפלגות ייצור וסל דלקים'!$B$64:$BV$84,AJ$2-$E$2,FALSE))*$D$9*$D$8*(HLOOKUP(AJ$23,$G$18:$R$19,2,FALSE)*(1-$D$12)^($F39-'הנחות עבודה'!$C$5)/$D$11)/$D$11)</f>
        <v>0</v>
      </c>
      <c r="AK39" s="42">
        <f ca="1">IF(OR($F39&gt;$D$5,$F39&gt;MAX('הנחות עבודה'!$B$69:$B$89)),0,(VLOOKUP($F39,'התפלגות ייצור וסל דלקים'!$B$64:$BV$84,AK$2-$E$2,FALSE))*$D$9*$D$8*(HLOOKUP(AK$23,$G$18:$R$19,2,FALSE)*(1-$D$12)^($F39-'הנחות עבודה'!$C$5)/$D$11)/$D$11)</f>
        <v>1.2665152000000001E-4</v>
      </c>
      <c r="AL39" s="42">
        <f ca="1">IF(OR($F39&gt;$D$5,$F39&gt;MAX('הנחות עבודה'!$B$69:$B$89)),0,(VLOOKUP($F39,'התפלגות ייצור וסל דלקים'!$B$64:$BV$84,AL$2-$E$2,FALSE))*$D$9*$D$8*(HLOOKUP(AL$23,$G$18:$R$19,2,FALSE)*(1-$D$12)^($F39-'הנחות עבודה'!$C$5)/$D$11)/$D$11)</f>
        <v>5.8295876425804927E-4</v>
      </c>
      <c r="AM39" s="42">
        <f ca="1">IF(OR($F39&gt;$D$5,$F39&gt;MAX('הנחות עבודה'!$B$69:$B$89)),0,(VLOOKUP($F39,'התפלגות ייצור וסל דלקים'!$B$64:$BV$84,AM$2-$E$2,FALSE))*$D$9*$D$8*(HLOOKUP(AM$23,$G$18:$R$19,2,FALSE)*(1-$D$12)^($F39-'הנחות עבודה'!$C$5)/$D$11)/$D$11)</f>
        <v>0</v>
      </c>
      <c r="AN39" s="42">
        <f ca="1">IF(OR($F39&gt;$D$5,$F39&gt;MAX('הנחות עבודה'!$B$69:$B$89)),0,(VLOOKUP($F39,'התפלגות ייצור וסל דלקים'!$B$64:$BV$84,AN$2-$E$2,FALSE))*$D$9*$D$8*(HLOOKUP(AN$23,$G$18:$R$19,2,FALSE)*(1-$D$12)^($F39-'הנחות עבודה'!$C$5)/$D$11)/$D$11)</f>
        <v>0</v>
      </c>
      <c r="AO39" s="42">
        <f ca="1">IF(OR($F39&gt;$D$5,$F39&gt;MAX('הנחות עבודה'!$B$69:$B$89)),0,(VLOOKUP($F39,'התפלגות ייצור וסל דלקים'!$B$64:$BV$84,AO$2-$E$2,FALSE))*$D$9*$D$8*(HLOOKUP(AO$23,$G$18:$R$19,2,FALSE)*(1-$D$12)^($F39-'הנחות עבודה'!$C$5)/$D$11)/$D$11)</f>
        <v>0</v>
      </c>
      <c r="AP39" s="42">
        <f ca="1">IF(OR($F39&gt;$D$5,$F39&gt;MAX('הנחות עבודה'!$B$69:$B$89)),0,(VLOOKUP($F39,'התפלגות ייצור וסל דלקים'!$B$64:$BV$84,AP$2-$E$2,FALSE))*$D$9*$D$8*(HLOOKUP(AP$23,$G$18:$R$19,2,FALSE)*(1-$D$12)^($F39-'הנחות עבודה'!$C$5)/$D$11)/$D$11)</f>
        <v>0</v>
      </c>
      <c r="AQ39" s="52">
        <f ca="1">IF(OR($F39&gt;$D$5,$F39&gt;MAX('הנחות עבודה'!$B$69:$B$89)),0,(VLOOKUP($F39,'התפלגות ייצור וסל דלקים'!$B$64:$BV$84,AQ$2-$E$2,FALSE))*$D$9*$D$8*(HLOOKUP(AQ$23,$G$18:$R$19,2,FALSE)*(1-$D$12)^($F39-'הנחות עבודה'!$C$5)/$D$11)/$D$11)</f>
        <v>0</v>
      </c>
      <c r="AR39" s="127">
        <f ca="1">IF(OR($F39&gt;$D$5,$F39&gt;MAX('הנחות עבודה'!$B$69:$B$89)),0,(VLOOKUP($F39,'התפלגות ייצור וסל דלקים'!$B$64:$BV$84,AR$2-$E$2,FALSE))*$D$9*$D$8*(HLOOKUP(AR$23,$G$18:$R$19,2,FALSE)*(1-$D$12)^($F39-'הנחות עבודה'!$C$5)/$D$11)/$D$11)</f>
        <v>0</v>
      </c>
      <c r="AS39" s="127">
        <f ca="1">IF(OR($F39&gt;$D$5,$F39&gt;MAX('הנחות עבודה'!$B$69:$B$89)),0,(VLOOKUP($F39,'התפלגות ייצור וסל דלקים'!$B$64:$BV$84,AS$2-$E$2,FALSE))*$D$9*$D$8*(HLOOKUP(AS$23,$G$18:$R$19,2,FALSE)*(1-$D$12)^($F39-'הנחות עבודה'!$C$5)/$D$11)/$D$11)</f>
        <v>0</v>
      </c>
      <c r="AT39" s="127">
        <f ca="1">IF(OR($F39&gt;$D$5,$F39&gt;MAX('הנחות עבודה'!$B$69:$B$89)),0,(VLOOKUP($F39,'התפלגות ייצור וסל דלקים'!$B$64:$BV$84,AT$2-$E$2,FALSE))*$D$9*$D$8*(HLOOKUP(AT$23,$G$18:$R$19,2,FALSE)*(1-$D$12)^($F39-'הנחות עבודה'!$C$5)/$D$11)/$D$11)</f>
        <v>0</v>
      </c>
      <c r="AU39" s="127">
        <f ca="1">IF(OR($F39&gt;$D$5,$F39&gt;MAX('הנחות עבודה'!$B$69:$B$89)),0,(VLOOKUP($F39,'התפלגות ייצור וסל דלקים'!$B$64:$BV$84,AU$2-$E$2,FALSE))*$D$9*$D$8*(HLOOKUP(AU$23,$G$18:$R$19,2,FALSE)*(1-$D$12)^($F39-'הנחות עבודה'!$C$5)/$D$11)/$D$11)</f>
        <v>0</v>
      </c>
      <c r="AV39" s="127">
        <f ca="1">IF(OR($F39&gt;$D$5,$F39&gt;MAX('הנחות עבודה'!$B$69:$B$89)),0,(VLOOKUP($F39,'התפלגות ייצור וסל דלקים'!$B$64:$BV$84,AV$2-$E$2,FALSE))*$D$9*$D$8*(HLOOKUP(AV$23,$G$18:$R$19,2,FALSE)*(1-$D$12)^($F39-'הנחות עבודה'!$C$5)/$D$11)/$D$11)</f>
        <v>0</v>
      </c>
      <c r="AW39" s="52">
        <f ca="1">IF(OR($F39&gt;$D$5,$F39&gt;MAX('הנחות עבודה'!$B$69:$B$89)),0,(VLOOKUP($F39,'התפלגות ייצור וסל דלקים'!$B$64:$BV$84,AW$2-$E$2,FALSE))*$D$9*$D$8*(HLOOKUP(AW$23,$G$18:$R$19,2,FALSE)*(1-$D$12)^($F39-'הנחות עבודה'!$C$5)/$D$11)/$D$11)</f>
        <v>1.2665152000000001E-4</v>
      </c>
      <c r="AX39" s="52">
        <f ca="1">IF(OR($F39&gt;$D$5,$F39&gt;MAX('הנחות עבודה'!$B$69:$B$89)),0,(VLOOKUP($F39,'התפלגות ייצור וסל דלקים'!$B$64:$BV$84,AX$2-$E$2,FALSE))*$D$9*$D$8*(HLOOKUP(AX$23,$G$18:$R$19,2,FALSE)*(1-$D$12)^($F39-'הנחות עבודה'!$C$5)/$D$11)/$D$11)</f>
        <v>5.8295876425804927E-4</v>
      </c>
      <c r="AY39" s="52">
        <f ca="1">IF(OR($F39&gt;$D$5,$F39&gt;MAX('הנחות עבודה'!$B$69:$B$89)),0,(VLOOKUP($F39,'התפלגות ייצור וסל דלקים'!$B$64:$BV$84,AY$2-$E$2,FALSE))*$D$9*$D$8*(HLOOKUP(AY$23,$G$18:$R$19,2,FALSE)*(1-$D$12)^($F39-'הנחות עבודה'!$C$5)/$D$11)/$D$11)</f>
        <v>0</v>
      </c>
      <c r="AZ39" s="52">
        <f ca="1">IF(OR($F39&gt;$D$5,$F39&gt;MAX('הנחות עבודה'!$B$69:$B$89)),0,(VLOOKUP($F39,'התפלגות ייצור וסל דלקים'!$B$64:$BV$84,AZ$2-$E$2,FALSE))*$D$9*$D$8*(HLOOKUP(AZ$23,$G$18:$R$19,2,FALSE)*(1-$D$12)^($F39-'הנחות עבודה'!$C$5)/$D$11)/$D$11)</f>
        <v>0</v>
      </c>
      <c r="BA39" s="52">
        <f ca="1">IF(OR($F39&gt;$D$5,$F39&gt;MAX('הנחות עבודה'!$B$69:$B$89)),0,(VLOOKUP($F39,'התפלגות ייצור וסל דלקים'!$B$64:$BV$84,BA$2-$E$2,FALSE))*$D$9*$D$8*(HLOOKUP(BA$23,$G$18:$R$19,2,FALSE)*(1-$D$12)^($F39-'הנחות עבודה'!$C$5)/$D$11)/$D$11)</f>
        <v>0</v>
      </c>
      <c r="BB39" s="52">
        <f ca="1">IF(OR($F39&gt;$D$5,$F39&gt;MAX('הנחות עבודה'!$B$69:$B$89)),0,(VLOOKUP($F39,'התפלגות ייצור וסל דלקים'!$B$64:$BV$84,BB$2-$E$2,FALSE))*$D$9*$D$8*(HLOOKUP(BB$23,$G$18:$R$19,2,FALSE)*(1-$D$12)^($F39-'הנחות עבודה'!$C$5)/$D$11)/$D$11)</f>
        <v>0</v>
      </c>
      <c r="BC39" s="42">
        <f ca="1">IF(OR($F39&gt;$D$5,$F39&gt;MAX('הנחות עבודה'!$B$69:$B$89)),0,(VLOOKUP($F39,'התפלגות ייצור וסל דלקים'!$B$64:$BV$84,BC$2-$E$2,FALSE))*$D$9*$D$8*(HLOOKUP(BC$23,$G$18:$R$19,2,FALSE)*(1-$D$12)^($F39-'הנחות עבודה'!$C$5)/$D$11)/$D$11)</f>
        <v>0</v>
      </c>
      <c r="BD39" s="44">
        <f ca="1">IF(OR($F39&gt;$D$5,$F39&gt;MAX('הנחות עבודה'!$B$69:$B$89)),0,(VLOOKUP($F39,'התפלגות ייצור וסל דלקים'!$B$64:$BV$84,BD$2-$E$2,FALSE))*$D$9*$D$8*(HLOOKUP(BD$23,$G$18:$R$19,2,FALSE)*(1-$D$12)^($F39-'הנחות עבודה'!$C$5)/$D$11)/$D$11)</f>
        <v>0</v>
      </c>
      <c r="BE39" s="44">
        <f ca="1">IF(OR($F39&gt;$D$5,$F39&gt;MAX('הנחות עבודה'!$B$69:$B$89)),0,(VLOOKUP($F39,'התפלגות ייצור וסל דלקים'!$B$64:$BV$84,BE$2-$E$2,FALSE))*$D$9*$D$8*(HLOOKUP(BE$23,$G$18:$R$19,2,FALSE)*(1-$D$12)^($F39-'הנחות עבודה'!$C$5)/$D$11)/$D$11)</f>
        <v>0</v>
      </c>
      <c r="BF39" s="44">
        <f ca="1">IF(OR($F39&gt;$D$5,$F39&gt;MAX('הנחות עבודה'!$B$69:$B$89)),0,(VLOOKUP($F39,'התפלגות ייצור וסל דלקים'!$B$64:$BV$84,BF$2-$E$2,FALSE))*$D$9*$D$8*(HLOOKUP(BF$23,$G$18:$R$19,2,FALSE)*(1-$D$12)^($F39-'הנחות עבודה'!$C$5)/$D$11)/$D$11)</f>
        <v>0</v>
      </c>
      <c r="BG39" s="44">
        <f ca="1">IF(OR($F39&gt;$D$5,$F39&gt;MAX('הנחות עבודה'!$B$69:$B$89)),0,(VLOOKUP($F39,'התפלגות ייצור וסל דלקים'!$B$64:$BV$84,BG$2-$E$2,FALSE))*$D$9*$D$8*(HLOOKUP(BG$23,$G$18:$R$19,2,FALSE)*(1-$D$12)^($F39-'הנחות עבודה'!$C$5)/$D$11)/$D$11)</f>
        <v>0</v>
      </c>
      <c r="BH39" s="44">
        <f ca="1">IF(OR($F39&gt;$D$5,$F39&gt;MAX('הנחות עבודה'!$B$69:$B$89)),0,(VLOOKUP($F39,'התפלגות ייצור וסל דלקים'!$B$64:$BV$84,BH$2-$E$2,FALSE))*$D$9*$D$8*(HLOOKUP(BH$23,$G$18:$R$19,2,FALSE)*(1-$D$12)^($F39-'הנחות עבודה'!$C$5)/$D$11)/$D$11)</f>
        <v>0</v>
      </c>
      <c r="BI39" s="42">
        <f ca="1">IF(OR($F39&gt;$D$5,$F39&gt;MAX('הנחות עבודה'!$B$69:$B$89)),0,(VLOOKUP($F39,'התפלגות ייצור וסל דלקים'!$B$64:$BV$84,BI$2-$E$2,FALSE))*$D$9*$D$8*(HLOOKUP(BI$23,$G$18:$R$19,2,FALSE)*(1-$D$12)^($F39-'הנחות עבודה'!$C$5)/$D$11)/$D$11)</f>
        <v>1.2936000000000002E-4</v>
      </c>
      <c r="BJ39" s="42">
        <f ca="1">IF(OR($F39&gt;$D$5,$F39&gt;MAX('הנחות עבודה'!$B$69:$B$89)),0,(VLOOKUP($F39,'התפלגות ייצור וסל דלקים'!$B$64:$BV$84,BJ$2-$E$2,FALSE))*$D$9*$D$8*(HLOOKUP(BJ$23,$G$18:$R$19,2,FALSE)*(1-$D$12)^($F39-'הנחות עבודה'!$C$5)/$D$11)/$D$11)</f>
        <v>5.425269455103833E-4</v>
      </c>
      <c r="BK39" s="42">
        <f ca="1">IF(OR($F39&gt;$D$5,$F39&gt;MAX('הנחות עבודה'!$B$69:$B$89)),0,(VLOOKUP($F39,'התפלגות ייצור וסל דלקים'!$B$64:$BV$84,BK$2-$E$2,FALSE))*$D$9*$D$8*(HLOOKUP(BK$23,$G$18:$R$19,2,FALSE)*(1-$D$12)^($F39-'הנחות עבודה'!$C$5)/$D$11)/$D$11)</f>
        <v>0</v>
      </c>
      <c r="BL39" s="42">
        <f ca="1">IF(OR($F39&gt;$D$5,$F39&gt;MAX('הנחות עבודה'!$B$69:$B$89)),0,(VLOOKUP($F39,'התפלגות ייצור וסל דלקים'!$B$64:$BV$84,BL$2-$E$2,FALSE))*$D$9*$D$8*(HLOOKUP(BL$23,$G$18:$R$19,2,FALSE)*(1-$D$12)^($F39-'הנחות עבודה'!$C$5)/$D$11)/$D$11)</f>
        <v>0</v>
      </c>
      <c r="BM39" s="42">
        <f ca="1">IF(OR($F39&gt;$D$5,$F39&gt;MAX('הנחות עבודה'!$B$69:$B$89)),0,(VLOOKUP($F39,'התפלגות ייצור וסל דלקים'!$B$64:$BV$84,BM$2-$E$2,FALSE))*$D$9*$D$8*(HLOOKUP(BM$23,$G$18:$R$19,2,FALSE)*(1-$D$12)^($F39-'הנחות עבודה'!$C$5)/$D$11)/$D$11)</f>
        <v>0</v>
      </c>
      <c r="BN39" s="42">
        <f ca="1">IF(OR($F39&gt;$D$5,$F39&gt;MAX('הנחות עבודה'!$B$69:$B$89)),0,(VLOOKUP($F39,'התפלגות ייצור וסל דלקים'!$B$64:$BV$84,BN$2-$E$2,FALSE))*$D$9*$D$8*(HLOOKUP(BN$23,$G$18:$R$19,2,FALSE)*(1-$D$12)^($F39-'הנחות עבודה'!$C$5)/$D$11)/$D$11)</f>
        <v>0</v>
      </c>
      <c r="BO39" s="52">
        <f ca="1">IF(OR($F39&gt;$D$5,$F39&gt;MAX('הנחות עבודה'!$B$69:$B$89)),0,(VLOOKUP($F39,'התפלגות ייצור וסל דלקים'!$B$64:$BV$84,BO$2-$E$2,FALSE))*$D$9*$D$8*(HLOOKUP(BO$23,$G$18:$R$19,2,FALSE)*(1-$D$12)^($F39-'הנחות עבודה'!$C$5)/$D$11)/$D$11)</f>
        <v>0</v>
      </c>
      <c r="BP39" s="127">
        <f ca="1">IF(OR($F39&gt;$D$5,$F39&gt;MAX('הנחות עבודה'!$B$69:$B$89)),0,(VLOOKUP($F39,'התפלגות ייצור וסל דלקים'!$B$64:$BV$84,BP$2-$E$2,FALSE))*$D$9*$D$8*(HLOOKUP(BP$23,$G$18:$R$19,2,FALSE)*(1-$D$12)^($F39-'הנחות עבודה'!$C$5)/$D$11)/$D$11)</f>
        <v>0</v>
      </c>
      <c r="BQ39" s="127">
        <f ca="1">IF(OR($F39&gt;$D$5,$F39&gt;MAX('הנחות עבודה'!$B$69:$B$89)),0,(VLOOKUP($F39,'התפלגות ייצור וסל דלקים'!$B$64:$BV$84,BQ$2-$E$2,FALSE))*$D$9*$D$8*(HLOOKUP(BQ$23,$G$18:$R$19,2,FALSE)*(1-$D$12)^($F39-'הנחות עבודה'!$C$5)/$D$11)/$D$11)</f>
        <v>0</v>
      </c>
      <c r="BR39" s="127">
        <f ca="1">IF(OR($F39&gt;$D$5,$F39&gt;MAX('הנחות עבודה'!$B$69:$B$89)),0,(VLOOKUP($F39,'התפלגות ייצור וסל דלקים'!$B$64:$BV$84,BR$2-$E$2,FALSE))*$D$9*$D$8*(HLOOKUP(BR$23,$G$18:$R$19,2,FALSE)*(1-$D$12)^($F39-'הנחות עבודה'!$C$5)/$D$11)/$D$11)</f>
        <v>0</v>
      </c>
      <c r="BS39" s="127">
        <f ca="1">IF(OR($F39&gt;$D$5,$F39&gt;MAX('הנחות עבודה'!$B$69:$B$89)),0,(VLOOKUP($F39,'התפלגות ייצור וסל דלקים'!$B$64:$BV$84,BS$2-$E$2,FALSE))*$D$9*$D$8*(HLOOKUP(BS$23,$G$18:$R$19,2,FALSE)*(1-$D$12)^($F39-'הנחות עבודה'!$C$5)/$D$11)/$D$11)</f>
        <v>0</v>
      </c>
      <c r="BT39" s="127">
        <f ca="1">IF(OR($F39&gt;$D$5,$F39&gt;MAX('הנחות עבודה'!$B$69:$B$89)),0,(VLOOKUP($F39,'התפלגות ייצור וסל דלקים'!$B$64:$BV$84,BT$2-$E$2,FALSE))*$D$9*$D$8*(HLOOKUP(BT$23,$G$18:$R$19,2,FALSE)*(1-$D$12)^($F39-'הנחות עבודה'!$C$5)/$D$11)/$D$11)</f>
        <v>0</v>
      </c>
      <c r="BU39" s="52">
        <f ca="1">IF(OR($F39&gt;$D$5,$F39&gt;MAX('הנחות עבודה'!$B$69:$B$89)),0,(VLOOKUP($F39,'התפלגות ייצור וסל דלקים'!$B$64:$BV$84,BU$2-$E$2,FALSE))*$D$9*$D$8*(HLOOKUP(BU$23,$G$18:$R$19,2,FALSE)*(1-$D$12)^($F39-'הנחות עבודה'!$C$5)/$D$11)/$D$11)</f>
        <v>1.2936000000000002E-4</v>
      </c>
      <c r="BV39" s="52">
        <f ca="1">IF(OR($F39&gt;$D$5,$F39&gt;MAX('הנחות עבודה'!$B$69:$B$89)),0,(VLOOKUP($F39,'התפלגות ייצור וסל דלקים'!$B$64:$BV$84,BV$2-$E$2,FALSE))*$D$9*$D$8*(HLOOKUP(BV$23,$G$18:$R$19,2,FALSE)*(1-$D$12)^($F39-'הנחות עבודה'!$C$5)/$D$11)/$D$11)</f>
        <v>5.425269455103833E-4</v>
      </c>
      <c r="BW39" s="52">
        <f ca="1">IF(OR($F39&gt;$D$5,$F39&gt;MAX('הנחות עבודה'!$B$69:$B$89)),0,(VLOOKUP($F39,'התפלגות ייצור וסל דלקים'!$B$64:$BV$84,BW$2-$E$2,FALSE))*$D$9*$D$8*(HLOOKUP(BW$23,$G$18:$R$19,2,FALSE)*(1-$D$12)^($F39-'הנחות עבודה'!$C$5)/$D$11)/$D$11)</f>
        <v>0</v>
      </c>
      <c r="BX39" s="52">
        <f ca="1">IF(OR($F39&gt;$D$5,$F39&gt;MAX('הנחות עבודה'!$B$69:$B$89)),0,(VLOOKUP($F39,'התפלגות ייצור וסל דלקים'!$B$64:$BV$84,BX$2-$E$2,FALSE))*$D$9*$D$8*(HLOOKUP(BX$23,$G$18:$R$19,2,FALSE)*(1-$D$12)^($F39-'הנחות עבודה'!$C$5)/$D$11)/$D$11)</f>
        <v>0</v>
      </c>
      <c r="BY39" s="52">
        <f ca="1">IF(OR($F39&gt;$D$5,$F39&gt;MAX('הנחות עבודה'!$B$69:$B$89)),0,(VLOOKUP($F39,'התפלגות ייצור וסל דלקים'!$B$64:$BV$84,BY$2-$E$2,FALSE))*$D$9*$D$8*(HLOOKUP(BY$23,$G$18:$R$19,2,FALSE)*(1-$D$12)^($F39-'הנחות עבודה'!$C$5)/$D$11)/$D$11)</f>
        <v>0</v>
      </c>
      <c r="BZ39" s="52">
        <f ca="1">IF(OR($F39&gt;$D$5,$F39&gt;MAX('הנחות עבודה'!$B$69:$B$89)),0,(VLOOKUP($F39,'התפלגות ייצור וסל דלקים'!$B$64:$BV$84,BZ$2-$E$2,FALSE))*$D$9*$D$8*(HLOOKUP(BZ$23,$G$18:$R$19,2,FALSE)*(1-$D$12)^($F39-'הנחות עבודה'!$C$5)/$D$11)/$D$11)</f>
        <v>0</v>
      </c>
    </row>
    <row r="40" spans="6:78" ht="15.75">
      <c r="F40" s="10">
        <f t="shared" si="108"/>
        <v>2036</v>
      </c>
      <c r="G40" s="42">
        <f ca="1">IF(OR($F40&gt;$D$5,$F40&gt;MAX('הנחות עבודה'!$B$69:$B$89)),0,(VLOOKUP($F40,'התפלגות ייצור וסל דלקים'!$B$64:$BV$84,G$2-$E$2,FALSE))*$D$9*$D$8*(HLOOKUP(G$23,$G$18:$R$19,2,FALSE)*(1-$D$12)^($F40-'הנחות עבודה'!$C$5)/$D$11)/$D$11)</f>
        <v>0</v>
      </c>
      <c r="H40" s="44">
        <f ca="1">IF(OR($F40&gt;$D$5,$F40&gt;MAX('הנחות עבודה'!$B$69:$B$89)),0,(VLOOKUP($F40,'התפלגות ייצור וסל דלקים'!$B$64:$BV$84,H$2-$E$2,FALSE))*$D$9*$D$8*(HLOOKUP(H$23,$G$18:$R$19,2,FALSE)*(1-$D$12)^($F40-'הנחות עבודה'!$C$5)/$D$11)/$D$11)</f>
        <v>0</v>
      </c>
      <c r="I40" s="44">
        <f ca="1">IF(OR($F40&gt;$D$5,$F40&gt;MAX('הנחות עבודה'!$B$69:$B$89)),0,(VLOOKUP($F40,'התפלגות ייצור וסל דלקים'!$B$64:$BV$84,I$2-$E$2,FALSE))*$D$9*$D$8*(HLOOKUP(I$23,$G$18:$R$19,2,FALSE)*(1-$D$12)^($F40-'הנחות עבודה'!$C$5)/$D$11)/$D$11)</f>
        <v>0</v>
      </c>
      <c r="J40" s="44">
        <f ca="1">IF(OR($F40&gt;$D$5,$F40&gt;MAX('הנחות עבודה'!$B$69:$B$89)),0,(VLOOKUP($F40,'התפלגות ייצור וסל דלקים'!$B$64:$BV$84,J$2-$E$2,FALSE))*$D$9*$D$8*(HLOOKUP(J$23,$G$18:$R$19,2,FALSE)*(1-$D$12)^($F40-'הנחות עבודה'!$C$5)/$D$11)/$D$11)</f>
        <v>0</v>
      </c>
      <c r="K40" s="44">
        <f ca="1">IF(OR($F40&gt;$D$5,$F40&gt;MAX('הנחות עבודה'!$B$69:$B$89)),0,(VLOOKUP($F40,'התפלגות ייצור וסל דלקים'!$B$64:$BV$84,K$2-$E$2,FALSE))*$D$9*$D$8*(HLOOKUP(K$23,$G$18:$R$19,2,FALSE)*(1-$D$12)^($F40-'הנחות עבודה'!$C$5)/$D$11)/$D$11)</f>
        <v>0</v>
      </c>
      <c r="L40" s="44">
        <f ca="1">IF(OR($F40&gt;$D$5,$F40&gt;MAX('הנחות עבודה'!$B$69:$B$89)),0,(VLOOKUP($F40,'התפלגות ייצור וסל דלקים'!$B$64:$BV$84,L$2-$E$2,FALSE))*$D$9*$D$8*(HLOOKUP(L$23,$G$18:$R$19,2,FALSE)*(1-$D$12)^($F40-'הנחות עבודה'!$C$5)/$D$11)/$D$11)</f>
        <v>0</v>
      </c>
      <c r="M40" s="42">
        <f ca="1">IF(OR($F40&gt;$D$5,$F40&gt;MAX('הנחות עבודה'!$B$69:$B$89)),0,(VLOOKUP($F40,'התפלגות ייצור וסל דלקים'!$B$64:$BV$84,M$2-$E$2,FALSE))*$D$9*$D$8*(HLOOKUP(M$23,$G$18:$R$19,2,FALSE)*(1-$D$12)^($F40-'הנחות עבודה'!$C$5)/$D$11)/$D$11)</f>
        <v>1.2093344000000001E-4</v>
      </c>
      <c r="N40" s="42">
        <f ca="1">IF(OR($F40&gt;$D$5,$F40&gt;MAX('הנחות עבודה'!$B$69:$B$89)),0,(VLOOKUP($F40,'התפלגות ייצור וסל דלקים'!$B$64:$BV$84,N$2-$E$2,FALSE))*$D$9*$D$8*(HLOOKUP(N$23,$G$18:$R$19,2,FALSE)*(1-$D$12)^($F40-'הנחות עבודה'!$C$5)/$D$11)/$D$11)</f>
        <v>6.7672959460292955E-4</v>
      </c>
      <c r="O40" s="42">
        <f ca="1">IF(OR($F40&gt;$D$5,$F40&gt;MAX('הנחות עבודה'!$B$69:$B$89)),0,(VLOOKUP($F40,'התפלגות ייצור וסל דלקים'!$B$64:$BV$84,O$2-$E$2,FALSE))*$D$9*$D$8*(HLOOKUP(O$23,$G$18:$R$19,2,FALSE)*(1-$D$12)^($F40-'הנחות עבודה'!$C$5)/$D$11)/$D$11)</f>
        <v>0</v>
      </c>
      <c r="P40" s="42">
        <f ca="1">IF(OR($F40&gt;$D$5,$F40&gt;MAX('הנחות עבודה'!$B$69:$B$89)),0,(VLOOKUP($F40,'התפלגות ייצור וסל דלקים'!$B$64:$BV$84,P$2-$E$2,FALSE))*$D$9*$D$8*(HLOOKUP(P$23,$G$18:$R$19,2,FALSE)*(1-$D$12)^($F40-'הנחות עבודה'!$C$5)/$D$11)/$D$11)</f>
        <v>0</v>
      </c>
      <c r="Q40" s="42">
        <f ca="1">IF(OR($F40&gt;$D$5,$F40&gt;MAX('הנחות עבודה'!$B$69:$B$89)),0,(VLOOKUP($F40,'התפלגות ייצור וסל דלקים'!$B$64:$BV$84,Q$2-$E$2,FALSE))*$D$9*$D$8*(HLOOKUP(Q$23,$G$18:$R$19,2,FALSE)*(1-$D$12)^($F40-'הנחות עבודה'!$C$5)/$D$11)/$D$11)</f>
        <v>0</v>
      </c>
      <c r="R40" s="42">
        <f ca="1">IF(OR($F40&gt;$D$5,$F40&gt;MAX('הנחות עבודה'!$B$69:$B$89)),0,(VLOOKUP($F40,'התפלגות ייצור וסל דלקים'!$B$64:$BV$84,R$2-$E$2,FALSE))*$D$9*$D$8*(HLOOKUP(R$23,$G$18:$R$19,2,FALSE)*(1-$D$12)^($F40-'הנחות עבודה'!$C$5)/$D$11)/$D$11)</f>
        <v>0</v>
      </c>
      <c r="S40" s="52">
        <f ca="1">IF(OR($F40&gt;$D$5,$F40&gt;MAX('הנחות עבודה'!$B$69:$B$89)),0,(VLOOKUP($F40,'התפלגות ייצור וסל דלקים'!$B$64:$BV$84,S$2-$E$2,FALSE))*$D$9*$D$8*(HLOOKUP(S$23,$G$18:$R$19,2,FALSE)*(1-$D$12)^($F40-'הנחות עבודה'!$C$5)/$D$11)/$D$11)</f>
        <v>0</v>
      </c>
      <c r="T40" s="127">
        <f ca="1">IF(OR($F40&gt;$D$5,$F40&gt;MAX('הנחות עבודה'!$B$69:$B$89)),0,(VLOOKUP($F40,'התפלגות ייצור וסל דלקים'!$B$64:$BV$84,T$2-$E$2,FALSE))*$D$9*$D$8*(HLOOKUP(T$23,$G$18:$R$19,2,FALSE)*(1-$D$12)^($F40-'הנחות עבודה'!$C$5)/$D$11)/$D$11)</f>
        <v>0</v>
      </c>
      <c r="U40" s="127">
        <f ca="1">IF(OR($F40&gt;$D$5,$F40&gt;MAX('הנחות עבודה'!$B$69:$B$89)),0,(VLOOKUP($F40,'התפלגות ייצור וסל דלקים'!$B$64:$BV$84,U$2-$E$2,FALSE))*$D$9*$D$8*(HLOOKUP(U$23,$G$18:$R$19,2,FALSE)*(1-$D$12)^($F40-'הנחות עבודה'!$C$5)/$D$11)/$D$11)</f>
        <v>0</v>
      </c>
      <c r="V40" s="127">
        <f ca="1">IF(OR($F40&gt;$D$5,$F40&gt;MAX('הנחות עבודה'!$B$69:$B$89)),0,(VLOOKUP($F40,'התפלגות ייצור וסל דלקים'!$B$64:$BV$84,V$2-$E$2,FALSE))*$D$9*$D$8*(HLOOKUP(V$23,$G$18:$R$19,2,FALSE)*(1-$D$12)^($F40-'הנחות עבודה'!$C$5)/$D$11)/$D$11)</f>
        <v>0</v>
      </c>
      <c r="W40" s="127">
        <f ca="1">IF(OR($F40&gt;$D$5,$F40&gt;MAX('הנחות עבודה'!$B$69:$B$89)),0,(VLOOKUP($F40,'התפלגות ייצור וסל דלקים'!$B$64:$BV$84,W$2-$E$2,FALSE))*$D$9*$D$8*(HLOOKUP(W$23,$G$18:$R$19,2,FALSE)*(1-$D$12)^($F40-'הנחות עבודה'!$C$5)/$D$11)/$D$11)</f>
        <v>0</v>
      </c>
      <c r="X40" s="127">
        <f ca="1">IF(OR($F40&gt;$D$5,$F40&gt;MAX('הנחות עבודה'!$B$69:$B$89)),0,(VLOOKUP($F40,'התפלגות ייצור וסל דלקים'!$B$64:$BV$84,X$2-$E$2,FALSE))*$D$9*$D$8*(HLOOKUP(X$23,$G$18:$R$19,2,FALSE)*(1-$D$12)^($F40-'הנחות עבודה'!$C$5)/$D$11)/$D$11)</f>
        <v>0</v>
      </c>
      <c r="Y40" s="52">
        <f ca="1">IF(OR($F40&gt;$D$5,$F40&gt;MAX('הנחות עבודה'!$B$69:$B$89)),0,(VLOOKUP($F40,'התפלגות ייצור וסל דלקים'!$B$64:$BV$84,Y$2-$E$2,FALSE))*$D$9*$D$8*(HLOOKUP(Y$23,$G$18:$R$19,2,FALSE)*(1-$D$12)^($F40-'הנחות עבודה'!$C$5)/$D$11)/$D$11)</f>
        <v>1.2093344000000001E-4</v>
      </c>
      <c r="Z40" s="52">
        <f ca="1">IF(OR($F40&gt;$D$5,$F40&gt;MAX('הנחות עבודה'!$B$69:$B$89)),0,(VLOOKUP($F40,'התפלגות ייצור וסל דלקים'!$B$64:$BV$84,Z$2-$E$2,FALSE))*$D$9*$D$8*(HLOOKUP(Z$23,$G$18:$R$19,2,FALSE)*(1-$D$12)^($F40-'הנחות עבודה'!$C$5)/$D$11)/$D$11)</f>
        <v>6.7672959460292955E-4</v>
      </c>
      <c r="AA40" s="52">
        <f ca="1">IF(OR($F40&gt;$D$5,$F40&gt;MAX('הנחות עבודה'!$B$69:$B$89)),0,(VLOOKUP($F40,'התפלגות ייצור וסל דלקים'!$B$64:$BV$84,AA$2-$E$2,FALSE))*$D$9*$D$8*(HLOOKUP(AA$23,$G$18:$R$19,2,FALSE)*(1-$D$12)^($F40-'הנחות עבודה'!$C$5)/$D$11)/$D$11)</f>
        <v>0</v>
      </c>
      <c r="AB40" s="52">
        <f ca="1">IF(OR($F40&gt;$D$5,$F40&gt;MAX('הנחות עבודה'!$B$69:$B$89)),0,(VLOOKUP($F40,'התפלגות ייצור וסל דלקים'!$B$64:$BV$84,AB$2-$E$2,FALSE))*$D$9*$D$8*(HLOOKUP(AB$23,$G$18:$R$19,2,FALSE)*(1-$D$12)^($F40-'הנחות עבודה'!$C$5)/$D$11)/$D$11)</f>
        <v>0</v>
      </c>
      <c r="AC40" s="52">
        <f ca="1">IF(OR($F40&gt;$D$5,$F40&gt;MAX('הנחות עבודה'!$B$69:$B$89)),0,(VLOOKUP($F40,'התפלגות ייצור וסל דלקים'!$B$64:$BV$84,AC$2-$E$2,FALSE))*$D$9*$D$8*(HLOOKUP(AC$23,$G$18:$R$19,2,FALSE)*(1-$D$12)^($F40-'הנחות עבודה'!$C$5)/$D$11)/$D$11)</f>
        <v>0</v>
      </c>
      <c r="AD40" s="52">
        <f ca="1">IF(OR($F40&gt;$D$5,$F40&gt;MAX('הנחות עבודה'!$B$69:$B$89)),0,(VLOOKUP($F40,'התפלגות ייצור וסל דלקים'!$B$64:$BV$84,AD$2-$E$2,FALSE))*$D$9*$D$8*(HLOOKUP(AD$23,$G$18:$R$19,2,FALSE)*(1-$D$12)^($F40-'הנחות עבודה'!$C$5)/$D$11)/$D$11)</f>
        <v>0</v>
      </c>
      <c r="AE40" s="42">
        <f ca="1">IF(OR($F40&gt;$D$5,$F40&gt;MAX('הנחות עבודה'!$B$69:$B$89)),0,(VLOOKUP($F40,'התפלגות ייצור וסל דלקים'!$B$64:$BV$84,AE$2-$E$2,FALSE))*$D$9*$D$8*(HLOOKUP(AE$23,$G$18:$R$19,2,FALSE)*(1-$D$12)^($F40-'הנחות עבודה'!$C$5)/$D$11)/$D$11)</f>
        <v>0</v>
      </c>
      <c r="AF40" s="44">
        <f ca="1">IF(OR($F40&gt;$D$5,$F40&gt;MAX('הנחות עבודה'!$B$69:$B$89)),0,(VLOOKUP($F40,'התפלגות ייצור וסל דלקים'!$B$64:$BV$84,AF$2-$E$2,FALSE))*$D$9*$D$8*(HLOOKUP(AF$23,$G$18:$R$19,2,FALSE)*(1-$D$12)^($F40-'הנחות עבודה'!$C$5)/$D$11)/$D$11)</f>
        <v>0</v>
      </c>
      <c r="AG40" s="44">
        <f ca="1">IF(OR($F40&gt;$D$5,$F40&gt;MAX('הנחות עבודה'!$B$69:$B$89)),0,(VLOOKUP($F40,'התפלגות ייצור וסל דלקים'!$B$64:$BV$84,AG$2-$E$2,FALSE))*$D$9*$D$8*(HLOOKUP(AG$23,$G$18:$R$19,2,FALSE)*(1-$D$12)^($F40-'הנחות עבודה'!$C$5)/$D$11)/$D$11)</f>
        <v>0</v>
      </c>
      <c r="AH40" s="44">
        <f ca="1">IF(OR($F40&gt;$D$5,$F40&gt;MAX('הנחות עבודה'!$B$69:$B$89)),0,(VLOOKUP($F40,'התפלגות ייצור וסל דלקים'!$B$64:$BV$84,AH$2-$E$2,FALSE))*$D$9*$D$8*(HLOOKUP(AH$23,$G$18:$R$19,2,FALSE)*(1-$D$12)^($F40-'הנחות עבודה'!$C$5)/$D$11)/$D$11)</f>
        <v>0</v>
      </c>
      <c r="AI40" s="44">
        <f ca="1">IF(OR($F40&gt;$D$5,$F40&gt;MAX('הנחות עבודה'!$B$69:$B$89)),0,(VLOOKUP($F40,'התפלגות ייצור וסל דלקים'!$B$64:$BV$84,AI$2-$E$2,FALSE))*$D$9*$D$8*(HLOOKUP(AI$23,$G$18:$R$19,2,FALSE)*(1-$D$12)^($F40-'הנחות עבודה'!$C$5)/$D$11)/$D$11)</f>
        <v>0</v>
      </c>
      <c r="AJ40" s="44">
        <f ca="1">IF(OR($F40&gt;$D$5,$F40&gt;MAX('הנחות עבודה'!$B$69:$B$89)),0,(VLOOKUP($F40,'התפלגות ייצור וסל דלקים'!$B$64:$BV$84,AJ$2-$E$2,FALSE))*$D$9*$D$8*(HLOOKUP(AJ$23,$G$18:$R$19,2,FALSE)*(1-$D$12)^($F40-'הנחות עבודה'!$C$5)/$D$11)/$D$11)</f>
        <v>0</v>
      </c>
      <c r="AK40" s="42">
        <f ca="1">IF(OR($F40&gt;$D$5,$F40&gt;MAX('הנחות עבודה'!$B$69:$B$89)),0,(VLOOKUP($F40,'התפלגות ייצור וסל דלקים'!$B$64:$BV$84,AK$2-$E$2,FALSE))*$D$9*$D$8*(HLOOKUP(AK$23,$G$18:$R$19,2,FALSE)*(1-$D$12)^($F40-'הנחות עבודה'!$C$5)/$D$11)/$D$11)</f>
        <v>1.2794167999999998E-4</v>
      </c>
      <c r="AL40" s="42">
        <f ca="1">IF(OR($F40&gt;$D$5,$F40&gt;MAX('הנחות עבודה'!$B$69:$B$89)),0,(VLOOKUP($F40,'התפלגות ייצור וסל דלקים'!$B$64:$BV$84,AL$2-$E$2,FALSE))*$D$9*$D$8*(HLOOKUP(AL$23,$G$18:$R$19,2,FALSE)*(1-$D$12)^($F40-'הנחות עבודה'!$C$5)/$D$11)/$D$11)</f>
        <v>6.0967216625864152E-4</v>
      </c>
      <c r="AM40" s="42">
        <f ca="1">IF(OR($F40&gt;$D$5,$F40&gt;MAX('הנחות עבודה'!$B$69:$B$89)),0,(VLOOKUP($F40,'התפלגות ייצור וסל דלקים'!$B$64:$BV$84,AM$2-$E$2,FALSE))*$D$9*$D$8*(HLOOKUP(AM$23,$G$18:$R$19,2,FALSE)*(1-$D$12)^($F40-'הנחות עבודה'!$C$5)/$D$11)/$D$11)</f>
        <v>0</v>
      </c>
      <c r="AN40" s="42">
        <f ca="1">IF(OR($F40&gt;$D$5,$F40&gt;MAX('הנחות עבודה'!$B$69:$B$89)),0,(VLOOKUP($F40,'התפלגות ייצור וסל דלקים'!$B$64:$BV$84,AN$2-$E$2,FALSE))*$D$9*$D$8*(HLOOKUP(AN$23,$G$18:$R$19,2,FALSE)*(1-$D$12)^($F40-'הנחות עבודה'!$C$5)/$D$11)/$D$11)</f>
        <v>0</v>
      </c>
      <c r="AO40" s="42">
        <f ca="1">IF(OR($F40&gt;$D$5,$F40&gt;MAX('הנחות עבודה'!$B$69:$B$89)),0,(VLOOKUP($F40,'התפלגות ייצור וסל דלקים'!$B$64:$BV$84,AO$2-$E$2,FALSE))*$D$9*$D$8*(HLOOKUP(AO$23,$G$18:$R$19,2,FALSE)*(1-$D$12)^($F40-'הנחות עבודה'!$C$5)/$D$11)/$D$11)</f>
        <v>0</v>
      </c>
      <c r="AP40" s="42">
        <f ca="1">IF(OR($F40&gt;$D$5,$F40&gt;MAX('הנחות עבודה'!$B$69:$B$89)),0,(VLOOKUP($F40,'התפלגות ייצור וסל דלקים'!$B$64:$BV$84,AP$2-$E$2,FALSE))*$D$9*$D$8*(HLOOKUP(AP$23,$G$18:$R$19,2,FALSE)*(1-$D$12)^($F40-'הנחות עבודה'!$C$5)/$D$11)/$D$11)</f>
        <v>0</v>
      </c>
      <c r="AQ40" s="52">
        <f ca="1">IF(OR($F40&gt;$D$5,$F40&gt;MAX('הנחות עבודה'!$B$69:$B$89)),0,(VLOOKUP($F40,'התפלגות ייצור וסל דלקים'!$B$64:$BV$84,AQ$2-$E$2,FALSE))*$D$9*$D$8*(HLOOKUP(AQ$23,$G$18:$R$19,2,FALSE)*(1-$D$12)^($F40-'הנחות עבודה'!$C$5)/$D$11)/$D$11)</f>
        <v>0</v>
      </c>
      <c r="AR40" s="127">
        <f ca="1">IF(OR($F40&gt;$D$5,$F40&gt;MAX('הנחות עבודה'!$B$69:$B$89)),0,(VLOOKUP($F40,'התפלגות ייצור וסל דלקים'!$B$64:$BV$84,AR$2-$E$2,FALSE))*$D$9*$D$8*(HLOOKUP(AR$23,$G$18:$R$19,2,FALSE)*(1-$D$12)^($F40-'הנחות עבודה'!$C$5)/$D$11)/$D$11)</f>
        <v>0</v>
      </c>
      <c r="AS40" s="127">
        <f ca="1">IF(OR($F40&gt;$D$5,$F40&gt;MAX('הנחות עבודה'!$B$69:$B$89)),0,(VLOOKUP($F40,'התפלגות ייצור וסל דלקים'!$B$64:$BV$84,AS$2-$E$2,FALSE))*$D$9*$D$8*(HLOOKUP(AS$23,$G$18:$R$19,2,FALSE)*(1-$D$12)^($F40-'הנחות עבודה'!$C$5)/$D$11)/$D$11)</f>
        <v>0</v>
      </c>
      <c r="AT40" s="127">
        <f ca="1">IF(OR($F40&gt;$D$5,$F40&gt;MAX('הנחות עבודה'!$B$69:$B$89)),0,(VLOOKUP($F40,'התפלגות ייצור וסל דלקים'!$B$64:$BV$84,AT$2-$E$2,FALSE))*$D$9*$D$8*(HLOOKUP(AT$23,$G$18:$R$19,2,FALSE)*(1-$D$12)^($F40-'הנחות עבודה'!$C$5)/$D$11)/$D$11)</f>
        <v>0</v>
      </c>
      <c r="AU40" s="127">
        <f ca="1">IF(OR($F40&gt;$D$5,$F40&gt;MAX('הנחות עבודה'!$B$69:$B$89)),0,(VLOOKUP($F40,'התפלגות ייצור וסל דלקים'!$B$64:$BV$84,AU$2-$E$2,FALSE))*$D$9*$D$8*(HLOOKUP(AU$23,$G$18:$R$19,2,FALSE)*(1-$D$12)^($F40-'הנחות עבודה'!$C$5)/$D$11)/$D$11)</f>
        <v>0</v>
      </c>
      <c r="AV40" s="127">
        <f ca="1">IF(OR($F40&gt;$D$5,$F40&gt;MAX('הנחות עבודה'!$B$69:$B$89)),0,(VLOOKUP($F40,'התפלגות ייצור וסל דלקים'!$B$64:$BV$84,AV$2-$E$2,FALSE))*$D$9*$D$8*(HLOOKUP(AV$23,$G$18:$R$19,2,FALSE)*(1-$D$12)^($F40-'הנחות עבודה'!$C$5)/$D$11)/$D$11)</f>
        <v>0</v>
      </c>
      <c r="AW40" s="52">
        <f ca="1">IF(OR($F40&gt;$D$5,$F40&gt;MAX('הנחות עבודה'!$B$69:$B$89)),0,(VLOOKUP($F40,'התפלגות ייצור וסל דלקים'!$B$64:$BV$84,AW$2-$E$2,FALSE))*$D$9*$D$8*(HLOOKUP(AW$23,$G$18:$R$19,2,FALSE)*(1-$D$12)^($F40-'הנחות עבודה'!$C$5)/$D$11)/$D$11)</f>
        <v>1.2794167999999998E-4</v>
      </c>
      <c r="AX40" s="52">
        <f ca="1">IF(OR($F40&gt;$D$5,$F40&gt;MAX('הנחות עבודה'!$B$69:$B$89)),0,(VLOOKUP($F40,'התפלגות ייצור וסל דלקים'!$B$64:$BV$84,AX$2-$E$2,FALSE))*$D$9*$D$8*(HLOOKUP(AX$23,$G$18:$R$19,2,FALSE)*(1-$D$12)^($F40-'הנחות עבודה'!$C$5)/$D$11)/$D$11)</f>
        <v>6.0967216625864152E-4</v>
      </c>
      <c r="AY40" s="52">
        <f ca="1">IF(OR($F40&gt;$D$5,$F40&gt;MAX('הנחות עבודה'!$B$69:$B$89)),0,(VLOOKUP($F40,'התפלגות ייצור וסל דלקים'!$B$64:$BV$84,AY$2-$E$2,FALSE))*$D$9*$D$8*(HLOOKUP(AY$23,$G$18:$R$19,2,FALSE)*(1-$D$12)^($F40-'הנחות עבודה'!$C$5)/$D$11)/$D$11)</f>
        <v>0</v>
      </c>
      <c r="AZ40" s="52">
        <f ca="1">IF(OR($F40&gt;$D$5,$F40&gt;MAX('הנחות עבודה'!$B$69:$B$89)),0,(VLOOKUP($F40,'התפלגות ייצור וסל דלקים'!$B$64:$BV$84,AZ$2-$E$2,FALSE))*$D$9*$D$8*(HLOOKUP(AZ$23,$G$18:$R$19,2,FALSE)*(1-$D$12)^($F40-'הנחות עבודה'!$C$5)/$D$11)/$D$11)</f>
        <v>0</v>
      </c>
      <c r="BA40" s="52">
        <f ca="1">IF(OR($F40&gt;$D$5,$F40&gt;MAX('הנחות עבודה'!$B$69:$B$89)),0,(VLOOKUP($F40,'התפלגות ייצור וסל דלקים'!$B$64:$BV$84,BA$2-$E$2,FALSE))*$D$9*$D$8*(HLOOKUP(BA$23,$G$18:$R$19,2,FALSE)*(1-$D$12)^($F40-'הנחות עבודה'!$C$5)/$D$11)/$D$11)</f>
        <v>0</v>
      </c>
      <c r="BB40" s="52">
        <f ca="1">IF(OR($F40&gt;$D$5,$F40&gt;MAX('הנחות עבודה'!$B$69:$B$89)),0,(VLOOKUP($F40,'התפלגות ייצור וסל דלקים'!$B$64:$BV$84,BB$2-$E$2,FALSE))*$D$9*$D$8*(HLOOKUP(BB$23,$G$18:$R$19,2,FALSE)*(1-$D$12)^($F40-'הנחות עבודה'!$C$5)/$D$11)/$D$11)</f>
        <v>0</v>
      </c>
      <c r="BC40" s="42">
        <f ca="1">IF(OR($F40&gt;$D$5,$F40&gt;MAX('הנחות עבודה'!$B$69:$B$89)),0,(VLOOKUP($F40,'התפלגות ייצור וסל דלקים'!$B$64:$BV$84,BC$2-$E$2,FALSE))*$D$9*$D$8*(HLOOKUP(BC$23,$G$18:$R$19,2,FALSE)*(1-$D$12)^($F40-'הנחות עבודה'!$C$5)/$D$11)/$D$11)</f>
        <v>0</v>
      </c>
      <c r="BD40" s="44">
        <f ca="1">IF(OR($F40&gt;$D$5,$F40&gt;MAX('הנחות עבודה'!$B$69:$B$89)),0,(VLOOKUP($F40,'התפלגות ייצור וסל דלקים'!$B$64:$BV$84,BD$2-$E$2,FALSE))*$D$9*$D$8*(HLOOKUP(BD$23,$G$18:$R$19,2,FALSE)*(1-$D$12)^($F40-'הנחות עבודה'!$C$5)/$D$11)/$D$11)</f>
        <v>0</v>
      </c>
      <c r="BE40" s="44">
        <f ca="1">IF(OR($F40&gt;$D$5,$F40&gt;MAX('הנחות עבודה'!$B$69:$B$89)),0,(VLOOKUP($F40,'התפלגות ייצור וסל דלקים'!$B$64:$BV$84,BE$2-$E$2,FALSE))*$D$9*$D$8*(HLOOKUP(BE$23,$G$18:$R$19,2,FALSE)*(1-$D$12)^($F40-'הנחות עבודה'!$C$5)/$D$11)/$D$11)</f>
        <v>0</v>
      </c>
      <c r="BF40" s="44">
        <f ca="1">IF(OR($F40&gt;$D$5,$F40&gt;MAX('הנחות עבודה'!$B$69:$B$89)),0,(VLOOKUP($F40,'התפלגות ייצור וסל דלקים'!$B$64:$BV$84,BF$2-$E$2,FALSE))*$D$9*$D$8*(HLOOKUP(BF$23,$G$18:$R$19,2,FALSE)*(1-$D$12)^($F40-'הנחות עבודה'!$C$5)/$D$11)/$D$11)</f>
        <v>0</v>
      </c>
      <c r="BG40" s="44">
        <f ca="1">IF(OR($F40&gt;$D$5,$F40&gt;MAX('הנחות עבודה'!$B$69:$B$89)),0,(VLOOKUP($F40,'התפלגות ייצור וסל דלקים'!$B$64:$BV$84,BG$2-$E$2,FALSE))*$D$9*$D$8*(HLOOKUP(BG$23,$G$18:$R$19,2,FALSE)*(1-$D$12)^($F40-'הנחות עבודה'!$C$5)/$D$11)/$D$11)</f>
        <v>0</v>
      </c>
      <c r="BH40" s="44">
        <f ca="1">IF(OR($F40&gt;$D$5,$F40&gt;MAX('הנחות עבודה'!$B$69:$B$89)),0,(VLOOKUP($F40,'התפלגות ייצור וסל דלקים'!$B$64:$BV$84,BH$2-$E$2,FALSE))*$D$9*$D$8*(HLOOKUP(BH$23,$G$18:$R$19,2,FALSE)*(1-$D$12)^($F40-'הנחות עבודה'!$C$5)/$D$11)/$D$11)</f>
        <v>0</v>
      </c>
      <c r="BI40" s="42">
        <f ca="1">IF(OR($F40&gt;$D$5,$F40&gt;MAX('הנחות עבודה'!$B$69:$B$89)),0,(VLOOKUP($F40,'התפלגות ייצור וסל דלקים'!$B$64:$BV$84,BI$2-$E$2,FALSE))*$D$9*$D$8*(HLOOKUP(BI$23,$G$18:$R$19,2,FALSE)*(1-$D$12)^($F40-'הנחות עבודה'!$C$5)/$D$11)/$D$11)</f>
        <v>1.3057600000000003E-4</v>
      </c>
      <c r="BJ40" s="42">
        <f ca="1">IF(OR($F40&gt;$D$5,$F40&gt;MAX('הנחות עבודה'!$B$69:$B$89)),0,(VLOOKUP($F40,'התפלגות ייצור וסל דלקים'!$B$64:$BV$84,BJ$2-$E$2,FALSE))*$D$9*$D$8*(HLOOKUP(BJ$23,$G$18:$R$19,2,FALSE)*(1-$D$12)^($F40-'הנחות עבודה'!$C$5)/$D$11)/$D$11)</f>
        <v>5.6953492354346134E-4</v>
      </c>
      <c r="BK40" s="42">
        <f ca="1">IF(OR($F40&gt;$D$5,$F40&gt;MAX('הנחות עבודה'!$B$69:$B$89)),0,(VLOOKUP($F40,'התפלגות ייצור וסל דלקים'!$B$64:$BV$84,BK$2-$E$2,FALSE))*$D$9*$D$8*(HLOOKUP(BK$23,$G$18:$R$19,2,FALSE)*(1-$D$12)^($F40-'הנחות עבודה'!$C$5)/$D$11)/$D$11)</f>
        <v>0</v>
      </c>
      <c r="BL40" s="42">
        <f ca="1">IF(OR($F40&gt;$D$5,$F40&gt;MAX('הנחות עבודה'!$B$69:$B$89)),0,(VLOOKUP($F40,'התפלגות ייצור וסל דלקים'!$B$64:$BV$84,BL$2-$E$2,FALSE))*$D$9*$D$8*(HLOOKUP(BL$23,$G$18:$R$19,2,FALSE)*(1-$D$12)^($F40-'הנחות עבודה'!$C$5)/$D$11)/$D$11)</f>
        <v>0</v>
      </c>
      <c r="BM40" s="42">
        <f ca="1">IF(OR($F40&gt;$D$5,$F40&gt;MAX('הנחות עבודה'!$B$69:$B$89)),0,(VLOOKUP($F40,'התפלגות ייצור וסל דלקים'!$B$64:$BV$84,BM$2-$E$2,FALSE))*$D$9*$D$8*(HLOOKUP(BM$23,$G$18:$R$19,2,FALSE)*(1-$D$12)^($F40-'הנחות עבודה'!$C$5)/$D$11)/$D$11)</f>
        <v>0</v>
      </c>
      <c r="BN40" s="42">
        <f ca="1">IF(OR($F40&gt;$D$5,$F40&gt;MAX('הנחות עבודה'!$B$69:$B$89)),0,(VLOOKUP($F40,'התפלגות ייצור וסל דלקים'!$B$64:$BV$84,BN$2-$E$2,FALSE))*$D$9*$D$8*(HLOOKUP(BN$23,$G$18:$R$19,2,FALSE)*(1-$D$12)^($F40-'הנחות עבודה'!$C$5)/$D$11)/$D$11)</f>
        <v>0</v>
      </c>
      <c r="BO40" s="52">
        <f ca="1">IF(OR($F40&gt;$D$5,$F40&gt;MAX('הנחות עבודה'!$B$69:$B$89)),0,(VLOOKUP($F40,'התפלגות ייצור וסל דלקים'!$B$64:$BV$84,BO$2-$E$2,FALSE))*$D$9*$D$8*(HLOOKUP(BO$23,$G$18:$R$19,2,FALSE)*(1-$D$12)^($F40-'הנחות עבודה'!$C$5)/$D$11)/$D$11)</f>
        <v>0</v>
      </c>
      <c r="BP40" s="127">
        <f ca="1">IF(OR($F40&gt;$D$5,$F40&gt;MAX('הנחות עבודה'!$B$69:$B$89)),0,(VLOOKUP($F40,'התפלגות ייצור וסל דלקים'!$B$64:$BV$84,BP$2-$E$2,FALSE))*$D$9*$D$8*(HLOOKUP(BP$23,$G$18:$R$19,2,FALSE)*(1-$D$12)^($F40-'הנחות עבודה'!$C$5)/$D$11)/$D$11)</f>
        <v>0</v>
      </c>
      <c r="BQ40" s="127">
        <f ca="1">IF(OR($F40&gt;$D$5,$F40&gt;MAX('הנחות עבודה'!$B$69:$B$89)),0,(VLOOKUP($F40,'התפלגות ייצור וסל דלקים'!$B$64:$BV$84,BQ$2-$E$2,FALSE))*$D$9*$D$8*(HLOOKUP(BQ$23,$G$18:$R$19,2,FALSE)*(1-$D$12)^($F40-'הנחות עבודה'!$C$5)/$D$11)/$D$11)</f>
        <v>0</v>
      </c>
      <c r="BR40" s="127">
        <f ca="1">IF(OR($F40&gt;$D$5,$F40&gt;MAX('הנחות עבודה'!$B$69:$B$89)),0,(VLOOKUP($F40,'התפלגות ייצור וסל דלקים'!$B$64:$BV$84,BR$2-$E$2,FALSE))*$D$9*$D$8*(HLOOKUP(BR$23,$G$18:$R$19,2,FALSE)*(1-$D$12)^($F40-'הנחות עבודה'!$C$5)/$D$11)/$D$11)</f>
        <v>0</v>
      </c>
      <c r="BS40" s="127">
        <f ca="1">IF(OR($F40&gt;$D$5,$F40&gt;MAX('הנחות עבודה'!$B$69:$B$89)),0,(VLOOKUP($F40,'התפלגות ייצור וסל דלקים'!$B$64:$BV$84,BS$2-$E$2,FALSE))*$D$9*$D$8*(HLOOKUP(BS$23,$G$18:$R$19,2,FALSE)*(1-$D$12)^($F40-'הנחות עבודה'!$C$5)/$D$11)/$D$11)</f>
        <v>0</v>
      </c>
      <c r="BT40" s="127">
        <f ca="1">IF(OR($F40&gt;$D$5,$F40&gt;MAX('הנחות עבודה'!$B$69:$B$89)),0,(VLOOKUP($F40,'התפלגות ייצור וסל דלקים'!$B$64:$BV$84,BT$2-$E$2,FALSE))*$D$9*$D$8*(HLOOKUP(BT$23,$G$18:$R$19,2,FALSE)*(1-$D$12)^($F40-'הנחות עבודה'!$C$5)/$D$11)/$D$11)</f>
        <v>0</v>
      </c>
      <c r="BU40" s="52">
        <f ca="1">IF(OR($F40&gt;$D$5,$F40&gt;MAX('הנחות עבודה'!$B$69:$B$89)),0,(VLOOKUP($F40,'התפלגות ייצור וסל דלקים'!$B$64:$BV$84,BU$2-$E$2,FALSE))*$D$9*$D$8*(HLOOKUP(BU$23,$G$18:$R$19,2,FALSE)*(1-$D$12)^($F40-'הנחות עבודה'!$C$5)/$D$11)/$D$11)</f>
        <v>1.3057600000000003E-4</v>
      </c>
      <c r="BV40" s="52">
        <f ca="1">IF(OR($F40&gt;$D$5,$F40&gt;MAX('הנחות עבודה'!$B$69:$B$89)),0,(VLOOKUP($F40,'התפלגות ייצור וסל דלקים'!$B$64:$BV$84,BV$2-$E$2,FALSE))*$D$9*$D$8*(HLOOKUP(BV$23,$G$18:$R$19,2,FALSE)*(1-$D$12)^($F40-'הנחות עבודה'!$C$5)/$D$11)/$D$11)</f>
        <v>5.6953492354346134E-4</v>
      </c>
      <c r="BW40" s="52">
        <f ca="1">IF(OR($F40&gt;$D$5,$F40&gt;MAX('הנחות עבודה'!$B$69:$B$89)),0,(VLOOKUP($F40,'התפלגות ייצור וסל דלקים'!$B$64:$BV$84,BW$2-$E$2,FALSE))*$D$9*$D$8*(HLOOKUP(BW$23,$G$18:$R$19,2,FALSE)*(1-$D$12)^($F40-'הנחות עבודה'!$C$5)/$D$11)/$D$11)</f>
        <v>0</v>
      </c>
      <c r="BX40" s="52">
        <f ca="1">IF(OR($F40&gt;$D$5,$F40&gt;MAX('הנחות עבודה'!$B$69:$B$89)),0,(VLOOKUP($F40,'התפלגות ייצור וסל דלקים'!$B$64:$BV$84,BX$2-$E$2,FALSE))*$D$9*$D$8*(HLOOKUP(BX$23,$G$18:$R$19,2,FALSE)*(1-$D$12)^($F40-'הנחות עבודה'!$C$5)/$D$11)/$D$11)</f>
        <v>0</v>
      </c>
      <c r="BY40" s="52">
        <f ca="1">IF(OR($F40&gt;$D$5,$F40&gt;MAX('הנחות עבודה'!$B$69:$B$89)),0,(VLOOKUP($F40,'התפלגות ייצור וסל דלקים'!$B$64:$BV$84,BY$2-$E$2,FALSE))*$D$9*$D$8*(HLOOKUP(BY$23,$G$18:$R$19,2,FALSE)*(1-$D$12)^($F40-'הנחות עבודה'!$C$5)/$D$11)/$D$11)</f>
        <v>0</v>
      </c>
      <c r="BZ40" s="52">
        <f ca="1">IF(OR($F40&gt;$D$5,$F40&gt;MAX('הנחות עבודה'!$B$69:$B$89)),0,(VLOOKUP($F40,'התפלגות ייצור וסל דלקים'!$B$64:$BV$84,BZ$2-$E$2,FALSE))*$D$9*$D$8*(HLOOKUP(BZ$23,$G$18:$R$19,2,FALSE)*(1-$D$12)^($F40-'הנחות עבודה'!$C$5)/$D$11)/$D$11)</f>
        <v>0</v>
      </c>
    </row>
    <row r="41" spans="6:78" ht="15.75">
      <c r="F41" s="10">
        <f t="shared" si="108"/>
        <v>2037</v>
      </c>
      <c r="G41" s="42">
        <f ca="1">IF(OR($F41&gt;$D$5,$F41&gt;MAX('הנחות עבודה'!$B$69:$B$89)),0,(VLOOKUP($F41,'התפלגות ייצור וסל דלקים'!$B$64:$BV$84,G$2-$E$2,FALSE))*$D$9*$D$8*(HLOOKUP(G$23,$G$18:$R$19,2,FALSE)*(1-$D$12)^($F41-'הנחות עבודה'!$C$5)/$D$11)/$D$11)</f>
        <v>0</v>
      </c>
      <c r="H41" s="44">
        <f ca="1">IF(OR($F41&gt;$D$5,$F41&gt;MAX('הנחות עבודה'!$B$69:$B$89)),0,(VLOOKUP($F41,'התפלגות ייצור וסל דלקים'!$B$64:$BV$84,H$2-$E$2,FALSE))*$D$9*$D$8*(HLOOKUP(H$23,$G$18:$R$19,2,FALSE)*(1-$D$12)^($F41-'הנחות עבודה'!$C$5)/$D$11)/$D$11)</f>
        <v>0</v>
      </c>
      <c r="I41" s="44">
        <f ca="1">IF(OR($F41&gt;$D$5,$F41&gt;MAX('הנחות עבודה'!$B$69:$B$89)),0,(VLOOKUP($F41,'התפלגות ייצור וסל דלקים'!$B$64:$BV$84,I$2-$E$2,FALSE))*$D$9*$D$8*(HLOOKUP(I$23,$G$18:$R$19,2,FALSE)*(1-$D$12)^($F41-'הנחות עבודה'!$C$5)/$D$11)/$D$11)</f>
        <v>0</v>
      </c>
      <c r="J41" s="44">
        <f ca="1">IF(OR($F41&gt;$D$5,$F41&gt;MAX('הנחות עבודה'!$B$69:$B$89)),0,(VLOOKUP($F41,'התפלגות ייצור וסל דלקים'!$B$64:$BV$84,J$2-$E$2,FALSE))*$D$9*$D$8*(HLOOKUP(J$23,$G$18:$R$19,2,FALSE)*(1-$D$12)^($F41-'הנחות עבודה'!$C$5)/$D$11)/$D$11)</f>
        <v>0</v>
      </c>
      <c r="K41" s="44">
        <f ca="1">IF(OR($F41&gt;$D$5,$F41&gt;MAX('הנחות עבודה'!$B$69:$B$89)),0,(VLOOKUP($F41,'התפלגות ייצור וסל דלקים'!$B$64:$BV$84,K$2-$E$2,FALSE))*$D$9*$D$8*(HLOOKUP(K$23,$G$18:$R$19,2,FALSE)*(1-$D$12)^($F41-'הנחות עבודה'!$C$5)/$D$11)/$D$11)</f>
        <v>0</v>
      </c>
      <c r="L41" s="44">
        <f ca="1">IF(OR($F41&gt;$D$5,$F41&gt;MAX('הנחות עבודה'!$B$69:$B$89)),0,(VLOOKUP($F41,'התפלגות ייצור וסל דלקים'!$B$64:$BV$84,L$2-$E$2,FALSE))*$D$9*$D$8*(HLOOKUP(L$23,$G$18:$R$19,2,FALSE)*(1-$D$12)^($F41-'הנחות עבודה'!$C$5)/$D$11)/$D$11)</f>
        <v>0</v>
      </c>
      <c r="M41" s="42">
        <f ca="1">IF(OR($F41&gt;$D$5,$F41&gt;MAX('הנחות עבודה'!$B$69:$B$89)),0,(VLOOKUP($F41,'התפלגות ייצור וסל דלקים'!$B$64:$BV$84,M$2-$E$2,FALSE))*$D$9*$D$8*(HLOOKUP(M$23,$G$18:$R$19,2,FALSE)*(1-$D$12)^($F41-'הנחות עבודה'!$C$5)/$D$11)/$D$11)</f>
        <v>1.2229168000000003E-4</v>
      </c>
      <c r="N41" s="42">
        <f ca="1">IF(OR($F41&gt;$D$5,$F41&gt;MAX('הנחות עבודה'!$B$69:$B$89)),0,(VLOOKUP($F41,'התפלגות ייצור וסל דלקים'!$B$64:$BV$84,N$2-$E$2,FALSE))*$D$9*$D$8*(HLOOKUP(N$23,$G$18:$R$19,2,FALSE)*(1-$D$12)^($F41-'הנחות עבודה'!$C$5)/$D$11)/$D$11)</f>
        <v>7.0384179048013564E-4</v>
      </c>
      <c r="O41" s="42">
        <f ca="1">IF(OR($F41&gt;$D$5,$F41&gt;MAX('הנחות עבודה'!$B$69:$B$89)),0,(VLOOKUP($F41,'התפלגות ייצור וסל דלקים'!$B$64:$BV$84,O$2-$E$2,FALSE))*$D$9*$D$8*(HLOOKUP(O$23,$G$18:$R$19,2,FALSE)*(1-$D$12)^($F41-'הנחות עבודה'!$C$5)/$D$11)/$D$11)</f>
        <v>0</v>
      </c>
      <c r="P41" s="42">
        <f ca="1">IF(OR($F41&gt;$D$5,$F41&gt;MAX('הנחות עבודה'!$B$69:$B$89)),0,(VLOOKUP($F41,'התפלגות ייצור וסל דלקים'!$B$64:$BV$84,P$2-$E$2,FALSE))*$D$9*$D$8*(HLOOKUP(P$23,$G$18:$R$19,2,FALSE)*(1-$D$12)^($F41-'הנחות עבודה'!$C$5)/$D$11)/$D$11)</f>
        <v>0</v>
      </c>
      <c r="Q41" s="42">
        <f ca="1">IF(OR($F41&gt;$D$5,$F41&gt;MAX('הנחות עבודה'!$B$69:$B$89)),0,(VLOOKUP($F41,'התפלגות ייצור וסל דלקים'!$B$64:$BV$84,Q$2-$E$2,FALSE))*$D$9*$D$8*(HLOOKUP(Q$23,$G$18:$R$19,2,FALSE)*(1-$D$12)^($F41-'הנחות עבודה'!$C$5)/$D$11)/$D$11)</f>
        <v>0</v>
      </c>
      <c r="R41" s="42">
        <f ca="1">IF(OR($F41&gt;$D$5,$F41&gt;MAX('הנחות עבודה'!$B$69:$B$89)),0,(VLOOKUP($F41,'התפלגות ייצור וסל דלקים'!$B$64:$BV$84,R$2-$E$2,FALSE))*$D$9*$D$8*(HLOOKUP(R$23,$G$18:$R$19,2,FALSE)*(1-$D$12)^($F41-'הנחות עבודה'!$C$5)/$D$11)/$D$11)</f>
        <v>0</v>
      </c>
      <c r="S41" s="52">
        <f ca="1">IF(OR($F41&gt;$D$5,$F41&gt;MAX('הנחות עבודה'!$B$69:$B$89)),0,(VLOOKUP($F41,'התפלגות ייצור וסל דלקים'!$B$64:$BV$84,S$2-$E$2,FALSE))*$D$9*$D$8*(HLOOKUP(S$23,$G$18:$R$19,2,FALSE)*(1-$D$12)^($F41-'הנחות עבודה'!$C$5)/$D$11)/$D$11)</f>
        <v>0</v>
      </c>
      <c r="T41" s="127">
        <f ca="1">IF(OR($F41&gt;$D$5,$F41&gt;MAX('הנחות עבודה'!$B$69:$B$89)),0,(VLOOKUP($F41,'התפלגות ייצור וסל דלקים'!$B$64:$BV$84,T$2-$E$2,FALSE))*$D$9*$D$8*(HLOOKUP(T$23,$G$18:$R$19,2,FALSE)*(1-$D$12)^($F41-'הנחות עבודה'!$C$5)/$D$11)/$D$11)</f>
        <v>0</v>
      </c>
      <c r="U41" s="127">
        <f ca="1">IF(OR($F41&gt;$D$5,$F41&gt;MAX('הנחות עבודה'!$B$69:$B$89)),0,(VLOOKUP($F41,'התפלגות ייצור וסל דלקים'!$B$64:$BV$84,U$2-$E$2,FALSE))*$D$9*$D$8*(HLOOKUP(U$23,$G$18:$R$19,2,FALSE)*(1-$D$12)^($F41-'הנחות עבודה'!$C$5)/$D$11)/$D$11)</f>
        <v>0</v>
      </c>
      <c r="V41" s="127">
        <f ca="1">IF(OR($F41&gt;$D$5,$F41&gt;MAX('הנחות עבודה'!$B$69:$B$89)),0,(VLOOKUP($F41,'התפלגות ייצור וסל דלקים'!$B$64:$BV$84,V$2-$E$2,FALSE))*$D$9*$D$8*(HLOOKUP(V$23,$G$18:$R$19,2,FALSE)*(1-$D$12)^($F41-'הנחות עבודה'!$C$5)/$D$11)/$D$11)</f>
        <v>0</v>
      </c>
      <c r="W41" s="127">
        <f ca="1">IF(OR($F41&gt;$D$5,$F41&gt;MAX('הנחות עבודה'!$B$69:$B$89)),0,(VLOOKUP($F41,'התפלגות ייצור וסל דלקים'!$B$64:$BV$84,W$2-$E$2,FALSE))*$D$9*$D$8*(HLOOKUP(W$23,$G$18:$R$19,2,FALSE)*(1-$D$12)^($F41-'הנחות עבודה'!$C$5)/$D$11)/$D$11)</f>
        <v>0</v>
      </c>
      <c r="X41" s="127">
        <f ca="1">IF(OR($F41&gt;$D$5,$F41&gt;MAX('הנחות עבודה'!$B$69:$B$89)),0,(VLOOKUP($F41,'התפלגות ייצור וסל דלקים'!$B$64:$BV$84,X$2-$E$2,FALSE))*$D$9*$D$8*(HLOOKUP(X$23,$G$18:$R$19,2,FALSE)*(1-$D$12)^($F41-'הנחות עבודה'!$C$5)/$D$11)/$D$11)</f>
        <v>0</v>
      </c>
      <c r="Y41" s="52">
        <f ca="1">IF(OR($F41&gt;$D$5,$F41&gt;MAX('הנחות עבודה'!$B$69:$B$89)),0,(VLOOKUP($F41,'התפלגות ייצור וסל דלקים'!$B$64:$BV$84,Y$2-$E$2,FALSE))*$D$9*$D$8*(HLOOKUP(Y$23,$G$18:$R$19,2,FALSE)*(1-$D$12)^($F41-'הנחות עבודה'!$C$5)/$D$11)/$D$11)</f>
        <v>1.2229168000000003E-4</v>
      </c>
      <c r="Z41" s="52">
        <f ca="1">IF(OR($F41&gt;$D$5,$F41&gt;MAX('הנחות עבודה'!$B$69:$B$89)),0,(VLOOKUP($F41,'התפלגות ייצור וסל דלקים'!$B$64:$BV$84,Z$2-$E$2,FALSE))*$D$9*$D$8*(HLOOKUP(Z$23,$G$18:$R$19,2,FALSE)*(1-$D$12)^($F41-'הנחות עבודה'!$C$5)/$D$11)/$D$11)</f>
        <v>7.0384179048013564E-4</v>
      </c>
      <c r="AA41" s="52">
        <f ca="1">IF(OR($F41&gt;$D$5,$F41&gt;MAX('הנחות עבודה'!$B$69:$B$89)),0,(VLOOKUP($F41,'התפלגות ייצור וסל דלקים'!$B$64:$BV$84,AA$2-$E$2,FALSE))*$D$9*$D$8*(HLOOKUP(AA$23,$G$18:$R$19,2,FALSE)*(1-$D$12)^($F41-'הנחות עבודה'!$C$5)/$D$11)/$D$11)</f>
        <v>0</v>
      </c>
      <c r="AB41" s="52">
        <f ca="1">IF(OR($F41&gt;$D$5,$F41&gt;MAX('הנחות עבודה'!$B$69:$B$89)),0,(VLOOKUP($F41,'התפלגות ייצור וסל דלקים'!$B$64:$BV$84,AB$2-$E$2,FALSE))*$D$9*$D$8*(HLOOKUP(AB$23,$G$18:$R$19,2,FALSE)*(1-$D$12)^($F41-'הנחות עבודה'!$C$5)/$D$11)/$D$11)</f>
        <v>0</v>
      </c>
      <c r="AC41" s="52">
        <f ca="1">IF(OR($F41&gt;$D$5,$F41&gt;MAX('הנחות עבודה'!$B$69:$B$89)),0,(VLOOKUP($F41,'התפלגות ייצור וסל דלקים'!$B$64:$BV$84,AC$2-$E$2,FALSE))*$D$9*$D$8*(HLOOKUP(AC$23,$G$18:$R$19,2,FALSE)*(1-$D$12)^($F41-'הנחות עבודה'!$C$5)/$D$11)/$D$11)</f>
        <v>0</v>
      </c>
      <c r="AD41" s="52">
        <f ca="1">IF(OR($F41&gt;$D$5,$F41&gt;MAX('הנחות עבודה'!$B$69:$B$89)),0,(VLOOKUP($F41,'התפלגות ייצור וסל דלקים'!$B$64:$BV$84,AD$2-$E$2,FALSE))*$D$9*$D$8*(HLOOKUP(AD$23,$G$18:$R$19,2,FALSE)*(1-$D$12)^($F41-'הנחות עבודה'!$C$5)/$D$11)/$D$11)</f>
        <v>0</v>
      </c>
      <c r="AE41" s="42">
        <f ca="1">IF(OR($F41&gt;$D$5,$F41&gt;MAX('הנחות עבודה'!$B$69:$B$89)),0,(VLOOKUP($F41,'התפלגות ייצור וסל דלקים'!$B$64:$BV$84,AE$2-$E$2,FALSE))*$D$9*$D$8*(HLOOKUP(AE$23,$G$18:$R$19,2,FALSE)*(1-$D$12)^($F41-'הנחות עבודה'!$C$5)/$D$11)/$D$11)</f>
        <v>0</v>
      </c>
      <c r="AF41" s="44">
        <f ca="1">IF(OR($F41&gt;$D$5,$F41&gt;MAX('הנחות עבודה'!$B$69:$B$89)),0,(VLOOKUP($F41,'התפלגות ייצור וסל דלקים'!$B$64:$BV$84,AF$2-$E$2,FALSE))*$D$9*$D$8*(HLOOKUP(AF$23,$G$18:$R$19,2,FALSE)*(1-$D$12)^($F41-'הנחות עבודה'!$C$5)/$D$11)/$D$11)</f>
        <v>0</v>
      </c>
      <c r="AG41" s="44">
        <f ca="1">IF(OR($F41&gt;$D$5,$F41&gt;MAX('הנחות עבודה'!$B$69:$B$89)),0,(VLOOKUP($F41,'התפלגות ייצור וסל דלקים'!$B$64:$BV$84,AG$2-$E$2,FALSE))*$D$9*$D$8*(HLOOKUP(AG$23,$G$18:$R$19,2,FALSE)*(1-$D$12)^($F41-'הנחות עבודה'!$C$5)/$D$11)/$D$11)</f>
        <v>0</v>
      </c>
      <c r="AH41" s="44">
        <f ca="1">IF(OR($F41&gt;$D$5,$F41&gt;MAX('הנחות עבודה'!$B$69:$B$89)),0,(VLOOKUP($F41,'התפלגות ייצור וסל דלקים'!$B$64:$BV$84,AH$2-$E$2,FALSE))*$D$9*$D$8*(HLOOKUP(AH$23,$G$18:$R$19,2,FALSE)*(1-$D$12)^($F41-'הנחות עבודה'!$C$5)/$D$11)/$D$11)</f>
        <v>0</v>
      </c>
      <c r="AI41" s="44">
        <f ca="1">IF(OR($F41&gt;$D$5,$F41&gt;MAX('הנחות עבודה'!$B$69:$B$89)),0,(VLOOKUP($F41,'התפלגות ייצור וסל דלקים'!$B$64:$BV$84,AI$2-$E$2,FALSE))*$D$9*$D$8*(HLOOKUP(AI$23,$G$18:$R$19,2,FALSE)*(1-$D$12)^($F41-'הנחות עבודה'!$C$5)/$D$11)/$D$11)</f>
        <v>0</v>
      </c>
      <c r="AJ41" s="44">
        <f ca="1">IF(OR($F41&gt;$D$5,$F41&gt;MAX('הנחות עבודה'!$B$69:$B$89)),0,(VLOOKUP($F41,'התפלגות ייצור וסל דלקים'!$B$64:$BV$84,AJ$2-$E$2,FALSE))*$D$9*$D$8*(HLOOKUP(AJ$23,$G$18:$R$19,2,FALSE)*(1-$D$12)^($F41-'הנחות עבודה'!$C$5)/$D$11)/$D$11)</f>
        <v>0</v>
      </c>
      <c r="AK41" s="42">
        <f ca="1">IF(OR($F41&gt;$D$5,$F41&gt;MAX('הנחות עבודה'!$B$69:$B$89)),0,(VLOOKUP($F41,'התפלגות ייצור וסל דלקים'!$B$64:$BV$84,AK$2-$E$2,FALSE))*$D$9*$D$8*(HLOOKUP(AK$23,$G$18:$R$19,2,FALSE)*(1-$D$12)^($F41-'הנחות עבודה'!$C$5)/$D$11)/$D$11)</f>
        <v>1.2769704E-4</v>
      </c>
      <c r="AL41" s="42">
        <f ca="1">IF(OR($F41&gt;$D$5,$F41&gt;MAX('הנחות עבודה'!$B$69:$B$89)),0,(VLOOKUP($F41,'התפלגות ייצור וסל דלקים'!$B$64:$BV$84,AL$2-$E$2,FALSE))*$D$9*$D$8*(HLOOKUP(AL$23,$G$18:$R$19,2,FALSE)*(1-$D$12)^($F41-'הנחות עבודה'!$C$5)/$D$11)/$D$11)</f>
        <v>6.3872778142591341E-4</v>
      </c>
      <c r="AM41" s="42">
        <f ca="1">IF(OR($F41&gt;$D$5,$F41&gt;MAX('הנחות עבודה'!$B$69:$B$89)),0,(VLOOKUP($F41,'התפלגות ייצור וסל דלקים'!$B$64:$BV$84,AM$2-$E$2,FALSE))*$D$9*$D$8*(HLOOKUP(AM$23,$G$18:$R$19,2,FALSE)*(1-$D$12)^($F41-'הנחות עבודה'!$C$5)/$D$11)/$D$11)</f>
        <v>0</v>
      </c>
      <c r="AN41" s="42">
        <f ca="1">IF(OR($F41&gt;$D$5,$F41&gt;MAX('הנחות עבודה'!$B$69:$B$89)),0,(VLOOKUP($F41,'התפלגות ייצור וסל דלקים'!$B$64:$BV$84,AN$2-$E$2,FALSE))*$D$9*$D$8*(HLOOKUP(AN$23,$G$18:$R$19,2,FALSE)*(1-$D$12)^($F41-'הנחות עבודה'!$C$5)/$D$11)/$D$11)</f>
        <v>0</v>
      </c>
      <c r="AO41" s="42">
        <f ca="1">IF(OR($F41&gt;$D$5,$F41&gt;MAX('הנחות עבודה'!$B$69:$B$89)),0,(VLOOKUP($F41,'התפלגות ייצור וסל דלקים'!$B$64:$BV$84,AO$2-$E$2,FALSE))*$D$9*$D$8*(HLOOKUP(AO$23,$G$18:$R$19,2,FALSE)*(1-$D$12)^($F41-'הנחות עבודה'!$C$5)/$D$11)/$D$11)</f>
        <v>0</v>
      </c>
      <c r="AP41" s="42">
        <f ca="1">IF(OR($F41&gt;$D$5,$F41&gt;MAX('הנחות עבודה'!$B$69:$B$89)),0,(VLOOKUP($F41,'התפלגות ייצור וסל דלקים'!$B$64:$BV$84,AP$2-$E$2,FALSE))*$D$9*$D$8*(HLOOKUP(AP$23,$G$18:$R$19,2,FALSE)*(1-$D$12)^($F41-'הנחות עבודה'!$C$5)/$D$11)/$D$11)</f>
        <v>0</v>
      </c>
      <c r="AQ41" s="52">
        <f ca="1">IF(OR($F41&gt;$D$5,$F41&gt;MAX('הנחות עבודה'!$B$69:$B$89)),0,(VLOOKUP($F41,'התפלגות ייצור וסל דלקים'!$B$64:$BV$84,AQ$2-$E$2,FALSE))*$D$9*$D$8*(HLOOKUP(AQ$23,$G$18:$R$19,2,FALSE)*(1-$D$12)^($F41-'הנחות עבודה'!$C$5)/$D$11)/$D$11)</f>
        <v>0</v>
      </c>
      <c r="AR41" s="127">
        <f ca="1">IF(OR($F41&gt;$D$5,$F41&gt;MAX('הנחות עבודה'!$B$69:$B$89)),0,(VLOOKUP($F41,'התפלגות ייצור וסל דלקים'!$B$64:$BV$84,AR$2-$E$2,FALSE))*$D$9*$D$8*(HLOOKUP(AR$23,$G$18:$R$19,2,FALSE)*(1-$D$12)^($F41-'הנחות עבודה'!$C$5)/$D$11)/$D$11)</f>
        <v>0</v>
      </c>
      <c r="AS41" s="127">
        <f ca="1">IF(OR($F41&gt;$D$5,$F41&gt;MAX('הנחות עבודה'!$B$69:$B$89)),0,(VLOOKUP($F41,'התפלגות ייצור וסל דלקים'!$B$64:$BV$84,AS$2-$E$2,FALSE))*$D$9*$D$8*(HLOOKUP(AS$23,$G$18:$R$19,2,FALSE)*(1-$D$12)^($F41-'הנחות עבודה'!$C$5)/$D$11)/$D$11)</f>
        <v>0</v>
      </c>
      <c r="AT41" s="127">
        <f ca="1">IF(OR($F41&gt;$D$5,$F41&gt;MAX('הנחות עבודה'!$B$69:$B$89)),0,(VLOOKUP($F41,'התפלגות ייצור וסל דלקים'!$B$64:$BV$84,AT$2-$E$2,FALSE))*$D$9*$D$8*(HLOOKUP(AT$23,$G$18:$R$19,2,FALSE)*(1-$D$12)^($F41-'הנחות עבודה'!$C$5)/$D$11)/$D$11)</f>
        <v>0</v>
      </c>
      <c r="AU41" s="127">
        <f ca="1">IF(OR($F41&gt;$D$5,$F41&gt;MAX('הנחות עבודה'!$B$69:$B$89)),0,(VLOOKUP($F41,'התפלגות ייצור וסל דלקים'!$B$64:$BV$84,AU$2-$E$2,FALSE))*$D$9*$D$8*(HLOOKUP(AU$23,$G$18:$R$19,2,FALSE)*(1-$D$12)^($F41-'הנחות עבודה'!$C$5)/$D$11)/$D$11)</f>
        <v>0</v>
      </c>
      <c r="AV41" s="127">
        <f ca="1">IF(OR($F41&gt;$D$5,$F41&gt;MAX('הנחות עבודה'!$B$69:$B$89)),0,(VLOOKUP($F41,'התפלגות ייצור וסל דלקים'!$B$64:$BV$84,AV$2-$E$2,FALSE))*$D$9*$D$8*(HLOOKUP(AV$23,$G$18:$R$19,2,FALSE)*(1-$D$12)^($F41-'הנחות עבודה'!$C$5)/$D$11)/$D$11)</f>
        <v>0</v>
      </c>
      <c r="AW41" s="52">
        <f ca="1">IF(OR($F41&gt;$D$5,$F41&gt;MAX('הנחות עבודה'!$B$69:$B$89)),0,(VLOOKUP($F41,'התפלגות ייצור וסל דלקים'!$B$64:$BV$84,AW$2-$E$2,FALSE))*$D$9*$D$8*(HLOOKUP(AW$23,$G$18:$R$19,2,FALSE)*(1-$D$12)^($F41-'הנחות עבודה'!$C$5)/$D$11)/$D$11)</f>
        <v>1.2769704E-4</v>
      </c>
      <c r="AX41" s="52">
        <f ca="1">IF(OR($F41&gt;$D$5,$F41&gt;MAX('הנחות עבודה'!$B$69:$B$89)),0,(VLOOKUP($F41,'התפלגות ייצור וסל דלקים'!$B$64:$BV$84,AX$2-$E$2,FALSE))*$D$9*$D$8*(HLOOKUP(AX$23,$G$18:$R$19,2,FALSE)*(1-$D$12)^($F41-'הנחות עבודה'!$C$5)/$D$11)/$D$11)</f>
        <v>6.3872778142591341E-4</v>
      </c>
      <c r="AY41" s="52">
        <f ca="1">IF(OR($F41&gt;$D$5,$F41&gt;MAX('הנחות עבודה'!$B$69:$B$89)),0,(VLOOKUP($F41,'התפלגות ייצור וסל דלקים'!$B$64:$BV$84,AY$2-$E$2,FALSE))*$D$9*$D$8*(HLOOKUP(AY$23,$G$18:$R$19,2,FALSE)*(1-$D$12)^($F41-'הנחות עבודה'!$C$5)/$D$11)/$D$11)</f>
        <v>0</v>
      </c>
      <c r="AZ41" s="52">
        <f ca="1">IF(OR($F41&gt;$D$5,$F41&gt;MAX('הנחות עבודה'!$B$69:$B$89)),0,(VLOOKUP($F41,'התפלגות ייצור וסל דלקים'!$B$64:$BV$84,AZ$2-$E$2,FALSE))*$D$9*$D$8*(HLOOKUP(AZ$23,$G$18:$R$19,2,FALSE)*(1-$D$12)^($F41-'הנחות עבודה'!$C$5)/$D$11)/$D$11)</f>
        <v>0</v>
      </c>
      <c r="BA41" s="52">
        <f ca="1">IF(OR($F41&gt;$D$5,$F41&gt;MAX('הנחות עבודה'!$B$69:$B$89)),0,(VLOOKUP($F41,'התפלגות ייצור וסל דלקים'!$B$64:$BV$84,BA$2-$E$2,FALSE))*$D$9*$D$8*(HLOOKUP(BA$23,$G$18:$R$19,2,FALSE)*(1-$D$12)^($F41-'הנחות עבודה'!$C$5)/$D$11)/$D$11)</f>
        <v>0</v>
      </c>
      <c r="BB41" s="52">
        <f ca="1">IF(OR($F41&gt;$D$5,$F41&gt;MAX('הנחות עבודה'!$B$69:$B$89)),0,(VLOOKUP($F41,'התפלגות ייצור וסל דלקים'!$B$64:$BV$84,BB$2-$E$2,FALSE))*$D$9*$D$8*(HLOOKUP(BB$23,$G$18:$R$19,2,FALSE)*(1-$D$12)^($F41-'הנחות עבודה'!$C$5)/$D$11)/$D$11)</f>
        <v>0</v>
      </c>
      <c r="BC41" s="42">
        <f ca="1">IF(OR($F41&gt;$D$5,$F41&gt;MAX('הנחות עבודה'!$B$69:$B$89)),0,(VLOOKUP($F41,'התפלגות ייצור וסל דלקים'!$B$64:$BV$84,BC$2-$E$2,FALSE))*$D$9*$D$8*(HLOOKUP(BC$23,$G$18:$R$19,2,FALSE)*(1-$D$12)^($F41-'הנחות עבודה'!$C$5)/$D$11)/$D$11)</f>
        <v>0</v>
      </c>
      <c r="BD41" s="44">
        <f ca="1">IF(OR($F41&gt;$D$5,$F41&gt;MAX('הנחות עבודה'!$B$69:$B$89)),0,(VLOOKUP($F41,'התפלגות ייצור וסל דלקים'!$B$64:$BV$84,BD$2-$E$2,FALSE))*$D$9*$D$8*(HLOOKUP(BD$23,$G$18:$R$19,2,FALSE)*(1-$D$12)^($F41-'הנחות עבודה'!$C$5)/$D$11)/$D$11)</f>
        <v>0</v>
      </c>
      <c r="BE41" s="44">
        <f ca="1">IF(OR($F41&gt;$D$5,$F41&gt;MAX('הנחות עבודה'!$B$69:$B$89)),0,(VLOOKUP($F41,'התפלגות ייצור וסל דלקים'!$B$64:$BV$84,BE$2-$E$2,FALSE))*$D$9*$D$8*(HLOOKUP(BE$23,$G$18:$R$19,2,FALSE)*(1-$D$12)^($F41-'הנחות עבודה'!$C$5)/$D$11)/$D$11)</f>
        <v>0</v>
      </c>
      <c r="BF41" s="44">
        <f ca="1">IF(OR($F41&gt;$D$5,$F41&gt;MAX('הנחות עבודה'!$B$69:$B$89)),0,(VLOOKUP($F41,'התפלגות ייצור וסל דלקים'!$B$64:$BV$84,BF$2-$E$2,FALSE))*$D$9*$D$8*(HLOOKUP(BF$23,$G$18:$R$19,2,FALSE)*(1-$D$12)^($F41-'הנחות עבודה'!$C$5)/$D$11)/$D$11)</f>
        <v>0</v>
      </c>
      <c r="BG41" s="44">
        <f ca="1">IF(OR($F41&gt;$D$5,$F41&gt;MAX('הנחות עבודה'!$B$69:$B$89)),0,(VLOOKUP($F41,'התפלגות ייצור וסל דלקים'!$B$64:$BV$84,BG$2-$E$2,FALSE))*$D$9*$D$8*(HLOOKUP(BG$23,$G$18:$R$19,2,FALSE)*(1-$D$12)^($F41-'הנחות עבודה'!$C$5)/$D$11)/$D$11)</f>
        <v>0</v>
      </c>
      <c r="BH41" s="44">
        <f ca="1">IF(OR($F41&gt;$D$5,$F41&gt;MAX('הנחות עבודה'!$B$69:$B$89)),0,(VLOOKUP($F41,'התפלגות ייצור וסל דלקים'!$B$64:$BV$84,BH$2-$E$2,FALSE))*$D$9*$D$8*(HLOOKUP(BH$23,$G$18:$R$19,2,FALSE)*(1-$D$12)^($F41-'הנחות עבודה'!$C$5)/$D$11)/$D$11)</f>
        <v>0</v>
      </c>
      <c r="BI41" s="42">
        <f ca="1">IF(OR($F41&gt;$D$5,$F41&gt;MAX('הנחות עבודה'!$B$69:$B$89)),0,(VLOOKUP($F41,'התפלגות ייצור וסל דלקים'!$B$64:$BV$84,BI$2-$E$2,FALSE))*$D$9*$D$8*(HLOOKUP(BI$23,$G$18:$R$19,2,FALSE)*(1-$D$12)^($F41-'הנחות עבודה'!$C$5)/$D$11)/$D$11)</f>
        <v>1.30264E-4</v>
      </c>
      <c r="BJ41" s="42">
        <f ca="1">IF(OR($F41&gt;$D$5,$F41&gt;MAX('הנחות עבודה'!$B$69:$B$89)),0,(VLOOKUP($F41,'התפלגות ייצור וסל דלקים'!$B$64:$BV$84,BJ$2-$E$2,FALSE))*$D$9*$D$8*(HLOOKUP(BJ$23,$G$18:$R$19,2,FALSE)*(1-$D$12)^($F41-'הנחות עבודה'!$C$5)/$D$11)/$D$11)</f>
        <v>5.9891391576702446E-4</v>
      </c>
      <c r="BK41" s="42">
        <f ca="1">IF(OR($F41&gt;$D$5,$F41&gt;MAX('הנחות עבודה'!$B$69:$B$89)),0,(VLOOKUP($F41,'התפלגות ייצור וסל דלקים'!$B$64:$BV$84,BK$2-$E$2,FALSE))*$D$9*$D$8*(HLOOKUP(BK$23,$G$18:$R$19,2,FALSE)*(1-$D$12)^($F41-'הנחות עבודה'!$C$5)/$D$11)/$D$11)</f>
        <v>0</v>
      </c>
      <c r="BL41" s="42">
        <f ca="1">IF(OR($F41&gt;$D$5,$F41&gt;MAX('הנחות עבודה'!$B$69:$B$89)),0,(VLOOKUP($F41,'התפלגות ייצור וסל דלקים'!$B$64:$BV$84,BL$2-$E$2,FALSE))*$D$9*$D$8*(HLOOKUP(BL$23,$G$18:$R$19,2,FALSE)*(1-$D$12)^($F41-'הנחות עבודה'!$C$5)/$D$11)/$D$11)</f>
        <v>0</v>
      </c>
      <c r="BM41" s="42">
        <f ca="1">IF(OR($F41&gt;$D$5,$F41&gt;MAX('הנחות עבודה'!$B$69:$B$89)),0,(VLOOKUP($F41,'התפלגות ייצור וסל דלקים'!$B$64:$BV$84,BM$2-$E$2,FALSE))*$D$9*$D$8*(HLOOKUP(BM$23,$G$18:$R$19,2,FALSE)*(1-$D$12)^($F41-'הנחות עבודה'!$C$5)/$D$11)/$D$11)</f>
        <v>0</v>
      </c>
      <c r="BN41" s="42">
        <f ca="1">IF(OR($F41&gt;$D$5,$F41&gt;MAX('הנחות עבודה'!$B$69:$B$89)),0,(VLOOKUP($F41,'התפלגות ייצור וסל דלקים'!$B$64:$BV$84,BN$2-$E$2,FALSE))*$D$9*$D$8*(HLOOKUP(BN$23,$G$18:$R$19,2,FALSE)*(1-$D$12)^($F41-'הנחות עבודה'!$C$5)/$D$11)/$D$11)</f>
        <v>0</v>
      </c>
      <c r="BO41" s="52">
        <f ca="1">IF(OR($F41&gt;$D$5,$F41&gt;MAX('הנחות עבודה'!$B$69:$B$89)),0,(VLOOKUP($F41,'התפלגות ייצור וסל דלקים'!$B$64:$BV$84,BO$2-$E$2,FALSE))*$D$9*$D$8*(HLOOKUP(BO$23,$G$18:$R$19,2,FALSE)*(1-$D$12)^($F41-'הנחות עבודה'!$C$5)/$D$11)/$D$11)</f>
        <v>0</v>
      </c>
      <c r="BP41" s="127">
        <f ca="1">IF(OR($F41&gt;$D$5,$F41&gt;MAX('הנחות עבודה'!$B$69:$B$89)),0,(VLOOKUP($F41,'התפלגות ייצור וסל דלקים'!$B$64:$BV$84,BP$2-$E$2,FALSE))*$D$9*$D$8*(HLOOKUP(BP$23,$G$18:$R$19,2,FALSE)*(1-$D$12)^($F41-'הנחות עבודה'!$C$5)/$D$11)/$D$11)</f>
        <v>0</v>
      </c>
      <c r="BQ41" s="127">
        <f ca="1">IF(OR($F41&gt;$D$5,$F41&gt;MAX('הנחות עבודה'!$B$69:$B$89)),0,(VLOOKUP($F41,'התפלגות ייצור וסל דלקים'!$B$64:$BV$84,BQ$2-$E$2,FALSE))*$D$9*$D$8*(HLOOKUP(BQ$23,$G$18:$R$19,2,FALSE)*(1-$D$12)^($F41-'הנחות עבודה'!$C$5)/$D$11)/$D$11)</f>
        <v>0</v>
      </c>
      <c r="BR41" s="127">
        <f ca="1">IF(OR($F41&gt;$D$5,$F41&gt;MAX('הנחות עבודה'!$B$69:$B$89)),0,(VLOOKUP($F41,'התפלגות ייצור וסל דלקים'!$B$64:$BV$84,BR$2-$E$2,FALSE))*$D$9*$D$8*(HLOOKUP(BR$23,$G$18:$R$19,2,FALSE)*(1-$D$12)^($F41-'הנחות עבודה'!$C$5)/$D$11)/$D$11)</f>
        <v>0</v>
      </c>
      <c r="BS41" s="127">
        <f ca="1">IF(OR($F41&gt;$D$5,$F41&gt;MAX('הנחות עבודה'!$B$69:$B$89)),0,(VLOOKUP($F41,'התפלגות ייצור וסל דלקים'!$B$64:$BV$84,BS$2-$E$2,FALSE))*$D$9*$D$8*(HLOOKUP(BS$23,$G$18:$R$19,2,FALSE)*(1-$D$12)^($F41-'הנחות עבודה'!$C$5)/$D$11)/$D$11)</f>
        <v>0</v>
      </c>
      <c r="BT41" s="127">
        <f ca="1">IF(OR($F41&gt;$D$5,$F41&gt;MAX('הנחות עבודה'!$B$69:$B$89)),0,(VLOOKUP($F41,'התפלגות ייצור וסל דלקים'!$B$64:$BV$84,BT$2-$E$2,FALSE))*$D$9*$D$8*(HLOOKUP(BT$23,$G$18:$R$19,2,FALSE)*(1-$D$12)^($F41-'הנחות עבודה'!$C$5)/$D$11)/$D$11)</f>
        <v>0</v>
      </c>
      <c r="BU41" s="52">
        <f ca="1">IF(OR($F41&gt;$D$5,$F41&gt;MAX('הנחות עבודה'!$B$69:$B$89)),0,(VLOOKUP($F41,'התפלגות ייצור וסל דלקים'!$B$64:$BV$84,BU$2-$E$2,FALSE))*$D$9*$D$8*(HLOOKUP(BU$23,$G$18:$R$19,2,FALSE)*(1-$D$12)^($F41-'הנחות עבודה'!$C$5)/$D$11)/$D$11)</f>
        <v>1.30264E-4</v>
      </c>
      <c r="BV41" s="52">
        <f ca="1">IF(OR($F41&gt;$D$5,$F41&gt;MAX('הנחות עבודה'!$B$69:$B$89)),0,(VLOOKUP($F41,'התפלגות ייצור וסל דלקים'!$B$64:$BV$84,BV$2-$E$2,FALSE))*$D$9*$D$8*(HLOOKUP(BV$23,$G$18:$R$19,2,FALSE)*(1-$D$12)^($F41-'הנחות עבודה'!$C$5)/$D$11)/$D$11)</f>
        <v>5.9891391576702446E-4</v>
      </c>
      <c r="BW41" s="52">
        <f ca="1">IF(OR($F41&gt;$D$5,$F41&gt;MAX('הנחות עבודה'!$B$69:$B$89)),0,(VLOOKUP($F41,'התפלגות ייצור וסל דלקים'!$B$64:$BV$84,BW$2-$E$2,FALSE))*$D$9*$D$8*(HLOOKUP(BW$23,$G$18:$R$19,2,FALSE)*(1-$D$12)^($F41-'הנחות עבודה'!$C$5)/$D$11)/$D$11)</f>
        <v>0</v>
      </c>
      <c r="BX41" s="52">
        <f ca="1">IF(OR($F41&gt;$D$5,$F41&gt;MAX('הנחות עבודה'!$B$69:$B$89)),0,(VLOOKUP($F41,'התפלגות ייצור וסל דלקים'!$B$64:$BV$84,BX$2-$E$2,FALSE))*$D$9*$D$8*(HLOOKUP(BX$23,$G$18:$R$19,2,FALSE)*(1-$D$12)^($F41-'הנחות עבודה'!$C$5)/$D$11)/$D$11)</f>
        <v>0</v>
      </c>
      <c r="BY41" s="52">
        <f ca="1">IF(OR($F41&gt;$D$5,$F41&gt;MAX('הנחות עבודה'!$B$69:$B$89)),0,(VLOOKUP($F41,'התפלגות ייצור וסל דלקים'!$B$64:$BV$84,BY$2-$E$2,FALSE))*$D$9*$D$8*(HLOOKUP(BY$23,$G$18:$R$19,2,FALSE)*(1-$D$12)^($F41-'הנחות עבודה'!$C$5)/$D$11)/$D$11)</f>
        <v>0</v>
      </c>
      <c r="BZ41" s="52">
        <f ca="1">IF(OR($F41&gt;$D$5,$F41&gt;MAX('הנחות עבודה'!$B$69:$B$89)),0,(VLOOKUP($F41,'התפלגות ייצור וסל דלקים'!$B$64:$BV$84,BZ$2-$E$2,FALSE))*$D$9*$D$8*(HLOOKUP(BZ$23,$G$18:$R$19,2,FALSE)*(1-$D$12)^($F41-'הנחות עבודה'!$C$5)/$D$11)/$D$11)</f>
        <v>0</v>
      </c>
    </row>
    <row r="42" spans="6:78" ht="15.75">
      <c r="F42" s="10">
        <f t="shared" si="108"/>
        <v>2038</v>
      </c>
      <c r="G42" s="42">
        <f ca="1">IF(OR($F42&gt;$D$5,$F42&gt;MAX('הנחות עבודה'!$B$69:$B$89)),0,(VLOOKUP($F42,'התפלגות ייצור וסל דלקים'!$B$64:$BV$84,G$2-$E$2,FALSE))*$D$9*$D$8*(HLOOKUP(G$23,$G$18:$R$19,2,FALSE)*(1-$D$12)^($F42-'הנחות עבודה'!$C$5)/$D$11)/$D$11)</f>
        <v>0</v>
      </c>
      <c r="H42" s="44">
        <f ca="1">IF(OR($F42&gt;$D$5,$F42&gt;MAX('הנחות עבודה'!$B$69:$B$89)),0,(VLOOKUP($F42,'התפלגות ייצור וסל דלקים'!$B$64:$BV$84,H$2-$E$2,FALSE))*$D$9*$D$8*(HLOOKUP(H$23,$G$18:$R$19,2,FALSE)*(1-$D$12)^($F42-'הנחות עבודה'!$C$5)/$D$11)/$D$11)</f>
        <v>0</v>
      </c>
      <c r="I42" s="44">
        <f ca="1">IF(OR($F42&gt;$D$5,$F42&gt;MAX('הנחות עבודה'!$B$69:$B$89)),0,(VLOOKUP($F42,'התפלגות ייצור וסל דלקים'!$B$64:$BV$84,I$2-$E$2,FALSE))*$D$9*$D$8*(HLOOKUP(I$23,$G$18:$R$19,2,FALSE)*(1-$D$12)^($F42-'הנחות עבודה'!$C$5)/$D$11)/$D$11)</f>
        <v>0</v>
      </c>
      <c r="J42" s="44">
        <f ca="1">IF(OR($F42&gt;$D$5,$F42&gt;MAX('הנחות עבודה'!$B$69:$B$89)),0,(VLOOKUP($F42,'התפלגות ייצור וסל דלקים'!$B$64:$BV$84,J$2-$E$2,FALSE))*$D$9*$D$8*(HLOOKUP(J$23,$G$18:$R$19,2,FALSE)*(1-$D$12)^($F42-'הנחות עבודה'!$C$5)/$D$11)/$D$11)</f>
        <v>0</v>
      </c>
      <c r="K42" s="44">
        <f ca="1">IF(OR($F42&gt;$D$5,$F42&gt;MAX('הנחות עבודה'!$B$69:$B$89)),0,(VLOOKUP($F42,'התפלגות ייצור וסל דלקים'!$B$64:$BV$84,K$2-$E$2,FALSE))*$D$9*$D$8*(HLOOKUP(K$23,$G$18:$R$19,2,FALSE)*(1-$D$12)^($F42-'הנחות עבודה'!$C$5)/$D$11)/$D$11)</f>
        <v>0</v>
      </c>
      <c r="L42" s="44">
        <f ca="1">IF(OR($F42&gt;$D$5,$F42&gt;MAX('הנחות עבודה'!$B$69:$B$89)),0,(VLOOKUP($F42,'התפלגות ייצור וסל דלקים'!$B$64:$BV$84,L$2-$E$2,FALSE))*$D$9*$D$8*(HLOOKUP(L$23,$G$18:$R$19,2,FALSE)*(1-$D$12)^($F42-'הנחות עבודה'!$C$5)/$D$11)/$D$11)</f>
        <v>0</v>
      </c>
      <c r="M42" s="42">
        <f ca="1">IF(OR($F42&gt;$D$5,$F42&gt;MAX('הנחות עבודה'!$B$69:$B$89)),0,(VLOOKUP($F42,'התפלגות ייצור וסל דלקים'!$B$64:$BV$84,M$2-$E$2,FALSE))*$D$9*$D$8*(HLOOKUP(M$23,$G$18:$R$19,2,FALSE)*(1-$D$12)^($F42-'הנחות עבודה'!$C$5)/$D$11)/$D$11)</f>
        <v>1.2363328000000002E-4</v>
      </c>
      <c r="N42" s="42">
        <f ca="1">IF(OR($F42&gt;$D$5,$F42&gt;MAX('הנחות עבודה'!$B$69:$B$89)),0,(VLOOKUP($F42,'התפלגות ייצור וסל דלקים'!$B$64:$BV$84,N$2-$E$2,FALSE))*$D$9*$D$8*(HLOOKUP(N$23,$G$18:$R$19,2,FALSE)*(1-$D$12)^($F42-'הנחות עבודה'!$C$5)/$D$11)/$D$11)</f>
        <v>7.3184850892652278E-4</v>
      </c>
      <c r="O42" s="42">
        <f ca="1">IF(OR($F42&gt;$D$5,$F42&gt;MAX('הנחות עבודה'!$B$69:$B$89)),0,(VLOOKUP($F42,'התפלגות ייצור וסל דלקים'!$B$64:$BV$84,O$2-$E$2,FALSE))*$D$9*$D$8*(HLOOKUP(O$23,$G$18:$R$19,2,FALSE)*(1-$D$12)^($F42-'הנחות עבודה'!$C$5)/$D$11)/$D$11)</f>
        <v>0</v>
      </c>
      <c r="P42" s="42">
        <f ca="1">IF(OR($F42&gt;$D$5,$F42&gt;MAX('הנחות עבודה'!$B$69:$B$89)),0,(VLOOKUP($F42,'התפלגות ייצור וסל דלקים'!$B$64:$BV$84,P$2-$E$2,FALSE))*$D$9*$D$8*(HLOOKUP(P$23,$G$18:$R$19,2,FALSE)*(1-$D$12)^($F42-'הנחות עבודה'!$C$5)/$D$11)/$D$11)</f>
        <v>0</v>
      </c>
      <c r="Q42" s="42">
        <f ca="1">IF(OR($F42&gt;$D$5,$F42&gt;MAX('הנחות עבודה'!$B$69:$B$89)),0,(VLOOKUP($F42,'התפלגות ייצור וסל דלקים'!$B$64:$BV$84,Q$2-$E$2,FALSE))*$D$9*$D$8*(HLOOKUP(Q$23,$G$18:$R$19,2,FALSE)*(1-$D$12)^($F42-'הנחות עבודה'!$C$5)/$D$11)/$D$11)</f>
        <v>0</v>
      </c>
      <c r="R42" s="42">
        <f ca="1">IF(OR($F42&gt;$D$5,$F42&gt;MAX('הנחות עבודה'!$B$69:$B$89)),0,(VLOOKUP($F42,'התפלגות ייצור וסל דלקים'!$B$64:$BV$84,R$2-$E$2,FALSE))*$D$9*$D$8*(HLOOKUP(R$23,$G$18:$R$19,2,FALSE)*(1-$D$12)^($F42-'הנחות עבודה'!$C$5)/$D$11)/$D$11)</f>
        <v>0</v>
      </c>
      <c r="S42" s="52">
        <f ca="1">IF(OR($F42&gt;$D$5,$F42&gt;MAX('הנחות עבודה'!$B$69:$B$89)),0,(VLOOKUP($F42,'התפלגות ייצור וסל דלקים'!$B$64:$BV$84,S$2-$E$2,FALSE))*$D$9*$D$8*(HLOOKUP(S$23,$G$18:$R$19,2,FALSE)*(1-$D$12)^($F42-'הנחות עבודה'!$C$5)/$D$11)/$D$11)</f>
        <v>0</v>
      </c>
      <c r="T42" s="127">
        <f ca="1">IF(OR($F42&gt;$D$5,$F42&gt;MAX('הנחות עבודה'!$B$69:$B$89)),0,(VLOOKUP($F42,'התפלגות ייצור וסל דלקים'!$B$64:$BV$84,T$2-$E$2,FALSE))*$D$9*$D$8*(HLOOKUP(T$23,$G$18:$R$19,2,FALSE)*(1-$D$12)^($F42-'הנחות עבודה'!$C$5)/$D$11)/$D$11)</f>
        <v>0</v>
      </c>
      <c r="U42" s="127">
        <f ca="1">IF(OR($F42&gt;$D$5,$F42&gt;MAX('הנחות עבודה'!$B$69:$B$89)),0,(VLOOKUP($F42,'התפלגות ייצור וסל דלקים'!$B$64:$BV$84,U$2-$E$2,FALSE))*$D$9*$D$8*(HLOOKUP(U$23,$G$18:$R$19,2,FALSE)*(1-$D$12)^($F42-'הנחות עבודה'!$C$5)/$D$11)/$D$11)</f>
        <v>0</v>
      </c>
      <c r="V42" s="127">
        <f ca="1">IF(OR($F42&gt;$D$5,$F42&gt;MAX('הנחות עבודה'!$B$69:$B$89)),0,(VLOOKUP($F42,'התפלגות ייצור וסל דלקים'!$B$64:$BV$84,V$2-$E$2,FALSE))*$D$9*$D$8*(HLOOKUP(V$23,$G$18:$R$19,2,FALSE)*(1-$D$12)^($F42-'הנחות עבודה'!$C$5)/$D$11)/$D$11)</f>
        <v>0</v>
      </c>
      <c r="W42" s="127">
        <f ca="1">IF(OR($F42&gt;$D$5,$F42&gt;MAX('הנחות עבודה'!$B$69:$B$89)),0,(VLOOKUP($F42,'התפלגות ייצור וסל דלקים'!$B$64:$BV$84,W$2-$E$2,FALSE))*$D$9*$D$8*(HLOOKUP(W$23,$G$18:$R$19,2,FALSE)*(1-$D$12)^($F42-'הנחות עבודה'!$C$5)/$D$11)/$D$11)</f>
        <v>0</v>
      </c>
      <c r="X42" s="127">
        <f ca="1">IF(OR($F42&gt;$D$5,$F42&gt;MAX('הנחות עבודה'!$B$69:$B$89)),0,(VLOOKUP($F42,'התפלגות ייצור וסל דלקים'!$B$64:$BV$84,X$2-$E$2,FALSE))*$D$9*$D$8*(HLOOKUP(X$23,$G$18:$R$19,2,FALSE)*(1-$D$12)^($F42-'הנחות עבודה'!$C$5)/$D$11)/$D$11)</f>
        <v>0</v>
      </c>
      <c r="Y42" s="52">
        <f ca="1">IF(OR($F42&gt;$D$5,$F42&gt;MAX('הנחות עבודה'!$B$69:$B$89)),0,(VLOOKUP($F42,'התפלגות ייצור וסל דלקים'!$B$64:$BV$84,Y$2-$E$2,FALSE))*$D$9*$D$8*(HLOOKUP(Y$23,$G$18:$R$19,2,FALSE)*(1-$D$12)^($F42-'הנחות עבודה'!$C$5)/$D$11)/$D$11)</f>
        <v>1.2363328000000002E-4</v>
      </c>
      <c r="Z42" s="52">
        <f ca="1">IF(OR($F42&gt;$D$5,$F42&gt;MAX('הנחות עבודה'!$B$69:$B$89)),0,(VLOOKUP($F42,'התפלגות ייצור וסל דלקים'!$B$64:$BV$84,Z$2-$E$2,FALSE))*$D$9*$D$8*(HLOOKUP(Z$23,$G$18:$R$19,2,FALSE)*(1-$D$12)^($F42-'הנחות עבודה'!$C$5)/$D$11)/$D$11)</f>
        <v>7.3184850892652278E-4</v>
      </c>
      <c r="AA42" s="52">
        <f ca="1">IF(OR($F42&gt;$D$5,$F42&gt;MAX('הנחות עבודה'!$B$69:$B$89)),0,(VLOOKUP($F42,'התפלגות ייצור וסל דלקים'!$B$64:$BV$84,AA$2-$E$2,FALSE))*$D$9*$D$8*(HLOOKUP(AA$23,$G$18:$R$19,2,FALSE)*(1-$D$12)^($F42-'הנחות עבודה'!$C$5)/$D$11)/$D$11)</f>
        <v>0</v>
      </c>
      <c r="AB42" s="52">
        <f ca="1">IF(OR($F42&gt;$D$5,$F42&gt;MAX('הנחות עבודה'!$B$69:$B$89)),0,(VLOOKUP($F42,'התפלגות ייצור וסל דלקים'!$B$64:$BV$84,AB$2-$E$2,FALSE))*$D$9*$D$8*(HLOOKUP(AB$23,$G$18:$R$19,2,FALSE)*(1-$D$12)^($F42-'הנחות עבודה'!$C$5)/$D$11)/$D$11)</f>
        <v>0</v>
      </c>
      <c r="AC42" s="52">
        <f ca="1">IF(OR($F42&gt;$D$5,$F42&gt;MAX('הנחות עבודה'!$B$69:$B$89)),0,(VLOOKUP($F42,'התפלגות ייצור וסל דלקים'!$B$64:$BV$84,AC$2-$E$2,FALSE))*$D$9*$D$8*(HLOOKUP(AC$23,$G$18:$R$19,2,FALSE)*(1-$D$12)^($F42-'הנחות עבודה'!$C$5)/$D$11)/$D$11)</f>
        <v>0</v>
      </c>
      <c r="AD42" s="52">
        <f ca="1">IF(OR($F42&gt;$D$5,$F42&gt;MAX('הנחות עבודה'!$B$69:$B$89)),0,(VLOOKUP($F42,'התפלגות ייצור וסל דלקים'!$B$64:$BV$84,AD$2-$E$2,FALSE))*$D$9*$D$8*(HLOOKUP(AD$23,$G$18:$R$19,2,FALSE)*(1-$D$12)^($F42-'הנחות עבודה'!$C$5)/$D$11)/$D$11)</f>
        <v>0</v>
      </c>
      <c r="AE42" s="42">
        <f ca="1">IF(OR($F42&gt;$D$5,$F42&gt;MAX('הנחות עבודה'!$B$69:$B$89)),0,(VLOOKUP($F42,'התפלגות ייצור וסל דלקים'!$B$64:$BV$84,AE$2-$E$2,FALSE))*$D$9*$D$8*(HLOOKUP(AE$23,$G$18:$R$19,2,FALSE)*(1-$D$12)^($F42-'הנחות עבודה'!$C$5)/$D$11)/$D$11)</f>
        <v>0</v>
      </c>
      <c r="AF42" s="44">
        <f ca="1">IF(OR($F42&gt;$D$5,$F42&gt;MAX('הנחות עבודה'!$B$69:$B$89)),0,(VLOOKUP($F42,'התפלגות ייצור וסל דלקים'!$B$64:$BV$84,AF$2-$E$2,FALSE))*$D$9*$D$8*(HLOOKUP(AF$23,$G$18:$R$19,2,FALSE)*(1-$D$12)^($F42-'הנחות עבודה'!$C$5)/$D$11)/$D$11)</f>
        <v>0</v>
      </c>
      <c r="AG42" s="44">
        <f ca="1">IF(OR($F42&gt;$D$5,$F42&gt;MAX('הנחות עבודה'!$B$69:$B$89)),0,(VLOOKUP($F42,'התפלגות ייצור וסל דלקים'!$B$64:$BV$84,AG$2-$E$2,FALSE))*$D$9*$D$8*(HLOOKUP(AG$23,$G$18:$R$19,2,FALSE)*(1-$D$12)^($F42-'הנחות עבודה'!$C$5)/$D$11)/$D$11)</f>
        <v>0</v>
      </c>
      <c r="AH42" s="44">
        <f ca="1">IF(OR($F42&gt;$D$5,$F42&gt;MAX('הנחות עבודה'!$B$69:$B$89)),0,(VLOOKUP($F42,'התפלגות ייצור וסל דלקים'!$B$64:$BV$84,AH$2-$E$2,FALSE))*$D$9*$D$8*(HLOOKUP(AH$23,$G$18:$R$19,2,FALSE)*(1-$D$12)^($F42-'הנחות עבודה'!$C$5)/$D$11)/$D$11)</f>
        <v>0</v>
      </c>
      <c r="AI42" s="44">
        <f ca="1">IF(OR($F42&gt;$D$5,$F42&gt;MAX('הנחות עבודה'!$B$69:$B$89)),0,(VLOOKUP($F42,'התפלגות ייצור וסל דלקים'!$B$64:$BV$84,AI$2-$E$2,FALSE))*$D$9*$D$8*(HLOOKUP(AI$23,$G$18:$R$19,2,FALSE)*(1-$D$12)^($F42-'הנחות עבודה'!$C$5)/$D$11)/$D$11)</f>
        <v>0</v>
      </c>
      <c r="AJ42" s="44">
        <f ca="1">IF(OR($F42&gt;$D$5,$F42&gt;MAX('הנחות עבודה'!$B$69:$B$89)),0,(VLOOKUP($F42,'התפלגות ייצור וסל דלקים'!$B$64:$BV$84,AJ$2-$E$2,FALSE))*$D$9*$D$8*(HLOOKUP(AJ$23,$G$18:$R$19,2,FALSE)*(1-$D$12)^($F42-'הנחות עבודה'!$C$5)/$D$11)/$D$11)</f>
        <v>0</v>
      </c>
      <c r="AK42" s="42">
        <f ca="1">IF(OR($F42&gt;$D$5,$F42&gt;MAX('הנחות עבודה'!$B$69:$B$89)),0,(VLOOKUP($F42,'התפלגות ייצור וסל דלקים'!$B$64:$BV$84,AK$2-$E$2,FALSE))*$D$9*$D$8*(HLOOKUP(AK$23,$G$18:$R$19,2,FALSE)*(1-$D$12)^($F42-'הנחות עבודה'!$C$5)/$D$11)/$D$11)</f>
        <v>1.29264E-4</v>
      </c>
      <c r="AL42" s="42">
        <f ca="1">IF(OR($F42&gt;$D$5,$F42&gt;MAX('הנחות עבודה'!$B$69:$B$89)),0,(VLOOKUP($F42,'התפלגות ייצור וסל דלקים'!$B$64:$BV$84,AL$2-$E$2,FALSE))*$D$9*$D$8*(HLOOKUP(AL$23,$G$18:$R$19,2,FALSE)*(1-$D$12)^($F42-'הנחות עבודה'!$C$5)/$D$11)/$D$11)</f>
        <v>6.668683178466259E-4</v>
      </c>
      <c r="AM42" s="42">
        <f ca="1">IF(OR($F42&gt;$D$5,$F42&gt;MAX('הנחות עבודה'!$B$69:$B$89)),0,(VLOOKUP($F42,'התפלגות ייצור וסל דלקים'!$B$64:$BV$84,AM$2-$E$2,FALSE))*$D$9*$D$8*(HLOOKUP(AM$23,$G$18:$R$19,2,FALSE)*(1-$D$12)^($F42-'הנחות עבודה'!$C$5)/$D$11)/$D$11)</f>
        <v>0</v>
      </c>
      <c r="AN42" s="42">
        <f ca="1">IF(OR($F42&gt;$D$5,$F42&gt;MAX('הנחות עבודה'!$B$69:$B$89)),0,(VLOOKUP($F42,'התפלגות ייצור וסל דלקים'!$B$64:$BV$84,AN$2-$E$2,FALSE))*$D$9*$D$8*(HLOOKUP(AN$23,$G$18:$R$19,2,FALSE)*(1-$D$12)^($F42-'הנחות עבודה'!$C$5)/$D$11)/$D$11)</f>
        <v>0</v>
      </c>
      <c r="AO42" s="42">
        <f ca="1">IF(OR($F42&gt;$D$5,$F42&gt;MAX('הנחות עבודה'!$B$69:$B$89)),0,(VLOOKUP($F42,'התפלגות ייצור וסל דלקים'!$B$64:$BV$84,AO$2-$E$2,FALSE))*$D$9*$D$8*(HLOOKUP(AO$23,$G$18:$R$19,2,FALSE)*(1-$D$12)^($F42-'הנחות עבודה'!$C$5)/$D$11)/$D$11)</f>
        <v>0</v>
      </c>
      <c r="AP42" s="42">
        <f ca="1">IF(OR($F42&gt;$D$5,$F42&gt;MAX('הנחות עבודה'!$B$69:$B$89)),0,(VLOOKUP($F42,'התפלגות ייצור וסל דלקים'!$B$64:$BV$84,AP$2-$E$2,FALSE))*$D$9*$D$8*(HLOOKUP(AP$23,$G$18:$R$19,2,FALSE)*(1-$D$12)^($F42-'הנחות עבודה'!$C$5)/$D$11)/$D$11)</f>
        <v>0</v>
      </c>
      <c r="AQ42" s="52">
        <f ca="1">IF(OR($F42&gt;$D$5,$F42&gt;MAX('הנחות עבודה'!$B$69:$B$89)),0,(VLOOKUP($F42,'התפלגות ייצור וסל דלקים'!$B$64:$BV$84,AQ$2-$E$2,FALSE))*$D$9*$D$8*(HLOOKUP(AQ$23,$G$18:$R$19,2,FALSE)*(1-$D$12)^($F42-'הנחות עבודה'!$C$5)/$D$11)/$D$11)</f>
        <v>0</v>
      </c>
      <c r="AR42" s="127">
        <f ca="1">IF(OR($F42&gt;$D$5,$F42&gt;MAX('הנחות עבודה'!$B$69:$B$89)),0,(VLOOKUP($F42,'התפלגות ייצור וסל דלקים'!$B$64:$BV$84,AR$2-$E$2,FALSE))*$D$9*$D$8*(HLOOKUP(AR$23,$G$18:$R$19,2,FALSE)*(1-$D$12)^($F42-'הנחות עבודה'!$C$5)/$D$11)/$D$11)</f>
        <v>0</v>
      </c>
      <c r="AS42" s="127">
        <f ca="1">IF(OR($F42&gt;$D$5,$F42&gt;MAX('הנחות עבודה'!$B$69:$B$89)),0,(VLOOKUP($F42,'התפלגות ייצור וסל דלקים'!$B$64:$BV$84,AS$2-$E$2,FALSE))*$D$9*$D$8*(HLOOKUP(AS$23,$G$18:$R$19,2,FALSE)*(1-$D$12)^($F42-'הנחות עבודה'!$C$5)/$D$11)/$D$11)</f>
        <v>0</v>
      </c>
      <c r="AT42" s="127">
        <f ca="1">IF(OR($F42&gt;$D$5,$F42&gt;MAX('הנחות עבודה'!$B$69:$B$89)),0,(VLOOKUP($F42,'התפלגות ייצור וסל דלקים'!$B$64:$BV$84,AT$2-$E$2,FALSE))*$D$9*$D$8*(HLOOKUP(AT$23,$G$18:$R$19,2,FALSE)*(1-$D$12)^($F42-'הנחות עבודה'!$C$5)/$D$11)/$D$11)</f>
        <v>0</v>
      </c>
      <c r="AU42" s="127">
        <f ca="1">IF(OR($F42&gt;$D$5,$F42&gt;MAX('הנחות עבודה'!$B$69:$B$89)),0,(VLOOKUP($F42,'התפלגות ייצור וסל דלקים'!$B$64:$BV$84,AU$2-$E$2,FALSE))*$D$9*$D$8*(HLOOKUP(AU$23,$G$18:$R$19,2,FALSE)*(1-$D$12)^($F42-'הנחות עבודה'!$C$5)/$D$11)/$D$11)</f>
        <v>0</v>
      </c>
      <c r="AV42" s="127">
        <f ca="1">IF(OR($F42&gt;$D$5,$F42&gt;MAX('הנחות עבודה'!$B$69:$B$89)),0,(VLOOKUP($F42,'התפלגות ייצור וסל דלקים'!$B$64:$BV$84,AV$2-$E$2,FALSE))*$D$9*$D$8*(HLOOKUP(AV$23,$G$18:$R$19,2,FALSE)*(1-$D$12)^($F42-'הנחות עבודה'!$C$5)/$D$11)/$D$11)</f>
        <v>0</v>
      </c>
      <c r="AW42" s="52">
        <f ca="1">IF(OR($F42&gt;$D$5,$F42&gt;MAX('הנחות עבודה'!$B$69:$B$89)),0,(VLOOKUP($F42,'התפלגות ייצור וסל דלקים'!$B$64:$BV$84,AW$2-$E$2,FALSE))*$D$9*$D$8*(HLOOKUP(AW$23,$G$18:$R$19,2,FALSE)*(1-$D$12)^($F42-'הנחות עבודה'!$C$5)/$D$11)/$D$11)</f>
        <v>1.29264E-4</v>
      </c>
      <c r="AX42" s="52">
        <f ca="1">IF(OR($F42&gt;$D$5,$F42&gt;MAX('הנחות עבודה'!$B$69:$B$89)),0,(VLOOKUP($F42,'התפלגות ייצור וסל דלקים'!$B$64:$BV$84,AX$2-$E$2,FALSE))*$D$9*$D$8*(HLOOKUP(AX$23,$G$18:$R$19,2,FALSE)*(1-$D$12)^($F42-'הנחות עבודה'!$C$5)/$D$11)/$D$11)</f>
        <v>6.668683178466259E-4</v>
      </c>
      <c r="AY42" s="52">
        <f ca="1">IF(OR($F42&gt;$D$5,$F42&gt;MAX('הנחות עבודה'!$B$69:$B$89)),0,(VLOOKUP($F42,'התפלגות ייצור וסל דלקים'!$B$64:$BV$84,AY$2-$E$2,FALSE))*$D$9*$D$8*(HLOOKUP(AY$23,$G$18:$R$19,2,FALSE)*(1-$D$12)^($F42-'הנחות עבודה'!$C$5)/$D$11)/$D$11)</f>
        <v>0</v>
      </c>
      <c r="AZ42" s="52">
        <f ca="1">IF(OR($F42&gt;$D$5,$F42&gt;MAX('הנחות עבודה'!$B$69:$B$89)),0,(VLOOKUP($F42,'התפלגות ייצור וסל דלקים'!$B$64:$BV$84,AZ$2-$E$2,FALSE))*$D$9*$D$8*(HLOOKUP(AZ$23,$G$18:$R$19,2,FALSE)*(1-$D$12)^($F42-'הנחות עבודה'!$C$5)/$D$11)/$D$11)</f>
        <v>0</v>
      </c>
      <c r="BA42" s="52">
        <f ca="1">IF(OR($F42&gt;$D$5,$F42&gt;MAX('הנחות עבודה'!$B$69:$B$89)),0,(VLOOKUP($F42,'התפלגות ייצור וסל דלקים'!$B$64:$BV$84,BA$2-$E$2,FALSE))*$D$9*$D$8*(HLOOKUP(BA$23,$G$18:$R$19,2,FALSE)*(1-$D$12)^($F42-'הנחות עבודה'!$C$5)/$D$11)/$D$11)</f>
        <v>0</v>
      </c>
      <c r="BB42" s="52">
        <f ca="1">IF(OR($F42&gt;$D$5,$F42&gt;MAX('הנחות עבודה'!$B$69:$B$89)),0,(VLOOKUP($F42,'התפלגות ייצור וסל דלקים'!$B$64:$BV$84,BB$2-$E$2,FALSE))*$D$9*$D$8*(HLOOKUP(BB$23,$G$18:$R$19,2,FALSE)*(1-$D$12)^($F42-'הנחות עבודה'!$C$5)/$D$11)/$D$11)</f>
        <v>0</v>
      </c>
      <c r="BC42" s="42">
        <f ca="1">IF(OR($F42&gt;$D$5,$F42&gt;MAX('הנחות עבודה'!$B$69:$B$89)),0,(VLOOKUP($F42,'התפלגות ייצור וסל דלקים'!$B$64:$BV$84,BC$2-$E$2,FALSE))*$D$9*$D$8*(HLOOKUP(BC$23,$G$18:$R$19,2,FALSE)*(1-$D$12)^($F42-'הנחות עבודה'!$C$5)/$D$11)/$D$11)</f>
        <v>0</v>
      </c>
      <c r="BD42" s="44">
        <f ca="1">IF(OR($F42&gt;$D$5,$F42&gt;MAX('הנחות עבודה'!$B$69:$B$89)),0,(VLOOKUP($F42,'התפלגות ייצור וסל דלקים'!$B$64:$BV$84,BD$2-$E$2,FALSE))*$D$9*$D$8*(HLOOKUP(BD$23,$G$18:$R$19,2,FALSE)*(1-$D$12)^($F42-'הנחות עבודה'!$C$5)/$D$11)/$D$11)</f>
        <v>0</v>
      </c>
      <c r="BE42" s="44">
        <f ca="1">IF(OR($F42&gt;$D$5,$F42&gt;MAX('הנחות עבודה'!$B$69:$B$89)),0,(VLOOKUP($F42,'התפלגות ייצור וסל דלקים'!$B$64:$BV$84,BE$2-$E$2,FALSE))*$D$9*$D$8*(HLOOKUP(BE$23,$G$18:$R$19,2,FALSE)*(1-$D$12)^($F42-'הנחות עבודה'!$C$5)/$D$11)/$D$11)</f>
        <v>0</v>
      </c>
      <c r="BF42" s="44">
        <f ca="1">IF(OR($F42&gt;$D$5,$F42&gt;MAX('הנחות עבודה'!$B$69:$B$89)),0,(VLOOKUP($F42,'התפלגות ייצור וסל דלקים'!$B$64:$BV$84,BF$2-$E$2,FALSE))*$D$9*$D$8*(HLOOKUP(BF$23,$G$18:$R$19,2,FALSE)*(1-$D$12)^($F42-'הנחות עבודה'!$C$5)/$D$11)/$D$11)</f>
        <v>0</v>
      </c>
      <c r="BG42" s="44">
        <f ca="1">IF(OR($F42&gt;$D$5,$F42&gt;MAX('הנחות עבודה'!$B$69:$B$89)),0,(VLOOKUP($F42,'התפלגות ייצור וסל דלקים'!$B$64:$BV$84,BG$2-$E$2,FALSE))*$D$9*$D$8*(HLOOKUP(BG$23,$G$18:$R$19,2,FALSE)*(1-$D$12)^($F42-'הנחות עבודה'!$C$5)/$D$11)/$D$11)</f>
        <v>0</v>
      </c>
      <c r="BH42" s="44">
        <f ca="1">IF(OR($F42&gt;$D$5,$F42&gt;MAX('הנחות עבודה'!$B$69:$B$89)),0,(VLOOKUP($F42,'התפלגות ייצור וסל דלקים'!$B$64:$BV$84,BH$2-$E$2,FALSE))*$D$9*$D$8*(HLOOKUP(BH$23,$G$18:$R$19,2,FALSE)*(1-$D$12)^($F42-'הנחות עבודה'!$C$5)/$D$11)/$D$11)</f>
        <v>0</v>
      </c>
      <c r="BI42" s="42">
        <f ca="1">IF(OR($F42&gt;$D$5,$F42&gt;MAX('הנחות עבודה'!$B$69:$B$89)),0,(VLOOKUP($F42,'התפלגות ייצור וסל דלקים'!$B$64:$BV$84,BI$2-$E$2,FALSE))*$D$9*$D$8*(HLOOKUP(BI$23,$G$18:$R$19,2,FALSE)*(1-$D$12)^($F42-'הנחות עבודה'!$C$5)/$D$11)/$D$11)</f>
        <v>1.3228800000000002E-4</v>
      </c>
      <c r="BJ42" s="42">
        <f ca="1">IF(OR($F42&gt;$D$5,$F42&gt;MAX('הנחות עבודה'!$B$69:$B$89)),0,(VLOOKUP($F42,'התפלגות ייצור וסל דלקים'!$B$64:$BV$84,BJ$2-$E$2,FALSE))*$D$9*$D$8*(HLOOKUP(BJ$23,$G$18:$R$19,2,FALSE)*(1-$D$12)^($F42-'הנחות עבודה'!$C$5)/$D$11)/$D$11)</f>
        <v>6.2681391842168998E-4</v>
      </c>
      <c r="BK42" s="42">
        <f ca="1">IF(OR($F42&gt;$D$5,$F42&gt;MAX('הנחות עבודה'!$B$69:$B$89)),0,(VLOOKUP($F42,'התפלגות ייצור וסל דלקים'!$B$64:$BV$84,BK$2-$E$2,FALSE))*$D$9*$D$8*(HLOOKUP(BK$23,$G$18:$R$19,2,FALSE)*(1-$D$12)^($F42-'הנחות עבודה'!$C$5)/$D$11)/$D$11)</f>
        <v>0</v>
      </c>
      <c r="BL42" s="42">
        <f ca="1">IF(OR($F42&gt;$D$5,$F42&gt;MAX('הנחות עבודה'!$B$69:$B$89)),0,(VLOOKUP($F42,'התפלגות ייצור וסל דלקים'!$B$64:$BV$84,BL$2-$E$2,FALSE))*$D$9*$D$8*(HLOOKUP(BL$23,$G$18:$R$19,2,FALSE)*(1-$D$12)^($F42-'הנחות עבודה'!$C$5)/$D$11)/$D$11)</f>
        <v>0</v>
      </c>
      <c r="BM42" s="42">
        <f ca="1">IF(OR($F42&gt;$D$5,$F42&gt;MAX('הנחות עבודה'!$B$69:$B$89)),0,(VLOOKUP($F42,'התפלגות ייצור וסל דלקים'!$B$64:$BV$84,BM$2-$E$2,FALSE))*$D$9*$D$8*(HLOOKUP(BM$23,$G$18:$R$19,2,FALSE)*(1-$D$12)^($F42-'הנחות עבודה'!$C$5)/$D$11)/$D$11)</f>
        <v>0</v>
      </c>
      <c r="BN42" s="42">
        <f ca="1">IF(OR($F42&gt;$D$5,$F42&gt;MAX('הנחות עבודה'!$B$69:$B$89)),0,(VLOOKUP($F42,'התפלגות ייצור וסל דלקים'!$B$64:$BV$84,BN$2-$E$2,FALSE))*$D$9*$D$8*(HLOOKUP(BN$23,$G$18:$R$19,2,FALSE)*(1-$D$12)^($F42-'הנחות עבודה'!$C$5)/$D$11)/$D$11)</f>
        <v>0</v>
      </c>
      <c r="BO42" s="52">
        <f ca="1">IF(OR($F42&gt;$D$5,$F42&gt;MAX('הנחות עבודה'!$B$69:$B$89)),0,(VLOOKUP($F42,'התפלגות ייצור וסל דלקים'!$B$64:$BV$84,BO$2-$E$2,FALSE))*$D$9*$D$8*(HLOOKUP(BO$23,$G$18:$R$19,2,FALSE)*(1-$D$12)^($F42-'הנחות עבודה'!$C$5)/$D$11)/$D$11)</f>
        <v>0</v>
      </c>
      <c r="BP42" s="127">
        <f ca="1">IF(OR($F42&gt;$D$5,$F42&gt;MAX('הנחות עבודה'!$B$69:$B$89)),0,(VLOOKUP($F42,'התפלגות ייצור וסל דלקים'!$B$64:$BV$84,BP$2-$E$2,FALSE))*$D$9*$D$8*(HLOOKUP(BP$23,$G$18:$R$19,2,FALSE)*(1-$D$12)^($F42-'הנחות עבודה'!$C$5)/$D$11)/$D$11)</f>
        <v>0</v>
      </c>
      <c r="BQ42" s="127">
        <f ca="1">IF(OR($F42&gt;$D$5,$F42&gt;MAX('הנחות עבודה'!$B$69:$B$89)),0,(VLOOKUP($F42,'התפלגות ייצור וסל דלקים'!$B$64:$BV$84,BQ$2-$E$2,FALSE))*$D$9*$D$8*(HLOOKUP(BQ$23,$G$18:$R$19,2,FALSE)*(1-$D$12)^($F42-'הנחות עבודה'!$C$5)/$D$11)/$D$11)</f>
        <v>0</v>
      </c>
      <c r="BR42" s="127">
        <f ca="1">IF(OR($F42&gt;$D$5,$F42&gt;MAX('הנחות עבודה'!$B$69:$B$89)),0,(VLOOKUP($F42,'התפלגות ייצור וסל דלקים'!$B$64:$BV$84,BR$2-$E$2,FALSE))*$D$9*$D$8*(HLOOKUP(BR$23,$G$18:$R$19,2,FALSE)*(1-$D$12)^($F42-'הנחות עבודה'!$C$5)/$D$11)/$D$11)</f>
        <v>0</v>
      </c>
      <c r="BS42" s="127">
        <f ca="1">IF(OR($F42&gt;$D$5,$F42&gt;MAX('הנחות עבודה'!$B$69:$B$89)),0,(VLOOKUP($F42,'התפלגות ייצור וסל דלקים'!$B$64:$BV$84,BS$2-$E$2,FALSE))*$D$9*$D$8*(HLOOKUP(BS$23,$G$18:$R$19,2,FALSE)*(1-$D$12)^($F42-'הנחות עבודה'!$C$5)/$D$11)/$D$11)</f>
        <v>0</v>
      </c>
      <c r="BT42" s="127">
        <f ca="1">IF(OR($F42&gt;$D$5,$F42&gt;MAX('הנחות עבודה'!$B$69:$B$89)),0,(VLOOKUP($F42,'התפלגות ייצור וסל דלקים'!$B$64:$BV$84,BT$2-$E$2,FALSE))*$D$9*$D$8*(HLOOKUP(BT$23,$G$18:$R$19,2,FALSE)*(1-$D$12)^($F42-'הנחות עבודה'!$C$5)/$D$11)/$D$11)</f>
        <v>0</v>
      </c>
      <c r="BU42" s="52">
        <f ca="1">IF(OR($F42&gt;$D$5,$F42&gt;MAX('הנחות עבודה'!$B$69:$B$89)),0,(VLOOKUP($F42,'התפלגות ייצור וסל דלקים'!$B$64:$BV$84,BU$2-$E$2,FALSE))*$D$9*$D$8*(HLOOKUP(BU$23,$G$18:$R$19,2,FALSE)*(1-$D$12)^($F42-'הנחות עבודה'!$C$5)/$D$11)/$D$11)</f>
        <v>1.3228800000000002E-4</v>
      </c>
      <c r="BV42" s="52">
        <f ca="1">IF(OR($F42&gt;$D$5,$F42&gt;MAX('הנחות עבודה'!$B$69:$B$89)),0,(VLOOKUP($F42,'התפלגות ייצור וסל דלקים'!$B$64:$BV$84,BV$2-$E$2,FALSE))*$D$9*$D$8*(HLOOKUP(BV$23,$G$18:$R$19,2,FALSE)*(1-$D$12)^($F42-'הנחות עבודה'!$C$5)/$D$11)/$D$11)</f>
        <v>6.2681391842168998E-4</v>
      </c>
      <c r="BW42" s="52">
        <f ca="1">IF(OR($F42&gt;$D$5,$F42&gt;MAX('הנחות עבודה'!$B$69:$B$89)),0,(VLOOKUP($F42,'התפלגות ייצור וסל דלקים'!$B$64:$BV$84,BW$2-$E$2,FALSE))*$D$9*$D$8*(HLOOKUP(BW$23,$G$18:$R$19,2,FALSE)*(1-$D$12)^($F42-'הנחות עבודה'!$C$5)/$D$11)/$D$11)</f>
        <v>0</v>
      </c>
      <c r="BX42" s="52">
        <f ca="1">IF(OR($F42&gt;$D$5,$F42&gt;MAX('הנחות עבודה'!$B$69:$B$89)),0,(VLOOKUP($F42,'התפלגות ייצור וסל דלקים'!$B$64:$BV$84,BX$2-$E$2,FALSE))*$D$9*$D$8*(HLOOKUP(BX$23,$G$18:$R$19,2,FALSE)*(1-$D$12)^($F42-'הנחות עבודה'!$C$5)/$D$11)/$D$11)</f>
        <v>0</v>
      </c>
      <c r="BY42" s="52">
        <f ca="1">IF(OR($F42&gt;$D$5,$F42&gt;MAX('הנחות עבודה'!$B$69:$B$89)),0,(VLOOKUP($F42,'התפלגות ייצור וסל דלקים'!$B$64:$BV$84,BY$2-$E$2,FALSE))*$D$9*$D$8*(HLOOKUP(BY$23,$G$18:$R$19,2,FALSE)*(1-$D$12)^($F42-'הנחות עבודה'!$C$5)/$D$11)/$D$11)</f>
        <v>0</v>
      </c>
      <c r="BZ42" s="52">
        <f ca="1">IF(OR($F42&gt;$D$5,$F42&gt;MAX('הנחות עבודה'!$B$69:$B$89)),0,(VLOOKUP($F42,'התפלגות ייצור וסל דלקים'!$B$64:$BV$84,BZ$2-$E$2,FALSE))*$D$9*$D$8*(HLOOKUP(BZ$23,$G$18:$R$19,2,FALSE)*(1-$D$12)^($F42-'הנחות עבודה'!$C$5)/$D$11)/$D$11)</f>
        <v>0</v>
      </c>
    </row>
    <row r="43" spans="6:78" ht="15.75">
      <c r="F43" s="10">
        <f t="shared" si="108"/>
        <v>2039</v>
      </c>
      <c r="G43" s="42">
        <f ca="1">IF(OR($F43&gt;$D$5,$F43&gt;MAX('הנחות עבודה'!$B$69:$B$89)),0,(VLOOKUP($F43,'התפלגות ייצור וסל דלקים'!$B$64:$BV$84,G$2-$E$2,FALSE))*$D$9*$D$8*(HLOOKUP(G$23,$G$18:$R$19,2,FALSE)*(1-$D$12)^($F43-'הנחות עבודה'!$C$5)/$D$11)/$D$11)</f>
        <v>0</v>
      </c>
      <c r="H43" s="44">
        <f ca="1">IF(OR($F43&gt;$D$5,$F43&gt;MAX('הנחות עבודה'!$B$69:$B$89)),0,(VLOOKUP($F43,'התפלגות ייצור וסל דלקים'!$B$64:$BV$84,H$2-$E$2,FALSE))*$D$9*$D$8*(HLOOKUP(H$23,$G$18:$R$19,2,FALSE)*(1-$D$12)^($F43-'הנחות עבודה'!$C$5)/$D$11)/$D$11)</f>
        <v>0</v>
      </c>
      <c r="I43" s="44">
        <f ca="1">IF(OR($F43&gt;$D$5,$F43&gt;MAX('הנחות עבודה'!$B$69:$B$89)),0,(VLOOKUP($F43,'התפלגות ייצור וסל דלקים'!$B$64:$BV$84,I$2-$E$2,FALSE))*$D$9*$D$8*(HLOOKUP(I$23,$G$18:$R$19,2,FALSE)*(1-$D$12)^($F43-'הנחות עבודה'!$C$5)/$D$11)/$D$11)</f>
        <v>0</v>
      </c>
      <c r="J43" s="44">
        <f ca="1">IF(OR($F43&gt;$D$5,$F43&gt;MAX('הנחות עבודה'!$B$69:$B$89)),0,(VLOOKUP($F43,'התפלגות ייצור וסל דלקים'!$B$64:$BV$84,J$2-$E$2,FALSE))*$D$9*$D$8*(HLOOKUP(J$23,$G$18:$R$19,2,FALSE)*(1-$D$12)^($F43-'הנחות עבודה'!$C$5)/$D$11)/$D$11)</f>
        <v>0</v>
      </c>
      <c r="K43" s="44">
        <f ca="1">IF(OR($F43&gt;$D$5,$F43&gt;MAX('הנחות עבודה'!$B$69:$B$89)),0,(VLOOKUP($F43,'התפלגות ייצור וסל דלקים'!$B$64:$BV$84,K$2-$E$2,FALSE))*$D$9*$D$8*(HLOOKUP(K$23,$G$18:$R$19,2,FALSE)*(1-$D$12)^($F43-'הנחות עבודה'!$C$5)/$D$11)/$D$11)</f>
        <v>0</v>
      </c>
      <c r="L43" s="44">
        <f ca="1">IF(OR($F43&gt;$D$5,$F43&gt;MAX('הנחות עבודה'!$B$69:$B$89)),0,(VLOOKUP($F43,'התפלגות ייצור וסל דלקים'!$B$64:$BV$84,L$2-$E$2,FALSE))*$D$9*$D$8*(HLOOKUP(L$23,$G$18:$R$19,2,FALSE)*(1-$D$12)^($F43-'הנחות עבודה'!$C$5)/$D$11)/$D$11)</f>
        <v>0</v>
      </c>
      <c r="M43" s="42">
        <f ca="1">IF(OR($F43&gt;$D$5,$F43&gt;MAX('הנחות עבודה'!$B$69:$B$89)),0,(VLOOKUP($F43,'התפלגות ייצור וסל דלקים'!$B$64:$BV$84,M$2-$E$2,FALSE))*$D$9*$D$8*(HLOOKUP(M$23,$G$18:$R$19,2,FALSE)*(1-$D$12)^($F43-'הנחות עבודה'!$C$5)/$D$11)/$D$11)</f>
        <v>1.2479152E-4</v>
      </c>
      <c r="N43" s="42">
        <f ca="1">IF(OR($F43&gt;$D$5,$F43&gt;MAX('הנחות עבודה'!$B$69:$B$89)),0,(VLOOKUP($F43,'התפלגות ייצור וסל דלקים'!$B$64:$BV$84,N$2-$E$2,FALSE))*$D$9*$D$8*(HLOOKUP(N$23,$G$18:$R$19,2,FALSE)*(1-$D$12)^($F43-'הנחות עבודה'!$C$5)/$D$11)/$D$11)</f>
        <v>7.6082845545020854E-4</v>
      </c>
      <c r="O43" s="42">
        <f ca="1">IF(OR($F43&gt;$D$5,$F43&gt;MAX('הנחות עבודה'!$B$69:$B$89)),0,(VLOOKUP($F43,'התפלגות ייצור וסל דלקים'!$B$64:$BV$84,O$2-$E$2,FALSE))*$D$9*$D$8*(HLOOKUP(O$23,$G$18:$R$19,2,FALSE)*(1-$D$12)^($F43-'הנחות עבודה'!$C$5)/$D$11)/$D$11)</f>
        <v>0</v>
      </c>
      <c r="P43" s="42">
        <f ca="1">IF(OR($F43&gt;$D$5,$F43&gt;MAX('הנחות עבודה'!$B$69:$B$89)),0,(VLOOKUP($F43,'התפלגות ייצור וסל דלקים'!$B$64:$BV$84,P$2-$E$2,FALSE))*$D$9*$D$8*(HLOOKUP(P$23,$G$18:$R$19,2,FALSE)*(1-$D$12)^($F43-'הנחות עבודה'!$C$5)/$D$11)/$D$11)</f>
        <v>0</v>
      </c>
      <c r="Q43" s="42">
        <f ca="1">IF(OR($F43&gt;$D$5,$F43&gt;MAX('הנחות עבודה'!$B$69:$B$89)),0,(VLOOKUP($F43,'התפלגות ייצור וסל דלקים'!$B$64:$BV$84,Q$2-$E$2,FALSE))*$D$9*$D$8*(HLOOKUP(Q$23,$G$18:$R$19,2,FALSE)*(1-$D$12)^($F43-'הנחות עבודה'!$C$5)/$D$11)/$D$11)</f>
        <v>0</v>
      </c>
      <c r="R43" s="42">
        <f ca="1">IF(OR($F43&gt;$D$5,$F43&gt;MAX('הנחות עבודה'!$B$69:$B$89)),0,(VLOOKUP($F43,'התפלגות ייצור וסל דלקים'!$B$64:$BV$84,R$2-$E$2,FALSE))*$D$9*$D$8*(HLOOKUP(R$23,$G$18:$R$19,2,FALSE)*(1-$D$12)^($F43-'הנחות עבודה'!$C$5)/$D$11)/$D$11)</f>
        <v>0</v>
      </c>
      <c r="S43" s="52">
        <f ca="1">IF(OR($F43&gt;$D$5,$F43&gt;MAX('הנחות עבודה'!$B$69:$B$89)),0,(VLOOKUP($F43,'התפלגות ייצור וסל דלקים'!$B$64:$BV$84,S$2-$E$2,FALSE))*$D$9*$D$8*(HLOOKUP(S$23,$G$18:$R$19,2,FALSE)*(1-$D$12)^($F43-'הנחות עבודה'!$C$5)/$D$11)/$D$11)</f>
        <v>0</v>
      </c>
      <c r="T43" s="127">
        <f ca="1">IF(OR($F43&gt;$D$5,$F43&gt;MAX('הנחות עבודה'!$B$69:$B$89)),0,(VLOOKUP($F43,'התפלגות ייצור וסל דלקים'!$B$64:$BV$84,T$2-$E$2,FALSE))*$D$9*$D$8*(HLOOKUP(T$23,$G$18:$R$19,2,FALSE)*(1-$D$12)^($F43-'הנחות עבודה'!$C$5)/$D$11)/$D$11)</f>
        <v>0</v>
      </c>
      <c r="U43" s="127">
        <f ca="1">IF(OR($F43&gt;$D$5,$F43&gt;MAX('הנחות עבודה'!$B$69:$B$89)),0,(VLOOKUP($F43,'התפלגות ייצור וסל דלקים'!$B$64:$BV$84,U$2-$E$2,FALSE))*$D$9*$D$8*(HLOOKUP(U$23,$G$18:$R$19,2,FALSE)*(1-$D$12)^($F43-'הנחות עבודה'!$C$5)/$D$11)/$D$11)</f>
        <v>0</v>
      </c>
      <c r="V43" s="127">
        <f ca="1">IF(OR($F43&gt;$D$5,$F43&gt;MAX('הנחות עבודה'!$B$69:$B$89)),0,(VLOOKUP($F43,'התפלגות ייצור וסל דלקים'!$B$64:$BV$84,V$2-$E$2,FALSE))*$D$9*$D$8*(HLOOKUP(V$23,$G$18:$R$19,2,FALSE)*(1-$D$12)^($F43-'הנחות עבודה'!$C$5)/$D$11)/$D$11)</f>
        <v>0</v>
      </c>
      <c r="W43" s="127">
        <f ca="1">IF(OR($F43&gt;$D$5,$F43&gt;MAX('הנחות עבודה'!$B$69:$B$89)),0,(VLOOKUP($F43,'התפלגות ייצור וסל דלקים'!$B$64:$BV$84,W$2-$E$2,FALSE))*$D$9*$D$8*(HLOOKUP(W$23,$G$18:$R$19,2,FALSE)*(1-$D$12)^($F43-'הנחות עבודה'!$C$5)/$D$11)/$D$11)</f>
        <v>0</v>
      </c>
      <c r="X43" s="127">
        <f ca="1">IF(OR($F43&gt;$D$5,$F43&gt;MAX('הנחות עבודה'!$B$69:$B$89)),0,(VLOOKUP($F43,'התפלגות ייצור וסל דלקים'!$B$64:$BV$84,X$2-$E$2,FALSE))*$D$9*$D$8*(HLOOKUP(X$23,$G$18:$R$19,2,FALSE)*(1-$D$12)^($F43-'הנחות עבודה'!$C$5)/$D$11)/$D$11)</f>
        <v>0</v>
      </c>
      <c r="Y43" s="52">
        <f ca="1">IF(OR($F43&gt;$D$5,$F43&gt;MAX('הנחות עבודה'!$B$69:$B$89)),0,(VLOOKUP($F43,'התפלגות ייצור וסל דלקים'!$B$64:$BV$84,Y$2-$E$2,FALSE))*$D$9*$D$8*(HLOOKUP(Y$23,$G$18:$R$19,2,FALSE)*(1-$D$12)^($F43-'הנחות עבודה'!$C$5)/$D$11)/$D$11)</f>
        <v>1.2479152E-4</v>
      </c>
      <c r="Z43" s="52">
        <f ca="1">IF(OR($F43&gt;$D$5,$F43&gt;MAX('הנחות עבודה'!$B$69:$B$89)),0,(VLOOKUP($F43,'התפלגות ייצור וסל דלקים'!$B$64:$BV$84,Z$2-$E$2,FALSE))*$D$9*$D$8*(HLOOKUP(Z$23,$G$18:$R$19,2,FALSE)*(1-$D$12)^($F43-'הנחות עבודה'!$C$5)/$D$11)/$D$11)</f>
        <v>7.6082845545020854E-4</v>
      </c>
      <c r="AA43" s="52">
        <f ca="1">IF(OR($F43&gt;$D$5,$F43&gt;MAX('הנחות עבודה'!$B$69:$B$89)),0,(VLOOKUP($F43,'התפלגות ייצור וסל דלקים'!$B$64:$BV$84,AA$2-$E$2,FALSE))*$D$9*$D$8*(HLOOKUP(AA$23,$G$18:$R$19,2,FALSE)*(1-$D$12)^($F43-'הנחות עבודה'!$C$5)/$D$11)/$D$11)</f>
        <v>0</v>
      </c>
      <c r="AB43" s="52">
        <f ca="1">IF(OR($F43&gt;$D$5,$F43&gt;MAX('הנחות עבודה'!$B$69:$B$89)),0,(VLOOKUP($F43,'התפלגות ייצור וסל דלקים'!$B$64:$BV$84,AB$2-$E$2,FALSE))*$D$9*$D$8*(HLOOKUP(AB$23,$G$18:$R$19,2,FALSE)*(1-$D$12)^($F43-'הנחות עבודה'!$C$5)/$D$11)/$D$11)</f>
        <v>0</v>
      </c>
      <c r="AC43" s="52">
        <f ca="1">IF(OR($F43&gt;$D$5,$F43&gt;MAX('הנחות עבודה'!$B$69:$B$89)),0,(VLOOKUP($F43,'התפלגות ייצור וסל דלקים'!$B$64:$BV$84,AC$2-$E$2,FALSE))*$D$9*$D$8*(HLOOKUP(AC$23,$G$18:$R$19,2,FALSE)*(1-$D$12)^($F43-'הנחות עבודה'!$C$5)/$D$11)/$D$11)</f>
        <v>0</v>
      </c>
      <c r="AD43" s="52">
        <f ca="1">IF(OR($F43&gt;$D$5,$F43&gt;MAX('הנחות עבודה'!$B$69:$B$89)),0,(VLOOKUP($F43,'התפלגות ייצור וסל דלקים'!$B$64:$BV$84,AD$2-$E$2,FALSE))*$D$9*$D$8*(HLOOKUP(AD$23,$G$18:$R$19,2,FALSE)*(1-$D$12)^($F43-'הנחות עבודה'!$C$5)/$D$11)/$D$11)</f>
        <v>0</v>
      </c>
      <c r="AE43" s="42">
        <f ca="1">IF(OR($F43&gt;$D$5,$F43&gt;MAX('הנחות עבודה'!$B$69:$B$89)),0,(VLOOKUP($F43,'התפלגות ייצור וסל דלקים'!$B$64:$BV$84,AE$2-$E$2,FALSE))*$D$9*$D$8*(HLOOKUP(AE$23,$G$18:$R$19,2,FALSE)*(1-$D$12)^($F43-'הנחות עבודה'!$C$5)/$D$11)/$D$11)</f>
        <v>0</v>
      </c>
      <c r="AF43" s="44">
        <f ca="1">IF(OR($F43&gt;$D$5,$F43&gt;MAX('הנחות עבודה'!$B$69:$B$89)),0,(VLOOKUP($F43,'התפלגות ייצור וסל דלקים'!$B$64:$BV$84,AF$2-$E$2,FALSE))*$D$9*$D$8*(HLOOKUP(AF$23,$G$18:$R$19,2,FALSE)*(1-$D$12)^($F43-'הנחות עבודה'!$C$5)/$D$11)/$D$11)</f>
        <v>0</v>
      </c>
      <c r="AG43" s="44">
        <f ca="1">IF(OR($F43&gt;$D$5,$F43&gt;MAX('הנחות עבודה'!$B$69:$B$89)),0,(VLOOKUP($F43,'התפלגות ייצור וסל דלקים'!$B$64:$BV$84,AG$2-$E$2,FALSE))*$D$9*$D$8*(HLOOKUP(AG$23,$G$18:$R$19,2,FALSE)*(1-$D$12)^($F43-'הנחות עבודה'!$C$5)/$D$11)/$D$11)</f>
        <v>0</v>
      </c>
      <c r="AH43" s="44">
        <f ca="1">IF(OR($F43&gt;$D$5,$F43&gt;MAX('הנחות עבודה'!$B$69:$B$89)),0,(VLOOKUP($F43,'התפלגות ייצור וסל דלקים'!$B$64:$BV$84,AH$2-$E$2,FALSE))*$D$9*$D$8*(HLOOKUP(AH$23,$G$18:$R$19,2,FALSE)*(1-$D$12)^($F43-'הנחות עבודה'!$C$5)/$D$11)/$D$11)</f>
        <v>0</v>
      </c>
      <c r="AI43" s="44">
        <f ca="1">IF(OR($F43&gt;$D$5,$F43&gt;MAX('הנחות עבודה'!$B$69:$B$89)),0,(VLOOKUP($F43,'התפלגות ייצור וסל דלקים'!$B$64:$BV$84,AI$2-$E$2,FALSE))*$D$9*$D$8*(HLOOKUP(AI$23,$G$18:$R$19,2,FALSE)*(1-$D$12)^($F43-'הנחות עבודה'!$C$5)/$D$11)/$D$11)</f>
        <v>0</v>
      </c>
      <c r="AJ43" s="44">
        <f ca="1">IF(OR($F43&gt;$D$5,$F43&gt;MAX('הנחות עבודה'!$B$69:$B$89)),0,(VLOOKUP($F43,'התפלגות ייצור וסל דלקים'!$B$64:$BV$84,AJ$2-$E$2,FALSE))*$D$9*$D$8*(HLOOKUP(AJ$23,$G$18:$R$19,2,FALSE)*(1-$D$12)^($F43-'הנחות עבודה'!$C$5)/$D$11)/$D$11)</f>
        <v>0</v>
      </c>
      <c r="AK43" s="42">
        <f ca="1">IF(OR($F43&gt;$D$5,$F43&gt;MAX('הנחות עבודה'!$B$69:$B$89)),0,(VLOOKUP($F43,'התפלגות ייצור וסל דלקים'!$B$64:$BV$84,AK$2-$E$2,FALSE))*$D$9*$D$8*(HLOOKUP(AK$23,$G$18:$R$19,2,FALSE)*(1-$D$12)^($F43-'הנחות עבודה'!$C$5)/$D$11)/$D$11)</f>
        <v>1.2915919999999999E-4</v>
      </c>
      <c r="AL43" s="42">
        <f ca="1">IF(OR($F43&gt;$D$5,$F43&gt;MAX('הנחות עבודה'!$B$69:$B$89)),0,(VLOOKUP($F43,'התפלגות ייצור וסל דלקים'!$B$64:$BV$84,AL$2-$E$2,FALSE))*$D$9*$D$8*(HLOOKUP(AL$23,$G$18:$R$19,2,FALSE)*(1-$D$12)^($F43-'הנחות עבודה'!$C$5)/$D$11)/$D$11)</f>
        <v>6.9744529399679109E-4</v>
      </c>
      <c r="AM43" s="42">
        <f ca="1">IF(OR($F43&gt;$D$5,$F43&gt;MAX('הנחות עבודה'!$B$69:$B$89)),0,(VLOOKUP($F43,'התפלגות ייצור וסל דלקים'!$B$64:$BV$84,AM$2-$E$2,FALSE))*$D$9*$D$8*(HLOOKUP(AM$23,$G$18:$R$19,2,FALSE)*(1-$D$12)^($F43-'הנחות עבודה'!$C$5)/$D$11)/$D$11)</f>
        <v>0</v>
      </c>
      <c r="AN43" s="42">
        <f ca="1">IF(OR($F43&gt;$D$5,$F43&gt;MAX('הנחות עבודה'!$B$69:$B$89)),0,(VLOOKUP($F43,'התפלגות ייצור וסל דלקים'!$B$64:$BV$84,AN$2-$E$2,FALSE))*$D$9*$D$8*(HLOOKUP(AN$23,$G$18:$R$19,2,FALSE)*(1-$D$12)^($F43-'הנחות עבודה'!$C$5)/$D$11)/$D$11)</f>
        <v>0</v>
      </c>
      <c r="AO43" s="42">
        <f ca="1">IF(OR($F43&gt;$D$5,$F43&gt;MAX('הנחות עבודה'!$B$69:$B$89)),0,(VLOOKUP($F43,'התפלגות ייצור וסל דלקים'!$B$64:$BV$84,AO$2-$E$2,FALSE))*$D$9*$D$8*(HLOOKUP(AO$23,$G$18:$R$19,2,FALSE)*(1-$D$12)^($F43-'הנחות עבודה'!$C$5)/$D$11)/$D$11)</f>
        <v>0</v>
      </c>
      <c r="AP43" s="42">
        <f ca="1">IF(OR($F43&gt;$D$5,$F43&gt;MAX('הנחות עבודה'!$B$69:$B$89)),0,(VLOOKUP($F43,'התפלגות ייצור וסל דלקים'!$B$64:$BV$84,AP$2-$E$2,FALSE))*$D$9*$D$8*(HLOOKUP(AP$23,$G$18:$R$19,2,FALSE)*(1-$D$12)^($F43-'הנחות עבודה'!$C$5)/$D$11)/$D$11)</f>
        <v>0</v>
      </c>
      <c r="AQ43" s="52">
        <f ca="1">IF(OR($F43&gt;$D$5,$F43&gt;MAX('הנחות עבודה'!$B$69:$B$89)),0,(VLOOKUP($F43,'התפלגות ייצור וסל דלקים'!$B$64:$BV$84,AQ$2-$E$2,FALSE))*$D$9*$D$8*(HLOOKUP(AQ$23,$G$18:$R$19,2,FALSE)*(1-$D$12)^($F43-'הנחות עבודה'!$C$5)/$D$11)/$D$11)</f>
        <v>0</v>
      </c>
      <c r="AR43" s="127">
        <f ca="1">IF(OR($F43&gt;$D$5,$F43&gt;MAX('הנחות עבודה'!$B$69:$B$89)),0,(VLOOKUP($F43,'התפלגות ייצור וסל דלקים'!$B$64:$BV$84,AR$2-$E$2,FALSE))*$D$9*$D$8*(HLOOKUP(AR$23,$G$18:$R$19,2,FALSE)*(1-$D$12)^($F43-'הנחות עבודה'!$C$5)/$D$11)/$D$11)</f>
        <v>0</v>
      </c>
      <c r="AS43" s="127">
        <f ca="1">IF(OR($F43&gt;$D$5,$F43&gt;MAX('הנחות עבודה'!$B$69:$B$89)),0,(VLOOKUP($F43,'התפלגות ייצור וסל דלקים'!$B$64:$BV$84,AS$2-$E$2,FALSE))*$D$9*$D$8*(HLOOKUP(AS$23,$G$18:$R$19,2,FALSE)*(1-$D$12)^($F43-'הנחות עבודה'!$C$5)/$D$11)/$D$11)</f>
        <v>0</v>
      </c>
      <c r="AT43" s="127">
        <f ca="1">IF(OR($F43&gt;$D$5,$F43&gt;MAX('הנחות עבודה'!$B$69:$B$89)),0,(VLOOKUP($F43,'התפלגות ייצור וסל דלקים'!$B$64:$BV$84,AT$2-$E$2,FALSE))*$D$9*$D$8*(HLOOKUP(AT$23,$G$18:$R$19,2,FALSE)*(1-$D$12)^($F43-'הנחות עבודה'!$C$5)/$D$11)/$D$11)</f>
        <v>0</v>
      </c>
      <c r="AU43" s="127">
        <f ca="1">IF(OR($F43&gt;$D$5,$F43&gt;MAX('הנחות עבודה'!$B$69:$B$89)),0,(VLOOKUP($F43,'התפלגות ייצור וסל דלקים'!$B$64:$BV$84,AU$2-$E$2,FALSE))*$D$9*$D$8*(HLOOKUP(AU$23,$G$18:$R$19,2,FALSE)*(1-$D$12)^($F43-'הנחות עבודה'!$C$5)/$D$11)/$D$11)</f>
        <v>0</v>
      </c>
      <c r="AV43" s="127">
        <f ca="1">IF(OR($F43&gt;$D$5,$F43&gt;MAX('הנחות עבודה'!$B$69:$B$89)),0,(VLOOKUP($F43,'התפלגות ייצור וסל דלקים'!$B$64:$BV$84,AV$2-$E$2,FALSE))*$D$9*$D$8*(HLOOKUP(AV$23,$G$18:$R$19,2,FALSE)*(1-$D$12)^($F43-'הנחות עבודה'!$C$5)/$D$11)/$D$11)</f>
        <v>0</v>
      </c>
      <c r="AW43" s="52">
        <f ca="1">IF(OR($F43&gt;$D$5,$F43&gt;MAX('הנחות עבודה'!$B$69:$B$89)),0,(VLOOKUP($F43,'התפלגות ייצור וסל דלקים'!$B$64:$BV$84,AW$2-$E$2,FALSE))*$D$9*$D$8*(HLOOKUP(AW$23,$G$18:$R$19,2,FALSE)*(1-$D$12)^($F43-'הנחות עבודה'!$C$5)/$D$11)/$D$11)</f>
        <v>1.2915919999999999E-4</v>
      </c>
      <c r="AX43" s="52">
        <f ca="1">IF(OR($F43&gt;$D$5,$F43&gt;MAX('הנחות עבודה'!$B$69:$B$89)),0,(VLOOKUP($F43,'התפלגות ייצור וסל דלקים'!$B$64:$BV$84,AX$2-$E$2,FALSE))*$D$9*$D$8*(HLOOKUP(AX$23,$G$18:$R$19,2,FALSE)*(1-$D$12)^($F43-'הנחות עבודה'!$C$5)/$D$11)/$D$11)</f>
        <v>6.9744529399679109E-4</v>
      </c>
      <c r="AY43" s="52">
        <f ca="1">IF(OR($F43&gt;$D$5,$F43&gt;MAX('הנחות עבודה'!$B$69:$B$89)),0,(VLOOKUP($F43,'התפלגות ייצור וסל דלקים'!$B$64:$BV$84,AY$2-$E$2,FALSE))*$D$9*$D$8*(HLOOKUP(AY$23,$G$18:$R$19,2,FALSE)*(1-$D$12)^($F43-'הנחות עבודה'!$C$5)/$D$11)/$D$11)</f>
        <v>0</v>
      </c>
      <c r="AZ43" s="52">
        <f ca="1">IF(OR($F43&gt;$D$5,$F43&gt;MAX('הנחות עבודה'!$B$69:$B$89)),0,(VLOOKUP($F43,'התפלגות ייצור וסל דלקים'!$B$64:$BV$84,AZ$2-$E$2,FALSE))*$D$9*$D$8*(HLOOKUP(AZ$23,$G$18:$R$19,2,FALSE)*(1-$D$12)^($F43-'הנחות עבודה'!$C$5)/$D$11)/$D$11)</f>
        <v>0</v>
      </c>
      <c r="BA43" s="52">
        <f ca="1">IF(OR($F43&gt;$D$5,$F43&gt;MAX('הנחות עבודה'!$B$69:$B$89)),0,(VLOOKUP($F43,'התפלגות ייצור וסל דלקים'!$B$64:$BV$84,BA$2-$E$2,FALSE))*$D$9*$D$8*(HLOOKUP(BA$23,$G$18:$R$19,2,FALSE)*(1-$D$12)^($F43-'הנחות עבודה'!$C$5)/$D$11)/$D$11)</f>
        <v>0</v>
      </c>
      <c r="BB43" s="52">
        <f ca="1">IF(OR($F43&gt;$D$5,$F43&gt;MAX('הנחות עבודה'!$B$69:$B$89)),0,(VLOOKUP($F43,'התפלגות ייצור וסל דלקים'!$B$64:$BV$84,BB$2-$E$2,FALSE))*$D$9*$D$8*(HLOOKUP(BB$23,$G$18:$R$19,2,FALSE)*(1-$D$12)^($F43-'הנחות עבודה'!$C$5)/$D$11)/$D$11)</f>
        <v>0</v>
      </c>
      <c r="BC43" s="42">
        <f ca="1">IF(OR($F43&gt;$D$5,$F43&gt;MAX('הנחות עבודה'!$B$69:$B$89)),0,(VLOOKUP($F43,'התפלגות ייצור וסל דלקים'!$B$64:$BV$84,BC$2-$E$2,FALSE))*$D$9*$D$8*(HLOOKUP(BC$23,$G$18:$R$19,2,FALSE)*(1-$D$12)^($F43-'הנחות עבודה'!$C$5)/$D$11)/$D$11)</f>
        <v>0</v>
      </c>
      <c r="BD43" s="44">
        <f ca="1">IF(OR($F43&gt;$D$5,$F43&gt;MAX('הנחות עבודה'!$B$69:$B$89)),0,(VLOOKUP($F43,'התפלגות ייצור וסל דלקים'!$B$64:$BV$84,BD$2-$E$2,FALSE))*$D$9*$D$8*(HLOOKUP(BD$23,$G$18:$R$19,2,FALSE)*(1-$D$12)^($F43-'הנחות עבודה'!$C$5)/$D$11)/$D$11)</f>
        <v>0</v>
      </c>
      <c r="BE43" s="44">
        <f ca="1">IF(OR($F43&gt;$D$5,$F43&gt;MAX('הנחות עבודה'!$B$69:$B$89)),0,(VLOOKUP($F43,'התפלגות ייצור וסל דלקים'!$B$64:$BV$84,BE$2-$E$2,FALSE))*$D$9*$D$8*(HLOOKUP(BE$23,$G$18:$R$19,2,FALSE)*(1-$D$12)^($F43-'הנחות עבודה'!$C$5)/$D$11)/$D$11)</f>
        <v>0</v>
      </c>
      <c r="BF43" s="44">
        <f ca="1">IF(OR($F43&gt;$D$5,$F43&gt;MAX('הנחות עבודה'!$B$69:$B$89)),0,(VLOOKUP($F43,'התפלגות ייצור וסל דלקים'!$B$64:$BV$84,BF$2-$E$2,FALSE))*$D$9*$D$8*(HLOOKUP(BF$23,$G$18:$R$19,2,FALSE)*(1-$D$12)^($F43-'הנחות עבודה'!$C$5)/$D$11)/$D$11)</f>
        <v>0</v>
      </c>
      <c r="BG43" s="44">
        <f ca="1">IF(OR($F43&gt;$D$5,$F43&gt;MAX('הנחות עבודה'!$B$69:$B$89)),0,(VLOOKUP($F43,'התפלגות ייצור וסל דלקים'!$B$64:$BV$84,BG$2-$E$2,FALSE))*$D$9*$D$8*(HLOOKUP(BG$23,$G$18:$R$19,2,FALSE)*(1-$D$12)^($F43-'הנחות עבודה'!$C$5)/$D$11)/$D$11)</f>
        <v>0</v>
      </c>
      <c r="BH43" s="44">
        <f ca="1">IF(OR($F43&gt;$D$5,$F43&gt;MAX('הנחות עבודה'!$B$69:$B$89)),0,(VLOOKUP($F43,'התפלגות ייצור וסל דלקים'!$B$64:$BV$84,BH$2-$E$2,FALSE))*$D$9*$D$8*(HLOOKUP(BH$23,$G$18:$R$19,2,FALSE)*(1-$D$12)^($F43-'הנחות עבודה'!$C$5)/$D$11)/$D$11)</f>
        <v>0</v>
      </c>
      <c r="BI43" s="42">
        <f ca="1">IF(OR($F43&gt;$D$5,$F43&gt;MAX('הנחות עבודה'!$B$69:$B$89)),0,(VLOOKUP($F43,'התפלגות ייצור וסל דלקים'!$B$64:$BV$84,BI$2-$E$2,FALSE))*$D$9*$D$8*(HLOOKUP(BI$23,$G$18:$R$19,2,FALSE)*(1-$D$12)^($F43-'הנחות עבודה'!$C$5)/$D$11)/$D$11)</f>
        <v>1.328E-4</v>
      </c>
      <c r="BJ43" s="42">
        <f ca="1">IF(OR($F43&gt;$D$5,$F43&gt;MAX('הנחות עבודה'!$B$69:$B$89)),0,(VLOOKUP($F43,'התפלגות ייצור וסל דלקים'!$B$64:$BV$84,BJ$2-$E$2,FALSE))*$D$9*$D$8*(HLOOKUP(BJ$23,$G$18:$R$19,2,FALSE)*(1-$D$12)^($F43-'הנחות עבודה'!$C$5)/$D$11)/$D$11)</f>
        <v>6.5702485808840478E-4</v>
      </c>
      <c r="BK43" s="42">
        <f ca="1">IF(OR($F43&gt;$D$5,$F43&gt;MAX('הנחות עבודה'!$B$69:$B$89)),0,(VLOOKUP($F43,'התפלגות ייצור וסל דלקים'!$B$64:$BV$84,BK$2-$E$2,FALSE))*$D$9*$D$8*(HLOOKUP(BK$23,$G$18:$R$19,2,FALSE)*(1-$D$12)^($F43-'הנחות עבודה'!$C$5)/$D$11)/$D$11)</f>
        <v>0</v>
      </c>
      <c r="BL43" s="42">
        <f ca="1">IF(OR($F43&gt;$D$5,$F43&gt;MAX('הנחות עבודה'!$B$69:$B$89)),0,(VLOOKUP($F43,'התפלגות ייצור וסל דלקים'!$B$64:$BV$84,BL$2-$E$2,FALSE))*$D$9*$D$8*(HLOOKUP(BL$23,$G$18:$R$19,2,FALSE)*(1-$D$12)^($F43-'הנחות עבודה'!$C$5)/$D$11)/$D$11)</f>
        <v>0</v>
      </c>
      <c r="BM43" s="42">
        <f ca="1">IF(OR($F43&gt;$D$5,$F43&gt;MAX('הנחות עבודה'!$B$69:$B$89)),0,(VLOOKUP($F43,'התפלגות ייצור וסל דלקים'!$B$64:$BV$84,BM$2-$E$2,FALSE))*$D$9*$D$8*(HLOOKUP(BM$23,$G$18:$R$19,2,FALSE)*(1-$D$12)^($F43-'הנחות עבודה'!$C$5)/$D$11)/$D$11)</f>
        <v>0</v>
      </c>
      <c r="BN43" s="42">
        <f ca="1">IF(OR($F43&gt;$D$5,$F43&gt;MAX('הנחות עבודה'!$B$69:$B$89)),0,(VLOOKUP($F43,'התפלגות ייצור וסל דלקים'!$B$64:$BV$84,BN$2-$E$2,FALSE))*$D$9*$D$8*(HLOOKUP(BN$23,$G$18:$R$19,2,FALSE)*(1-$D$12)^($F43-'הנחות עבודה'!$C$5)/$D$11)/$D$11)</f>
        <v>0</v>
      </c>
      <c r="BO43" s="52">
        <f ca="1">IF(OR($F43&gt;$D$5,$F43&gt;MAX('הנחות עבודה'!$B$69:$B$89)),0,(VLOOKUP($F43,'התפלגות ייצור וסל דלקים'!$B$64:$BV$84,BO$2-$E$2,FALSE))*$D$9*$D$8*(HLOOKUP(BO$23,$G$18:$R$19,2,FALSE)*(1-$D$12)^($F43-'הנחות עבודה'!$C$5)/$D$11)/$D$11)</f>
        <v>0</v>
      </c>
      <c r="BP43" s="127">
        <f ca="1">IF(OR($F43&gt;$D$5,$F43&gt;MAX('הנחות עבודה'!$B$69:$B$89)),0,(VLOOKUP($F43,'התפלגות ייצור וסל דלקים'!$B$64:$BV$84,BP$2-$E$2,FALSE))*$D$9*$D$8*(HLOOKUP(BP$23,$G$18:$R$19,2,FALSE)*(1-$D$12)^($F43-'הנחות עבודה'!$C$5)/$D$11)/$D$11)</f>
        <v>0</v>
      </c>
      <c r="BQ43" s="127">
        <f ca="1">IF(OR($F43&gt;$D$5,$F43&gt;MAX('הנחות עבודה'!$B$69:$B$89)),0,(VLOOKUP($F43,'התפלגות ייצור וסל דלקים'!$B$64:$BV$84,BQ$2-$E$2,FALSE))*$D$9*$D$8*(HLOOKUP(BQ$23,$G$18:$R$19,2,FALSE)*(1-$D$12)^($F43-'הנחות עבודה'!$C$5)/$D$11)/$D$11)</f>
        <v>0</v>
      </c>
      <c r="BR43" s="127">
        <f ca="1">IF(OR($F43&gt;$D$5,$F43&gt;MAX('הנחות עבודה'!$B$69:$B$89)),0,(VLOOKUP($F43,'התפלגות ייצור וסל דלקים'!$B$64:$BV$84,BR$2-$E$2,FALSE))*$D$9*$D$8*(HLOOKUP(BR$23,$G$18:$R$19,2,FALSE)*(1-$D$12)^($F43-'הנחות עבודה'!$C$5)/$D$11)/$D$11)</f>
        <v>0</v>
      </c>
      <c r="BS43" s="127">
        <f ca="1">IF(OR($F43&gt;$D$5,$F43&gt;MAX('הנחות עבודה'!$B$69:$B$89)),0,(VLOOKUP($F43,'התפלגות ייצור וסל דלקים'!$B$64:$BV$84,BS$2-$E$2,FALSE))*$D$9*$D$8*(HLOOKUP(BS$23,$G$18:$R$19,2,FALSE)*(1-$D$12)^($F43-'הנחות עבודה'!$C$5)/$D$11)/$D$11)</f>
        <v>0</v>
      </c>
      <c r="BT43" s="127">
        <f ca="1">IF(OR($F43&gt;$D$5,$F43&gt;MAX('הנחות עבודה'!$B$69:$B$89)),0,(VLOOKUP($F43,'התפלגות ייצור וסל דלקים'!$B$64:$BV$84,BT$2-$E$2,FALSE))*$D$9*$D$8*(HLOOKUP(BT$23,$G$18:$R$19,2,FALSE)*(1-$D$12)^($F43-'הנחות עבודה'!$C$5)/$D$11)/$D$11)</f>
        <v>0</v>
      </c>
      <c r="BU43" s="52">
        <f ca="1">IF(OR($F43&gt;$D$5,$F43&gt;MAX('הנחות עבודה'!$B$69:$B$89)),0,(VLOOKUP($F43,'התפלגות ייצור וסל דלקים'!$B$64:$BV$84,BU$2-$E$2,FALSE))*$D$9*$D$8*(HLOOKUP(BU$23,$G$18:$R$19,2,FALSE)*(1-$D$12)^($F43-'הנחות עבודה'!$C$5)/$D$11)/$D$11)</f>
        <v>1.328E-4</v>
      </c>
      <c r="BV43" s="52">
        <f ca="1">IF(OR($F43&gt;$D$5,$F43&gt;MAX('הנחות עבודה'!$B$69:$B$89)),0,(VLOOKUP($F43,'התפלגות ייצור וסל דלקים'!$B$64:$BV$84,BV$2-$E$2,FALSE))*$D$9*$D$8*(HLOOKUP(BV$23,$G$18:$R$19,2,FALSE)*(1-$D$12)^($F43-'הנחות עבודה'!$C$5)/$D$11)/$D$11)</f>
        <v>6.5702485808840478E-4</v>
      </c>
      <c r="BW43" s="52">
        <f ca="1">IF(OR($F43&gt;$D$5,$F43&gt;MAX('הנחות עבודה'!$B$69:$B$89)),0,(VLOOKUP($F43,'התפלגות ייצור וסל דלקים'!$B$64:$BV$84,BW$2-$E$2,FALSE))*$D$9*$D$8*(HLOOKUP(BW$23,$G$18:$R$19,2,FALSE)*(1-$D$12)^($F43-'הנחות עבודה'!$C$5)/$D$11)/$D$11)</f>
        <v>0</v>
      </c>
      <c r="BX43" s="52">
        <f ca="1">IF(OR($F43&gt;$D$5,$F43&gt;MAX('הנחות עבודה'!$B$69:$B$89)),0,(VLOOKUP($F43,'התפלגות ייצור וסל דלקים'!$B$64:$BV$84,BX$2-$E$2,FALSE))*$D$9*$D$8*(HLOOKUP(BX$23,$G$18:$R$19,2,FALSE)*(1-$D$12)^($F43-'הנחות עבודה'!$C$5)/$D$11)/$D$11)</f>
        <v>0</v>
      </c>
      <c r="BY43" s="52">
        <f ca="1">IF(OR($F43&gt;$D$5,$F43&gt;MAX('הנחות עבודה'!$B$69:$B$89)),0,(VLOOKUP($F43,'התפלגות ייצור וסל דלקים'!$B$64:$BV$84,BY$2-$E$2,FALSE))*$D$9*$D$8*(HLOOKUP(BY$23,$G$18:$R$19,2,FALSE)*(1-$D$12)^($F43-'הנחות עבודה'!$C$5)/$D$11)/$D$11)</f>
        <v>0</v>
      </c>
      <c r="BZ43" s="52">
        <f ca="1">IF(OR($F43&gt;$D$5,$F43&gt;MAX('הנחות עבודה'!$B$69:$B$89)),0,(VLOOKUP($F43,'התפלגות ייצור וסל דלקים'!$B$64:$BV$84,BZ$2-$E$2,FALSE))*$D$9*$D$8*(HLOOKUP(BZ$23,$G$18:$R$19,2,FALSE)*(1-$D$12)^($F43-'הנחות עבודה'!$C$5)/$D$11)/$D$11)</f>
        <v>0</v>
      </c>
    </row>
    <row r="44" spans="6:78" ht="16.5" thickBot="1">
      <c r="F44" s="328">
        <f t="shared" si="108"/>
        <v>2040</v>
      </c>
      <c r="G44" s="45">
        <f ca="1">IF(OR($F44&gt;$D$5,$F44&gt;MAX('הנחות עבודה'!$B$69:$B$89)),0,(VLOOKUP($F44,'התפלגות ייצור וסל דלקים'!$B$64:$BV$84,G$2-$E$2,FALSE))*$D$9*$D$8*(HLOOKUP(G$23,$G$18:$R$19,2,FALSE)*(1-$D$12)^($F44-'הנחות עבודה'!$C$5)/$D$11)/$D$11)</f>
        <v>0</v>
      </c>
      <c r="H44" s="47">
        <f ca="1">IF(OR($F44&gt;$D$5,$F44&gt;MAX('הנחות עבודה'!$B$69:$B$89)),0,(VLOOKUP($F44,'התפלגות ייצור וסל דלקים'!$B$64:$BV$84,H$2-$E$2,FALSE))*$D$9*$D$8*(HLOOKUP(H$23,$G$18:$R$19,2,FALSE)*(1-$D$12)^($F44-'הנחות עבודה'!$C$5)/$D$11)/$D$11)</f>
        <v>0</v>
      </c>
      <c r="I44" s="47">
        <f ca="1">IF(OR($F44&gt;$D$5,$F44&gt;MAX('הנחות עבודה'!$B$69:$B$89)),0,(VLOOKUP($F44,'התפלגות ייצור וסל דלקים'!$B$64:$BV$84,I$2-$E$2,FALSE))*$D$9*$D$8*(HLOOKUP(I$23,$G$18:$R$19,2,FALSE)*(1-$D$12)^($F44-'הנחות עבודה'!$C$5)/$D$11)/$D$11)</f>
        <v>0</v>
      </c>
      <c r="J44" s="47">
        <f ca="1">IF(OR($F44&gt;$D$5,$F44&gt;MAX('הנחות עבודה'!$B$69:$B$89)),0,(VLOOKUP($F44,'התפלגות ייצור וסל דלקים'!$B$64:$BV$84,J$2-$E$2,FALSE))*$D$9*$D$8*(HLOOKUP(J$23,$G$18:$R$19,2,FALSE)*(1-$D$12)^($F44-'הנחות עבודה'!$C$5)/$D$11)/$D$11)</f>
        <v>0</v>
      </c>
      <c r="K44" s="47">
        <f ca="1">IF(OR($F44&gt;$D$5,$F44&gt;MAX('הנחות עבודה'!$B$69:$B$89)),0,(VLOOKUP($F44,'התפלגות ייצור וסל דלקים'!$B$64:$BV$84,K$2-$E$2,FALSE))*$D$9*$D$8*(HLOOKUP(K$23,$G$18:$R$19,2,FALSE)*(1-$D$12)^($F44-'הנחות עבודה'!$C$5)/$D$11)/$D$11)</f>
        <v>0</v>
      </c>
      <c r="L44" s="47">
        <f ca="1">IF(OR($F44&gt;$D$5,$F44&gt;MAX('הנחות עבודה'!$B$69:$B$89)),0,(VLOOKUP($F44,'התפלגות ייצור וסל דלקים'!$B$64:$BV$84,L$2-$E$2,FALSE))*$D$9*$D$8*(HLOOKUP(L$23,$G$18:$R$19,2,FALSE)*(1-$D$12)^($F44-'הנחות עבודה'!$C$5)/$D$11)/$D$11)</f>
        <v>0</v>
      </c>
      <c r="M44" s="45">
        <f ca="1">IF(OR($F44&gt;$D$5,$F44&gt;MAX('הנחות עבודה'!$B$69:$B$89)),0,(VLOOKUP($F44,'התפלגות ייצור וסל דלקים'!$B$64:$BV$84,M$2-$E$2,FALSE))*$D$9*$D$8*(HLOOKUP(M$23,$G$18:$R$19,2,FALSE)*(1-$D$12)^($F44-'הנחות עבודה'!$C$5)/$D$11)/$D$11)</f>
        <v>1.2568408000000002E-4</v>
      </c>
      <c r="N44" s="45">
        <f ca="1">IF(OR($F44&gt;$D$5,$F44&gt;MAX('הנחות עבודה'!$B$69:$B$89)),0,(VLOOKUP($F44,'התפלגות ייצור וסל דלקים'!$B$64:$BV$84,N$2-$E$2,FALSE))*$D$9*$D$8*(HLOOKUP(N$23,$G$18:$R$19,2,FALSE)*(1-$D$12)^($F44-'הנחות עבודה'!$C$5)/$D$11)/$D$11)</f>
        <v>7.9096540794556895E-4</v>
      </c>
      <c r="O44" s="45">
        <f ca="1">IF(OR($F44&gt;$D$5,$F44&gt;MAX('הנחות עבודה'!$B$69:$B$89)),0,(VLOOKUP($F44,'התפלגות ייצור וסל דלקים'!$B$64:$BV$84,O$2-$E$2,FALSE))*$D$9*$D$8*(HLOOKUP(O$23,$G$18:$R$19,2,FALSE)*(1-$D$12)^($F44-'הנחות עבודה'!$C$5)/$D$11)/$D$11)</f>
        <v>0</v>
      </c>
      <c r="P44" s="45">
        <f ca="1">IF(OR($F44&gt;$D$5,$F44&gt;MAX('הנחות עבודה'!$B$69:$B$89)),0,(VLOOKUP($F44,'התפלגות ייצור וסל דלקים'!$B$64:$BV$84,P$2-$E$2,FALSE))*$D$9*$D$8*(HLOOKUP(P$23,$G$18:$R$19,2,FALSE)*(1-$D$12)^($F44-'הנחות עבודה'!$C$5)/$D$11)/$D$11)</f>
        <v>0</v>
      </c>
      <c r="Q44" s="45">
        <f ca="1">IF(OR($F44&gt;$D$5,$F44&gt;MAX('הנחות עבודה'!$B$69:$B$89)),0,(VLOOKUP($F44,'התפלגות ייצור וסל דלקים'!$B$64:$BV$84,Q$2-$E$2,FALSE))*$D$9*$D$8*(HLOOKUP(Q$23,$G$18:$R$19,2,FALSE)*(1-$D$12)^($F44-'הנחות עבודה'!$C$5)/$D$11)/$D$11)</f>
        <v>0</v>
      </c>
      <c r="R44" s="45">
        <f ca="1">IF(OR($F44&gt;$D$5,$F44&gt;MAX('הנחות עבודה'!$B$69:$B$89)),0,(VLOOKUP($F44,'התפלגות ייצור וסל דלקים'!$B$64:$BV$84,R$2-$E$2,FALSE))*$D$9*$D$8*(HLOOKUP(R$23,$G$18:$R$19,2,FALSE)*(1-$D$12)^($F44-'הנחות עבודה'!$C$5)/$D$11)/$D$11)</f>
        <v>0</v>
      </c>
      <c r="S44" s="55">
        <f ca="1">IF(OR($F44&gt;$D$5,$F44&gt;MAX('הנחות עבודה'!$B$69:$B$89)),0,(VLOOKUP($F44,'התפלגות ייצור וסל דלקים'!$B$64:$BV$84,S$2-$E$2,FALSE))*$D$9*$D$8*(HLOOKUP(S$23,$G$18:$R$19,2,FALSE)*(1-$D$12)^($F44-'הנחות עבודה'!$C$5)/$D$11)/$D$11)</f>
        <v>0</v>
      </c>
      <c r="T44" s="128">
        <f ca="1">IF(OR($F44&gt;$D$5,$F44&gt;MAX('הנחות עבודה'!$B$69:$B$89)),0,(VLOOKUP($F44,'התפלגות ייצור וסל דלקים'!$B$64:$BV$84,T$2-$E$2,FALSE))*$D$9*$D$8*(HLOOKUP(T$23,$G$18:$R$19,2,FALSE)*(1-$D$12)^($F44-'הנחות עבודה'!$C$5)/$D$11)/$D$11)</f>
        <v>0</v>
      </c>
      <c r="U44" s="128">
        <f ca="1">IF(OR($F44&gt;$D$5,$F44&gt;MAX('הנחות עבודה'!$B$69:$B$89)),0,(VLOOKUP($F44,'התפלגות ייצור וסל דלקים'!$B$64:$BV$84,U$2-$E$2,FALSE))*$D$9*$D$8*(HLOOKUP(U$23,$G$18:$R$19,2,FALSE)*(1-$D$12)^($F44-'הנחות עבודה'!$C$5)/$D$11)/$D$11)</f>
        <v>0</v>
      </c>
      <c r="V44" s="128">
        <f ca="1">IF(OR($F44&gt;$D$5,$F44&gt;MAX('הנחות עבודה'!$B$69:$B$89)),0,(VLOOKUP($F44,'התפלגות ייצור וסל דלקים'!$B$64:$BV$84,V$2-$E$2,FALSE))*$D$9*$D$8*(HLOOKUP(V$23,$G$18:$R$19,2,FALSE)*(1-$D$12)^($F44-'הנחות עבודה'!$C$5)/$D$11)/$D$11)</f>
        <v>0</v>
      </c>
      <c r="W44" s="128">
        <f ca="1">IF(OR($F44&gt;$D$5,$F44&gt;MAX('הנחות עבודה'!$B$69:$B$89)),0,(VLOOKUP($F44,'התפלגות ייצור וסל דלקים'!$B$64:$BV$84,W$2-$E$2,FALSE))*$D$9*$D$8*(HLOOKUP(W$23,$G$18:$R$19,2,FALSE)*(1-$D$12)^($F44-'הנחות עבודה'!$C$5)/$D$11)/$D$11)</f>
        <v>0</v>
      </c>
      <c r="X44" s="128">
        <f ca="1">IF(OR($F44&gt;$D$5,$F44&gt;MAX('הנחות עבודה'!$B$69:$B$89)),0,(VLOOKUP($F44,'התפלגות ייצור וסל דלקים'!$B$64:$BV$84,X$2-$E$2,FALSE))*$D$9*$D$8*(HLOOKUP(X$23,$G$18:$R$19,2,FALSE)*(1-$D$12)^($F44-'הנחות עבודה'!$C$5)/$D$11)/$D$11)</f>
        <v>0</v>
      </c>
      <c r="Y44" s="55">
        <f ca="1">IF(OR($F44&gt;$D$5,$F44&gt;MAX('הנחות עבודה'!$B$69:$B$89)),0,(VLOOKUP($F44,'התפלגות ייצור וסל דלקים'!$B$64:$BV$84,Y$2-$E$2,FALSE))*$D$9*$D$8*(HLOOKUP(Y$23,$G$18:$R$19,2,FALSE)*(1-$D$12)^($F44-'הנחות עבודה'!$C$5)/$D$11)/$D$11)</f>
        <v>1.2568408000000002E-4</v>
      </c>
      <c r="Z44" s="55">
        <f ca="1">IF(OR($F44&gt;$D$5,$F44&gt;MAX('הנחות עבודה'!$B$69:$B$89)),0,(VLOOKUP($F44,'התפלגות ייצור וסל דלקים'!$B$64:$BV$84,Z$2-$E$2,FALSE))*$D$9*$D$8*(HLOOKUP(Z$23,$G$18:$R$19,2,FALSE)*(1-$D$12)^($F44-'הנחות עבודה'!$C$5)/$D$11)/$D$11)</f>
        <v>7.9096540794556895E-4</v>
      </c>
      <c r="AA44" s="55">
        <f ca="1">IF(OR($F44&gt;$D$5,$F44&gt;MAX('הנחות עבודה'!$B$69:$B$89)),0,(VLOOKUP($F44,'התפלגות ייצור וסל דלקים'!$B$64:$BV$84,AA$2-$E$2,FALSE))*$D$9*$D$8*(HLOOKUP(AA$23,$G$18:$R$19,2,FALSE)*(1-$D$12)^($F44-'הנחות עבודה'!$C$5)/$D$11)/$D$11)</f>
        <v>0</v>
      </c>
      <c r="AB44" s="55">
        <f ca="1">IF(OR($F44&gt;$D$5,$F44&gt;MAX('הנחות עבודה'!$B$69:$B$89)),0,(VLOOKUP($F44,'התפלגות ייצור וסל דלקים'!$B$64:$BV$84,AB$2-$E$2,FALSE))*$D$9*$D$8*(HLOOKUP(AB$23,$G$18:$R$19,2,FALSE)*(1-$D$12)^($F44-'הנחות עבודה'!$C$5)/$D$11)/$D$11)</f>
        <v>0</v>
      </c>
      <c r="AC44" s="55">
        <f ca="1">IF(OR($F44&gt;$D$5,$F44&gt;MAX('הנחות עבודה'!$B$69:$B$89)),0,(VLOOKUP($F44,'התפלגות ייצור וסל דלקים'!$B$64:$BV$84,AC$2-$E$2,FALSE))*$D$9*$D$8*(HLOOKUP(AC$23,$G$18:$R$19,2,FALSE)*(1-$D$12)^($F44-'הנחות עבודה'!$C$5)/$D$11)/$D$11)</f>
        <v>0</v>
      </c>
      <c r="AD44" s="55">
        <f ca="1">IF(OR($F44&gt;$D$5,$F44&gt;MAX('הנחות עבודה'!$B$69:$B$89)),0,(VLOOKUP($F44,'התפלגות ייצור וסל דלקים'!$B$64:$BV$84,AD$2-$E$2,FALSE))*$D$9*$D$8*(HLOOKUP(AD$23,$G$18:$R$19,2,FALSE)*(1-$D$12)^($F44-'הנחות עבודה'!$C$5)/$D$11)/$D$11)</f>
        <v>0</v>
      </c>
      <c r="AE44" s="45">
        <f ca="1">IF(OR($F44&gt;$D$5,$F44&gt;MAX('הנחות עבודה'!$B$69:$B$89)),0,(VLOOKUP($F44,'התפלגות ייצור וסל דלקים'!$B$64:$BV$84,AE$2-$E$2,FALSE))*$D$9*$D$8*(HLOOKUP(AE$23,$G$18:$R$19,2,FALSE)*(1-$D$12)^($F44-'הנחות עבודה'!$C$5)/$D$11)/$D$11)</f>
        <v>0</v>
      </c>
      <c r="AF44" s="47">
        <f ca="1">IF(OR($F44&gt;$D$5,$F44&gt;MAX('הנחות עבודה'!$B$69:$B$89)),0,(VLOOKUP($F44,'התפלגות ייצור וסל דלקים'!$B$64:$BV$84,AF$2-$E$2,FALSE))*$D$9*$D$8*(HLOOKUP(AF$23,$G$18:$R$19,2,FALSE)*(1-$D$12)^($F44-'הנחות עבודה'!$C$5)/$D$11)/$D$11)</f>
        <v>0</v>
      </c>
      <c r="AG44" s="47">
        <f ca="1">IF(OR($F44&gt;$D$5,$F44&gt;MAX('הנחות עבודה'!$B$69:$B$89)),0,(VLOOKUP($F44,'התפלגות ייצור וסל דלקים'!$B$64:$BV$84,AG$2-$E$2,FALSE))*$D$9*$D$8*(HLOOKUP(AG$23,$G$18:$R$19,2,FALSE)*(1-$D$12)^($F44-'הנחות עבודה'!$C$5)/$D$11)/$D$11)</f>
        <v>0</v>
      </c>
      <c r="AH44" s="47">
        <f ca="1">IF(OR($F44&gt;$D$5,$F44&gt;MAX('הנחות עבודה'!$B$69:$B$89)),0,(VLOOKUP($F44,'התפלגות ייצור וסל דלקים'!$B$64:$BV$84,AH$2-$E$2,FALSE))*$D$9*$D$8*(HLOOKUP(AH$23,$G$18:$R$19,2,FALSE)*(1-$D$12)^($F44-'הנחות עבודה'!$C$5)/$D$11)/$D$11)</f>
        <v>0</v>
      </c>
      <c r="AI44" s="47">
        <f ca="1">IF(OR($F44&gt;$D$5,$F44&gt;MAX('הנחות עבודה'!$B$69:$B$89)),0,(VLOOKUP($F44,'התפלגות ייצור וסל דלקים'!$B$64:$BV$84,AI$2-$E$2,FALSE))*$D$9*$D$8*(HLOOKUP(AI$23,$G$18:$R$19,2,FALSE)*(1-$D$12)^($F44-'הנחות עבודה'!$C$5)/$D$11)/$D$11)</f>
        <v>0</v>
      </c>
      <c r="AJ44" s="47">
        <f ca="1">IF(OR($F44&gt;$D$5,$F44&gt;MAX('הנחות עבודה'!$B$69:$B$89)),0,(VLOOKUP($F44,'התפלגות ייצור וסל דלקים'!$B$64:$BV$84,AJ$2-$E$2,FALSE))*$D$9*$D$8*(HLOOKUP(AJ$23,$G$18:$R$19,2,FALSE)*(1-$D$12)^($F44-'הנחות עבודה'!$C$5)/$D$11)/$D$11)</f>
        <v>0</v>
      </c>
      <c r="AK44" s="45">
        <f ca="1">IF(OR($F44&gt;$D$5,$F44&gt;MAX('הנחות עבודה'!$B$69:$B$89)),0,(VLOOKUP($F44,'התפלגות ייצור וסל דלקים'!$B$64:$BV$84,AK$2-$E$2,FALSE))*$D$9*$D$8*(HLOOKUP(AK$23,$G$18:$R$19,2,FALSE)*(1-$D$12)^($F44-'הנחות עבודה'!$C$5)/$D$11)/$D$11)</f>
        <v>1.3050687999999999E-4</v>
      </c>
      <c r="AL44" s="45">
        <f ca="1">IF(OR($F44&gt;$D$5,$F44&gt;MAX('הנחות עבודה'!$B$69:$B$89)),0,(VLOOKUP($F44,'התפלגות ייצור וסל דלקים'!$B$64:$BV$84,AL$2-$E$2,FALSE))*$D$9*$D$8*(HLOOKUP(AL$23,$G$18:$R$19,2,FALSE)*(1-$D$12)^($F44-'הנחות עבודה'!$C$5)/$D$11)/$D$11)</f>
        <v>7.2750762066087172E-4</v>
      </c>
      <c r="AM44" s="45">
        <f ca="1">IF(OR($F44&gt;$D$5,$F44&gt;MAX('הנחות עבודה'!$B$69:$B$89)),0,(VLOOKUP($F44,'התפלגות ייצור וסל דלקים'!$B$64:$BV$84,AM$2-$E$2,FALSE))*$D$9*$D$8*(HLOOKUP(AM$23,$G$18:$R$19,2,FALSE)*(1-$D$12)^($F44-'הנחות עבודה'!$C$5)/$D$11)/$D$11)</f>
        <v>0</v>
      </c>
      <c r="AN44" s="45">
        <f ca="1">IF(OR($F44&gt;$D$5,$F44&gt;MAX('הנחות עבודה'!$B$69:$B$89)),0,(VLOOKUP($F44,'התפלגות ייצור וסל דלקים'!$B$64:$BV$84,AN$2-$E$2,FALSE))*$D$9*$D$8*(HLOOKUP(AN$23,$G$18:$R$19,2,FALSE)*(1-$D$12)^($F44-'הנחות עבודה'!$C$5)/$D$11)/$D$11)</f>
        <v>0</v>
      </c>
      <c r="AO44" s="45">
        <f ca="1">IF(OR($F44&gt;$D$5,$F44&gt;MAX('הנחות עבודה'!$B$69:$B$89)),0,(VLOOKUP($F44,'התפלגות ייצור וסל דלקים'!$B$64:$BV$84,AO$2-$E$2,FALSE))*$D$9*$D$8*(HLOOKUP(AO$23,$G$18:$R$19,2,FALSE)*(1-$D$12)^($F44-'הנחות עבודה'!$C$5)/$D$11)/$D$11)</f>
        <v>0</v>
      </c>
      <c r="AP44" s="45">
        <f ca="1">IF(OR($F44&gt;$D$5,$F44&gt;MAX('הנחות עבודה'!$B$69:$B$89)),0,(VLOOKUP($F44,'התפלגות ייצור וסל דלקים'!$B$64:$BV$84,AP$2-$E$2,FALSE))*$D$9*$D$8*(HLOOKUP(AP$23,$G$18:$R$19,2,FALSE)*(1-$D$12)^($F44-'הנחות עבודה'!$C$5)/$D$11)/$D$11)</f>
        <v>0</v>
      </c>
      <c r="AQ44" s="55">
        <f ca="1">IF(OR($F44&gt;$D$5,$F44&gt;MAX('הנחות עבודה'!$B$69:$B$89)),0,(VLOOKUP($F44,'התפלגות ייצור וסל דלקים'!$B$64:$BV$84,AQ$2-$E$2,FALSE))*$D$9*$D$8*(HLOOKUP(AQ$23,$G$18:$R$19,2,FALSE)*(1-$D$12)^($F44-'הנחות עבודה'!$C$5)/$D$11)/$D$11)</f>
        <v>0</v>
      </c>
      <c r="AR44" s="128">
        <f ca="1">IF(OR($F44&gt;$D$5,$F44&gt;MAX('הנחות עבודה'!$B$69:$B$89)),0,(VLOOKUP($F44,'התפלגות ייצור וסל דלקים'!$B$64:$BV$84,AR$2-$E$2,FALSE))*$D$9*$D$8*(HLOOKUP(AR$23,$G$18:$R$19,2,FALSE)*(1-$D$12)^($F44-'הנחות עבודה'!$C$5)/$D$11)/$D$11)</f>
        <v>0</v>
      </c>
      <c r="AS44" s="128">
        <f ca="1">IF(OR($F44&gt;$D$5,$F44&gt;MAX('הנחות עבודה'!$B$69:$B$89)),0,(VLOOKUP($F44,'התפלגות ייצור וסל דלקים'!$B$64:$BV$84,AS$2-$E$2,FALSE))*$D$9*$D$8*(HLOOKUP(AS$23,$G$18:$R$19,2,FALSE)*(1-$D$12)^($F44-'הנחות עבודה'!$C$5)/$D$11)/$D$11)</f>
        <v>0</v>
      </c>
      <c r="AT44" s="128">
        <f ca="1">IF(OR($F44&gt;$D$5,$F44&gt;MAX('הנחות עבודה'!$B$69:$B$89)),0,(VLOOKUP($F44,'התפלגות ייצור וסל דלקים'!$B$64:$BV$84,AT$2-$E$2,FALSE))*$D$9*$D$8*(HLOOKUP(AT$23,$G$18:$R$19,2,FALSE)*(1-$D$12)^($F44-'הנחות עבודה'!$C$5)/$D$11)/$D$11)</f>
        <v>0</v>
      </c>
      <c r="AU44" s="128">
        <f ca="1">IF(OR($F44&gt;$D$5,$F44&gt;MAX('הנחות עבודה'!$B$69:$B$89)),0,(VLOOKUP($F44,'התפלגות ייצור וסל דלקים'!$B$64:$BV$84,AU$2-$E$2,FALSE))*$D$9*$D$8*(HLOOKUP(AU$23,$G$18:$R$19,2,FALSE)*(1-$D$12)^($F44-'הנחות עבודה'!$C$5)/$D$11)/$D$11)</f>
        <v>0</v>
      </c>
      <c r="AV44" s="128">
        <f ca="1">IF(OR($F44&gt;$D$5,$F44&gt;MAX('הנחות עבודה'!$B$69:$B$89)),0,(VLOOKUP($F44,'התפלגות ייצור וסל דלקים'!$B$64:$BV$84,AV$2-$E$2,FALSE))*$D$9*$D$8*(HLOOKUP(AV$23,$G$18:$R$19,2,FALSE)*(1-$D$12)^($F44-'הנחות עבודה'!$C$5)/$D$11)/$D$11)</f>
        <v>0</v>
      </c>
      <c r="AW44" s="55">
        <f ca="1">IF(OR($F44&gt;$D$5,$F44&gt;MAX('הנחות עבודה'!$B$69:$B$89)),0,(VLOOKUP($F44,'התפלגות ייצור וסל דלקים'!$B$64:$BV$84,AW$2-$E$2,FALSE))*$D$9*$D$8*(HLOOKUP(AW$23,$G$18:$R$19,2,FALSE)*(1-$D$12)^($F44-'הנחות עבודה'!$C$5)/$D$11)/$D$11)</f>
        <v>1.3050687999999999E-4</v>
      </c>
      <c r="AX44" s="55">
        <f ca="1">IF(OR($F44&gt;$D$5,$F44&gt;MAX('הנחות עבודה'!$B$69:$B$89)),0,(VLOOKUP($F44,'התפלגות ייצור וסל דלקים'!$B$64:$BV$84,AX$2-$E$2,FALSE))*$D$9*$D$8*(HLOOKUP(AX$23,$G$18:$R$19,2,FALSE)*(1-$D$12)^($F44-'הנחות עבודה'!$C$5)/$D$11)/$D$11)</f>
        <v>7.2750762066087172E-4</v>
      </c>
      <c r="AY44" s="55">
        <f ca="1">IF(OR($F44&gt;$D$5,$F44&gt;MAX('הנחות עבודה'!$B$69:$B$89)),0,(VLOOKUP($F44,'התפלגות ייצור וסל דלקים'!$B$64:$BV$84,AY$2-$E$2,FALSE))*$D$9*$D$8*(HLOOKUP(AY$23,$G$18:$R$19,2,FALSE)*(1-$D$12)^($F44-'הנחות עבודה'!$C$5)/$D$11)/$D$11)</f>
        <v>0</v>
      </c>
      <c r="AZ44" s="55">
        <f ca="1">IF(OR($F44&gt;$D$5,$F44&gt;MAX('הנחות עבודה'!$B$69:$B$89)),0,(VLOOKUP($F44,'התפלגות ייצור וסל דלקים'!$B$64:$BV$84,AZ$2-$E$2,FALSE))*$D$9*$D$8*(HLOOKUP(AZ$23,$G$18:$R$19,2,FALSE)*(1-$D$12)^($F44-'הנחות עבודה'!$C$5)/$D$11)/$D$11)</f>
        <v>0</v>
      </c>
      <c r="BA44" s="55">
        <f ca="1">IF(OR($F44&gt;$D$5,$F44&gt;MAX('הנחות עבודה'!$B$69:$B$89)),0,(VLOOKUP($F44,'התפלגות ייצור וסל דלקים'!$B$64:$BV$84,BA$2-$E$2,FALSE))*$D$9*$D$8*(HLOOKUP(BA$23,$G$18:$R$19,2,FALSE)*(1-$D$12)^($F44-'הנחות עבודה'!$C$5)/$D$11)/$D$11)</f>
        <v>0</v>
      </c>
      <c r="BB44" s="55">
        <f ca="1">IF(OR($F44&gt;$D$5,$F44&gt;MAX('הנחות עבודה'!$B$69:$B$89)),0,(VLOOKUP($F44,'התפלגות ייצור וסל דלקים'!$B$64:$BV$84,BB$2-$E$2,FALSE))*$D$9*$D$8*(HLOOKUP(BB$23,$G$18:$R$19,2,FALSE)*(1-$D$12)^($F44-'הנחות עבודה'!$C$5)/$D$11)/$D$11)</f>
        <v>0</v>
      </c>
      <c r="BC44" s="45">
        <f ca="1">IF(OR($F44&gt;$D$5,$F44&gt;MAX('הנחות עבודה'!$B$69:$B$89)),0,(VLOOKUP($F44,'התפלגות ייצור וסל דלקים'!$B$64:$BV$84,BC$2-$E$2,FALSE))*$D$9*$D$8*(HLOOKUP(BC$23,$G$18:$R$19,2,FALSE)*(1-$D$12)^($F44-'הנחות עבודה'!$C$5)/$D$11)/$D$11)</f>
        <v>0</v>
      </c>
      <c r="BD44" s="47">
        <f ca="1">IF(OR($F44&gt;$D$5,$F44&gt;MAX('הנחות עבודה'!$B$69:$B$89)),0,(VLOOKUP($F44,'התפלגות ייצור וסל דלקים'!$B$64:$BV$84,BD$2-$E$2,FALSE))*$D$9*$D$8*(HLOOKUP(BD$23,$G$18:$R$19,2,FALSE)*(1-$D$12)^($F44-'הנחות עבודה'!$C$5)/$D$11)/$D$11)</f>
        <v>0</v>
      </c>
      <c r="BE44" s="47">
        <f ca="1">IF(OR($F44&gt;$D$5,$F44&gt;MAX('הנחות עבודה'!$B$69:$B$89)),0,(VLOOKUP($F44,'התפלגות ייצור וסל דלקים'!$B$64:$BV$84,BE$2-$E$2,FALSE))*$D$9*$D$8*(HLOOKUP(BE$23,$G$18:$R$19,2,FALSE)*(1-$D$12)^($F44-'הנחות עבודה'!$C$5)/$D$11)/$D$11)</f>
        <v>0</v>
      </c>
      <c r="BF44" s="47">
        <f ca="1">IF(OR($F44&gt;$D$5,$F44&gt;MAX('הנחות עבודה'!$B$69:$B$89)),0,(VLOOKUP($F44,'התפלגות ייצור וסל דלקים'!$B$64:$BV$84,BF$2-$E$2,FALSE))*$D$9*$D$8*(HLOOKUP(BF$23,$G$18:$R$19,2,FALSE)*(1-$D$12)^($F44-'הנחות עבודה'!$C$5)/$D$11)/$D$11)</f>
        <v>0</v>
      </c>
      <c r="BG44" s="47">
        <f ca="1">IF(OR($F44&gt;$D$5,$F44&gt;MAX('הנחות עבודה'!$B$69:$B$89)),0,(VLOOKUP($F44,'התפלגות ייצור וסל דלקים'!$B$64:$BV$84,BG$2-$E$2,FALSE))*$D$9*$D$8*(HLOOKUP(BG$23,$G$18:$R$19,2,FALSE)*(1-$D$12)^($F44-'הנחות עבודה'!$C$5)/$D$11)/$D$11)</f>
        <v>0</v>
      </c>
      <c r="BH44" s="47">
        <f ca="1">IF(OR($F44&gt;$D$5,$F44&gt;MAX('הנחות עבודה'!$B$69:$B$89)),0,(VLOOKUP($F44,'התפלגות ייצור וסל דלקים'!$B$64:$BV$84,BH$2-$E$2,FALSE))*$D$9*$D$8*(HLOOKUP(BH$23,$G$18:$R$19,2,FALSE)*(1-$D$12)^($F44-'הנחות עבודה'!$C$5)/$D$11)/$D$11)</f>
        <v>0</v>
      </c>
      <c r="BI44" s="45">
        <f ca="1">IF(OR($F44&gt;$D$5,$F44&gt;MAX('הנחות עבודה'!$B$69:$B$89)),0,(VLOOKUP($F44,'התפלגות ייצור וסל דלקים'!$B$64:$BV$84,BI$2-$E$2,FALSE))*$D$9*$D$8*(HLOOKUP(BI$23,$G$18:$R$19,2,FALSE)*(1-$D$12)^($F44-'הנחות עבודה'!$C$5)/$D$11)/$D$11)</f>
        <v>1.3369599999999999E-4</v>
      </c>
      <c r="BJ44" s="45">
        <f ca="1">IF(OR($F44&gt;$D$5,$F44&gt;MAX('הנחות עבודה'!$B$69:$B$89)),0,(VLOOKUP($F44,'התפלגות ייצור וסל דלקים'!$B$64:$BV$84,BJ$2-$E$2,FALSE))*$D$9*$D$8*(HLOOKUP(BJ$23,$G$18:$R$19,2,FALSE)*(1-$D$12)^($F44-'הנחות עבודה'!$C$5)/$D$11)/$D$11)</f>
        <v>6.8773421360793609E-4</v>
      </c>
      <c r="BK44" s="45">
        <f ca="1">IF(OR($F44&gt;$D$5,$F44&gt;MAX('הנחות עבודה'!$B$69:$B$89)),0,(VLOOKUP($F44,'התפלגות ייצור וסל דלקים'!$B$64:$BV$84,BK$2-$E$2,FALSE))*$D$9*$D$8*(HLOOKUP(BK$23,$G$18:$R$19,2,FALSE)*(1-$D$12)^($F44-'הנחות עבודה'!$C$5)/$D$11)/$D$11)</f>
        <v>0</v>
      </c>
      <c r="BL44" s="45">
        <f ca="1">IF(OR($F44&gt;$D$5,$F44&gt;MAX('הנחות עבודה'!$B$69:$B$89)),0,(VLOOKUP($F44,'התפלגות ייצור וסל דלקים'!$B$64:$BV$84,BL$2-$E$2,FALSE))*$D$9*$D$8*(HLOOKUP(BL$23,$G$18:$R$19,2,FALSE)*(1-$D$12)^($F44-'הנחות עבודה'!$C$5)/$D$11)/$D$11)</f>
        <v>0</v>
      </c>
      <c r="BM44" s="45">
        <f ca="1">IF(OR($F44&gt;$D$5,$F44&gt;MAX('הנחות עבודה'!$B$69:$B$89)),0,(VLOOKUP($F44,'התפלגות ייצור וסל דלקים'!$B$64:$BV$84,BM$2-$E$2,FALSE))*$D$9*$D$8*(HLOOKUP(BM$23,$G$18:$R$19,2,FALSE)*(1-$D$12)^($F44-'הנחות עבודה'!$C$5)/$D$11)/$D$11)</f>
        <v>0</v>
      </c>
      <c r="BN44" s="45">
        <f ca="1">IF(OR($F44&gt;$D$5,$F44&gt;MAX('הנחות עבודה'!$B$69:$B$89)),0,(VLOOKUP($F44,'התפלגות ייצור וסל דלקים'!$B$64:$BV$84,BN$2-$E$2,FALSE))*$D$9*$D$8*(HLOOKUP(BN$23,$G$18:$R$19,2,FALSE)*(1-$D$12)^($F44-'הנחות עבודה'!$C$5)/$D$11)/$D$11)</f>
        <v>0</v>
      </c>
      <c r="BO44" s="55">
        <f ca="1">IF(OR($F44&gt;$D$5,$F44&gt;MAX('הנחות עבודה'!$B$69:$B$89)),0,(VLOOKUP($F44,'התפלגות ייצור וסל דלקים'!$B$64:$BV$84,BO$2-$E$2,FALSE))*$D$9*$D$8*(HLOOKUP(BO$23,$G$18:$R$19,2,FALSE)*(1-$D$12)^($F44-'הנחות עבודה'!$C$5)/$D$11)/$D$11)</f>
        <v>0</v>
      </c>
      <c r="BP44" s="128">
        <f ca="1">IF(OR($F44&gt;$D$5,$F44&gt;MAX('הנחות עבודה'!$B$69:$B$89)),0,(VLOOKUP($F44,'התפלגות ייצור וסל דלקים'!$B$64:$BV$84,BP$2-$E$2,FALSE))*$D$9*$D$8*(HLOOKUP(BP$23,$G$18:$R$19,2,FALSE)*(1-$D$12)^($F44-'הנחות עבודה'!$C$5)/$D$11)/$D$11)</f>
        <v>0</v>
      </c>
      <c r="BQ44" s="128">
        <f ca="1">IF(OR($F44&gt;$D$5,$F44&gt;MAX('הנחות עבודה'!$B$69:$B$89)),0,(VLOOKUP($F44,'התפלגות ייצור וסל דלקים'!$B$64:$BV$84,BQ$2-$E$2,FALSE))*$D$9*$D$8*(HLOOKUP(BQ$23,$G$18:$R$19,2,FALSE)*(1-$D$12)^($F44-'הנחות עבודה'!$C$5)/$D$11)/$D$11)</f>
        <v>0</v>
      </c>
      <c r="BR44" s="128">
        <f ca="1">IF(OR($F44&gt;$D$5,$F44&gt;MAX('הנחות עבודה'!$B$69:$B$89)),0,(VLOOKUP($F44,'התפלגות ייצור וסל דלקים'!$B$64:$BV$84,BR$2-$E$2,FALSE))*$D$9*$D$8*(HLOOKUP(BR$23,$G$18:$R$19,2,FALSE)*(1-$D$12)^($F44-'הנחות עבודה'!$C$5)/$D$11)/$D$11)</f>
        <v>0</v>
      </c>
      <c r="BS44" s="128">
        <f ca="1">IF(OR($F44&gt;$D$5,$F44&gt;MAX('הנחות עבודה'!$B$69:$B$89)),0,(VLOOKUP($F44,'התפלגות ייצור וסל דלקים'!$B$64:$BV$84,BS$2-$E$2,FALSE))*$D$9*$D$8*(HLOOKUP(BS$23,$G$18:$R$19,2,FALSE)*(1-$D$12)^($F44-'הנחות עבודה'!$C$5)/$D$11)/$D$11)</f>
        <v>0</v>
      </c>
      <c r="BT44" s="128">
        <f ca="1">IF(OR($F44&gt;$D$5,$F44&gt;MAX('הנחות עבודה'!$B$69:$B$89)),0,(VLOOKUP($F44,'התפלגות ייצור וסל דלקים'!$B$64:$BV$84,BT$2-$E$2,FALSE))*$D$9*$D$8*(HLOOKUP(BT$23,$G$18:$R$19,2,FALSE)*(1-$D$12)^($F44-'הנחות עבודה'!$C$5)/$D$11)/$D$11)</f>
        <v>0</v>
      </c>
      <c r="BU44" s="55">
        <f ca="1">IF(OR($F44&gt;$D$5,$F44&gt;MAX('הנחות עבודה'!$B$69:$B$89)),0,(VLOOKUP($F44,'התפלגות ייצור וסל דלקים'!$B$64:$BV$84,BU$2-$E$2,FALSE))*$D$9*$D$8*(HLOOKUP(BU$23,$G$18:$R$19,2,FALSE)*(1-$D$12)^($F44-'הנחות עבודה'!$C$5)/$D$11)/$D$11)</f>
        <v>1.3369599999999999E-4</v>
      </c>
      <c r="BV44" s="55">
        <f ca="1">IF(OR($F44&gt;$D$5,$F44&gt;MAX('הנחות עבודה'!$B$69:$B$89)),0,(VLOOKUP($F44,'התפלגות ייצור וסל דלקים'!$B$64:$BV$84,BV$2-$E$2,FALSE))*$D$9*$D$8*(HLOOKUP(BV$23,$G$18:$R$19,2,FALSE)*(1-$D$12)^($F44-'הנחות עבודה'!$C$5)/$D$11)/$D$11)</f>
        <v>6.8773421360793609E-4</v>
      </c>
      <c r="BW44" s="55">
        <f ca="1">IF(OR($F44&gt;$D$5,$F44&gt;MAX('הנחות עבודה'!$B$69:$B$89)),0,(VLOOKUP($F44,'התפלגות ייצור וסל דלקים'!$B$64:$BV$84,BW$2-$E$2,FALSE))*$D$9*$D$8*(HLOOKUP(BW$23,$G$18:$R$19,2,FALSE)*(1-$D$12)^($F44-'הנחות עבודה'!$C$5)/$D$11)/$D$11)</f>
        <v>0</v>
      </c>
      <c r="BX44" s="55">
        <f ca="1">IF(OR($F44&gt;$D$5,$F44&gt;MAX('הנחות עבודה'!$B$69:$B$89)),0,(VLOOKUP($F44,'התפלגות ייצור וסל דלקים'!$B$64:$BV$84,BX$2-$E$2,FALSE))*$D$9*$D$8*(HLOOKUP(BX$23,$G$18:$R$19,2,FALSE)*(1-$D$12)^($F44-'הנחות עבודה'!$C$5)/$D$11)/$D$11)</f>
        <v>0</v>
      </c>
      <c r="BY44" s="55">
        <f ca="1">IF(OR($F44&gt;$D$5,$F44&gt;MAX('הנחות עבודה'!$B$69:$B$89)),0,(VLOOKUP($F44,'התפלגות ייצור וסל דלקים'!$B$64:$BV$84,BY$2-$E$2,FALSE))*$D$9*$D$8*(HLOOKUP(BY$23,$G$18:$R$19,2,FALSE)*(1-$D$12)^($F44-'הנחות עבודה'!$C$5)/$D$11)/$D$11)</f>
        <v>0</v>
      </c>
      <c r="BZ44" s="55">
        <f ca="1">IF(OR($F44&gt;$D$5,$F44&gt;MAX('הנחות עבודה'!$B$69:$B$89)),0,(VLOOKUP($F44,'התפלגות ייצור וסל דלקים'!$B$64:$BV$84,BZ$2-$E$2,FALSE))*$D$9*$D$8*(HLOOKUP(BZ$23,$G$18:$R$19,2,FALSE)*(1-$D$12)^($F44-'הנחות עבודה'!$C$5)/$D$11)/$D$11)</f>
        <v>0</v>
      </c>
    </row>
    <row r="45" spans="6:78" ht="16.5" thickBot="1">
      <c r="F45" s="349" t="s">
        <v>27</v>
      </c>
      <c r="G45" s="65">
        <f t="shared" ref="G45:BU45" ca="1" si="109">SUM(G24:G44)</f>
        <v>0</v>
      </c>
      <c r="H45" s="65">
        <f t="shared" ca="1" si="109"/>
        <v>0</v>
      </c>
      <c r="I45" s="65">
        <f t="shared" ca="1" si="109"/>
        <v>0</v>
      </c>
      <c r="J45" s="65">
        <f t="shared" ca="1" si="109"/>
        <v>0</v>
      </c>
      <c r="K45" s="65">
        <f t="shared" ca="1" si="109"/>
        <v>0</v>
      </c>
      <c r="L45" s="65">
        <f t="shared" ca="1" si="109"/>
        <v>0</v>
      </c>
      <c r="M45" s="65">
        <f t="shared" ca="1" si="109"/>
        <v>1.9184226399999998E-3</v>
      </c>
      <c r="N45" s="65">
        <f t="shared" ref="N45:R45" ca="1" si="110">SUM(N24:N44)</f>
        <v>1.1804154187917023E-2</v>
      </c>
      <c r="O45" s="65">
        <f t="shared" ca="1" si="110"/>
        <v>0</v>
      </c>
      <c r="P45" s="65">
        <f t="shared" ca="1" si="110"/>
        <v>0</v>
      </c>
      <c r="Q45" s="65">
        <f t="shared" ca="1" si="110"/>
        <v>2.4093420300000001E-2</v>
      </c>
      <c r="R45" s="65">
        <f t="shared" ca="1" si="110"/>
        <v>0</v>
      </c>
      <c r="S45" s="76">
        <f t="shared" ca="1" si="109"/>
        <v>0</v>
      </c>
      <c r="T45" s="76">
        <f t="shared" ca="1" si="109"/>
        <v>0</v>
      </c>
      <c r="U45" s="76">
        <f t="shared" ca="1" si="109"/>
        <v>0</v>
      </c>
      <c r="V45" s="76">
        <f t="shared" ca="1" si="109"/>
        <v>0</v>
      </c>
      <c r="W45" s="76">
        <f t="shared" ca="1" si="109"/>
        <v>0</v>
      </c>
      <c r="X45" s="76">
        <f t="shared" ca="1" si="109"/>
        <v>0</v>
      </c>
      <c r="Y45" s="76">
        <f t="shared" ca="1" si="109"/>
        <v>1.9184226399999998E-3</v>
      </c>
      <c r="Z45" s="76">
        <f t="shared" ref="Z45:AD45" ca="1" si="111">SUM(Z24:Z44)</f>
        <v>1.1804154187917023E-2</v>
      </c>
      <c r="AA45" s="76">
        <f t="shared" ca="1" si="111"/>
        <v>0</v>
      </c>
      <c r="AB45" s="76">
        <f t="shared" ca="1" si="111"/>
        <v>0</v>
      </c>
      <c r="AC45" s="76">
        <f t="shared" ca="1" si="111"/>
        <v>2.4093420300000001E-2</v>
      </c>
      <c r="AD45" s="76">
        <f t="shared" ca="1" si="111"/>
        <v>0</v>
      </c>
      <c r="AE45" s="65">
        <f t="shared" ref="AE45:BB45" ca="1" si="112">SUM(AE24:AE44)</f>
        <v>0</v>
      </c>
      <c r="AF45" s="65">
        <f t="shared" ca="1" si="112"/>
        <v>0</v>
      </c>
      <c r="AG45" s="65">
        <f t="shared" ca="1" si="112"/>
        <v>0</v>
      </c>
      <c r="AH45" s="65">
        <f t="shared" ca="1" si="112"/>
        <v>0</v>
      </c>
      <c r="AI45" s="65">
        <f t="shared" ca="1" si="112"/>
        <v>0</v>
      </c>
      <c r="AJ45" s="65">
        <f t="shared" ca="1" si="112"/>
        <v>0</v>
      </c>
      <c r="AK45" s="65">
        <f t="shared" ca="1" si="112"/>
        <v>1.9904415200000004E-3</v>
      </c>
      <c r="AL45" s="65">
        <f t="shared" ca="1" si="112"/>
        <v>1.0797014879889851E-2</v>
      </c>
      <c r="AM45" s="65">
        <f t="shared" ca="1" si="112"/>
        <v>0</v>
      </c>
      <c r="AN45" s="65">
        <f t="shared" ca="1" si="112"/>
        <v>0</v>
      </c>
      <c r="AO45" s="65">
        <f t="shared" ca="1" si="112"/>
        <v>2.4083825924999996E-2</v>
      </c>
      <c r="AP45" s="65">
        <f t="shared" ca="1" si="112"/>
        <v>0</v>
      </c>
      <c r="AQ45" s="76">
        <f t="shared" ca="1" si="112"/>
        <v>0</v>
      </c>
      <c r="AR45" s="76">
        <f t="shared" ca="1" si="112"/>
        <v>0</v>
      </c>
      <c r="AS45" s="76">
        <f t="shared" ca="1" si="112"/>
        <v>0</v>
      </c>
      <c r="AT45" s="76">
        <f t="shared" ca="1" si="112"/>
        <v>0</v>
      </c>
      <c r="AU45" s="76">
        <f t="shared" ca="1" si="112"/>
        <v>0</v>
      </c>
      <c r="AV45" s="76">
        <f t="shared" ca="1" si="112"/>
        <v>0</v>
      </c>
      <c r="AW45" s="76">
        <f t="shared" ca="1" si="112"/>
        <v>1.9904415200000004E-3</v>
      </c>
      <c r="AX45" s="76">
        <f t="shared" ca="1" si="112"/>
        <v>1.0797014879889851E-2</v>
      </c>
      <c r="AY45" s="76">
        <f t="shared" ca="1" si="112"/>
        <v>0</v>
      </c>
      <c r="AZ45" s="76">
        <f t="shared" ca="1" si="112"/>
        <v>0</v>
      </c>
      <c r="BA45" s="76">
        <f t="shared" ca="1" si="112"/>
        <v>2.4083825924999996E-2</v>
      </c>
      <c r="BB45" s="76">
        <f t="shared" ca="1" si="112"/>
        <v>0</v>
      </c>
      <c r="BC45" s="65">
        <f t="shared" ca="1" si="109"/>
        <v>0</v>
      </c>
      <c r="BD45" s="65">
        <f t="shared" ca="1" si="109"/>
        <v>0</v>
      </c>
      <c r="BE45" s="65">
        <f t="shared" ca="1" si="109"/>
        <v>0</v>
      </c>
      <c r="BF45" s="65">
        <f t="shared" ca="1" si="109"/>
        <v>0</v>
      </c>
      <c r="BG45" s="65">
        <f t="shared" ca="1" si="109"/>
        <v>0</v>
      </c>
      <c r="BH45" s="65">
        <f t="shared" ca="1" si="109"/>
        <v>0</v>
      </c>
      <c r="BI45" s="65">
        <f t="shared" ca="1" si="109"/>
        <v>2.0305896800000001E-3</v>
      </c>
      <c r="BJ45" s="65">
        <f t="shared" ref="BJ45:BN45" ca="1" si="113">SUM(BJ24:BJ44)</f>
        <v>1.0187209440512867E-2</v>
      </c>
      <c r="BK45" s="65">
        <f t="shared" ca="1" si="113"/>
        <v>0</v>
      </c>
      <c r="BL45" s="65">
        <f t="shared" ca="1" si="113"/>
        <v>0</v>
      </c>
      <c r="BM45" s="65">
        <f t="shared" ca="1" si="113"/>
        <v>2.4080536425000004E-2</v>
      </c>
      <c r="BN45" s="65">
        <f t="shared" ca="1" si="113"/>
        <v>0</v>
      </c>
      <c r="BO45" s="76">
        <f t="shared" ca="1" si="109"/>
        <v>0</v>
      </c>
      <c r="BP45" s="76">
        <f t="shared" ca="1" si="109"/>
        <v>0</v>
      </c>
      <c r="BQ45" s="76">
        <f t="shared" ca="1" si="109"/>
        <v>0</v>
      </c>
      <c r="BR45" s="76">
        <f t="shared" ca="1" si="109"/>
        <v>0</v>
      </c>
      <c r="BS45" s="76">
        <f t="shared" ca="1" si="109"/>
        <v>0</v>
      </c>
      <c r="BT45" s="76">
        <f t="shared" ca="1" si="109"/>
        <v>0</v>
      </c>
      <c r="BU45" s="76">
        <f t="shared" ca="1" si="109"/>
        <v>2.0305896800000001E-3</v>
      </c>
      <c r="BV45" s="76">
        <f t="shared" ref="BV45:BZ45" ca="1" si="114">SUM(BV24:BV44)</f>
        <v>1.0187209440512867E-2</v>
      </c>
      <c r="BW45" s="76">
        <f t="shared" ca="1" si="114"/>
        <v>0</v>
      </c>
      <c r="BX45" s="76">
        <f t="shared" ca="1" si="114"/>
        <v>0</v>
      </c>
      <c r="BY45" s="76">
        <f t="shared" ca="1" si="114"/>
        <v>2.4080536425000004E-2</v>
      </c>
      <c r="BZ45" s="76">
        <f t="shared" ca="1" si="114"/>
        <v>0</v>
      </c>
    </row>
    <row r="46" spans="6:78" ht="16.5" thickBot="1">
      <c r="F46" s="349" t="s">
        <v>27</v>
      </c>
      <c r="G46" s="1309">
        <f ca="1">SUM(G45:R45)</f>
        <v>3.7815997127917028E-2</v>
      </c>
      <c r="H46" s="1310"/>
      <c r="I46" s="1310"/>
      <c r="J46" s="1310"/>
      <c r="K46" s="1310"/>
      <c r="L46" s="1310"/>
      <c r="M46" s="1310"/>
      <c r="N46" s="1310"/>
      <c r="O46" s="1310"/>
      <c r="P46" s="1310"/>
      <c r="Q46" s="1310"/>
      <c r="R46" s="1311"/>
      <c r="S46" s="1309">
        <f ca="1">SUM(S45:AD45)</f>
        <v>3.7815997127917028E-2</v>
      </c>
      <c r="T46" s="1310"/>
      <c r="U46" s="1310"/>
      <c r="V46" s="1310"/>
      <c r="W46" s="1310"/>
      <c r="X46" s="1310"/>
      <c r="Y46" s="1310"/>
      <c r="Z46" s="1310"/>
      <c r="AA46" s="1310"/>
      <c r="AB46" s="1310"/>
      <c r="AC46" s="1310"/>
      <c r="AD46" s="1311"/>
      <c r="AE46" s="1309">
        <f t="shared" ref="AE46" ca="1" si="115">SUM(AE45:AP45)</f>
        <v>3.6871282324889849E-2</v>
      </c>
      <c r="AF46" s="1310"/>
      <c r="AG46" s="1310"/>
      <c r="AH46" s="1310"/>
      <c r="AI46" s="1310"/>
      <c r="AJ46" s="1310"/>
      <c r="AK46" s="1310"/>
      <c r="AL46" s="1310"/>
      <c r="AM46" s="1310"/>
      <c r="AN46" s="1310"/>
      <c r="AO46" s="1310"/>
      <c r="AP46" s="1311"/>
      <c r="AQ46" s="1309">
        <f t="shared" ref="AQ46" ca="1" si="116">SUM(AQ45:BB45)</f>
        <v>3.6871282324889849E-2</v>
      </c>
      <c r="AR46" s="1310"/>
      <c r="AS46" s="1310"/>
      <c r="AT46" s="1310"/>
      <c r="AU46" s="1310"/>
      <c r="AV46" s="1310"/>
      <c r="AW46" s="1310"/>
      <c r="AX46" s="1310"/>
      <c r="AY46" s="1310"/>
      <c r="AZ46" s="1310"/>
      <c r="BA46" s="1310"/>
      <c r="BB46" s="1311"/>
      <c r="BC46" s="1309">
        <f ca="1">SUM(BC45:BN45)</f>
        <v>3.6298335545512872E-2</v>
      </c>
      <c r="BD46" s="1310"/>
      <c r="BE46" s="1310"/>
      <c r="BF46" s="1310"/>
      <c r="BG46" s="1310"/>
      <c r="BH46" s="1310"/>
      <c r="BI46" s="1310"/>
      <c r="BJ46" s="1310"/>
      <c r="BK46" s="1310"/>
      <c r="BL46" s="1310"/>
      <c r="BM46" s="1310"/>
      <c r="BN46" s="1311"/>
      <c r="BO46" s="1309">
        <f ca="1">SUM(BO45:BZ45)</f>
        <v>3.6298335545512872E-2</v>
      </c>
      <c r="BP46" s="1310"/>
      <c r="BQ46" s="1310"/>
      <c r="BR46" s="1310"/>
      <c r="BS46" s="1310"/>
      <c r="BT46" s="1310"/>
      <c r="BU46" s="1310"/>
      <c r="BV46" s="1310"/>
      <c r="BW46" s="1310"/>
      <c r="BX46" s="1310"/>
      <c r="BY46" s="1310"/>
      <c r="BZ46" s="1311"/>
    </row>
    <row r="47" spans="6:78" ht="15.75" thickBot="1"/>
    <row r="48" spans="6:78" ht="16.5" thickBot="1">
      <c r="G48" s="1243" t="s">
        <v>497</v>
      </c>
      <c r="H48" s="1244"/>
      <c r="I48" s="1244"/>
      <c r="J48" s="1244"/>
      <c r="K48" s="1244"/>
      <c r="L48" s="1244"/>
      <c r="M48" s="1244"/>
      <c r="N48" s="1244"/>
      <c r="O48" s="1244"/>
      <c r="P48" s="1244"/>
      <c r="Q48" s="1244"/>
      <c r="R48" s="1244"/>
      <c r="S48" s="1244"/>
      <c r="T48" s="1244"/>
      <c r="U48" s="1244"/>
      <c r="V48" s="1244"/>
      <c r="W48" s="1244"/>
      <c r="X48" s="1244"/>
      <c r="Y48" s="1244"/>
      <c r="Z48" s="1244"/>
      <c r="AA48" s="1244"/>
      <c r="AB48" s="1244"/>
      <c r="AC48" s="1244"/>
      <c r="AD48" s="1244"/>
      <c r="AE48" s="1244"/>
      <c r="AF48" s="1244"/>
      <c r="AG48" s="1244"/>
      <c r="AH48" s="1244"/>
      <c r="AI48" s="1244"/>
      <c r="AJ48" s="1244"/>
      <c r="AK48" s="1244"/>
      <c r="AL48" s="1244"/>
      <c r="AM48" s="1244"/>
      <c r="AN48" s="1244"/>
      <c r="AO48" s="1244"/>
      <c r="AP48" s="1244"/>
      <c r="AQ48" s="1244"/>
      <c r="AR48" s="1244"/>
      <c r="AS48" s="1244"/>
      <c r="AT48" s="1244"/>
      <c r="AU48" s="1244"/>
      <c r="AV48" s="1244"/>
      <c r="AW48" s="1244"/>
      <c r="AX48" s="1244"/>
      <c r="AY48" s="1244"/>
      <c r="AZ48" s="1244"/>
      <c r="BA48" s="1244"/>
      <c r="BB48" s="1244"/>
      <c r="BC48" s="1244"/>
      <c r="BD48" s="1244"/>
      <c r="BE48" s="1244"/>
      <c r="BF48" s="1244"/>
      <c r="BG48" s="1244"/>
      <c r="BH48" s="1244"/>
      <c r="BI48" s="1244"/>
      <c r="BJ48" s="1244"/>
      <c r="BK48" s="1244"/>
      <c r="BL48" s="1244"/>
      <c r="BM48" s="1244"/>
      <c r="BN48" s="1244"/>
      <c r="BO48" s="1244"/>
      <c r="BP48" s="1244"/>
      <c r="BQ48" s="1244"/>
      <c r="BR48" s="1244"/>
      <c r="BS48" s="1244"/>
      <c r="BT48" s="1244"/>
      <c r="BU48" s="1244"/>
      <c r="BV48" s="1244"/>
      <c r="BW48" s="1244"/>
      <c r="BX48" s="1244"/>
      <c r="BY48" s="1244"/>
      <c r="BZ48" s="1245"/>
    </row>
    <row r="49" spans="6:78" ht="16.5" thickBot="1">
      <c r="G49" s="1289" t="s">
        <v>46</v>
      </c>
      <c r="H49" s="1290"/>
      <c r="I49" s="1290"/>
      <c r="J49" s="1290"/>
      <c r="K49" s="1290"/>
      <c r="L49" s="1290"/>
      <c r="M49" s="1290"/>
      <c r="N49" s="1290"/>
      <c r="O49" s="1290"/>
      <c r="P49" s="1290"/>
      <c r="Q49" s="1290"/>
      <c r="R49" s="1296"/>
      <c r="S49" s="1291" t="s">
        <v>47</v>
      </c>
      <c r="T49" s="1292"/>
      <c r="U49" s="1292"/>
      <c r="V49" s="1292"/>
      <c r="W49" s="1292"/>
      <c r="X49" s="1292"/>
      <c r="Y49" s="1292"/>
      <c r="Z49" s="1292"/>
      <c r="AA49" s="1292"/>
      <c r="AB49" s="1292"/>
      <c r="AC49" s="1292"/>
      <c r="AD49" s="1293"/>
      <c r="AE49" s="1289" t="s">
        <v>342</v>
      </c>
      <c r="AF49" s="1290"/>
      <c r="AG49" s="1290"/>
      <c r="AH49" s="1290"/>
      <c r="AI49" s="1290"/>
      <c r="AJ49" s="1290"/>
      <c r="AK49" s="1290"/>
      <c r="AL49" s="1290"/>
      <c r="AM49" s="1290"/>
      <c r="AN49" s="1290"/>
      <c r="AO49" s="1290"/>
      <c r="AP49" s="1296"/>
      <c r="AQ49" s="1291" t="s">
        <v>343</v>
      </c>
      <c r="AR49" s="1292"/>
      <c r="AS49" s="1292"/>
      <c r="AT49" s="1292"/>
      <c r="AU49" s="1292"/>
      <c r="AV49" s="1292"/>
      <c r="AW49" s="1292"/>
      <c r="AX49" s="1292"/>
      <c r="AY49" s="1292"/>
      <c r="AZ49" s="1292"/>
      <c r="BA49" s="1292"/>
      <c r="BB49" s="1293"/>
      <c r="BC49" s="1289" t="s">
        <v>344</v>
      </c>
      <c r="BD49" s="1290"/>
      <c r="BE49" s="1290"/>
      <c r="BF49" s="1290"/>
      <c r="BG49" s="1290"/>
      <c r="BH49" s="1290"/>
      <c r="BI49" s="1290"/>
      <c r="BJ49" s="1290"/>
      <c r="BK49" s="1290"/>
      <c r="BL49" s="1290"/>
      <c r="BM49" s="1290"/>
      <c r="BN49" s="1296"/>
      <c r="BO49" s="1291" t="s">
        <v>345</v>
      </c>
      <c r="BP49" s="1292"/>
      <c r="BQ49" s="1292"/>
      <c r="BR49" s="1292"/>
      <c r="BS49" s="1292"/>
      <c r="BT49" s="1292"/>
      <c r="BU49" s="1292"/>
      <c r="BV49" s="1292"/>
      <c r="BW49" s="1292"/>
      <c r="BX49" s="1292"/>
      <c r="BY49" s="1292"/>
      <c r="BZ49" s="1293"/>
    </row>
    <row r="50" spans="6:78" ht="48" customHeight="1" thickBot="1">
      <c r="F50" s="7" t="s">
        <v>0</v>
      </c>
      <c r="G50" s="38" t="str">
        <f ca="1">G23</f>
        <v>מוטה קרקע PV</v>
      </c>
      <c r="H50" s="38" t="str">
        <f t="shared" ref="H50:BU50" ca="1" si="117">H23</f>
        <v>מוטה דואלי PV</v>
      </c>
      <c r="I50" s="38" t="str">
        <f t="shared" ca="1" si="117"/>
        <v>רוח</v>
      </c>
      <c r="J50" s="38" t="str">
        <f t="shared" ca="1" si="117"/>
        <v>ביומסה/ביוגז</v>
      </c>
      <c r="K50" s="38" t="str">
        <f t="shared" ca="1" si="117"/>
        <v>תרמו סולארי</v>
      </c>
      <c r="L50" s="38" t="str">
        <f t="shared" si="117"/>
        <v>אחר</v>
      </c>
      <c r="M50" s="38" t="str">
        <f t="shared" ca="1" si="117"/>
        <v>גז פחמיות מוסבות</v>
      </c>
      <c r="N50" s="38" t="str">
        <f t="shared" ref="N50:R50" ca="1" si="118">N23</f>
        <v>גז חח"י מחזמים ופקירים ויח"פים</v>
      </c>
      <c r="O50" s="38" t="str">
        <f t="shared" ca="1" si="118"/>
        <v>אחר 1</v>
      </c>
      <c r="P50" s="38" t="str">
        <f t="shared" ca="1" si="118"/>
        <v>אחר 2</v>
      </c>
      <c r="Q50" s="38" t="str">
        <f t="shared" si="118"/>
        <v>יחידה פחמית</v>
      </c>
      <c r="R50" s="38" t="str">
        <f t="shared" si="118"/>
        <v>סולר ופצלי שמן</v>
      </c>
      <c r="S50" s="48" t="str">
        <f t="shared" ca="1" si="117"/>
        <v>מוטה קרקע PV</v>
      </c>
      <c r="T50" s="48" t="str">
        <f t="shared" ca="1" si="117"/>
        <v>מוטה דואלי PV</v>
      </c>
      <c r="U50" s="48" t="str">
        <f t="shared" ca="1" si="117"/>
        <v>רוח</v>
      </c>
      <c r="V50" s="48" t="str">
        <f t="shared" ca="1" si="117"/>
        <v>ביומסה/ביוגז</v>
      </c>
      <c r="W50" s="48" t="str">
        <f t="shared" ca="1" si="117"/>
        <v>תרמו סולארי</v>
      </c>
      <c r="X50" s="48" t="str">
        <f t="shared" si="117"/>
        <v>אחר</v>
      </c>
      <c r="Y50" s="48" t="str">
        <f t="shared" ca="1" si="117"/>
        <v>גז פחמיות מוסבות</v>
      </c>
      <c r="Z50" s="48" t="str">
        <f t="shared" ref="Z50:AD50" ca="1" si="119">Z23</f>
        <v>גז חח"י מחזמים ופקירים ויח"פים</v>
      </c>
      <c r="AA50" s="48" t="str">
        <f t="shared" ca="1" si="119"/>
        <v>אחר 1</v>
      </c>
      <c r="AB50" s="48" t="str">
        <f t="shared" ca="1" si="119"/>
        <v>אחר 2</v>
      </c>
      <c r="AC50" s="48" t="str">
        <f t="shared" si="119"/>
        <v>יחידה פחמית</v>
      </c>
      <c r="AD50" s="48" t="str">
        <f t="shared" si="119"/>
        <v>סולר ופצלי שמן</v>
      </c>
      <c r="AE50" s="38" t="str">
        <f t="shared" ref="AE50:BB50" ca="1" si="120">AE23</f>
        <v>מוטה קרקע PV</v>
      </c>
      <c r="AF50" s="38" t="str">
        <f t="shared" ca="1" si="120"/>
        <v>מוטה דואלי PV</v>
      </c>
      <c r="AG50" s="38" t="str">
        <f t="shared" ca="1" si="120"/>
        <v>רוח</v>
      </c>
      <c r="AH50" s="38" t="str">
        <f t="shared" ca="1" si="120"/>
        <v>ביומסה/ביוגז</v>
      </c>
      <c r="AI50" s="38" t="str">
        <f t="shared" ca="1" si="120"/>
        <v>תרמו סולארי</v>
      </c>
      <c r="AJ50" s="38" t="str">
        <f t="shared" si="120"/>
        <v>אחר</v>
      </c>
      <c r="AK50" s="38" t="str">
        <f t="shared" ca="1" si="120"/>
        <v>גז פחמיות מוסבות</v>
      </c>
      <c r="AL50" s="38" t="str">
        <f t="shared" ca="1" si="120"/>
        <v>גז חח"י מחזמים ופקירים ויח"פים</v>
      </c>
      <c r="AM50" s="38" t="str">
        <f t="shared" ca="1" si="120"/>
        <v>אחר 1</v>
      </c>
      <c r="AN50" s="38" t="str">
        <f t="shared" ca="1" si="120"/>
        <v>אחר 2</v>
      </c>
      <c r="AO50" s="38" t="str">
        <f t="shared" si="120"/>
        <v>יחידה פחמית</v>
      </c>
      <c r="AP50" s="38" t="str">
        <f t="shared" si="120"/>
        <v>סולר ופצלי שמן</v>
      </c>
      <c r="AQ50" s="48" t="str">
        <f t="shared" ca="1" si="120"/>
        <v>מוטה קרקע PV</v>
      </c>
      <c r="AR50" s="48" t="str">
        <f t="shared" ca="1" si="120"/>
        <v>מוטה דואלי PV</v>
      </c>
      <c r="AS50" s="48" t="str">
        <f t="shared" ca="1" si="120"/>
        <v>רוח</v>
      </c>
      <c r="AT50" s="48" t="str">
        <f t="shared" ca="1" si="120"/>
        <v>ביומסה/ביוגז</v>
      </c>
      <c r="AU50" s="48" t="str">
        <f t="shared" ca="1" si="120"/>
        <v>תרמו סולארי</v>
      </c>
      <c r="AV50" s="48" t="str">
        <f t="shared" si="120"/>
        <v>אחר</v>
      </c>
      <c r="AW50" s="48" t="str">
        <f t="shared" ca="1" si="120"/>
        <v>גז פחמיות מוסבות</v>
      </c>
      <c r="AX50" s="48" t="str">
        <f t="shared" ca="1" si="120"/>
        <v>גז חח"י מחזמים ופקירים ויח"פים</v>
      </c>
      <c r="AY50" s="48" t="str">
        <f t="shared" ca="1" si="120"/>
        <v>אחר 1</v>
      </c>
      <c r="AZ50" s="48" t="str">
        <f t="shared" ca="1" si="120"/>
        <v>אחר 2</v>
      </c>
      <c r="BA50" s="48" t="str">
        <f t="shared" si="120"/>
        <v>יחידה פחמית</v>
      </c>
      <c r="BB50" s="48" t="str">
        <f t="shared" si="120"/>
        <v>סולר ופצלי שמן</v>
      </c>
      <c r="BC50" s="38" t="str">
        <f t="shared" ca="1" si="117"/>
        <v>מוטה קרקע PV</v>
      </c>
      <c r="BD50" s="38" t="str">
        <f t="shared" ca="1" si="117"/>
        <v>מוטה דואלי PV</v>
      </c>
      <c r="BE50" s="38" t="str">
        <f t="shared" ca="1" si="117"/>
        <v>רוח</v>
      </c>
      <c r="BF50" s="38" t="str">
        <f t="shared" ca="1" si="117"/>
        <v>ביומסה/ביוגז</v>
      </c>
      <c r="BG50" s="38" t="str">
        <f t="shared" ca="1" si="117"/>
        <v>תרמו סולארי</v>
      </c>
      <c r="BH50" s="38" t="str">
        <f t="shared" si="117"/>
        <v>אחר</v>
      </c>
      <c r="BI50" s="38" t="str">
        <f t="shared" ca="1" si="117"/>
        <v>גז פחמיות מוסבות</v>
      </c>
      <c r="BJ50" s="38" t="str">
        <f t="shared" ref="BJ50:BN50" ca="1" si="121">BJ23</f>
        <v>גז חח"י מחזמים ופקירים ויח"פים</v>
      </c>
      <c r="BK50" s="38" t="str">
        <f t="shared" ca="1" si="121"/>
        <v>אחר 1</v>
      </c>
      <c r="BL50" s="38" t="str">
        <f t="shared" ca="1" si="121"/>
        <v>אחר 2</v>
      </c>
      <c r="BM50" s="38" t="str">
        <f t="shared" si="121"/>
        <v>יחידה פחמית</v>
      </c>
      <c r="BN50" s="38" t="str">
        <f t="shared" si="121"/>
        <v>סולר ופצלי שמן</v>
      </c>
      <c r="BO50" s="48" t="str">
        <f t="shared" ca="1" si="117"/>
        <v>מוטה קרקע PV</v>
      </c>
      <c r="BP50" s="48" t="str">
        <f t="shared" ca="1" si="117"/>
        <v>מוטה דואלי PV</v>
      </c>
      <c r="BQ50" s="48" t="str">
        <f t="shared" ca="1" si="117"/>
        <v>רוח</v>
      </c>
      <c r="BR50" s="48" t="str">
        <f t="shared" ca="1" si="117"/>
        <v>ביומסה/ביוגז</v>
      </c>
      <c r="BS50" s="48" t="str">
        <f t="shared" ca="1" si="117"/>
        <v>תרמו סולארי</v>
      </c>
      <c r="BT50" s="48" t="str">
        <f t="shared" si="117"/>
        <v>אחר</v>
      </c>
      <c r="BU50" s="48" t="str">
        <f t="shared" ca="1" si="117"/>
        <v>גז פחמיות מוסבות</v>
      </c>
      <c r="BV50" s="48" t="str">
        <f t="shared" ref="BV50:BZ50" ca="1" si="122">BV23</f>
        <v>גז חח"י מחזמים ופקירים ויח"פים</v>
      </c>
      <c r="BW50" s="48" t="str">
        <f t="shared" ca="1" si="122"/>
        <v>אחר 1</v>
      </c>
      <c r="BX50" s="48" t="str">
        <f t="shared" ca="1" si="122"/>
        <v>אחר 2</v>
      </c>
      <c r="BY50" s="48" t="str">
        <f t="shared" si="122"/>
        <v>יחידה פחמית</v>
      </c>
      <c r="BZ50" s="48" t="str">
        <f t="shared" si="122"/>
        <v>סולר ופצלי שמן</v>
      </c>
    </row>
    <row r="51" spans="6:78" ht="15.75">
      <c r="F51" s="8">
        <f>D4</f>
        <v>2020</v>
      </c>
      <c r="G51" s="39">
        <f ca="1">IF($F51&gt;$D$5,0,VLOOKUP($F51,$F$24:$BZ$44,G$2-$E$2,FALSE)*$D$11*$D$14*(1+$D$13)^($F51-'הנחות עבודה'!$C$5)/$D$11)</f>
        <v>0</v>
      </c>
      <c r="H51" s="41">
        <f ca="1">IF($F51&gt;$D$5,0,VLOOKUP($F51,$F$24:$BZ$44,H$2-$E$2,FALSE)*$D$11*$D$14*(1+$D$13)^($F51-'הנחות עבודה'!$C$5)/$D$11)</f>
        <v>0</v>
      </c>
      <c r="I51" s="41">
        <f ca="1">IF($F51&gt;$D$5,0,VLOOKUP($F51,$F$24:$BZ$44,I$2-$E$2,FALSE)*$D$11*$D$14*(1+$D$13)^($F51-'הנחות עבודה'!$C$5)/$D$11)</f>
        <v>0</v>
      </c>
      <c r="J51" s="41">
        <f ca="1">IF($F51&gt;$D$5,0,VLOOKUP($F51,$F$24:$BZ$44,J$2-$E$2,FALSE)*$D$11*$D$14*(1+$D$13)^($F51-'הנחות עבודה'!$C$5)/$D$11)</f>
        <v>0</v>
      </c>
      <c r="K51" s="41">
        <f ca="1">IF($F51&gt;$D$5,0,VLOOKUP($F51,$F$24:$BZ$44,K$2-$E$2,FALSE)*$D$11*$D$14*(1+$D$13)^($F51-'הנחות עבודה'!$C$5)/$D$11)</f>
        <v>0</v>
      </c>
      <c r="L51" s="41">
        <f ca="1">IF($F51&gt;$D$5,0,VLOOKUP($F51,$F$24:$BZ$44,L$2-$E$2,FALSE)*$D$11*$D$14*(1+$D$13)^($F51-'הנחות עבודה'!$C$5)/$D$11)</f>
        <v>0</v>
      </c>
      <c r="M51" s="39">
        <f ca="1">IF($F51&gt;$D$5,0,VLOOKUP($F51,$F$24:$BZ$44,M$2-$E$2,FALSE)*$D$11*$D$14*(1+$D$13)^($F51-'הנחות עבודה'!$C$5)/$D$11)</f>
        <v>0</v>
      </c>
      <c r="N51" s="39">
        <f ca="1">IF($F51&gt;$D$5,0,VLOOKUP($F51,$F$24:$BZ$44,N$2-$E$2,FALSE)*$D$11*$D$14*(1+$D$13)^($F51-'הנחות עבודה'!$C$5)/$D$11)</f>
        <v>33.270716791959202</v>
      </c>
      <c r="O51" s="39">
        <f ca="1">IF($F51&gt;$D$5,0,VLOOKUP($F51,$F$24:$BZ$44,O$2-$E$2,FALSE)*$D$11*$D$14*(1+$D$13)^($F51-'הנחות עבודה'!$C$5)/$D$11)</f>
        <v>0</v>
      </c>
      <c r="P51" s="39">
        <f ca="1">IF($F51&gt;$D$5,0,VLOOKUP($F51,$F$24:$BZ$44,P$2-$E$2,FALSE)*$D$11*$D$14*(1+$D$13)^($F51-'הנחות עבודה'!$C$5)/$D$11)</f>
        <v>0</v>
      </c>
      <c r="Q51" s="39">
        <f ca="1">IF($F51&gt;$D$5,0,VLOOKUP($F51,$F$24:$BZ$44,Q$2-$E$2,FALSE)*$D$11*$D$14*(1+$D$13)^($F51-'הנחות עבודה'!$C$5)/$D$11)</f>
        <v>480.75879253080001</v>
      </c>
      <c r="R51" s="39">
        <f ca="1">IF($F51&gt;$D$5,0,VLOOKUP($F51,$F$24:$BZ$44,R$2-$E$2,FALSE)*$D$11*$D$14*(1+$D$13)^($F51-'הנחות עבודה'!$C$5)/$D$11)</f>
        <v>0</v>
      </c>
      <c r="S51" s="49">
        <f ca="1">IF($F51&gt;$D$5,0,VLOOKUP($F51,$F$24:$BZ$44,S$2-$E$2,FALSE)*$D$11*$D$14*(1+$D$13)^($F51-'הנחות עבודה'!$C$5)/$D$11)</f>
        <v>0</v>
      </c>
      <c r="T51" s="126">
        <f ca="1">IF($F51&gt;$D$5,0,VLOOKUP($F51,$F$24:$BZ$44,T$2-$E$2,FALSE)*$D$11*$D$14*(1+$D$13)^($F51-'הנחות עבודה'!$C$5)/$D$11)</f>
        <v>0</v>
      </c>
      <c r="U51" s="126">
        <f ca="1">IF($F51&gt;$D$5,0,VLOOKUP($F51,$F$24:$BZ$44,U$2-$E$2,FALSE)*$D$11*$D$14*(1+$D$13)^($F51-'הנחות עבודה'!$C$5)/$D$11)</f>
        <v>0</v>
      </c>
      <c r="V51" s="126">
        <f ca="1">IF($F51&gt;$D$5,0,VLOOKUP($F51,$F$24:$BZ$44,V$2-$E$2,FALSE)*$D$11*$D$14*(1+$D$13)^($F51-'הנחות עבודה'!$C$5)/$D$11)</f>
        <v>0</v>
      </c>
      <c r="W51" s="126">
        <f ca="1">IF($F51&gt;$D$5,0,VLOOKUP($F51,$F$24:$BZ$44,W$2-$E$2,FALSE)*$D$11*$D$14*(1+$D$13)^($F51-'הנחות עבודה'!$C$5)/$D$11)</f>
        <v>0</v>
      </c>
      <c r="X51" s="126">
        <f ca="1">IF($F51&gt;$D$5,0,VLOOKUP($F51,$F$24:$BZ$44,X$2-$E$2,FALSE)*$D$11*$D$14*(1+$D$13)^($F51-'הנחות עבודה'!$C$5)/$D$11)</f>
        <v>0</v>
      </c>
      <c r="Y51" s="49">
        <f ca="1">IF($F51&gt;$D$5,0,VLOOKUP($F51,$F$24:$BZ$44,Y$2-$E$2,FALSE)*$D$11*$D$14*(1+$D$13)^($F51-'הנחות עבודה'!$C$5)/$D$11)</f>
        <v>0</v>
      </c>
      <c r="Z51" s="49">
        <f ca="1">IF($F51&gt;$D$5,0,VLOOKUP($F51,$F$24:$BZ$44,Z$2-$E$2,FALSE)*$D$11*$D$14*(1+$D$13)^($F51-'הנחות עבודה'!$C$5)/$D$11)</f>
        <v>33.270716791959202</v>
      </c>
      <c r="AA51" s="49">
        <f ca="1">IF($F51&gt;$D$5,0,VLOOKUP($F51,$F$24:$BZ$44,AA$2-$E$2,FALSE)*$D$11*$D$14*(1+$D$13)^($F51-'הנחות עבודה'!$C$5)/$D$11)</f>
        <v>0</v>
      </c>
      <c r="AB51" s="49">
        <f ca="1">IF($F51&gt;$D$5,0,VLOOKUP($F51,$F$24:$BZ$44,AB$2-$E$2,FALSE)*$D$11*$D$14*(1+$D$13)^($F51-'הנחות עבודה'!$C$5)/$D$11)</f>
        <v>0</v>
      </c>
      <c r="AC51" s="49">
        <f ca="1">IF($F51&gt;$D$5,0,VLOOKUP($F51,$F$24:$BZ$44,AC$2-$E$2,FALSE)*$D$11*$D$14*(1+$D$13)^($F51-'הנחות עבודה'!$C$5)/$D$11)</f>
        <v>480.75879253080001</v>
      </c>
      <c r="AD51" s="49">
        <f ca="1">IF($F51&gt;$D$5,0,VLOOKUP($F51,$F$24:$BZ$44,AD$2-$E$2,FALSE)*$D$11*$D$14*(1+$D$13)^($F51-'הנחות עבודה'!$C$5)/$D$11)</f>
        <v>0</v>
      </c>
      <c r="AE51" s="39">
        <f ca="1">IF($F51&gt;$D$5,0,VLOOKUP($F51,$F$24:$BZ$44,AE$2-$E$2,FALSE)*$D$11*$D$14*(1+$D$13)^($F51-'הנחות עבודה'!$C$5)/$D$11)</f>
        <v>0</v>
      </c>
      <c r="AF51" s="41">
        <f ca="1">IF($F51&gt;$D$5,0,VLOOKUP($F51,$F$24:$BZ$44,AF$2-$E$2,FALSE)*$D$11*$D$14*(1+$D$13)^($F51-'הנחות עבודה'!$C$5)/$D$11)</f>
        <v>0</v>
      </c>
      <c r="AG51" s="41">
        <f ca="1">IF($F51&gt;$D$5,0,VLOOKUP($F51,$F$24:$BZ$44,AG$2-$E$2,FALSE)*$D$11*$D$14*(1+$D$13)^($F51-'הנחות עבודה'!$C$5)/$D$11)</f>
        <v>0</v>
      </c>
      <c r="AH51" s="41">
        <f ca="1">IF($F51&gt;$D$5,0,VLOOKUP($F51,$F$24:$BZ$44,AH$2-$E$2,FALSE)*$D$11*$D$14*(1+$D$13)^($F51-'הנחות עבודה'!$C$5)/$D$11)</f>
        <v>0</v>
      </c>
      <c r="AI51" s="41">
        <f ca="1">IF($F51&gt;$D$5,0,VLOOKUP($F51,$F$24:$BZ$44,AI$2-$E$2,FALSE)*$D$11*$D$14*(1+$D$13)^($F51-'הנחות עבודה'!$C$5)/$D$11)</f>
        <v>0</v>
      </c>
      <c r="AJ51" s="41">
        <f ca="1">IF($F51&gt;$D$5,0,VLOOKUP($F51,$F$24:$BZ$44,AJ$2-$E$2,FALSE)*$D$11*$D$14*(1+$D$13)^($F51-'הנחות עבודה'!$C$5)/$D$11)</f>
        <v>0</v>
      </c>
      <c r="AK51" s="39">
        <f ca="1">IF($F51&gt;$D$5,0,VLOOKUP($F51,$F$24:$BZ$44,AK$2-$E$2,FALSE)*$D$11*$D$14*(1+$D$13)^($F51-'הנחות עבודה'!$C$5)/$D$11)</f>
        <v>0</v>
      </c>
      <c r="AL51" s="39">
        <f ca="1">IF($F51&gt;$D$5,0,VLOOKUP($F51,$F$24:$BZ$44,AL$2-$E$2,FALSE)*$D$11*$D$14*(1+$D$13)^($F51-'הנחות עבודה'!$C$5)/$D$11)</f>
        <v>33.270716791959202</v>
      </c>
      <c r="AM51" s="39">
        <f ca="1">IF($F51&gt;$D$5,0,VLOOKUP($F51,$F$24:$BZ$44,AM$2-$E$2,FALSE)*$D$11*$D$14*(1+$D$13)^($F51-'הנחות עבודה'!$C$5)/$D$11)</f>
        <v>0</v>
      </c>
      <c r="AN51" s="39">
        <f ca="1">IF($F51&gt;$D$5,0,VLOOKUP($F51,$F$24:$BZ$44,AN$2-$E$2,FALSE)*$D$11*$D$14*(1+$D$13)^($F51-'הנחות עבודה'!$C$5)/$D$11)</f>
        <v>0</v>
      </c>
      <c r="AO51" s="39">
        <f ca="1">IF($F51&gt;$D$5,0,VLOOKUP($F51,$F$24:$BZ$44,AO$2-$E$2,FALSE)*$D$11*$D$14*(1+$D$13)^($F51-'הנחות עבודה'!$C$5)/$D$11)</f>
        <v>480.75879253080001</v>
      </c>
      <c r="AP51" s="39">
        <f ca="1">IF($F51&gt;$D$5,0,VLOOKUP($F51,$F$24:$BZ$44,AP$2-$E$2,FALSE)*$D$11*$D$14*(1+$D$13)^($F51-'הנחות עבודה'!$C$5)/$D$11)</f>
        <v>0</v>
      </c>
      <c r="AQ51" s="49">
        <f ca="1">IF($F51&gt;$D$5,0,VLOOKUP($F51,$F$24:$BZ$44,AQ$2-$E$2,FALSE)*$D$11*$D$14*(1+$D$13)^($F51-'הנחות עבודה'!$C$5)/$D$11)</f>
        <v>0</v>
      </c>
      <c r="AR51" s="126">
        <f ca="1">IF($F51&gt;$D$5,0,VLOOKUP($F51,$F$24:$BZ$44,AR$2-$E$2,FALSE)*$D$11*$D$14*(1+$D$13)^($F51-'הנחות עבודה'!$C$5)/$D$11)</f>
        <v>0</v>
      </c>
      <c r="AS51" s="126">
        <f ca="1">IF($F51&gt;$D$5,0,VLOOKUP($F51,$F$24:$BZ$44,AS$2-$E$2,FALSE)*$D$11*$D$14*(1+$D$13)^($F51-'הנחות עבודה'!$C$5)/$D$11)</f>
        <v>0</v>
      </c>
      <c r="AT51" s="126">
        <f ca="1">IF($F51&gt;$D$5,0,VLOOKUP($F51,$F$24:$BZ$44,AT$2-$E$2,FALSE)*$D$11*$D$14*(1+$D$13)^($F51-'הנחות עבודה'!$C$5)/$D$11)</f>
        <v>0</v>
      </c>
      <c r="AU51" s="126">
        <f ca="1">IF($F51&gt;$D$5,0,VLOOKUP($F51,$F$24:$BZ$44,AU$2-$E$2,FALSE)*$D$11*$D$14*(1+$D$13)^($F51-'הנחות עבודה'!$C$5)/$D$11)</f>
        <v>0</v>
      </c>
      <c r="AV51" s="126">
        <f ca="1">IF($F51&gt;$D$5,0,VLOOKUP($F51,$F$24:$BZ$44,AV$2-$E$2,FALSE)*$D$11*$D$14*(1+$D$13)^($F51-'הנחות עבודה'!$C$5)/$D$11)</f>
        <v>0</v>
      </c>
      <c r="AW51" s="49">
        <f ca="1">IF($F51&gt;$D$5,0,VLOOKUP($F51,$F$24:$BZ$44,AW$2-$E$2,FALSE)*$D$11*$D$14*(1+$D$13)^($F51-'הנחות עבודה'!$C$5)/$D$11)</f>
        <v>0</v>
      </c>
      <c r="AX51" s="49">
        <f ca="1">IF($F51&gt;$D$5,0,VLOOKUP($F51,$F$24:$BZ$44,AX$2-$E$2,FALSE)*$D$11*$D$14*(1+$D$13)^($F51-'הנחות עבודה'!$C$5)/$D$11)</f>
        <v>33.270716791959202</v>
      </c>
      <c r="AY51" s="49">
        <f ca="1">IF($F51&gt;$D$5,0,VLOOKUP($F51,$F$24:$BZ$44,AY$2-$E$2,FALSE)*$D$11*$D$14*(1+$D$13)^($F51-'הנחות עבודה'!$C$5)/$D$11)</f>
        <v>0</v>
      </c>
      <c r="AZ51" s="49">
        <f ca="1">IF($F51&gt;$D$5,0,VLOOKUP($F51,$F$24:$BZ$44,AZ$2-$E$2,FALSE)*$D$11*$D$14*(1+$D$13)^($F51-'הנחות עבודה'!$C$5)/$D$11)</f>
        <v>0</v>
      </c>
      <c r="BA51" s="49">
        <f ca="1">IF($F51&gt;$D$5,0,VLOOKUP($F51,$F$24:$BZ$44,BA$2-$E$2,FALSE)*$D$11*$D$14*(1+$D$13)^($F51-'הנחות עבודה'!$C$5)/$D$11)</f>
        <v>480.75879253080001</v>
      </c>
      <c r="BB51" s="49">
        <f ca="1">IF($F51&gt;$D$5,0,VLOOKUP($F51,$F$24:$BZ$44,BB$2-$E$2,FALSE)*$D$11*$D$14*(1+$D$13)^($F51-'הנחות עבודה'!$C$5)/$D$11)</f>
        <v>0</v>
      </c>
      <c r="BC51" s="39">
        <f ca="1">IF($F51&gt;$D$5,0,VLOOKUP($F51,$F$24:$BZ$44,BC$2-$E$2,FALSE)*$D$11*$D$14*(1+$D$13)^($F51-'הנחות עבודה'!$C$5)/$D$11)</f>
        <v>0</v>
      </c>
      <c r="BD51" s="41">
        <f ca="1">IF($F51&gt;$D$5,0,VLOOKUP($F51,$F$24:$BZ$44,BD$2-$E$2,FALSE)*$D$11*$D$14*(1+$D$13)^($F51-'הנחות עבודה'!$C$5)/$D$11)</f>
        <v>0</v>
      </c>
      <c r="BE51" s="41">
        <f ca="1">IF($F51&gt;$D$5,0,VLOOKUP($F51,$F$24:$BZ$44,BE$2-$E$2,FALSE)*$D$11*$D$14*(1+$D$13)^($F51-'הנחות עבודה'!$C$5)/$D$11)</f>
        <v>0</v>
      </c>
      <c r="BF51" s="41">
        <f ca="1">IF($F51&gt;$D$5,0,VLOOKUP($F51,$F$24:$BZ$44,BF$2-$E$2,FALSE)*$D$11*$D$14*(1+$D$13)^($F51-'הנחות עבודה'!$C$5)/$D$11)</f>
        <v>0</v>
      </c>
      <c r="BG51" s="41">
        <f ca="1">IF($F51&gt;$D$5,0,VLOOKUP($F51,$F$24:$BZ$44,BG$2-$E$2,FALSE)*$D$11*$D$14*(1+$D$13)^($F51-'הנחות עבודה'!$C$5)/$D$11)</f>
        <v>0</v>
      </c>
      <c r="BH51" s="41">
        <f ca="1">IF($F51&gt;$D$5,0,VLOOKUP($F51,$F$24:$BZ$44,BH$2-$E$2,FALSE)*$D$11*$D$14*(1+$D$13)^($F51-'הנחות עבודה'!$C$5)/$D$11)</f>
        <v>0</v>
      </c>
      <c r="BI51" s="39">
        <f ca="1">IF($F51&gt;$D$5,0,VLOOKUP($F51,$F$24:$BZ$44,BI$2-$E$2,FALSE)*$D$11*$D$14*(1+$D$13)^($F51-'הנחות עבודה'!$C$5)/$D$11)</f>
        <v>0</v>
      </c>
      <c r="BJ51" s="39">
        <f ca="1">IF($F51&gt;$D$5,0,VLOOKUP($F51,$F$24:$BZ$44,BJ$2-$E$2,FALSE)*$D$11*$D$14*(1+$D$13)^($F51-'הנחות עבודה'!$C$5)/$D$11)</f>
        <v>33.270716791959202</v>
      </c>
      <c r="BK51" s="39">
        <f ca="1">IF($F51&gt;$D$5,0,VLOOKUP($F51,$F$24:$BZ$44,BK$2-$E$2,FALSE)*$D$11*$D$14*(1+$D$13)^($F51-'הנחות עבודה'!$C$5)/$D$11)</f>
        <v>0</v>
      </c>
      <c r="BL51" s="39">
        <f ca="1">IF($F51&gt;$D$5,0,VLOOKUP($F51,$F$24:$BZ$44,BL$2-$E$2,FALSE)*$D$11*$D$14*(1+$D$13)^($F51-'הנחות עבודה'!$C$5)/$D$11)</f>
        <v>0</v>
      </c>
      <c r="BM51" s="39">
        <f ca="1">IF($F51&gt;$D$5,0,VLOOKUP($F51,$F$24:$BZ$44,BM$2-$E$2,FALSE)*$D$11*$D$14*(1+$D$13)^($F51-'הנחות עבודה'!$C$5)/$D$11)</f>
        <v>480.75879253080001</v>
      </c>
      <c r="BN51" s="39">
        <f ca="1">IF($F51&gt;$D$5,0,VLOOKUP($F51,$F$24:$BZ$44,BN$2-$E$2,FALSE)*$D$11*$D$14*(1+$D$13)^($F51-'הנחות עבודה'!$C$5)/$D$11)</f>
        <v>0</v>
      </c>
      <c r="BO51" s="49">
        <f ca="1">IF($F51&gt;$D$5,0,VLOOKUP($F51,$F$24:$BZ$44,BO$2-$E$2,FALSE)*$D$11*$D$14*(1+$D$13)^($F51-'הנחות עבודה'!$C$5)/$D$11)</f>
        <v>0</v>
      </c>
      <c r="BP51" s="126">
        <f ca="1">IF($F51&gt;$D$5,0,VLOOKUP($F51,$F$24:$BZ$44,BP$2-$E$2,FALSE)*$D$11*$D$14*(1+$D$13)^($F51-'הנחות עבודה'!$C$5)/$D$11)</f>
        <v>0</v>
      </c>
      <c r="BQ51" s="126">
        <f ca="1">IF($F51&gt;$D$5,0,VLOOKUP($F51,$F$24:$BZ$44,BQ$2-$E$2,FALSE)*$D$11*$D$14*(1+$D$13)^($F51-'הנחות עבודה'!$C$5)/$D$11)</f>
        <v>0</v>
      </c>
      <c r="BR51" s="126">
        <f ca="1">IF($F51&gt;$D$5,0,VLOOKUP($F51,$F$24:$BZ$44,BR$2-$E$2,FALSE)*$D$11*$D$14*(1+$D$13)^($F51-'הנחות עבודה'!$C$5)/$D$11)</f>
        <v>0</v>
      </c>
      <c r="BS51" s="126">
        <f ca="1">IF($F51&gt;$D$5,0,VLOOKUP($F51,$F$24:$BZ$44,BS$2-$E$2,FALSE)*$D$11*$D$14*(1+$D$13)^($F51-'הנחות עבודה'!$C$5)/$D$11)</f>
        <v>0</v>
      </c>
      <c r="BT51" s="126">
        <f ca="1">IF($F51&gt;$D$5,0,VLOOKUP($F51,$F$24:$BZ$44,BT$2-$E$2,FALSE)*$D$11*$D$14*(1+$D$13)^($F51-'הנחות עבודה'!$C$5)/$D$11)</f>
        <v>0</v>
      </c>
      <c r="BU51" s="49">
        <f ca="1">IF($F51&gt;$D$5,0,VLOOKUP($F51,$F$24:$BZ$44,BU$2-$E$2,FALSE)*$D$11*$D$14*(1+$D$13)^($F51-'הנחות עבודה'!$C$5)/$D$11)</f>
        <v>0</v>
      </c>
      <c r="BV51" s="49">
        <f ca="1">IF($F51&gt;$D$5,0,VLOOKUP($F51,$F$24:$BZ$44,BV$2-$E$2,FALSE)*$D$11*$D$14*(1+$D$13)^($F51-'הנחות עבודה'!$C$5)/$D$11)</f>
        <v>33.270716791959202</v>
      </c>
      <c r="BW51" s="49">
        <f ca="1">IF($F51&gt;$D$5,0,VLOOKUP($F51,$F$24:$BZ$44,BW$2-$E$2,FALSE)*$D$11*$D$14*(1+$D$13)^($F51-'הנחות עבודה'!$C$5)/$D$11)</f>
        <v>0</v>
      </c>
      <c r="BX51" s="49">
        <f ca="1">IF($F51&gt;$D$5,0,VLOOKUP($F51,$F$24:$BZ$44,BX$2-$E$2,FALSE)*$D$11*$D$14*(1+$D$13)^($F51-'הנחות עבודה'!$C$5)/$D$11)</f>
        <v>0</v>
      </c>
      <c r="BY51" s="49">
        <f ca="1">IF($F51&gt;$D$5,0,VLOOKUP($F51,$F$24:$BZ$44,BY$2-$E$2,FALSE)*$D$11*$D$14*(1+$D$13)^($F51-'הנחות עבודה'!$C$5)/$D$11)</f>
        <v>480.75879253080001</v>
      </c>
      <c r="BZ51" s="49">
        <f ca="1">IF($F51&gt;$D$5,0,VLOOKUP($F51,$F$24:$BZ$44,BZ$2-$E$2,FALSE)*$D$11*$D$14*(1+$D$13)^($F51-'הנחות עבודה'!$C$5)/$D$11)</f>
        <v>0</v>
      </c>
    </row>
    <row r="52" spans="6:78" ht="15.75">
      <c r="F52" s="10">
        <f>F51+1</f>
        <v>2021</v>
      </c>
      <c r="G52" s="42">
        <f ca="1">IF($F52&gt;$D$5,0,VLOOKUP($F52,$F$24:$BZ$44,G$2-$E$2,FALSE)*$D$11*$D$14*(1+$D$13)^($F52-'הנחות עבודה'!$C$5)/$D$11)</f>
        <v>0</v>
      </c>
      <c r="H52" s="44">
        <f ca="1">IF($F52&gt;$D$5,0,VLOOKUP($F52,$F$24:$BZ$44,H$2-$E$2,FALSE)*$D$11*$D$14*(1+$D$13)^($F52-'הנחות עבודה'!$C$5)/$D$11)</f>
        <v>0</v>
      </c>
      <c r="I52" s="44">
        <f ca="1">IF($F52&gt;$D$5,0,VLOOKUP($F52,$F$24:$BZ$44,I$2-$E$2,FALSE)*$D$11*$D$14*(1+$D$13)^($F52-'הנחות עבודה'!$C$5)/$D$11)</f>
        <v>0</v>
      </c>
      <c r="J52" s="44">
        <f ca="1">IF($F52&gt;$D$5,0,VLOOKUP($F52,$F$24:$BZ$44,J$2-$E$2,FALSE)*$D$11*$D$14*(1+$D$13)^($F52-'הנחות עבודה'!$C$5)/$D$11)</f>
        <v>0</v>
      </c>
      <c r="K52" s="44">
        <f ca="1">IF($F52&gt;$D$5,0,VLOOKUP($F52,$F$24:$BZ$44,K$2-$E$2,FALSE)*$D$11*$D$14*(1+$D$13)^($F52-'הנחות עבודה'!$C$5)/$D$11)</f>
        <v>0</v>
      </c>
      <c r="L52" s="44">
        <f ca="1">IF($F52&gt;$D$5,0,VLOOKUP($F52,$F$24:$BZ$44,L$2-$E$2,FALSE)*$D$11*$D$14*(1+$D$13)^($F52-'הנחות עבודה'!$C$5)/$D$11)</f>
        <v>0</v>
      </c>
      <c r="M52" s="42">
        <f ca="1">IF($F52&gt;$D$5,0,VLOOKUP($F52,$F$24:$BZ$44,M$2-$E$2,FALSE)*$D$11*$D$14*(1+$D$13)^($F52-'הנחות עבודה'!$C$5)/$D$11)</f>
        <v>0</v>
      </c>
      <c r="N52" s="42">
        <f ca="1">IF($F52&gt;$D$5,0,VLOOKUP($F52,$F$24:$BZ$44,N$2-$E$2,FALSE)*$D$11*$D$14*(1+$D$13)^($F52-'הנחות עבודה'!$C$5)/$D$11)</f>
        <v>35.437473365984346</v>
      </c>
      <c r="O52" s="42">
        <f ca="1">IF($F52&gt;$D$5,0,VLOOKUP($F52,$F$24:$BZ$44,O$2-$E$2,FALSE)*$D$11*$D$14*(1+$D$13)^($F52-'הנחות עבודה'!$C$5)/$D$11)</f>
        <v>0</v>
      </c>
      <c r="P52" s="42">
        <f ca="1">IF($F52&gt;$D$5,0,VLOOKUP($F52,$F$24:$BZ$44,P$2-$E$2,FALSE)*$D$11*$D$14*(1+$D$13)^($F52-'הנחות עבודה'!$C$5)/$D$11)</f>
        <v>0</v>
      </c>
      <c r="Q52" s="42">
        <f ca="1">IF($F52&gt;$D$5,0,VLOOKUP($F52,$F$24:$BZ$44,Q$2-$E$2,FALSE)*$D$11*$D$14*(1+$D$13)^($F52-'הנחות עבודה'!$C$5)/$D$11)</f>
        <v>496.45556710693063</v>
      </c>
      <c r="R52" s="42">
        <f ca="1">IF($F52&gt;$D$5,0,VLOOKUP($F52,$F$24:$BZ$44,R$2-$E$2,FALSE)*$D$11*$D$14*(1+$D$13)^($F52-'הנחות עבודה'!$C$5)/$D$11)</f>
        <v>0</v>
      </c>
      <c r="S52" s="52">
        <f ca="1">IF($F52&gt;$D$5,0,VLOOKUP($F52,$F$24:$BZ$44,S$2-$E$2,FALSE)*$D$11*$D$14*(1+$D$13)^($F52-'הנחות עבודה'!$C$5)/$D$11)</f>
        <v>0</v>
      </c>
      <c r="T52" s="127">
        <f ca="1">IF($F52&gt;$D$5,0,VLOOKUP($F52,$F$24:$BZ$44,T$2-$E$2,FALSE)*$D$11*$D$14*(1+$D$13)^($F52-'הנחות עבודה'!$C$5)/$D$11)</f>
        <v>0</v>
      </c>
      <c r="U52" s="127">
        <f ca="1">IF($F52&gt;$D$5,0,VLOOKUP($F52,$F$24:$BZ$44,U$2-$E$2,FALSE)*$D$11*$D$14*(1+$D$13)^($F52-'הנחות עבודה'!$C$5)/$D$11)</f>
        <v>0</v>
      </c>
      <c r="V52" s="127">
        <f ca="1">IF($F52&gt;$D$5,0,VLOOKUP($F52,$F$24:$BZ$44,V$2-$E$2,FALSE)*$D$11*$D$14*(1+$D$13)^($F52-'הנחות עבודה'!$C$5)/$D$11)</f>
        <v>0</v>
      </c>
      <c r="W52" s="127">
        <f ca="1">IF($F52&gt;$D$5,0,VLOOKUP($F52,$F$24:$BZ$44,W$2-$E$2,FALSE)*$D$11*$D$14*(1+$D$13)^($F52-'הנחות עבודה'!$C$5)/$D$11)</f>
        <v>0</v>
      </c>
      <c r="X52" s="127">
        <f ca="1">IF($F52&gt;$D$5,0,VLOOKUP($F52,$F$24:$BZ$44,X$2-$E$2,FALSE)*$D$11*$D$14*(1+$D$13)^($F52-'הנחות עבודה'!$C$5)/$D$11)</f>
        <v>0</v>
      </c>
      <c r="Y52" s="52">
        <f ca="1">IF($F52&gt;$D$5,0,VLOOKUP($F52,$F$24:$BZ$44,Y$2-$E$2,FALSE)*$D$11*$D$14*(1+$D$13)^($F52-'הנחות עבודה'!$C$5)/$D$11)</f>
        <v>0</v>
      </c>
      <c r="Z52" s="52">
        <f ca="1">IF($F52&gt;$D$5,0,VLOOKUP($F52,$F$24:$BZ$44,Z$2-$E$2,FALSE)*$D$11*$D$14*(1+$D$13)^($F52-'הנחות עבודה'!$C$5)/$D$11)</f>
        <v>35.437473365984346</v>
      </c>
      <c r="AA52" s="52">
        <f ca="1">IF($F52&gt;$D$5,0,VLOOKUP($F52,$F$24:$BZ$44,AA$2-$E$2,FALSE)*$D$11*$D$14*(1+$D$13)^($F52-'הנחות עבודה'!$C$5)/$D$11)</f>
        <v>0</v>
      </c>
      <c r="AB52" s="52">
        <f ca="1">IF($F52&gt;$D$5,0,VLOOKUP($F52,$F$24:$BZ$44,AB$2-$E$2,FALSE)*$D$11*$D$14*(1+$D$13)^($F52-'הנחות עבודה'!$C$5)/$D$11)</f>
        <v>0</v>
      </c>
      <c r="AC52" s="52">
        <f ca="1">IF($F52&gt;$D$5,0,VLOOKUP($F52,$F$24:$BZ$44,AC$2-$E$2,FALSE)*$D$11*$D$14*(1+$D$13)^($F52-'הנחות עבודה'!$C$5)/$D$11)</f>
        <v>496.45556710693063</v>
      </c>
      <c r="AD52" s="52">
        <f ca="1">IF($F52&gt;$D$5,0,VLOOKUP($F52,$F$24:$BZ$44,AD$2-$E$2,FALSE)*$D$11*$D$14*(1+$D$13)^($F52-'הנחות עבודה'!$C$5)/$D$11)</f>
        <v>0</v>
      </c>
      <c r="AE52" s="42">
        <f ca="1">IF($F52&gt;$D$5,0,VLOOKUP($F52,$F$24:$BZ$44,AE$2-$E$2,FALSE)*$D$11*$D$14*(1+$D$13)^($F52-'הנחות עבודה'!$C$5)/$D$11)</f>
        <v>0</v>
      </c>
      <c r="AF52" s="44">
        <f ca="1">IF($F52&gt;$D$5,0,VLOOKUP($F52,$F$24:$BZ$44,AF$2-$E$2,FALSE)*$D$11*$D$14*(1+$D$13)^($F52-'הנחות עבודה'!$C$5)/$D$11)</f>
        <v>0</v>
      </c>
      <c r="AG52" s="44">
        <f ca="1">IF($F52&gt;$D$5,0,VLOOKUP($F52,$F$24:$BZ$44,AG$2-$E$2,FALSE)*$D$11*$D$14*(1+$D$13)^($F52-'הנחות עבודה'!$C$5)/$D$11)</f>
        <v>0</v>
      </c>
      <c r="AH52" s="44">
        <f ca="1">IF($F52&gt;$D$5,0,VLOOKUP($F52,$F$24:$BZ$44,AH$2-$E$2,FALSE)*$D$11*$D$14*(1+$D$13)^($F52-'הנחות עבודה'!$C$5)/$D$11)</f>
        <v>0</v>
      </c>
      <c r="AI52" s="44">
        <f ca="1">IF($F52&gt;$D$5,0,VLOOKUP($F52,$F$24:$BZ$44,AI$2-$E$2,FALSE)*$D$11*$D$14*(1+$D$13)^($F52-'הנחות עבודה'!$C$5)/$D$11)</f>
        <v>0</v>
      </c>
      <c r="AJ52" s="44">
        <f ca="1">IF($F52&gt;$D$5,0,VLOOKUP($F52,$F$24:$BZ$44,AJ$2-$E$2,FALSE)*$D$11*$D$14*(1+$D$13)^($F52-'הנחות עבודה'!$C$5)/$D$11)</f>
        <v>0</v>
      </c>
      <c r="AK52" s="42">
        <f ca="1">IF($F52&gt;$D$5,0,VLOOKUP($F52,$F$24:$BZ$44,AK$2-$E$2,FALSE)*$D$11*$D$14*(1+$D$13)^($F52-'הנחות עבודה'!$C$5)/$D$11)</f>
        <v>0</v>
      </c>
      <c r="AL52" s="42">
        <f ca="1">IF($F52&gt;$D$5,0,VLOOKUP($F52,$F$24:$BZ$44,AL$2-$E$2,FALSE)*$D$11*$D$14*(1+$D$13)^($F52-'הנחות עבודה'!$C$5)/$D$11)</f>
        <v>34.95430640180129</v>
      </c>
      <c r="AM52" s="42">
        <f ca="1">IF($F52&gt;$D$5,0,VLOOKUP($F52,$F$24:$BZ$44,AM$2-$E$2,FALSE)*$D$11*$D$14*(1+$D$13)^($F52-'הנחות עבודה'!$C$5)/$D$11)</f>
        <v>0</v>
      </c>
      <c r="AN52" s="42">
        <f ca="1">IF($F52&gt;$D$5,0,VLOOKUP($F52,$F$24:$BZ$44,AN$2-$E$2,FALSE)*$D$11*$D$14*(1+$D$13)^($F52-'הנחות עבודה'!$C$5)/$D$11)</f>
        <v>0</v>
      </c>
      <c r="AO52" s="42">
        <f ca="1">IF($F52&gt;$D$5,0,VLOOKUP($F52,$F$24:$BZ$44,AO$2-$E$2,FALSE)*$D$11*$D$14*(1+$D$13)^($F52-'הנחות עבודה'!$C$5)/$D$11)</f>
        <v>496.45556710693063</v>
      </c>
      <c r="AP52" s="42">
        <f ca="1">IF($F52&gt;$D$5,0,VLOOKUP($F52,$F$24:$BZ$44,AP$2-$E$2,FALSE)*$D$11*$D$14*(1+$D$13)^($F52-'הנחות עבודה'!$C$5)/$D$11)</f>
        <v>0</v>
      </c>
      <c r="AQ52" s="52">
        <f ca="1">IF($F52&gt;$D$5,0,VLOOKUP($F52,$F$24:$BZ$44,AQ$2-$E$2,FALSE)*$D$11*$D$14*(1+$D$13)^($F52-'הנחות עבודה'!$C$5)/$D$11)</f>
        <v>0</v>
      </c>
      <c r="AR52" s="127">
        <f ca="1">IF($F52&gt;$D$5,0,VLOOKUP($F52,$F$24:$BZ$44,AR$2-$E$2,FALSE)*$D$11*$D$14*(1+$D$13)^($F52-'הנחות עבודה'!$C$5)/$D$11)</f>
        <v>0</v>
      </c>
      <c r="AS52" s="127">
        <f ca="1">IF($F52&gt;$D$5,0,VLOOKUP($F52,$F$24:$BZ$44,AS$2-$E$2,FALSE)*$D$11*$D$14*(1+$D$13)^($F52-'הנחות עבודה'!$C$5)/$D$11)</f>
        <v>0</v>
      </c>
      <c r="AT52" s="127">
        <f ca="1">IF($F52&gt;$D$5,0,VLOOKUP($F52,$F$24:$BZ$44,AT$2-$E$2,FALSE)*$D$11*$D$14*(1+$D$13)^($F52-'הנחות עבודה'!$C$5)/$D$11)</f>
        <v>0</v>
      </c>
      <c r="AU52" s="127">
        <f ca="1">IF($F52&gt;$D$5,0,VLOOKUP($F52,$F$24:$BZ$44,AU$2-$E$2,FALSE)*$D$11*$D$14*(1+$D$13)^($F52-'הנחות עבודה'!$C$5)/$D$11)</f>
        <v>0</v>
      </c>
      <c r="AV52" s="127">
        <f ca="1">IF($F52&gt;$D$5,0,VLOOKUP($F52,$F$24:$BZ$44,AV$2-$E$2,FALSE)*$D$11*$D$14*(1+$D$13)^($F52-'הנחות עבודה'!$C$5)/$D$11)</f>
        <v>0</v>
      </c>
      <c r="AW52" s="52">
        <f ca="1">IF($F52&gt;$D$5,0,VLOOKUP($F52,$F$24:$BZ$44,AW$2-$E$2,FALSE)*$D$11*$D$14*(1+$D$13)^($F52-'הנחות עבודה'!$C$5)/$D$11)</f>
        <v>0</v>
      </c>
      <c r="AX52" s="52">
        <f ca="1">IF($F52&gt;$D$5,0,VLOOKUP($F52,$F$24:$BZ$44,AX$2-$E$2,FALSE)*$D$11*$D$14*(1+$D$13)^($F52-'הנחות עבודה'!$C$5)/$D$11)</f>
        <v>34.95430640180129</v>
      </c>
      <c r="AY52" s="52">
        <f ca="1">IF($F52&gt;$D$5,0,VLOOKUP($F52,$F$24:$BZ$44,AY$2-$E$2,FALSE)*$D$11*$D$14*(1+$D$13)^($F52-'הנחות עבודה'!$C$5)/$D$11)</f>
        <v>0</v>
      </c>
      <c r="AZ52" s="52">
        <f ca="1">IF($F52&gt;$D$5,0,VLOOKUP($F52,$F$24:$BZ$44,AZ$2-$E$2,FALSE)*$D$11*$D$14*(1+$D$13)^($F52-'הנחות עבודה'!$C$5)/$D$11)</f>
        <v>0</v>
      </c>
      <c r="BA52" s="52">
        <f ca="1">IF($F52&gt;$D$5,0,VLOOKUP($F52,$F$24:$BZ$44,BA$2-$E$2,FALSE)*$D$11*$D$14*(1+$D$13)^($F52-'הנחות עבודה'!$C$5)/$D$11)</f>
        <v>496.45556710693063</v>
      </c>
      <c r="BB52" s="52">
        <f ca="1">IF($F52&gt;$D$5,0,VLOOKUP($F52,$F$24:$BZ$44,BB$2-$E$2,FALSE)*$D$11*$D$14*(1+$D$13)^($F52-'הנחות עבודה'!$C$5)/$D$11)</f>
        <v>0</v>
      </c>
      <c r="BC52" s="42">
        <f ca="1">IF($F52&gt;$D$5,0,VLOOKUP($F52,$F$24:$BZ$44,BC$2-$E$2,FALSE)*$D$11*$D$14*(1+$D$13)^($F52-'הנחות עבודה'!$C$5)/$D$11)</f>
        <v>0</v>
      </c>
      <c r="BD52" s="44">
        <f ca="1">IF($F52&gt;$D$5,0,VLOOKUP($F52,$F$24:$BZ$44,BD$2-$E$2,FALSE)*$D$11*$D$14*(1+$D$13)^($F52-'הנחות עבודה'!$C$5)/$D$11)</f>
        <v>0</v>
      </c>
      <c r="BE52" s="44">
        <f ca="1">IF($F52&gt;$D$5,0,VLOOKUP($F52,$F$24:$BZ$44,BE$2-$E$2,FALSE)*$D$11*$D$14*(1+$D$13)^($F52-'הנחות עבודה'!$C$5)/$D$11)</f>
        <v>0</v>
      </c>
      <c r="BF52" s="44">
        <f ca="1">IF($F52&gt;$D$5,0,VLOOKUP($F52,$F$24:$BZ$44,BF$2-$E$2,FALSE)*$D$11*$D$14*(1+$D$13)^($F52-'הנחות עבודה'!$C$5)/$D$11)</f>
        <v>0</v>
      </c>
      <c r="BG52" s="44">
        <f ca="1">IF($F52&gt;$D$5,0,VLOOKUP($F52,$F$24:$BZ$44,BG$2-$E$2,FALSE)*$D$11*$D$14*(1+$D$13)^($F52-'הנחות עבודה'!$C$5)/$D$11)</f>
        <v>0</v>
      </c>
      <c r="BH52" s="44">
        <f ca="1">IF($F52&gt;$D$5,0,VLOOKUP($F52,$F$24:$BZ$44,BH$2-$E$2,FALSE)*$D$11*$D$14*(1+$D$13)^($F52-'הנחות עבודה'!$C$5)/$D$11)</f>
        <v>0</v>
      </c>
      <c r="BI52" s="42">
        <f ca="1">IF($F52&gt;$D$5,0,VLOOKUP($F52,$F$24:$BZ$44,BI$2-$E$2,FALSE)*$D$11*$D$14*(1+$D$13)^($F52-'הנחות עבודה'!$C$5)/$D$11)</f>
        <v>0</v>
      </c>
      <c r="BJ52" s="42">
        <f ca="1">IF($F52&gt;$D$5,0,VLOOKUP($F52,$F$24:$BZ$44,BJ$2-$E$2,FALSE)*$D$11*$D$14*(1+$D$13)^($F52-'הנחות עבודה'!$C$5)/$D$11)</f>
        <v>34.815636407772566</v>
      </c>
      <c r="BK52" s="42">
        <f ca="1">IF($F52&gt;$D$5,0,VLOOKUP($F52,$F$24:$BZ$44,BK$2-$E$2,FALSE)*$D$11*$D$14*(1+$D$13)^($F52-'הנחות עבודה'!$C$5)/$D$11)</f>
        <v>0</v>
      </c>
      <c r="BL52" s="42">
        <f ca="1">IF($F52&gt;$D$5,0,VLOOKUP($F52,$F$24:$BZ$44,BL$2-$E$2,FALSE)*$D$11*$D$14*(1+$D$13)^($F52-'הנחות עבודה'!$C$5)/$D$11)</f>
        <v>0</v>
      </c>
      <c r="BM52" s="42">
        <f ca="1">IF($F52&gt;$D$5,0,VLOOKUP($F52,$F$24:$BZ$44,BM$2-$E$2,FALSE)*$D$11*$D$14*(1+$D$13)^($F52-'הנחות עבודה'!$C$5)/$D$11)</f>
        <v>496.45556710693063</v>
      </c>
      <c r="BN52" s="42">
        <f ca="1">IF($F52&gt;$D$5,0,VLOOKUP($F52,$F$24:$BZ$44,BN$2-$E$2,FALSE)*$D$11*$D$14*(1+$D$13)^($F52-'הנחות עבודה'!$C$5)/$D$11)</f>
        <v>0</v>
      </c>
      <c r="BO52" s="52">
        <f ca="1">IF($F52&gt;$D$5,0,VLOOKUP($F52,$F$24:$BZ$44,BO$2-$E$2,FALSE)*$D$11*$D$14*(1+$D$13)^($F52-'הנחות עבודה'!$C$5)/$D$11)</f>
        <v>0</v>
      </c>
      <c r="BP52" s="127">
        <f ca="1">IF($F52&gt;$D$5,0,VLOOKUP($F52,$F$24:$BZ$44,BP$2-$E$2,FALSE)*$D$11*$D$14*(1+$D$13)^($F52-'הנחות עבודה'!$C$5)/$D$11)</f>
        <v>0</v>
      </c>
      <c r="BQ52" s="127">
        <f ca="1">IF($F52&gt;$D$5,0,VLOOKUP($F52,$F$24:$BZ$44,BQ$2-$E$2,FALSE)*$D$11*$D$14*(1+$D$13)^($F52-'הנחות עבודה'!$C$5)/$D$11)</f>
        <v>0</v>
      </c>
      <c r="BR52" s="127">
        <f ca="1">IF($F52&gt;$D$5,0,VLOOKUP($F52,$F$24:$BZ$44,BR$2-$E$2,FALSE)*$D$11*$D$14*(1+$D$13)^($F52-'הנחות עבודה'!$C$5)/$D$11)</f>
        <v>0</v>
      </c>
      <c r="BS52" s="127">
        <f ca="1">IF($F52&gt;$D$5,0,VLOOKUP($F52,$F$24:$BZ$44,BS$2-$E$2,FALSE)*$D$11*$D$14*(1+$D$13)^($F52-'הנחות עבודה'!$C$5)/$D$11)</f>
        <v>0</v>
      </c>
      <c r="BT52" s="127">
        <f ca="1">IF($F52&gt;$D$5,0,VLOOKUP($F52,$F$24:$BZ$44,BT$2-$E$2,FALSE)*$D$11*$D$14*(1+$D$13)^($F52-'הנחות עבודה'!$C$5)/$D$11)</f>
        <v>0</v>
      </c>
      <c r="BU52" s="52">
        <f ca="1">IF($F52&gt;$D$5,0,VLOOKUP($F52,$F$24:$BZ$44,BU$2-$E$2,FALSE)*$D$11*$D$14*(1+$D$13)^($F52-'הנחות עבודה'!$C$5)/$D$11)</f>
        <v>0</v>
      </c>
      <c r="BV52" s="52">
        <f ca="1">IF($F52&gt;$D$5,0,VLOOKUP($F52,$F$24:$BZ$44,BV$2-$E$2,FALSE)*$D$11*$D$14*(1+$D$13)^($F52-'הנחות עבודה'!$C$5)/$D$11)</f>
        <v>34.815636407772566</v>
      </c>
      <c r="BW52" s="52">
        <f ca="1">IF($F52&gt;$D$5,0,VLOOKUP($F52,$F$24:$BZ$44,BW$2-$E$2,FALSE)*$D$11*$D$14*(1+$D$13)^($F52-'הנחות עבודה'!$C$5)/$D$11)</f>
        <v>0</v>
      </c>
      <c r="BX52" s="52">
        <f ca="1">IF($F52&gt;$D$5,0,VLOOKUP($F52,$F$24:$BZ$44,BX$2-$E$2,FALSE)*$D$11*$D$14*(1+$D$13)^($F52-'הנחות עבודה'!$C$5)/$D$11)</f>
        <v>0</v>
      </c>
      <c r="BY52" s="52">
        <f ca="1">IF($F52&gt;$D$5,0,VLOOKUP($F52,$F$24:$BZ$44,BY$2-$E$2,FALSE)*$D$11*$D$14*(1+$D$13)^($F52-'הנחות עבודה'!$C$5)/$D$11)</f>
        <v>496.45556710693063</v>
      </c>
      <c r="BZ52" s="52">
        <f ca="1">IF($F52&gt;$D$5,0,VLOOKUP($F52,$F$24:$BZ$44,BZ$2-$E$2,FALSE)*$D$11*$D$14*(1+$D$13)^($F52-'הנחות עבודה'!$C$5)/$D$11)</f>
        <v>0</v>
      </c>
    </row>
    <row r="53" spans="6:78" ht="15.75">
      <c r="F53" s="10">
        <f t="shared" ref="F53:F71" si="123">F52+1</f>
        <v>2022</v>
      </c>
      <c r="G53" s="42">
        <f ca="1">IF($F53&gt;$D$5,0,VLOOKUP($F53,$F$24:$BZ$44,G$2-$E$2,FALSE)*$D$11*$D$14*(1+$D$13)^($F53-'הנחות עבודה'!$C$5)/$D$11)</f>
        <v>0</v>
      </c>
      <c r="H53" s="44">
        <f ca="1">IF($F53&gt;$D$5,0,VLOOKUP($F53,$F$24:$BZ$44,H$2-$E$2,FALSE)*$D$11*$D$14*(1+$D$13)^($F53-'הנחות עבודה'!$C$5)/$D$11)</f>
        <v>0</v>
      </c>
      <c r="I53" s="44">
        <f ca="1">IF($F53&gt;$D$5,0,VLOOKUP($F53,$F$24:$BZ$44,I$2-$E$2,FALSE)*$D$11*$D$14*(1+$D$13)^($F53-'הנחות עבודה'!$C$5)/$D$11)</f>
        <v>0</v>
      </c>
      <c r="J53" s="44">
        <f ca="1">IF($F53&gt;$D$5,0,VLOOKUP($F53,$F$24:$BZ$44,J$2-$E$2,FALSE)*$D$11*$D$14*(1+$D$13)^($F53-'הנחות עבודה'!$C$5)/$D$11)</f>
        <v>0</v>
      </c>
      <c r="K53" s="44">
        <f ca="1">IF($F53&gt;$D$5,0,VLOOKUP($F53,$F$24:$BZ$44,K$2-$E$2,FALSE)*$D$11*$D$14*(1+$D$13)^($F53-'הנחות עבודה'!$C$5)/$D$11)</f>
        <v>0</v>
      </c>
      <c r="L53" s="44">
        <f ca="1">IF($F53&gt;$D$5,0,VLOOKUP($F53,$F$24:$BZ$44,L$2-$E$2,FALSE)*$D$11*$D$14*(1+$D$13)^($F53-'הנחות עבודה'!$C$5)/$D$11)</f>
        <v>0</v>
      </c>
      <c r="M53" s="42">
        <f ca="1">IF($F53&gt;$D$5,0,VLOOKUP($F53,$F$24:$BZ$44,M$2-$E$2,FALSE)*$D$11*$D$14*(1+$D$13)^($F53-'הנחות עבודה'!$C$5)/$D$11)</f>
        <v>0.95108839668822898</v>
      </c>
      <c r="N53" s="42">
        <f ca="1">IF($F53&gt;$D$5,0,VLOOKUP($F53,$F$24:$BZ$44,N$2-$E$2,FALSE)*$D$11*$D$14*(1+$D$13)^($F53-'הנחות עבודה'!$C$5)/$D$11)</f>
        <v>37.573919842435799</v>
      </c>
      <c r="O53" s="42">
        <f ca="1">IF($F53&gt;$D$5,0,VLOOKUP($F53,$F$24:$BZ$44,O$2-$E$2,FALSE)*$D$11*$D$14*(1+$D$13)^($F53-'הנחות עבודה'!$C$5)/$D$11)</f>
        <v>0</v>
      </c>
      <c r="P53" s="42">
        <f ca="1">IF($F53&gt;$D$5,0,VLOOKUP($F53,$F$24:$BZ$44,P$2-$E$2,FALSE)*$D$11*$D$14*(1+$D$13)^($F53-'הנחות עבודה'!$C$5)/$D$11)</f>
        <v>0</v>
      </c>
      <c r="Q53" s="42">
        <f ca="1">IF($F53&gt;$D$5,0,VLOOKUP($F53,$F$24:$BZ$44,Q$2-$E$2,FALSE)*$D$11*$D$14*(1+$D$13)^($F53-'הנחות עבודה'!$C$5)/$D$11)</f>
        <v>475.76257325051444</v>
      </c>
      <c r="R53" s="42">
        <f ca="1">IF($F53&gt;$D$5,0,VLOOKUP($F53,$F$24:$BZ$44,R$2-$E$2,FALSE)*$D$11*$D$14*(1+$D$13)^($F53-'הנחות עבודה'!$C$5)/$D$11)</f>
        <v>0</v>
      </c>
      <c r="S53" s="52">
        <f ca="1">IF($F53&gt;$D$5,0,VLOOKUP($F53,$F$24:$BZ$44,S$2-$E$2,FALSE)*$D$11*$D$14*(1+$D$13)^($F53-'הנחות עבודה'!$C$5)/$D$11)</f>
        <v>0</v>
      </c>
      <c r="T53" s="127">
        <f ca="1">IF($F53&gt;$D$5,0,VLOOKUP($F53,$F$24:$BZ$44,T$2-$E$2,FALSE)*$D$11*$D$14*(1+$D$13)^($F53-'הנחות עבודה'!$C$5)/$D$11)</f>
        <v>0</v>
      </c>
      <c r="U53" s="127">
        <f ca="1">IF($F53&gt;$D$5,0,VLOOKUP($F53,$F$24:$BZ$44,U$2-$E$2,FALSE)*$D$11*$D$14*(1+$D$13)^($F53-'הנחות עבודה'!$C$5)/$D$11)</f>
        <v>0</v>
      </c>
      <c r="V53" s="127">
        <f ca="1">IF($F53&gt;$D$5,0,VLOOKUP($F53,$F$24:$BZ$44,V$2-$E$2,FALSE)*$D$11*$D$14*(1+$D$13)^($F53-'הנחות עבודה'!$C$5)/$D$11)</f>
        <v>0</v>
      </c>
      <c r="W53" s="127">
        <f ca="1">IF($F53&gt;$D$5,0,VLOOKUP($F53,$F$24:$BZ$44,W$2-$E$2,FALSE)*$D$11*$D$14*(1+$D$13)^($F53-'הנחות עבודה'!$C$5)/$D$11)</f>
        <v>0</v>
      </c>
      <c r="X53" s="127">
        <f ca="1">IF($F53&gt;$D$5,0,VLOOKUP($F53,$F$24:$BZ$44,X$2-$E$2,FALSE)*$D$11*$D$14*(1+$D$13)^($F53-'הנחות עבודה'!$C$5)/$D$11)</f>
        <v>0</v>
      </c>
      <c r="Y53" s="52">
        <f ca="1">IF($F53&gt;$D$5,0,VLOOKUP($F53,$F$24:$BZ$44,Y$2-$E$2,FALSE)*$D$11*$D$14*(1+$D$13)^($F53-'הנחות עבודה'!$C$5)/$D$11)</f>
        <v>0.95108839668822898</v>
      </c>
      <c r="Z53" s="52">
        <f ca="1">IF($F53&gt;$D$5,0,VLOOKUP($F53,$F$24:$BZ$44,Z$2-$E$2,FALSE)*$D$11*$D$14*(1+$D$13)^($F53-'הנחות עבודה'!$C$5)/$D$11)</f>
        <v>37.573919842435799</v>
      </c>
      <c r="AA53" s="52">
        <f ca="1">IF($F53&gt;$D$5,0,VLOOKUP($F53,$F$24:$BZ$44,AA$2-$E$2,FALSE)*$D$11*$D$14*(1+$D$13)^($F53-'הנחות עבודה'!$C$5)/$D$11)</f>
        <v>0</v>
      </c>
      <c r="AB53" s="52">
        <f ca="1">IF($F53&gt;$D$5,0,VLOOKUP($F53,$F$24:$BZ$44,AB$2-$E$2,FALSE)*$D$11*$D$14*(1+$D$13)^($F53-'הנחות עבודה'!$C$5)/$D$11)</f>
        <v>0</v>
      </c>
      <c r="AC53" s="52">
        <f ca="1">IF($F53&gt;$D$5,0,VLOOKUP($F53,$F$24:$BZ$44,AC$2-$E$2,FALSE)*$D$11*$D$14*(1+$D$13)^($F53-'הנחות עבודה'!$C$5)/$D$11)</f>
        <v>475.76257325051444</v>
      </c>
      <c r="AD53" s="52">
        <f ca="1">IF($F53&gt;$D$5,0,VLOOKUP($F53,$F$24:$BZ$44,AD$2-$E$2,FALSE)*$D$11*$D$14*(1+$D$13)^($F53-'הנחות עבודה'!$C$5)/$D$11)</f>
        <v>0</v>
      </c>
      <c r="AE53" s="42">
        <f ca="1">IF($F53&gt;$D$5,0,VLOOKUP($F53,$F$24:$BZ$44,AE$2-$E$2,FALSE)*$D$11*$D$14*(1+$D$13)^($F53-'הנחות עבודה'!$C$5)/$D$11)</f>
        <v>0</v>
      </c>
      <c r="AF53" s="44">
        <f ca="1">IF($F53&gt;$D$5,0,VLOOKUP($F53,$F$24:$BZ$44,AF$2-$E$2,FALSE)*$D$11*$D$14*(1+$D$13)^($F53-'הנחות עבודה'!$C$5)/$D$11)</f>
        <v>0</v>
      </c>
      <c r="AG53" s="44">
        <f ca="1">IF($F53&gt;$D$5,0,VLOOKUP($F53,$F$24:$BZ$44,AG$2-$E$2,FALSE)*$D$11*$D$14*(1+$D$13)^($F53-'הנחות עבודה'!$C$5)/$D$11)</f>
        <v>0</v>
      </c>
      <c r="AH53" s="44">
        <f ca="1">IF($F53&gt;$D$5,0,VLOOKUP($F53,$F$24:$BZ$44,AH$2-$E$2,FALSE)*$D$11*$D$14*(1+$D$13)^($F53-'הנחות עבודה'!$C$5)/$D$11)</f>
        <v>0</v>
      </c>
      <c r="AI53" s="44">
        <f ca="1">IF($F53&gt;$D$5,0,VLOOKUP($F53,$F$24:$BZ$44,AI$2-$E$2,FALSE)*$D$11*$D$14*(1+$D$13)^($F53-'הנחות עבודה'!$C$5)/$D$11)</f>
        <v>0</v>
      </c>
      <c r="AJ53" s="44">
        <f ca="1">IF($F53&gt;$D$5,0,VLOOKUP($F53,$F$24:$BZ$44,AJ$2-$E$2,FALSE)*$D$11*$D$14*(1+$D$13)^($F53-'הנחות עבודה'!$C$5)/$D$11)</f>
        <v>0</v>
      </c>
      <c r="AK53" s="42">
        <f ca="1">IF($F53&gt;$D$5,0,VLOOKUP($F53,$F$24:$BZ$44,AK$2-$E$2,FALSE)*$D$11*$D$14*(1+$D$13)^($F53-'הנחות עבודה'!$C$5)/$D$11)</f>
        <v>0.92474292178609285</v>
      </c>
      <c r="AL53" s="42">
        <f ca="1">IF($F53&gt;$D$5,0,VLOOKUP($F53,$F$24:$BZ$44,AL$2-$E$2,FALSE)*$D$11*$D$14*(1+$D$13)^($F53-'הנחות עבודה'!$C$5)/$D$11)</f>
        <v>36.575032169598103</v>
      </c>
      <c r="AM53" s="42">
        <f ca="1">IF($F53&gt;$D$5,0,VLOOKUP($F53,$F$24:$BZ$44,AM$2-$E$2,FALSE)*$D$11*$D$14*(1+$D$13)^($F53-'הנחות עבודה'!$C$5)/$D$11)</f>
        <v>0</v>
      </c>
      <c r="AN53" s="42">
        <f ca="1">IF($F53&gt;$D$5,0,VLOOKUP($F53,$F$24:$BZ$44,AN$2-$E$2,FALSE)*$D$11*$D$14*(1+$D$13)^($F53-'הנחות עבודה'!$C$5)/$D$11)</f>
        <v>0</v>
      </c>
      <c r="AO53" s="42">
        <f ca="1">IF($F53&gt;$D$5,0,VLOOKUP($F53,$F$24:$BZ$44,AO$2-$E$2,FALSE)*$D$11*$D$14*(1+$D$13)^($F53-'הנחות עבודה'!$C$5)/$D$11)</f>
        <v>475.77960366619192</v>
      </c>
      <c r="AP53" s="42">
        <f ca="1">IF($F53&gt;$D$5,0,VLOOKUP($F53,$F$24:$BZ$44,AP$2-$E$2,FALSE)*$D$11*$D$14*(1+$D$13)^($F53-'הנחות עבודה'!$C$5)/$D$11)</f>
        <v>0</v>
      </c>
      <c r="AQ53" s="52">
        <f ca="1">IF($F53&gt;$D$5,0,VLOOKUP($F53,$F$24:$BZ$44,AQ$2-$E$2,FALSE)*$D$11*$D$14*(1+$D$13)^($F53-'הנחות עבודה'!$C$5)/$D$11)</f>
        <v>0</v>
      </c>
      <c r="AR53" s="127">
        <f ca="1">IF($F53&gt;$D$5,0,VLOOKUP($F53,$F$24:$BZ$44,AR$2-$E$2,FALSE)*$D$11*$D$14*(1+$D$13)^($F53-'הנחות עבודה'!$C$5)/$D$11)</f>
        <v>0</v>
      </c>
      <c r="AS53" s="127">
        <f ca="1">IF($F53&gt;$D$5,0,VLOOKUP($F53,$F$24:$BZ$44,AS$2-$E$2,FALSE)*$D$11*$D$14*(1+$D$13)^($F53-'הנחות עבודה'!$C$5)/$D$11)</f>
        <v>0</v>
      </c>
      <c r="AT53" s="127">
        <f ca="1">IF($F53&gt;$D$5,0,VLOOKUP($F53,$F$24:$BZ$44,AT$2-$E$2,FALSE)*$D$11*$D$14*(1+$D$13)^($F53-'הנחות עבודה'!$C$5)/$D$11)</f>
        <v>0</v>
      </c>
      <c r="AU53" s="127">
        <f ca="1">IF($F53&gt;$D$5,0,VLOOKUP($F53,$F$24:$BZ$44,AU$2-$E$2,FALSE)*$D$11*$D$14*(1+$D$13)^($F53-'הנחות עבודה'!$C$5)/$D$11)</f>
        <v>0</v>
      </c>
      <c r="AV53" s="127">
        <f ca="1">IF($F53&gt;$D$5,0,VLOOKUP($F53,$F$24:$BZ$44,AV$2-$E$2,FALSE)*$D$11*$D$14*(1+$D$13)^($F53-'הנחות עבודה'!$C$5)/$D$11)</f>
        <v>0</v>
      </c>
      <c r="AW53" s="52">
        <f ca="1">IF($F53&gt;$D$5,0,VLOOKUP($F53,$F$24:$BZ$44,AW$2-$E$2,FALSE)*$D$11*$D$14*(1+$D$13)^($F53-'הנחות עבודה'!$C$5)/$D$11)</f>
        <v>0.92474292178609285</v>
      </c>
      <c r="AX53" s="52">
        <f ca="1">IF($F53&gt;$D$5,0,VLOOKUP($F53,$F$24:$BZ$44,AX$2-$E$2,FALSE)*$D$11*$D$14*(1+$D$13)^($F53-'הנחות עבודה'!$C$5)/$D$11)</f>
        <v>36.575032169598103</v>
      </c>
      <c r="AY53" s="52">
        <f ca="1">IF($F53&gt;$D$5,0,VLOOKUP($F53,$F$24:$BZ$44,AY$2-$E$2,FALSE)*$D$11*$D$14*(1+$D$13)^($F53-'הנחות עבודה'!$C$5)/$D$11)</f>
        <v>0</v>
      </c>
      <c r="AZ53" s="52">
        <f ca="1">IF($F53&gt;$D$5,0,VLOOKUP($F53,$F$24:$BZ$44,AZ$2-$E$2,FALSE)*$D$11*$D$14*(1+$D$13)^($F53-'הנחות עבודה'!$C$5)/$D$11)</f>
        <v>0</v>
      </c>
      <c r="BA53" s="52">
        <f ca="1">IF($F53&gt;$D$5,0,VLOOKUP($F53,$F$24:$BZ$44,BA$2-$E$2,FALSE)*$D$11*$D$14*(1+$D$13)^($F53-'הנחות עבודה'!$C$5)/$D$11)</f>
        <v>475.77960366619192</v>
      </c>
      <c r="BB53" s="52">
        <f ca="1">IF($F53&gt;$D$5,0,VLOOKUP($F53,$F$24:$BZ$44,BB$2-$E$2,FALSE)*$D$11*$D$14*(1+$D$13)^($F53-'הנחות עבודה'!$C$5)/$D$11)</f>
        <v>0</v>
      </c>
      <c r="BC53" s="42">
        <f ca="1">IF($F53&gt;$D$5,0,VLOOKUP($F53,$F$24:$BZ$44,BC$2-$E$2,FALSE)*$D$11*$D$14*(1+$D$13)^($F53-'הנחות עבודה'!$C$5)/$D$11)</f>
        <v>0</v>
      </c>
      <c r="BD53" s="44">
        <f ca="1">IF($F53&gt;$D$5,0,VLOOKUP($F53,$F$24:$BZ$44,BD$2-$E$2,FALSE)*$D$11*$D$14*(1+$D$13)^($F53-'הנחות עבודה'!$C$5)/$D$11)</f>
        <v>0</v>
      </c>
      <c r="BE53" s="44">
        <f ca="1">IF($F53&gt;$D$5,0,VLOOKUP($F53,$F$24:$BZ$44,BE$2-$E$2,FALSE)*$D$11*$D$14*(1+$D$13)^($F53-'הנחות עבודה'!$C$5)/$D$11)</f>
        <v>0</v>
      </c>
      <c r="BF53" s="44">
        <f ca="1">IF($F53&gt;$D$5,0,VLOOKUP($F53,$F$24:$BZ$44,BF$2-$E$2,FALSE)*$D$11*$D$14*(1+$D$13)^($F53-'הנחות עבודה'!$C$5)/$D$11)</f>
        <v>0</v>
      </c>
      <c r="BG53" s="44">
        <f ca="1">IF($F53&gt;$D$5,0,VLOOKUP($F53,$F$24:$BZ$44,BG$2-$E$2,FALSE)*$D$11*$D$14*(1+$D$13)^($F53-'הנחות עבודה'!$C$5)/$D$11)</f>
        <v>0</v>
      </c>
      <c r="BH53" s="44">
        <f ca="1">IF($F53&gt;$D$5,0,VLOOKUP($F53,$F$24:$BZ$44,BH$2-$E$2,FALSE)*$D$11*$D$14*(1+$D$13)^($F53-'הנחות עבודה'!$C$5)/$D$11)</f>
        <v>0</v>
      </c>
      <c r="BI53" s="42">
        <f ca="1">IF($F53&gt;$D$5,0,VLOOKUP($F53,$F$24:$BZ$44,BI$2-$E$2,FALSE)*$D$11*$D$14*(1+$D$13)^($F53-'הנחות עבודה'!$C$5)/$D$11)</f>
        <v>0.91541966829570465</v>
      </c>
      <c r="BJ53" s="42">
        <f ca="1">IF($F53&gt;$D$5,0,VLOOKUP($F53,$F$24:$BZ$44,BJ$2-$E$2,FALSE)*$D$11*$D$14*(1+$D$13)^($F53-'הנחות עבודה'!$C$5)/$D$11)</f>
        <v>36.037548157324856</v>
      </c>
      <c r="BK53" s="42">
        <f ca="1">IF($F53&gt;$D$5,0,VLOOKUP($F53,$F$24:$BZ$44,BK$2-$E$2,FALSE)*$D$11*$D$14*(1+$D$13)^($F53-'הנחות עבודה'!$C$5)/$D$11)</f>
        <v>0</v>
      </c>
      <c r="BL53" s="42">
        <f ca="1">IF($F53&gt;$D$5,0,VLOOKUP($F53,$F$24:$BZ$44,BL$2-$E$2,FALSE)*$D$11*$D$14*(1+$D$13)^($F53-'הנחות עבודה'!$C$5)/$D$11)</f>
        <v>0</v>
      </c>
      <c r="BM53" s="42">
        <f ca="1">IF($F53&gt;$D$5,0,VLOOKUP($F53,$F$24:$BZ$44,BM$2-$E$2,FALSE)*$D$11*$D$14*(1+$D$13)^($F53-'הנחות עבודה'!$C$5)/$D$11)</f>
        <v>475.76198599480148</v>
      </c>
      <c r="BN53" s="42">
        <f ca="1">IF($F53&gt;$D$5,0,VLOOKUP($F53,$F$24:$BZ$44,BN$2-$E$2,FALSE)*$D$11*$D$14*(1+$D$13)^($F53-'הנחות עבודה'!$C$5)/$D$11)</f>
        <v>0</v>
      </c>
      <c r="BO53" s="52">
        <f ca="1">IF($F53&gt;$D$5,0,VLOOKUP($F53,$F$24:$BZ$44,BO$2-$E$2,FALSE)*$D$11*$D$14*(1+$D$13)^($F53-'הנחות עבודה'!$C$5)/$D$11)</f>
        <v>0</v>
      </c>
      <c r="BP53" s="127">
        <f ca="1">IF($F53&gt;$D$5,0,VLOOKUP($F53,$F$24:$BZ$44,BP$2-$E$2,FALSE)*$D$11*$D$14*(1+$D$13)^($F53-'הנחות עבודה'!$C$5)/$D$11)</f>
        <v>0</v>
      </c>
      <c r="BQ53" s="127">
        <f ca="1">IF($F53&gt;$D$5,0,VLOOKUP($F53,$F$24:$BZ$44,BQ$2-$E$2,FALSE)*$D$11*$D$14*(1+$D$13)^($F53-'הנחות עבודה'!$C$5)/$D$11)</f>
        <v>0</v>
      </c>
      <c r="BR53" s="127">
        <f ca="1">IF($F53&gt;$D$5,0,VLOOKUP($F53,$F$24:$BZ$44,BR$2-$E$2,FALSE)*$D$11*$D$14*(1+$D$13)^($F53-'הנחות עבודה'!$C$5)/$D$11)</f>
        <v>0</v>
      </c>
      <c r="BS53" s="127">
        <f ca="1">IF($F53&gt;$D$5,0,VLOOKUP($F53,$F$24:$BZ$44,BS$2-$E$2,FALSE)*$D$11*$D$14*(1+$D$13)^($F53-'הנחות עבודה'!$C$5)/$D$11)</f>
        <v>0</v>
      </c>
      <c r="BT53" s="127">
        <f ca="1">IF($F53&gt;$D$5,0,VLOOKUP($F53,$F$24:$BZ$44,BT$2-$E$2,FALSE)*$D$11*$D$14*(1+$D$13)^($F53-'הנחות עבודה'!$C$5)/$D$11)</f>
        <v>0</v>
      </c>
      <c r="BU53" s="52">
        <f ca="1">IF($F53&gt;$D$5,0,VLOOKUP($F53,$F$24:$BZ$44,BU$2-$E$2,FALSE)*$D$11*$D$14*(1+$D$13)^($F53-'הנחות עבודה'!$C$5)/$D$11)</f>
        <v>0.91541966829570465</v>
      </c>
      <c r="BV53" s="52">
        <f ca="1">IF($F53&gt;$D$5,0,VLOOKUP($F53,$F$24:$BZ$44,BV$2-$E$2,FALSE)*$D$11*$D$14*(1+$D$13)^($F53-'הנחות עבודה'!$C$5)/$D$11)</f>
        <v>36.037548157324856</v>
      </c>
      <c r="BW53" s="52">
        <f ca="1">IF($F53&gt;$D$5,0,VLOOKUP($F53,$F$24:$BZ$44,BW$2-$E$2,FALSE)*$D$11*$D$14*(1+$D$13)^($F53-'הנחות עבודה'!$C$5)/$D$11)</f>
        <v>0</v>
      </c>
      <c r="BX53" s="52">
        <f ca="1">IF($F53&gt;$D$5,0,VLOOKUP($F53,$F$24:$BZ$44,BX$2-$E$2,FALSE)*$D$11*$D$14*(1+$D$13)^($F53-'הנחות עבודה'!$C$5)/$D$11)</f>
        <v>0</v>
      </c>
      <c r="BY53" s="52">
        <f ca="1">IF($F53&gt;$D$5,0,VLOOKUP($F53,$F$24:$BZ$44,BY$2-$E$2,FALSE)*$D$11*$D$14*(1+$D$13)^($F53-'הנחות עבודה'!$C$5)/$D$11)</f>
        <v>475.76198599480148</v>
      </c>
      <c r="BZ53" s="52">
        <f ca="1">IF($F53&gt;$D$5,0,VLOOKUP($F53,$F$24:$BZ$44,BZ$2-$E$2,FALSE)*$D$11*$D$14*(1+$D$13)^($F53-'הנחות עבודה'!$C$5)/$D$11)</f>
        <v>0</v>
      </c>
    </row>
    <row r="54" spans="6:78" ht="15.75">
      <c r="F54" s="10">
        <f t="shared" si="123"/>
        <v>2023</v>
      </c>
      <c r="G54" s="42">
        <f ca="1">IF($F54&gt;$D$5,0,VLOOKUP($F54,$F$24:$BZ$44,G$2-$E$2,FALSE)*$D$11*$D$14*(1+$D$13)^($F54-'הנחות עבודה'!$C$5)/$D$11)</f>
        <v>0</v>
      </c>
      <c r="H54" s="44">
        <f ca="1">IF($F54&gt;$D$5,0,VLOOKUP($F54,$F$24:$BZ$44,H$2-$E$2,FALSE)*$D$11*$D$14*(1+$D$13)^($F54-'הנחות עבודה'!$C$5)/$D$11)</f>
        <v>0</v>
      </c>
      <c r="I54" s="44">
        <f ca="1">IF($F54&gt;$D$5,0,VLOOKUP($F54,$F$24:$BZ$44,I$2-$E$2,FALSE)*$D$11*$D$14*(1+$D$13)^($F54-'הנחות עבודה'!$C$5)/$D$11)</f>
        <v>0</v>
      </c>
      <c r="J54" s="44">
        <f ca="1">IF($F54&gt;$D$5,0,VLOOKUP($F54,$F$24:$BZ$44,J$2-$E$2,FALSE)*$D$11*$D$14*(1+$D$13)^($F54-'הנחות עבודה'!$C$5)/$D$11)</f>
        <v>0</v>
      </c>
      <c r="K54" s="44">
        <f ca="1">IF($F54&gt;$D$5,0,VLOOKUP($F54,$F$24:$BZ$44,K$2-$E$2,FALSE)*$D$11*$D$14*(1+$D$13)^($F54-'הנחות עבודה'!$C$5)/$D$11)</f>
        <v>0</v>
      </c>
      <c r="L54" s="44">
        <f ca="1">IF($F54&gt;$D$5,0,VLOOKUP($F54,$F$24:$BZ$44,L$2-$E$2,FALSE)*$D$11*$D$14*(1+$D$13)^($F54-'הנחות עבודה'!$C$5)/$D$11)</f>
        <v>0</v>
      </c>
      <c r="M54" s="42">
        <f ca="1">IF($F54&gt;$D$5,0,VLOOKUP($F54,$F$24:$BZ$44,M$2-$E$2,FALSE)*$D$11*$D$14*(1+$D$13)^($F54-'הנחות עבודה'!$C$5)/$D$11)</f>
        <v>1.507969497939494</v>
      </c>
      <c r="N54" s="42">
        <f ca="1">IF($F54&gt;$D$5,0,VLOOKUP($F54,$F$24:$BZ$44,N$2-$E$2,FALSE)*$D$11*$D$14*(1+$D$13)^($F54-'הנחות עבודה'!$C$5)/$D$11)</f>
        <v>43.065024603763277</v>
      </c>
      <c r="O54" s="42">
        <f ca="1">IF($F54&gt;$D$5,0,VLOOKUP($F54,$F$24:$BZ$44,O$2-$E$2,FALSE)*$D$11*$D$14*(1+$D$13)^($F54-'הנחות עבודה'!$C$5)/$D$11)</f>
        <v>0</v>
      </c>
      <c r="P54" s="42">
        <f ca="1">IF($F54&gt;$D$5,0,VLOOKUP($F54,$F$24:$BZ$44,P$2-$E$2,FALSE)*$D$11*$D$14*(1+$D$13)^($F54-'הנחות עבודה'!$C$5)/$D$11)</f>
        <v>0</v>
      </c>
      <c r="Q54" s="42">
        <f ca="1">IF($F54&gt;$D$5,0,VLOOKUP($F54,$F$24:$BZ$44,Q$2-$E$2,FALSE)*$D$11*$D$14*(1+$D$13)^($F54-'הנחות עבודה'!$C$5)/$D$11)</f>
        <v>341.44230947846876</v>
      </c>
      <c r="R54" s="42">
        <f ca="1">IF($F54&gt;$D$5,0,VLOOKUP($F54,$F$24:$BZ$44,R$2-$E$2,FALSE)*$D$11*$D$14*(1+$D$13)^($F54-'הנחות עבודה'!$C$5)/$D$11)</f>
        <v>0</v>
      </c>
      <c r="S54" s="52">
        <f ca="1">IF($F54&gt;$D$5,0,VLOOKUP($F54,$F$24:$BZ$44,S$2-$E$2,FALSE)*$D$11*$D$14*(1+$D$13)^($F54-'הנחות עבודה'!$C$5)/$D$11)</f>
        <v>0</v>
      </c>
      <c r="T54" s="127">
        <f ca="1">IF($F54&gt;$D$5,0,VLOOKUP($F54,$F$24:$BZ$44,T$2-$E$2,FALSE)*$D$11*$D$14*(1+$D$13)^($F54-'הנחות עבודה'!$C$5)/$D$11)</f>
        <v>0</v>
      </c>
      <c r="U54" s="127">
        <f ca="1">IF($F54&gt;$D$5,0,VLOOKUP($F54,$F$24:$BZ$44,U$2-$E$2,FALSE)*$D$11*$D$14*(1+$D$13)^($F54-'הנחות עבודה'!$C$5)/$D$11)</f>
        <v>0</v>
      </c>
      <c r="V54" s="127">
        <f ca="1">IF($F54&gt;$D$5,0,VLOOKUP($F54,$F$24:$BZ$44,V$2-$E$2,FALSE)*$D$11*$D$14*(1+$D$13)^($F54-'הנחות עבודה'!$C$5)/$D$11)</f>
        <v>0</v>
      </c>
      <c r="W54" s="127">
        <f ca="1">IF($F54&gt;$D$5,0,VLOOKUP($F54,$F$24:$BZ$44,W$2-$E$2,FALSE)*$D$11*$D$14*(1+$D$13)^($F54-'הנחות עבודה'!$C$5)/$D$11)</f>
        <v>0</v>
      </c>
      <c r="X54" s="127">
        <f ca="1">IF($F54&gt;$D$5,0,VLOOKUP($F54,$F$24:$BZ$44,X$2-$E$2,FALSE)*$D$11*$D$14*(1+$D$13)^($F54-'הנחות עבודה'!$C$5)/$D$11)</f>
        <v>0</v>
      </c>
      <c r="Y54" s="52">
        <f ca="1">IF($F54&gt;$D$5,0,VLOOKUP($F54,$F$24:$BZ$44,Y$2-$E$2,FALSE)*$D$11*$D$14*(1+$D$13)^($F54-'הנחות עבודה'!$C$5)/$D$11)</f>
        <v>1.507969497939494</v>
      </c>
      <c r="Z54" s="52">
        <f ca="1">IF($F54&gt;$D$5,0,VLOOKUP($F54,$F$24:$BZ$44,Z$2-$E$2,FALSE)*$D$11*$D$14*(1+$D$13)^($F54-'הנחות עבודה'!$C$5)/$D$11)</f>
        <v>43.065024603763277</v>
      </c>
      <c r="AA54" s="52">
        <f ca="1">IF($F54&gt;$D$5,0,VLOOKUP($F54,$F$24:$BZ$44,AA$2-$E$2,FALSE)*$D$11*$D$14*(1+$D$13)^($F54-'הנחות עבודה'!$C$5)/$D$11)</f>
        <v>0</v>
      </c>
      <c r="AB54" s="52">
        <f ca="1">IF($F54&gt;$D$5,0,VLOOKUP($F54,$F$24:$BZ$44,AB$2-$E$2,FALSE)*$D$11*$D$14*(1+$D$13)^($F54-'הנחות עבודה'!$C$5)/$D$11)</f>
        <v>0</v>
      </c>
      <c r="AC54" s="52">
        <f ca="1">IF($F54&gt;$D$5,0,VLOOKUP($F54,$F$24:$BZ$44,AC$2-$E$2,FALSE)*$D$11*$D$14*(1+$D$13)^($F54-'הנחות עבודה'!$C$5)/$D$11)</f>
        <v>341.44230947846876</v>
      </c>
      <c r="AD54" s="52">
        <f ca="1">IF($F54&gt;$D$5,0,VLOOKUP($F54,$F$24:$BZ$44,AD$2-$E$2,FALSE)*$D$11*$D$14*(1+$D$13)^($F54-'הנחות עבודה'!$C$5)/$D$11)</f>
        <v>0</v>
      </c>
      <c r="AE54" s="42">
        <f ca="1">IF($F54&gt;$D$5,0,VLOOKUP($F54,$F$24:$BZ$44,AE$2-$E$2,FALSE)*$D$11*$D$14*(1+$D$13)^($F54-'הנחות עבודה'!$C$5)/$D$11)</f>
        <v>0</v>
      </c>
      <c r="AF54" s="44">
        <f ca="1">IF($F54&gt;$D$5,0,VLOOKUP($F54,$F$24:$BZ$44,AF$2-$E$2,FALSE)*$D$11*$D$14*(1+$D$13)^($F54-'הנחות עבודה'!$C$5)/$D$11)</f>
        <v>0</v>
      </c>
      <c r="AG54" s="44">
        <f ca="1">IF($F54&gt;$D$5,0,VLOOKUP($F54,$F$24:$BZ$44,AG$2-$E$2,FALSE)*$D$11*$D$14*(1+$D$13)^($F54-'הנחות עבודה'!$C$5)/$D$11)</f>
        <v>0</v>
      </c>
      <c r="AH54" s="44">
        <f ca="1">IF($F54&gt;$D$5,0,VLOOKUP($F54,$F$24:$BZ$44,AH$2-$E$2,FALSE)*$D$11*$D$14*(1+$D$13)^($F54-'הנחות עבודה'!$C$5)/$D$11)</f>
        <v>0</v>
      </c>
      <c r="AI54" s="44">
        <f ca="1">IF($F54&gt;$D$5,0,VLOOKUP($F54,$F$24:$BZ$44,AI$2-$E$2,FALSE)*$D$11*$D$14*(1+$D$13)^($F54-'הנחות עבודה'!$C$5)/$D$11)</f>
        <v>0</v>
      </c>
      <c r="AJ54" s="44">
        <f ca="1">IF($F54&gt;$D$5,0,VLOOKUP($F54,$F$24:$BZ$44,AJ$2-$E$2,FALSE)*$D$11*$D$14*(1+$D$13)^($F54-'הנחות עבודה'!$C$5)/$D$11)</f>
        <v>0</v>
      </c>
      <c r="AK54" s="42">
        <f ca="1">IF($F54&gt;$D$5,0,VLOOKUP($F54,$F$24:$BZ$44,AK$2-$E$2,FALSE)*$D$11*$D$14*(1+$D$13)^($F54-'הנחות עבודה'!$C$5)/$D$11)</f>
        <v>1.4721440809821866</v>
      </c>
      <c r="AL54" s="42">
        <f ca="1">IF($F54&gt;$D$5,0,VLOOKUP($F54,$F$24:$BZ$44,AL$2-$E$2,FALSE)*$D$11*$D$14*(1+$D$13)^($F54-'הנחות עבודה'!$C$5)/$D$11)</f>
        <v>41.471887554200499</v>
      </c>
      <c r="AM54" s="42">
        <f ca="1">IF($F54&gt;$D$5,0,VLOOKUP($F54,$F$24:$BZ$44,AM$2-$E$2,FALSE)*$D$11*$D$14*(1+$D$13)^($F54-'הנחות עבודה'!$C$5)/$D$11)</f>
        <v>0</v>
      </c>
      <c r="AN54" s="42">
        <f ca="1">IF($F54&gt;$D$5,0,VLOOKUP($F54,$F$24:$BZ$44,AN$2-$E$2,FALSE)*$D$11*$D$14*(1+$D$13)^($F54-'הנחות עבודה'!$C$5)/$D$11)</f>
        <v>0</v>
      </c>
      <c r="AO54" s="42">
        <f ca="1">IF($F54&gt;$D$5,0,VLOOKUP($F54,$F$24:$BZ$44,AO$2-$E$2,FALSE)*$D$11*$D$14*(1+$D$13)^($F54-'הנחות עבודה'!$C$5)/$D$11)</f>
        <v>341.32769428179182</v>
      </c>
      <c r="AP54" s="42">
        <f ca="1">IF($F54&gt;$D$5,0,VLOOKUP($F54,$F$24:$BZ$44,AP$2-$E$2,FALSE)*$D$11*$D$14*(1+$D$13)^($F54-'הנחות עבודה'!$C$5)/$D$11)</f>
        <v>0</v>
      </c>
      <c r="AQ54" s="52">
        <f ca="1">IF($F54&gt;$D$5,0,VLOOKUP($F54,$F$24:$BZ$44,AQ$2-$E$2,FALSE)*$D$11*$D$14*(1+$D$13)^($F54-'הנחות עבודה'!$C$5)/$D$11)</f>
        <v>0</v>
      </c>
      <c r="AR54" s="127">
        <f ca="1">IF($F54&gt;$D$5,0,VLOOKUP($F54,$F$24:$BZ$44,AR$2-$E$2,FALSE)*$D$11*$D$14*(1+$D$13)^($F54-'הנחות עבודה'!$C$5)/$D$11)</f>
        <v>0</v>
      </c>
      <c r="AS54" s="127">
        <f ca="1">IF($F54&gt;$D$5,0,VLOOKUP($F54,$F$24:$BZ$44,AS$2-$E$2,FALSE)*$D$11*$D$14*(1+$D$13)^($F54-'הנחות עבודה'!$C$5)/$D$11)</f>
        <v>0</v>
      </c>
      <c r="AT54" s="127">
        <f ca="1">IF($F54&gt;$D$5,0,VLOOKUP($F54,$F$24:$BZ$44,AT$2-$E$2,FALSE)*$D$11*$D$14*(1+$D$13)^($F54-'הנחות עבודה'!$C$5)/$D$11)</f>
        <v>0</v>
      </c>
      <c r="AU54" s="127">
        <f ca="1">IF($F54&gt;$D$5,0,VLOOKUP($F54,$F$24:$BZ$44,AU$2-$E$2,FALSE)*$D$11*$D$14*(1+$D$13)^($F54-'הנחות עבודה'!$C$5)/$D$11)</f>
        <v>0</v>
      </c>
      <c r="AV54" s="127">
        <f ca="1">IF($F54&gt;$D$5,0,VLOOKUP($F54,$F$24:$BZ$44,AV$2-$E$2,FALSE)*$D$11*$D$14*(1+$D$13)^($F54-'הנחות עבודה'!$C$5)/$D$11)</f>
        <v>0</v>
      </c>
      <c r="AW54" s="52">
        <f ca="1">IF($F54&gt;$D$5,0,VLOOKUP($F54,$F$24:$BZ$44,AW$2-$E$2,FALSE)*$D$11*$D$14*(1+$D$13)^($F54-'הנחות עבודה'!$C$5)/$D$11)</f>
        <v>1.4721440809821866</v>
      </c>
      <c r="AX54" s="52">
        <f ca="1">IF($F54&gt;$D$5,0,VLOOKUP($F54,$F$24:$BZ$44,AX$2-$E$2,FALSE)*$D$11*$D$14*(1+$D$13)^($F54-'הנחות עבודה'!$C$5)/$D$11)</f>
        <v>41.471887554200499</v>
      </c>
      <c r="AY54" s="52">
        <f ca="1">IF($F54&gt;$D$5,0,VLOOKUP($F54,$F$24:$BZ$44,AY$2-$E$2,FALSE)*$D$11*$D$14*(1+$D$13)^($F54-'הנחות עבודה'!$C$5)/$D$11)</f>
        <v>0</v>
      </c>
      <c r="AZ54" s="52">
        <f ca="1">IF($F54&gt;$D$5,0,VLOOKUP($F54,$F$24:$BZ$44,AZ$2-$E$2,FALSE)*$D$11*$D$14*(1+$D$13)^($F54-'הנחות עבודה'!$C$5)/$D$11)</f>
        <v>0</v>
      </c>
      <c r="BA54" s="52">
        <f ca="1">IF($F54&gt;$D$5,0,VLOOKUP($F54,$F$24:$BZ$44,BA$2-$E$2,FALSE)*$D$11*$D$14*(1+$D$13)^($F54-'הנחות עבודה'!$C$5)/$D$11)</f>
        <v>341.32769428179182</v>
      </c>
      <c r="BB54" s="52">
        <f ca="1">IF($F54&gt;$D$5,0,VLOOKUP($F54,$F$24:$BZ$44,BB$2-$E$2,FALSE)*$D$11*$D$14*(1+$D$13)^($F54-'הנחות עבודה'!$C$5)/$D$11)</f>
        <v>0</v>
      </c>
      <c r="BC54" s="42">
        <f ca="1">IF($F54&gt;$D$5,0,VLOOKUP($F54,$F$24:$BZ$44,BC$2-$E$2,FALSE)*$D$11*$D$14*(1+$D$13)^($F54-'הנחות עבודה'!$C$5)/$D$11)</f>
        <v>0</v>
      </c>
      <c r="BD54" s="44">
        <f ca="1">IF($F54&gt;$D$5,0,VLOOKUP($F54,$F$24:$BZ$44,BD$2-$E$2,FALSE)*$D$11*$D$14*(1+$D$13)^($F54-'הנחות עבודה'!$C$5)/$D$11)</f>
        <v>0</v>
      </c>
      <c r="BE54" s="44">
        <f ca="1">IF($F54&gt;$D$5,0,VLOOKUP($F54,$F$24:$BZ$44,BE$2-$E$2,FALSE)*$D$11*$D$14*(1+$D$13)^($F54-'הנחות עבודה'!$C$5)/$D$11)</f>
        <v>0</v>
      </c>
      <c r="BF54" s="44">
        <f ca="1">IF($F54&gt;$D$5,0,VLOOKUP($F54,$F$24:$BZ$44,BF$2-$E$2,FALSE)*$D$11*$D$14*(1+$D$13)^($F54-'הנחות עבודה'!$C$5)/$D$11)</f>
        <v>0</v>
      </c>
      <c r="BG54" s="44">
        <f ca="1">IF($F54&gt;$D$5,0,VLOOKUP($F54,$F$24:$BZ$44,BG$2-$E$2,FALSE)*$D$11*$D$14*(1+$D$13)^($F54-'הנחות עבודה'!$C$5)/$D$11)</f>
        <v>0</v>
      </c>
      <c r="BH54" s="44">
        <f ca="1">IF($F54&gt;$D$5,0,VLOOKUP($F54,$F$24:$BZ$44,BH$2-$E$2,FALSE)*$D$11*$D$14*(1+$D$13)^($F54-'הנחות עבודה'!$C$5)/$D$11)</f>
        <v>0</v>
      </c>
      <c r="BI54" s="42">
        <f ca="1">IF($F54&gt;$D$5,0,VLOOKUP($F54,$F$24:$BZ$44,BI$2-$E$2,FALSE)*$D$11*$D$14*(1+$D$13)^($F54-'הנחות עבודה'!$C$5)/$D$11)</f>
        <v>1.4623735127211028</v>
      </c>
      <c r="BJ54" s="42">
        <f ca="1">IF($F54&gt;$D$5,0,VLOOKUP($F54,$F$24:$BZ$44,BJ$2-$E$2,FALSE)*$D$11*$D$14*(1+$D$13)^($F54-'הנחות עבודה'!$C$5)/$D$11)</f>
        <v>40.598329503979315</v>
      </c>
      <c r="BK54" s="42">
        <f ca="1">IF($F54&gt;$D$5,0,VLOOKUP($F54,$F$24:$BZ$44,BK$2-$E$2,FALSE)*$D$11*$D$14*(1+$D$13)^($F54-'הנחות עבודה'!$C$5)/$D$11)</f>
        <v>0</v>
      </c>
      <c r="BL54" s="42">
        <f ca="1">IF($F54&gt;$D$5,0,VLOOKUP($F54,$F$24:$BZ$44,BL$2-$E$2,FALSE)*$D$11*$D$14*(1+$D$13)^($F54-'הנחות עבודה'!$C$5)/$D$11)</f>
        <v>0</v>
      </c>
      <c r="BM54" s="42">
        <f ca="1">IF($F54&gt;$D$5,0,VLOOKUP($F54,$F$24:$BZ$44,BM$2-$E$2,FALSE)*$D$11*$D$14*(1+$D$13)^($F54-'הנחות עבודה'!$C$5)/$D$11)</f>
        <v>341.3349714371364</v>
      </c>
      <c r="BN54" s="42">
        <f ca="1">IF($F54&gt;$D$5,0,VLOOKUP($F54,$F$24:$BZ$44,BN$2-$E$2,FALSE)*$D$11*$D$14*(1+$D$13)^($F54-'הנחות עבודה'!$C$5)/$D$11)</f>
        <v>0</v>
      </c>
      <c r="BO54" s="52">
        <f ca="1">IF($F54&gt;$D$5,0,VLOOKUP($F54,$F$24:$BZ$44,BO$2-$E$2,FALSE)*$D$11*$D$14*(1+$D$13)^($F54-'הנחות עבודה'!$C$5)/$D$11)</f>
        <v>0</v>
      </c>
      <c r="BP54" s="127">
        <f ca="1">IF($F54&gt;$D$5,0,VLOOKUP($F54,$F$24:$BZ$44,BP$2-$E$2,FALSE)*$D$11*$D$14*(1+$D$13)^($F54-'הנחות עבודה'!$C$5)/$D$11)</f>
        <v>0</v>
      </c>
      <c r="BQ54" s="127">
        <f ca="1">IF($F54&gt;$D$5,0,VLOOKUP($F54,$F$24:$BZ$44,BQ$2-$E$2,FALSE)*$D$11*$D$14*(1+$D$13)^($F54-'הנחות עבודה'!$C$5)/$D$11)</f>
        <v>0</v>
      </c>
      <c r="BR54" s="127">
        <f ca="1">IF($F54&gt;$D$5,0,VLOOKUP($F54,$F$24:$BZ$44,BR$2-$E$2,FALSE)*$D$11*$D$14*(1+$D$13)^($F54-'הנחות עבודה'!$C$5)/$D$11)</f>
        <v>0</v>
      </c>
      <c r="BS54" s="127">
        <f ca="1">IF($F54&gt;$D$5,0,VLOOKUP($F54,$F$24:$BZ$44,BS$2-$E$2,FALSE)*$D$11*$D$14*(1+$D$13)^($F54-'הנחות עבודה'!$C$5)/$D$11)</f>
        <v>0</v>
      </c>
      <c r="BT54" s="127">
        <f ca="1">IF($F54&gt;$D$5,0,VLOOKUP($F54,$F$24:$BZ$44,BT$2-$E$2,FALSE)*$D$11*$D$14*(1+$D$13)^($F54-'הנחות עבודה'!$C$5)/$D$11)</f>
        <v>0</v>
      </c>
      <c r="BU54" s="52">
        <f ca="1">IF($F54&gt;$D$5,0,VLOOKUP($F54,$F$24:$BZ$44,BU$2-$E$2,FALSE)*$D$11*$D$14*(1+$D$13)^($F54-'הנחות עבודה'!$C$5)/$D$11)</f>
        <v>1.4623735127211028</v>
      </c>
      <c r="BV54" s="52">
        <f ca="1">IF($F54&gt;$D$5,0,VLOOKUP($F54,$F$24:$BZ$44,BV$2-$E$2,FALSE)*$D$11*$D$14*(1+$D$13)^($F54-'הנחות עבודה'!$C$5)/$D$11)</f>
        <v>40.598329503979315</v>
      </c>
      <c r="BW54" s="52">
        <f ca="1">IF($F54&gt;$D$5,0,VLOOKUP($F54,$F$24:$BZ$44,BW$2-$E$2,FALSE)*$D$11*$D$14*(1+$D$13)^($F54-'הנחות עבודה'!$C$5)/$D$11)</f>
        <v>0</v>
      </c>
      <c r="BX54" s="52">
        <f ca="1">IF($F54&gt;$D$5,0,VLOOKUP($F54,$F$24:$BZ$44,BX$2-$E$2,FALSE)*$D$11*$D$14*(1+$D$13)^($F54-'הנחות עבודה'!$C$5)/$D$11)</f>
        <v>0</v>
      </c>
      <c r="BY54" s="52">
        <f ca="1">IF($F54&gt;$D$5,0,VLOOKUP($F54,$F$24:$BZ$44,BY$2-$E$2,FALSE)*$D$11*$D$14*(1+$D$13)^($F54-'הנחות עבודה'!$C$5)/$D$11)</f>
        <v>341.3349714371364</v>
      </c>
      <c r="BZ54" s="52">
        <f ca="1">IF($F54&gt;$D$5,0,VLOOKUP($F54,$F$24:$BZ$44,BZ$2-$E$2,FALSE)*$D$11*$D$14*(1+$D$13)^($F54-'הנחות עבודה'!$C$5)/$D$11)</f>
        <v>0</v>
      </c>
    </row>
    <row r="55" spans="6:78" ht="15.75">
      <c r="F55" s="10">
        <f t="shared" si="123"/>
        <v>2024</v>
      </c>
      <c r="G55" s="42">
        <f ca="1">IF($F55&gt;$D$5,0,VLOOKUP($F55,$F$24:$BZ$44,G$2-$E$2,FALSE)*$D$11*$D$14*(1+$D$13)^($F55-'הנחות עבודה'!$C$5)/$D$11)</f>
        <v>0</v>
      </c>
      <c r="H55" s="44">
        <f ca="1">IF($F55&gt;$D$5,0,VLOOKUP($F55,$F$24:$BZ$44,H$2-$E$2,FALSE)*$D$11*$D$14*(1+$D$13)^($F55-'הנחות עבודה'!$C$5)/$D$11)</f>
        <v>0</v>
      </c>
      <c r="I55" s="44">
        <f ca="1">IF($F55&gt;$D$5,0,VLOOKUP($F55,$F$24:$BZ$44,I$2-$E$2,FALSE)*$D$11*$D$14*(1+$D$13)^($F55-'הנחות עבודה'!$C$5)/$D$11)</f>
        <v>0</v>
      </c>
      <c r="J55" s="44">
        <f ca="1">IF($F55&gt;$D$5,0,VLOOKUP($F55,$F$24:$BZ$44,J$2-$E$2,FALSE)*$D$11*$D$14*(1+$D$13)^($F55-'הנחות עבודה'!$C$5)/$D$11)</f>
        <v>0</v>
      </c>
      <c r="K55" s="44">
        <f ca="1">IF($F55&gt;$D$5,0,VLOOKUP($F55,$F$24:$BZ$44,K$2-$E$2,FALSE)*$D$11*$D$14*(1+$D$13)^($F55-'הנחות עבודה'!$C$5)/$D$11)</f>
        <v>0</v>
      </c>
      <c r="L55" s="44">
        <f ca="1">IF($F55&gt;$D$5,0,VLOOKUP($F55,$F$24:$BZ$44,L$2-$E$2,FALSE)*$D$11*$D$14*(1+$D$13)^($F55-'הנחות עבודה'!$C$5)/$D$11)</f>
        <v>0</v>
      </c>
      <c r="M55" s="42">
        <f ca="1">IF($F55&gt;$D$5,0,VLOOKUP($F55,$F$24:$BZ$44,M$2-$E$2,FALSE)*$D$11*$D$14*(1+$D$13)^($F55-'הנחות עבודה'!$C$5)/$D$11)</f>
        <v>2.0509959169907304</v>
      </c>
      <c r="N55" s="42">
        <f ca="1">IF($F55&gt;$D$5,0,VLOOKUP($F55,$F$24:$BZ$44,N$2-$E$2,FALSE)*$D$11*$D$14*(1+$D$13)^($F55-'הנחות עבודה'!$C$5)/$D$11)</f>
        <v>46.276068887413501</v>
      </c>
      <c r="O55" s="42">
        <f ca="1">IF($F55&gt;$D$5,0,VLOOKUP($F55,$F$24:$BZ$44,O$2-$E$2,FALSE)*$D$11*$D$14*(1+$D$13)^($F55-'הנחות עבודה'!$C$5)/$D$11)</f>
        <v>0</v>
      </c>
      <c r="P55" s="42">
        <f ca="1">IF($F55&gt;$D$5,0,VLOOKUP($F55,$F$24:$BZ$44,P$2-$E$2,FALSE)*$D$11*$D$14*(1+$D$13)^($F55-'הנחות עבודה'!$C$5)/$D$11)</f>
        <v>0</v>
      </c>
      <c r="Q55" s="42">
        <f ca="1">IF($F55&gt;$D$5,0,VLOOKUP($F55,$F$24:$BZ$44,Q$2-$E$2,FALSE)*$D$11*$D$14*(1+$D$13)^($F55-'הנחות עבודה'!$C$5)/$D$11)</f>
        <v>299.18899006963312</v>
      </c>
      <c r="R55" s="42">
        <f ca="1">IF($F55&gt;$D$5,0,VLOOKUP($F55,$F$24:$BZ$44,R$2-$E$2,FALSE)*$D$11*$D$14*(1+$D$13)^($F55-'הנחות עבודה'!$C$5)/$D$11)</f>
        <v>0</v>
      </c>
      <c r="S55" s="52">
        <f ca="1">IF($F55&gt;$D$5,0,VLOOKUP($F55,$F$24:$BZ$44,S$2-$E$2,FALSE)*$D$11*$D$14*(1+$D$13)^($F55-'הנחות עבודה'!$C$5)/$D$11)</f>
        <v>0</v>
      </c>
      <c r="T55" s="127">
        <f ca="1">IF($F55&gt;$D$5,0,VLOOKUP($F55,$F$24:$BZ$44,T$2-$E$2,FALSE)*$D$11*$D$14*(1+$D$13)^($F55-'הנחות עבודה'!$C$5)/$D$11)</f>
        <v>0</v>
      </c>
      <c r="U55" s="127">
        <f ca="1">IF($F55&gt;$D$5,0,VLOOKUP($F55,$F$24:$BZ$44,U$2-$E$2,FALSE)*$D$11*$D$14*(1+$D$13)^($F55-'הנחות עבודה'!$C$5)/$D$11)</f>
        <v>0</v>
      </c>
      <c r="V55" s="127">
        <f ca="1">IF($F55&gt;$D$5,0,VLOOKUP($F55,$F$24:$BZ$44,V$2-$E$2,FALSE)*$D$11*$D$14*(1+$D$13)^($F55-'הנחות עבודה'!$C$5)/$D$11)</f>
        <v>0</v>
      </c>
      <c r="W55" s="127">
        <f ca="1">IF($F55&gt;$D$5,0,VLOOKUP($F55,$F$24:$BZ$44,W$2-$E$2,FALSE)*$D$11*$D$14*(1+$D$13)^($F55-'הנחות עבודה'!$C$5)/$D$11)</f>
        <v>0</v>
      </c>
      <c r="X55" s="127">
        <f ca="1">IF($F55&gt;$D$5,0,VLOOKUP($F55,$F$24:$BZ$44,X$2-$E$2,FALSE)*$D$11*$D$14*(1+$D$13)^($F55-'הנחות עבודה'!$C$5)/$D$11)</f>
        <v>0</v>
      </c>
      <c r="Y55" s="52">
        <f ca="1">IF($F55&gt;$D$5,0,VLOOKUP($F55,$F$24:$BZ$44,Y$2-$E$2,FALSE)*$D$11*$D$14*(1+$D$13)^($F55-'הנחות עבודה'!$C$5)/$D$11)</f>
        <v>2.0509959169907304</v>
      </c>
      <c r="Z55" s="52">
        <f ca="1">IF($F55&gt;$D$5,0,VLOOKUP($F55,$F$24:$BZ$44,Z$2-$E$2,FALSE)*$D$11*$D$14*(1+$D$13)^($F55-'הנחות עבודה'!$C$5)/$D$11)</f>
        <v>46.276068887413501</v>
      </c>
      <c r="AA55" s="52">
        <f ca="1">IF($F55&gt;$D$5,0,VLOOKUP($F55,$F$24:$BZ$44,AA$2-$E$2,FALSE)*$D$11*$D$14*(1+$D$13)^($F55-'הנחות עבודה'!$C$5)/$D$11)</f>
        <v>0</v>
      </c>
      <c r="AB55" s="52">
        <f ca="1">IF($F55&gt;$D$5,0,VLOOKUP($F55,$F$24:$BZ$44,AB$2-$E$2,FALSE)*$D$11*$D$14*(1+$D$13)^($F55-'הנחות עבודה'!$C$5)/$D$11)</f>
        <v>0</v>
      </c>
      <c r="AC55" s="52">
        <f ca="1">IF($F55&gt;$D$5,0,VLOOKUP($F55,$F$24:$BZ$44,AC$2-$E$2,FALSE)*$D$11*$D$14*(1+$D$13)^($F55-'הנחות עבודה'!$C$5)/$D$11)</f>
        <v>299.18899006963312</v>
      </c>
      <c r="AD55" s="52">
        <f ca="1">IF($F55&gt;$D$5,0,VLOOKUP($F55,$F$24:$BZ$44,AD$2-$E$2,FALSE)*$D$11*$D$14*(1+$D$13)^($F55-'הנחות עבודה'!$C$5)/$D$11)</f>
        <v>0</v>
      </c>
      <c r="AE55" s="42">
        <f ca="1">IF($F55&gt;$D$5,0,VLOOKUP($F55,$F$24:$BZ$44,AE$2-$E$2,FALSE)*$D$11*$D$14*(1+$D$13)^($F55-'הנחות עבודה'!$C$5)/$D$11)</f>
        <v>0</v>
      </c>
      <c r="AF55" s="44">
        <f ca="1">IF($F55&gt;$D$5,0,VLOOKUP($F55,$F$24:$BZ$44,AF$2-$E$2,FALSE)*$D$11*$D$14*(1+$D$13)^($F55-'הנחות עבודה'!$C$5)/$D$11)</f>
        <v>0</v>
      </c>
      <c r="AG55" s="44">
        <f ca="1">IF($F55&gt;$D$5,0,VLOOKUP($F55,$F$24:$BZ$44,AG$2-$E$2,FALSE)*$D$11*$D$14*(1+$D$13)^($F55-'הנחות עבודה'!$C$5)/$D$11)</f>
        <v>0</v>
      </c>
      <c r="AH55" s="44">
        <f ca="1">IF($F55&gt;$D$5,0,VLOOKUP($F55,$F$24:$BZ$44,AH$2-$E$2,FALSE)*$D$11*$D$14*(1+$D$13)^($F55-'הנחות עבודה'!$C$5)/$D$11)</f>
        <v>0</v>
      </c>
      <c r="AI55" s="44">
        <f ca="1">IF($F55&gt;$D$5,0,VLOOKUP($F55,$F$24:$BZ$44,AI$2-$E$2,FALSE)*$D$11*$D$14*(1+$D$13)^($F55-'הנחות עבודה'!$C$5)/$D$11)</f>
        <v>0</v>
      </c>
      <c r="AJ55" s="44">
        <f ca="1">IF($F55&gt;$D$5,0,VLOOKUP($F55,$F$24:$BZ$44,AJ$2-$E$2,FALSE)*$D$11*$D$14*(1+$D$13)^($F55-'הנחות עבודה'!$C$5)/$D$11)</f>
        <v>0</v>
      </c>
      <c r="AK55" s="42">
        <f ca="1">IF($F55&gt;$D$5,0,VLOOKUP($F55,$F$24:$BZ$44,AK$2-$E$2,FALSE)*$D$11*$D$14*(1+$D$13)^($F55-'הנחות עבודה'!$C$5)/$D$11)</f>
        <v>2.0020859336563595</v>
      </c>
      <c r="AL55" s="42">
        <f ca="1">IF($F55&gt;$D$5,0,VLOOKUP($F55,$F$24:$BZ$44,AL$2-$E$2,FALSE)*$D$11*$D$14*(1+$D$13)^($F55-'הנחות עבודה'!$C$5)/$D$11)</f>
        <v>44.040673599825929</v>
      </c>
      <c r="AM55" s="42">
        <f ca="1">IF($F55&gt;$D$5,0,VLOOKUP($F55,$F$24:$BZ$44,AM$2-$E$2,FALSE)*$D$11*$D$14*(1+$D$13)^($F55-'הנחות עבודה'!$C$5)/$D$11)</f>
        <v>0</v>
      </c>
      <c r="AN55" s="42">
        <f ca="1">IF($F55&gt;$D$5,0,VLOOKUP($F55,$F$24:$BZ$44,AN$2-$E$2,FALSE)*$D$11*$D$14*(1+$D$13)^($F55-'הנחות עבודה'!$C$5)/$D$11)</f>
        <v>0</v>
      </c>
      <c r="AO55" s="42">
        <f ca="1">IF($F55&gt;$D$5,0,VLOOKUP($F55,$F$24:$BZ$44,AO$2-$E$2,FALSE)*$D$11*$D$14*(1+$D$13)^($F55-'הנחות עבודה'!$C$5)/$D$11)</f>
        <v>298.48886544516415</v>
      </c>
      <c r="AP55" s="42">
        <f ca="1">IF($F55&gt;$D$5,0,VLOOKUP($F55,$F$24:$BZ$44,AP$2-$E$2,FALSE)*$D$11*$D$14*(1+$D$13)^($F55-'הנחות עבודה'!$C$5)/$D$11)</f>
        <v>0</v>
      </c>
      <c r="AQ55" s="52">
        <f ca="1">IF($F55&gt;$D$5,0,VLOOKUP($F55,$F$24:$BZ$44,AQ$2-$E$2,FALSE)*$D$11*$D$14*(1+$D$13)^($F55-'הנחות עבודה'!$C$5)/$D$11)</f>
        <v>0</v>
      </c>
      <c r="AR55" s="127">
        <f ca="1">IF($F55&gt;$D$5,0,VLOOKUP($F55,$F$24:$BZ$44,AR$2-$E$2,FALSE)*$D$11*$D$14*(1+$D$13)^($F55-'הנחות עבודה'!$C$5)/$D$11)</f>
        <v>0</v>
      </c>
      <c r="AS55" s="127">
        <f ca="1">IF($F55&gt;$D$5,0,VLOOKUP($F55,$F$24:$BZ$44,AS$2-$E$2,FALSE)*$D$11*$D$14*(1+$D$13)^($F55-'הנחות עבודה'!$C$5)/$D$11)</f>
        <v>0</v>
      </c>
      <c r="AT55" s="127">
        <f ca="1">IF($F55&gt;$D$5,0,VLOOKUP($F55,$F$24:$BZ$44,AT$2-$E$2,FALSE)*$D$11*$D$14*(1+$D$13)^($F55-'הנחות עבודה'!$C$5)/$D$11)</f>
        <v>0</v>
      </c>
      <c r="AU55" s="127">
        <f ca="1">IF($F55&gt;$D$5,0,VLOOKUP($F55,$F$24:$BZ$44,AU$2-$E$2,FALSE)*$D$11*$D$14*(1+$D$13)^($F55-'הנחות עבודה'!$C$5)/$D$11)</f>
        <v>0</v>
      </c>
      <c r="AV55" s="127">
        <f ca="1">IF($F55&gt;$D$5,0,VLOOKUP($F55,$F$24:$BZ$44,AV$2-$E$2,FALSE)*$D$11*$D$14*(1+$D$13)^($F55-'הנחות עבודה'!$C$5)/$D$11)</f>
        <v>0</v>
      </c>
      <c r="AW55" s="52">
        <f ca="1">IF($F55&gt;$D$5,0,VLOOKUP($F55,$F$24:$BZ$44,AW$2-$E$2,FALSE)*$D$11*$D$14*(1+$D$13)^($F55-'הנחות עבודה'!$C$5)/$D$11)</f>
        <v>2.0020859336563595</v>
      </c>
      <c r="AX55" s="52">
        <f ca="1">IF($F55&gt;$D$5,0,VLOOKUP($F55,$F$24:$BZ$44,AX$2-$E$2,FALSE)*$D$11*$D$14*(1+$D$13)^($F55-'הנחות עבודה'!$C$5)/$D$11)</f>
        <v>44.040673599825929</v>
      </c>
      <c r="AY55" s="52">
        <f ca="1">IF($F55&gt;$D$5,0,VLOOKUP($F55,$F$24:$BZ$44,AY$2-$E$2,FALSE)*$D$11*$D$14*(1+$D$13)^($F55-'הנחות עבודה'!$C$5)/$D$11)</f>
        <v>0</v>
      </c>
      <c r="AZ55" s="52">
        <f ca="1">IF($F55&gt;$D$5,0,VLOOKUP($F55,$F$24:$BZ$44,AZ$2-$E$2,FALSE)*$D$11*$D$14*(1+$D$13)^($F55-'הנחות עבודה'!$C$5)/$D$11)</f>
        <v>0</v>
      </c>
      <c r="BA55" s="52">
        <f ca="1">IF($F55&gt;$D$5,0,VLOOKUP($F55,$F$24:$BZ$44,BA$2-$E$2,FALSE)*$D$11*$D$14*(1+$D$13)^($F55-'הנחות עבודה'!$C$5)/$D$11)</f>
        <v>298.48886544516415</v>
      </c>
      <c r="BB55" s="52">
        <f ca="1">IF($F55&gt;$D$5,0,VLOOKUP($F55,$F$24:$BZ$44,BB$2-$E$2,FALSE)*$D$11*$D$14*(1+$D$13)^($F55-'הנחות עבודה'!$C$5)/$D$11)</f>
        <v>0</v>
      </c>
      <c r="BC55" s="42">
        <f ca="1">IF($F55&gt;$D$5,0,VLOOKUP($F55,$F$24:$BZ$44,BC$2-$E$2,FALSE)*$D$11*$D$14*(1+$D$13)^($F55-'הנחות עבודה'!$C$5)/$D$11)</f>
        <v>0</v>
      </c>
      <c r="BD55" s="44">
        <f ca="1">IF($F55&gt;$D$5,0,VLOOKUP($F55,$F$24:$BZ$44,BD$2-$E$2,FALSE)*$D$11*$D$14*(1+$D$13)^($F55-'הנחות עבודה'!$C$5)/$D$11)</f>
        <v>0</v>
      </c>
      <c r="BE55" s="44">
        <f ca="1">IF($F55&gt;$D$5,0,VLOOKUP($F55,$F$24:$BZ$44,BE$2-$E$2,FALSE)*$D$11*$D$14*(1+$D$13)^($F55-'הנחות עבודה'!$C$5)/$D$11)</f>
        <v>0</v>
      </c>
      <c r="BF55" s="44">
        <f ca="1">IF($F55&gt;$D$5,0,VLOOKUP($F55,$F$24:$BZ$44,BF$2-$E$2,FALSE)*$D$11*$D$14*(1+$D$13)^($F55-'הנחות עבודה'!$C$5)/$D$11)</f>
        <v>0</v>
      </c>
      <c r="BG55" s="44">
        <f ca="1">IF($F55&gt;$D$5,0,VLOOKUP($F55,$F$24:$BZ$44,BG$2-$E$2,FALSE)*$D$11*$D$14*(1+$D$13)^($F55-'הנחות עבודה'!$C$5)/$D$11)</f>
        <v>0</v>
      </c>
      <c r="BH55" s="44">
        <f ca="1">IF($F55&gt;$D$5,0,VLOOKUP($F55,$F$24:$BZ$44,BH$2-$E$2,FALSE)*$D$11*$D$14*(1+$D$13)^($F55-'הנחות עבודה'!$C$5)/$D$11)</f>
        <v>0</v>
      </c>
      <c r="BI55" s="42">
        <f ca="1">IF($F55&gt;$D$5,0,VLOOKUP($F55,$F$24:$BZ$44,BI$2-$E$2,FALSE)*$D$11*$D$14*(1+$D$13)^($F55-'הנחות עבודה'!$C$5)/$D$11)</f>
        <v>1.9914681875521691</v>
      </c>
      <c r="BJ55" s="42">
        <f ca="1">IF($F55&gt;$D$5,0,VLOOKUP($F55,$F$24:$BZ$44,BJ$2-$E$2,FALSE)*$D$11*$D$14*(1+$D$13)^($F55-'הנחות עבודה'!$C$5)/$D$11)</f>
        <v>42.800199231132538</v>
      </c>
      <c r="BK55" s="42">
        <f ca="1">IF($F55&gt;$D$5,0,VLOOKUP($F55,$F$24:$BZ$44,BK$2-$E$2,FALSE)*$D$11*$D$14*(1+$D$13)^($F55-'הנחות עבודה'!$C$5)/$D$11)</f>
        <v>0</v>
      </c>
      <c r="BL55" s="42">
        <f ca="1">IF($F55&gt;$D$5,0,VLOOKUP($F55,$F$24:$BZ$44,BL$2-$E$2,FALSE)*$D$11*$D$14*(1+$D$13)^($F55-'הנחות עבודה'!$C$5)/$D$11)</f>
        <v>0</v>
      </c>
      <c r="BM55" s="42">
        <f ca="1">IF($F55&gt;$D$5,0,VLOOKUP($F55,$F$24:$BZ$44,BM$2-$E$2,FALSE)*$D$11*$D$14*(1+$D$13)^($F55-'הנחות עבודה'!$C$5)/$D$11)</f>
        <v>298.3351260933689</v>
      </c>
      <c r="BN55" s="42">
        <f ca="1">IF($F55&gt;$D$5,0,VLOOKUP($F55,$F$24:$BZ$44,BN$2-$E$2,FALSE)*$D$11*$D$14*(1+$D$13)^($F55-'הנחות עבודה'!$C$5)/$D$11)</f>
        <v>0</v>
      </c>
      <c r="BO55" s="52">
        <f ca="1">IF($F55&gt;$D$5,0,VLOOKUP($F55,$F$24:$BZ$44,BO$2-$E$2,FALSE)*$D$11*$D$14*(1+$D$13)^($F55-'הנחות עבודה'!$C$5)/$D$11)</f>
        <v>0</v>
      </c>
      <c r="BP55" s="127">
        <f ca="1">IF($F55&gt;$D$5,0,VLOOKUP($F55,$F$24:$BZ$44,BP$2-$E$2,FALSE)*$D$11*$D$14*(1+$D$13)^($F55-'הנחות עבודה'!$C$5)/$D$11)</f>
        <v>0</v>
      </c>
      <c r="BQ55" s="127">
        <f ca="1">IF($F55&gt;$D$5,0,VLOOKUP($F55,$F$24:$BZ$44,BQ$2-$E$2,FALSE)*$D$11*$D$14*(1+$D$13)^($F55-'הנחות עבודה'!$C$5)/$D$11)</f>
        <v>0</v>
      </c>
      <c r="BR55" s="127">
        <f ca="1">IF($F55&gt;$D$5,0,VLOOKUP($F55,$F$24:$BZ$44,BR$2-$E$2,FALSE)*$D$11*$D$14*(1+$D$13)^($F55-'הנחות עבודה'!$C$5)/$D$11)</f>
        <v>0</v>
      </c>
      <c r="BS55" s="127">
        <f ca="1">IF($F55&gt;$D$5,0,VLOOKUP($F55,$F$24:$BZ$44,BS$2-$E$2,FALSE)*$D$11*$D$14*(1+$D$13)^($F55-'הנחות עבודה'!$C$5)/$D$11)</f>
        <v>0</v>
      </c>
      <c r="BT55" s="127">
        <f ca="1">IF($F55&gt;$D$5,0,VLOOKUP($F55,$F$24:$BZ$44,BT$2-$E$2,FALSE)*$D$11*$D$14*(1+$D$13)^($F55-'הנחות עבודה'!$C$5)/$D$11)</f>
        <v>0</v>
      </c>
      <c r="BU55" s="52">
        <f ca="1">IF($F55&gt;$D$5,0,VLOOKUP($F55,$F$24:$BZ$44,BU$2-$E$2,FALSE)*$D$11*$D$14*(1+$D$13)^($F55-'הנחות עבודה'!$C$5)/$D$11)</f>
        <v>1.9914681875521691</v>
      </c>
      <c r="BV55" s="52">
        <f ca="1">IF($F55&gt;$D$5,0,VLOOKUP($F55,$F$24:$BZ$44,BV$2-$E$2,FALSE)*$D$11*$D$14*(1+$D$13)^($F55-'הנחות עבודה'!$C$5)/$D$11)</f>
        <v>42.800199231132538</v>
      </c>
      <c r="BW55" s="52">
        <f ca="1">IF($F55&gt;$D$5,0,VLOOKUP($F55,$F$24:$BZ$44,BW$2-$E$2,FALSE)*$D$11*$D$14*(1+$D$13)^($F55-'הנחות עבודה'!$C$5)/$D$11)</f>
        <v>0</v>
      </c>
      <c r="BX55" s="52">
        <f ca="1">IF($F55&gt;$D$5,0,VLOOKUP($F55,$F$24:$BZ$44,BX$2-$E$2,FALSE)*$D$11*$D$14*(1+$D$13)^($F55-'הנחות עבודה'!$C$5)/$D$11)</f>
        <v>0</v>
      </c>
      <c r="BY55" s="52">
        <f ca="1">IF($F55&gt;$D$5,0,VLOOKUP($F55,$F$24:$BZ$44,BY$2-$E$2,FALSE)*$D$11*$D$14*(1+$D$13)^($F55-'הנחות עבודה'!$C$5)/$D$11)</f>
        <v>298.3351260933689</v>
      </c>
      <c r="BZ55" s="52">
        <f ca="1">IF($F55&gt;$D$5,0,VLOOKUP($F55,$F$24:$BZ$44,BZ$2-$E$2,FALSE)*$D$11*$D$14*(1+$D$13)^($F55-'הנחות עבודה'!$C$5)/$D$11)</f>
        <v>0</v>
      </c>
    </row>
    <row r="56" spans="6:78" ht="15.75">
      <c r="F56" s="10">
        <f t="shared" si="123"/>
        <v>2025</v>
      </c>
      <c r="G56" s="42">
        <f ca="1">IF($F56&gt;$D$5,0,VLOOKUP($F56,$F$24:$BZ$44,G$2-$E$2,FALSE)*$D$11*$D$14*(1+$D$13)^($F56-'הנחות עבודה'!$C$5)/$D$11)</f>
        <v>0</v>
      </c>
      <c r="H56" s="44">
        <f ca="1">IF($F56&gt;$D$5,0,VLOOKUP($F56,$F$24:$BZ$44,H$2-$E$2,FALSE)*$D$11*$D$14*(1+$D$13)^($F56-'הנחות עבודה'!$C$5)/$D$11)</f>
        <v>0</v>
      </c>
      <c r="I56" s="44">
        <f ca="1">IF($F56&gt;$D$5,0,VLOOKUP($F56,$F$24:$BZ$44,I$2-$E$2,FALSE)*$D$11*$D$14*(1+$D$13)^($F56-'הנחות עבודה'!$C$5)/$D$11)</f>
        <v>0</v>
      </c>
      <c r="J56" s="44">
        <f ca="1">IF($F56&gt;$D$5,0,VLOOKUP($F56,$F$24:$BZ$44,J$2-$E$2,FALSE)*$D$11*$D$14*(1+$D$13)^($F56-'הנחות עבודה'!$C$5)/$D$11)</f>
        <v>0</v>
      </c>
      <c r="K56" s="44">
        <f ca="1">IF($F56&gt;$D$5,0,VLOOKUP($F56,$F$24:$BZ$44,K$2-$E$2,FALSE)*$D$11*$D$14*(1+$D$13)^($F56-'הנחות עבודה'!$C$5)/$D$11)</f>
        <v>0</v>
      </c>
      <c r="L56" s="44">
        <f ca="1">IF($F56&gt;$D$5,0,VLOOKUP($F56,$F$24:$BZ$44,L$2-$E$2,FALSE)*$D$11*$D$14*(1+$D$13)^($F56-'הנחות עבודה'!$C$5)/$D$11)</f>
        <v>0</v>
      </c>
      <c r="M56" s="42">
        <f ca="1">IF($F56&gt;$D$5,0,VLOOKUP($F56,$F$24:$BZ$44,M$2-$E$2,FALSE)*$D$11*$D$14*(1+$D$13)^($F56-'הנחות עבודה'!$C$5)/$D$11)</f>
        <v>7.4184176627198486</v>
      </c>
      <c r="N56" s="42">
        <f ca="1">IF($F56&gt;$D$5,0,VLOOKUP($F56,$F$24:$BZ$44,N$2-$E$2,FALSE)*$D$11*$D$14*(1+$D$13)^($F56-'הנחות עבודה'!$C$5)/$D$11)</f>
        <v>49.263265975758273</v>
      </c>
      <c r="O56" s="42">
        <f ca="1">IF($F56&gt;$D$5,0,VLOOKUP($F56,$F$24:$BZ$44,O$2-$E$2,FALSE)*$D$11*$D$14*(1+$D$13)^($F56-'הנחות עבודה'!$C$5)/$D$11)</f>
        <v>0</v>
      </c>
      <c r="P56" s="42">
        <f ca="1">IF($F56&gt;$D$5,0,VLOOKUP($F56,$F$24:$BZ$44,P$2-$E$2,FALSE)*$D$11*$D$14*(1+$D$13)^($F56-'הנחות עבודה'!$C$5)/$D$11)</f>
        <v>0</v>
      </c>
      <c r="Q56" s="42">
        <f ca="1">IF($F56&gt;$D$5,0,VLOOKUP($F56,$F$24:$BZ$44,Q$2-$E$2,FALSE)*$D$11*$D$14*(1+$D$13)^($F56-'הנחות עבודה'!$C$5)/$D$11)</f>
        <v>89.565263441509998</v>
      </c>
      <c r="R56" s="42">
        <f ca="1">IF($F56&gt;$D$5,0,VLOOKUP($F56,$F$24:$BZ$44,R$2-$E$2,FALSE)*$D$11*$D$14*(1+$D$13)^($F56-'הנחות עבודה'!$C$5)/$D$11)</f>
        <v>0</v>
      </c>
      <c r="S56" s="52">
        <f ca="1">IF($F56&gt;$D$5,0,VLOOKUP($F56,$F$24:$BZ$44,S$2-$E$2,FALSE)*$D$11*$D$14*(1+$D$13)^($F56-'הנחות עבודה'!$C$5)/$D$11)</f>
        <v>0</v>
      </c>
      <c r="T56" s="127">
        <f ca="1">IF($F56&gt;$D$5,0,VLOOKUP($F56,$F$24:$BZ$44,T$2-$E$2,FALSE)*$D$11*$D$14*(1+$D$13)^($F56-'הנחות עבודה'!$C$5)/$D$11)</f>
        <v>0</v>
      </c>
      <c r="U56" s="127">
        <f ca="1">IF($F56&gt;$D$5,0,VLOOKUP($F56,$F$24:$BZ$44,U$2-$E$2,FALSE)*$D$11*$D$14*(1+$D$13)^($F56-'הנחות עבודה'!$C$5)/$D$11)</f>
        <v>0</v>
      </c>
      <c r="V56" s="127">
        <f ca="1">IF($F56&gt;$D$5,0,VLOOKUP($F56,$F$24:$BZ$44,V$2-$E$2,FALSE)*$D$11*$D$14*(1+$D$13)^($F56-'הנחות עבודה'!$C$5)/$D$11)</f>
        <v>0</v>
      </c>
      <c r="W56" s="127">
        <f ca="1">IF($F56&gt;$D$5,0,VLOOKUP($F56,$F$24:$BZ$44,W$2-$E$2,FALSE)*$D$11*$D$14*(1+$D$13)^($F56-'הנחות עבודה'!$C$5)/$D$11)</f>
        <v>0</v>
      </c>
      <c r="X56" s="127">
        <f ca="1">IF($F56&gt;$D$5,0,VLOOKUP($F56,$F$24:$BZ$44,X$2-$E$2,FALSE)*$D$11*$D$14*(1+$D$13)^($F56-'הנחות עבודה'!$C$5)/$D$11)</f>
        <v>0</v>
      </c>
      <c r="Y56" s="52">
        <f ca="1">IF($F56&gt;$D$5,0,VLOOKUP($F56,$F$24:$BZ$44,Y$2-$E$2,FALSE)*$D$11*$D$14*(1+$D$13)^($F56-'הנחות עבודה'!$C$5)/$D$11)</f>
        <v>7.4184176627198486</v>
      </c>
      <c r="Z56" s="52">
        <f ca="1">IF($F56&gt;$D$5,0,VLOOKUP($F56,$F$24:$BZ$44,Z$2-$E$2,FALSE)*$D$11*$D$14*(1+$D$13)^($F56-'הנחות עבודה'!$C$5)/$D$11)</f>
        <v>49.263265975758273</v>
      </c>
      <c r="AA56" s="52">
        <f ca="1">IF($F56&gt;$D$5,0,VLOOKUP($F56,$F$24:$BZ$44,AA$2-$E$2,FALSE)*$D$11*$D$14*(1+$D$13)^($F56-'הנחות עבודה'!$C$5)/$D$11)</f>
        <v>0</v>
      </c>
      <c r="AB56" s="52">
        <f ca="1">IF($F56&gt;$D$5,0,VLOOKUP($F56,$F$24:$BZ$44,AB$2-$E$2,FALSE)*$D$11*$D$14*(1+$D$13)^($F56-'הנחות עבודה'!$C$5)/$D$11)</f>
        <v>0</v>
      </c>
      <c r="AC56" s="52">
        <f ca="1">IF($F56&gt;$D$5,0,VLOOKUP($F56,$F$24:$BZ$44,AC$2-$E$2,FALSE)*$D$11*$D$14*(1+$D$13)^($F56-'הנחות עבודה'!$C$5)/$D$11)</f>
        <v>89.565263441509998</v>
      </c>
      <c r="AD56" s="52">
        <f ca="1">IF($F56&gt;$D$5,0,VLOOKUP($F56,$F$24:$BZ$44,AD$2-$E$2,FALSE)*$D$11*$D$14*(1+$D$13)^($F56-'הנחות עבודה'!$C$5)/$D$11)</f>
        <v>0</v>
      </c>
      <c r="AE56" s="42">
        <f ca="1">IF($F56&gt;$D$5,0,VLOOKUP($F56,$F$24:$BZ$44,AE$2-$E$2,FALSE)*$D$11*$D$14*(1+$D$13)^($F56-'הנחות עבודה'!$C$5)/$D$11)</f>
        <v>0</v>
      </c>
      <c r="AF56" s="44">
        <f ca="1">IF($F56&gt;$D$5,0,VLOOKUP($F56,$F$24:$BZ$44,AF$2-$E$2,FALSE)*$D$11*$D$14*(1+$D$13)^($F56-'הנחות עבודה'!$C$5)/$D$11)</f>
        <v>0</v>
      </c>
      <c r="AG56" s="44">
        <f ca="1">IF($F56&gt;$D$5,0,VLOOKUP($F56,$F$24:$BZ$44,AG$2-$E$2,FALSE)*$D$11*$D$14*(1+$D$13)^($F56-'הנחות עבודה'!$C$5)/$D$11)</f>
        <v>0</v>
      </c>
      <c r="AH56" s="44">
        <f ca="1">IF($F56&gt;$D$5,0,VLOOKUP($F56,$F$24:$BZ$44,AH$2-$E$2,FALSE)*$D$11*$D$14*(1+$D$13)^($F56-'הנחות עבודה'!$C$5)/$D$11)</f>
        <v>0</v>
      </c>
      <c r="AI56" s="44">
        <f ca="1">IF($F56&gt;$D$5,0,VLOOKUP($F56,$F$24:$BZ$44,AI$2-$E$2,FALSE)*$D$11*$D$14*(1+$D$13)^($F56-'הנחות עבודה'!$C$5)/$D$11)</f>
        <v>0</v>
      </c>
      <c r="AJ56" s="44">
        <f ca="1">IF($F56&gt;$D$5,0,VLOOKUP($F56,$F$24:$BZ$44,AJ$2-$E$2,FALSE)*$D$11*$D$14*(1+$D$13)^($F56-'הנחות עבודה'!$C$5)/$D$11)</f>
        <v>0</v>
      </c>
      <c r="AK56" s="42">
        <f ca="1">IF($F56&gt;$D$5,0,VLOOKUP($F56,$F$24:$BZ$44,AK$2-$E$2,FALSE)*$D$11*$D$14*(1+$D$13)^($F56-'הנחות עבודה'!$C$5)/$D$11)</f>
        <v>7.1492240171475157</v>
      </c>
      <c r="AL56" s="42">
        <f ca="1">IF($F56&gt;$D$5,0,VLOOKUP($F56,$F$24:$BZ$44,AL$2-$E$2,FALSE)*$D$11*$D$14*(1+$D$13)^($F56-'הנחות עבודה'!$C$5)/$D$11)</f>
        <v>46.47680634460761</v>
      </c>
      <c r="AM56" s="42">
        <f ca="1">IF($F56&gt;$D$5,0,VLOOKUP($F56,$F$24:$BZ$44,AM$2-$E$2,FALSE)*$D$11*$D$14*(1+$D$13)^($F56-'הנחות עבודה'!$C$5)/$D$11)</f>
        <v>0</v>
      </c>
      <c r="AN56" s="42">
        <f ca="1">IF($F56&gt;$D$5,0,VLOOKUP($F56,$F$24:$BZ$44,AN$2-$E$2,FALSE)*$D$11*$D$14*(1+$D$13)^($F56-'הנחות עבודה'!$C$5)/$D$11)</f>
        <v>0</v>
      </c>
      <c r="AO56" s="42">
        <f ca="1">IF($F56&gt;$D$5,0,VLOOKUP($F56,$F$24:$BZ$44,AO$2-$E$2,FALSE)*$D$11*$D$14*(1+$D$13)^($F56-'הנחות עבודה'!$C$5)/$D$11)</f>
        <v>89.429784833478308</v>
      </c>
      <c r="AP56" s="42">
        <f ca="1">IF($F56&gt;$D$5,0,VLOOKUP($F56,$F$24:$BZ$44,AP$2-$E$2,FALSE)*$D$11*$D$14*(1+$D$13)^($F56-'הנחות עבודה'!$C$5)/$D$11)</f>
        <v>0</v>
      </c>
      <c r="AQ56" s="52">
        <f ca="1">IF($F56&gt;$D$5,0,VLOOKUP($F56,$F$24:$BZ$44,AQ$2-$E$2,FALSE)*$D$11*$D$14*(1+$D$13)^($F56-'הנחות עבודה'!$C$5)/$D$11)</f>
        <v>0</v>
      </c>
      <c r="AR56" s="127">
        <f ca="1">IF($F56&gt;$D$5,0,VLOOKUP($F56,$F$24:$BZ$44,AR$2-$E$2,FALSE)*$D$11*$D$14*(1+$D$13)^($F56-'הנחות עבודה'!$C$5)/$D$11)</f>
        <v>0</v>
      </c>
      <c r="AS56" s="127">
        <f ca="1">IF($F56&gt;$D$5,0,VLOOKUP($F56,$F$24:$BZ$44,AS$2-$E$2,FALSE)*$D$11*$D$14*(1+$D$13)^($F56-'הנחות עבודה'!$C$5)/$D$11)</f>
        <v>0</v>
      </c>
      <c r="AT56" s="127">
        <f ca="1">IF($F56&gt;$D$5,0,VLOOKUP($F56,$F$24:$BZ$44,AT$2-$E$2,FALSE)*$D$11*$D$14*(1+$D$13)^($F56-'הנחות עבודה'!$C$5)/$D$11)</f>
        <v>0</v>
      </c>
      <c r="AU56" s="127">
        <f ca="1">IF($F56&gt;$D$5,0,VLOOKUP($F56,$F$24:$BZ$44,AU$2-$E$2,FALSE)*$D$11*$D$14*(1+$D$13)^($F56-'הנחות עבודה'!$C$5)/$D$11)</f>
        <v>0</v>
      </c>
      <c r="AV56" s="127">
        <f ca="1">IF($F56&gt;$D$5,0,VLOOKUP($F56,$F$24:$BZ$44,AV$2-$E$2,FALSE)*$D$11*$D$14*(1+$D$13)^($F56-'הנחות עבודה'!$C$5)/$D$11)</f>
        <v>0</v>
      </c>
      <c r="AW56" s="52">
        <f ca="1">IF($F56&gt;$D$5,0,VLOOKUP($F56,$F$24:$BZ$44,AW$2-$E$2,FALSE)*$D$11*$D$14*(1+$D$13)^($F56-'הנחות עבודה'!$C$5)/$D$11)</f>
        <v>7.1492240171475157</v>
      </c>
      <c r="AX56" s="52">
        <f ca="1">IF($F56&gt;$D$5,0,VLOOKUP($F56,$F$24:$BZ$44,AX$2-$E$2,FALSE)*$D$11*$D$14*(1+$D$13)^($F56-'הנחות עבודה'!$C$5)/$D$11)</f>
        <v>46.47680634460761</v>
      </c>
      <c r="AY56" s="52">
        <f ca="1">IF($F56&gt;$D$5,0,VLOOKUP($F56,$F$24:$BZ$44,AY$2-$E$2,FALSE)*$D$11*$D$14*(1+$D$13)^($F56-'הנחות עבודה'!$C$5)/$D$11)</f>
        <v>0</v>
      </c>
      <c r="AZ56" s="52">
        <f ca="1">IF($F56&gt;$D$5,0,VLOOKUP($F56,$F$24:$BZ$44,AZ$2-$E$2,FALSE)*$D$11*$D$14*(1+$D$13)^($F56-'הנחות עבודה'!$C$5)/$D$11)</f>
        <v>0</v>
      </c>
      <c r="BA56" s="52">
        <f ca="1">IF($F56&gt;$D$5,0,VLOOKUP($F56,$F$24:$BZ$44,BA$2-$E$2,FALSE)*$D$11*$D$14*(1+$D$13)^($F56-'הנחות עבודה'!$C$5)/$D$11)</f>
        <v>89.429784833478308</v>
      </c>
      <c r="BB56" s="52">
        <f ca="1">IF($F56&gt;$D$5,0,VLOOKUP($F56,$F$24:$BZ$44,BB$2-$E$2,FALSE)*$D$11*$D$14*(1+$D$13)^($F56-'הנחות עבודה'!$C$5)/$D$11)</f>
        <v>0</v>
      </c>
      <c r="BC56" s="42">
        <f ca="1">IF($F56&gt;$D$5,0,VLOOKUP($F56,$F$24:$BZ$44,BC$2-$E$2,FALSE)*$D$11*$D$14*(1+$D$13)^($F56-'הנחות עבודה'!$C$5)/$D$11)</f>
        <v>0</v>
      </c>
      <c r="BD56" s="44">
        <f ca="1">IF($F56&gt;$D$5,0,VLOOKUP($F56,$F$24:$BZ$44,BD$2-$E$2,FALSE)*$D$11*$D$14*(1+$D$13)^($F56-'הנחות עבודה'!$C$5)/$D$11)</f>
        <v>0</v>
      </c>
      <c r="BE56" s="44">
        <f ca="1">IF($F56&gt;$D$5,0,VLOOKUP($F56,$F$24:$BZ$44,BE$2-$E$2,FALSE)*$D$11*$D$14*(1+$D$13)^($F56-'הנחות עבודה'!$C$5)/$D$11)</f>
        <v>0</v>
      </c>
      <c r="BF56" s="44">
        <f ca="1">IF($F56&gt;$D$5,0,VLOOKUP($F56,$F$24:$BZ$44,BF$2-$E$2,FALSE)*$D$11*$D$14*(1+$D$13)^($F56-'הנחות עבודה'!$C$5)/$D$11)</f>
        <v>0</v>
      </c>
      <c r="BG56" s="44">
        <f ca="1">IF($F56&gt;$D$5,0,VLOOKUP($F56,$F$24:$BZ$44,BG$2-$E$2,FALSE)*$D$11*$D$14*(1+$D$13)^($F56-'הנחות עבודה'!$C$5)/$D$11)</f>
        <v>0</v>
      </c>
      <c r="BH56" s="44">
        <f ca="1">IF($F56&gt;$D$5,0,VLOOKUP($F56,$F$24:$BZ$44,BH$2-$E$2,FALSE)*$D$11*$D$14*(1+$D$13)^($F56-'הנחות עבודה'!$C$5)/$D$11)</f>
        <v>0</v>
      </c>
      <c r="BI56" s="42">
        <f ca="1">IF($F56&gt;$D$5,0,VLOOKUP($F56,$F$24:$BZ$44,BI$2-$E$2,FALSE)*$D$11*$D$14*(1+$D$13)^($F56-'הנחות עבודה'!$C$5)/$D$11)</f>
        <v>7.1735831465677888</v>
      </c>
      <c r="BJ56" s="42">
        <f ca="1">IF($F56&gt;$D$5,0,VLOOKUP($F56,$F$24:$BZ$44,BJ$2-$E$2,FALSE)*$D$11*$D$14*(1+$D$13)^($F56-'הנחות עבודה'!$C$5)/$D$11)</f>
        <v>44.78081643624126</v>
      </c>
      <c r="BK56" s="42">
        <f ca="1">IF($F56&gt;$D$5,0,VLOOKUP($F56,$F$24:$BZ$44,BK$2-$E$2,FALSE)*$D$11*$D$14*(1+$D$13)^($F56-'הנחות עבודה'!$C$5)/$D$11)</f>
        <v>0</v>
      </c>
      <c r="BL56" s="42">
        <f ca="1">IF($F56&gt;$D$5,0,VLOOKUP($F56,$F$24:$BZ$44,BL$2-$E$2,FALSE)*$D$11*$D$14*(1+$D$13)^($F56-'הנחות עבודה'!$C$5)/$D$11)</f>
        <v>0</v>
      </c>
      <c r="BM56" s="42">
        <f ca="1">IF($F56&gt;$D$5,0,VLOOKUP($F56,$F$24:$BZ$44,BM$2-$E$2,FALSE)*$D$11*$D$14*(1+$D$13)^($F56-'הנחות עבודה'!$C$5)/$D$11)</f>
        <v>89.270379215913593</v>
      </c>
      <c r="BN56" s="42">
        <f ca="1">IF($F56&gt;$D$5,0,VLOOKUP($F56,$F$24:$BZ$44,BN$2-$E$2,FALSE)*$D$11*$D$14*(1+$D$13)^($F56-'הנחות עבודה'!$C$5)/$D$11)</f>
        <v>0</v>
      </c>
      <c r="BO56" s="52">
        <f ca="1">IF($F56&gt;$D$5,0,VLOOKUP($F56,$F$24:$BZ$44,BO$2-$E$2,FALSE)*$D$11*$D$14*(1+$D$13)^($F56-'הנחות עבודה'!$C$5)/$D$11)</f>
        <v>0</v>
      </c>
      <c r="BP56" s="127">
        <f ca="1">IF($F56&gt;$D$5,0,VLOOKUP($F56,$F$24:$BZ$44,BP$2-$E$2,FALSE)*$D$11*$D$14*(1+$D$13)^($F56-'הנחות עבודה'!$C$5)/$D$11)</f>
        <v>0</v>
      </c>
      <c r="BQ56" s="127">
        <f ca="1">IF($F56&gt;$D$5,0,VLOOKUP($F56,$F$24:$BZ$44,BQ$2-$E$2,FALSE)*$D$11*$D$14*(1+$D$13)^($F56-'הנחות עבודה'!$C$5)/$D$11)</f>
        <v>0</v>
      </c>
      <c r="BR56" s="127">
        <f ca="1">IF($F56&gt;$D$5,0,VLOOKUP($F56,$F$24:$BZ$44,BR$2-$E$2,FALSE)*$D$11*$D$14*(1+$D$13)^($F56-'הנחות עבודה'!$C$5)/$D$11)</f>
        <v>0</v>
      </c>
      <c r="BS56" s="127">
        <f ca="1">IF($F56&gt;$D$5,0,VLOOKUP($F56,$F$24:$BZ$44,BS$2-$E$2,FALSE)*$D$11*$D$14*(1+$D$13)^($F56-'הנחות עבודה'!$C$5)/$D$11)</f>
        <v>0</v>
      </c>
      <c r="BT56" s="127">
        <f ca="1">IF($F56&gt;$D$5,0,VLOOKUP($F56,$F$24:$BZ$44,BT$2-$E$2,FALSE)*$D$11*$D$14*(1+$D$13)^($F56-'הנחות עבודה'!$C$5)/$D$11)</f>
        <v>0</v>
      </c>
      <c r="BU56" s="52">
        <f ca="1">IF($F56&gt;$D$5,0,VLOOKUP($F56,$F$24:$BZ$44,BU$2-$E$2,FALSE)*$D$11*$D$14*(1+$D$13)^($F56-'הנחות עבודה'!$C$5)/$D$11)</f>
        <v>7.1735831465677888</v>
      </c>
      <c r="BV56" s="52">
        <f ca="1">IF($F56&gt;$D$5,0,VLOOKUP($F56,$F$24:$BZ$44,BV$2-$E$2,FALSE)*$D$11*$D$14*(1+$D$13)^($F56-'הנחות עבודה'!$C$5)/$D$11)</f>
        <v>44.78081643624126</v>
      </c>
      <c r="BW56" s="52">
        <f ca="1">IF($F56&gt;$D$5,0,VLOOKUP($F56,$F$24:$BZ$44,BW$2-$E$2,FALSE)*$D$11*$D$14*(1+$D$13)^($F56-'הנחות עבודה'!$C$5)/$D$11)</f>
        <v>0</v>
      </c>
      <c r="BX56" s="52">
        <f ca="1">IF($F56&gt;$D$5,0,VLOOKUP($F56,$F$24:$BZ$44,BX$2-$E$2,FALSE)*$D$11*$D$14*(1+$D$13)^($F56-'הנחות עבודה'!$C$5)/$D$11)</f>
        <v>0</v>
      </c>
      <c r="BY56" s="52">
        <f ca="1">IF($F56&gt;$D$5,0,VLOOKUP($F56,$F$24:$BZ$44,BY$2-$E$2,FALSE)*$D$11*$D$14*(1+$D$13)^($F56-'הנחות עבודה'!$C$5)/$D$11)</f>
        <v>89.270379215913593</v>
      </c>
      <c r="BZ56" s="52">
        <f ca="1">IF($F56&gt;$D$5,0,VLOOKUP($F56,$F$24:$BZ$44,BZ$2-$E$2,FALSE)*$D$11*$D$14*(1+$D$13)^($F56-'הנחות עבודה'!$C$5)/$D$11)</f>
        <v>0</v>
      </c>
    </row>
    <row r="57" spans="6:78" ht="15.75">
      <c r="F57" s="10">
        <f t="shared" si="123"/>
        <v>2026</v>
      </c>
      <c r="G57" s="42">
        <f ca="1">IF($F57&gt;$D$5,0,VLOOKUP($F57,$F$24:$BZ$44,G$2-$E$2,FALSE)*$D$11*$D$14*(1+$D$13)^($F57-'הנחות עבודה'!$C$5)/$D$11)</f>
        <v>0</v>
      </c>
      <c r="H57" s="44">
        <f ca="1">IF($F57&gt;$D$5,0,VLOOKUP($F57,$F$24:$BZ$44,H$2-$E$2,FALSE)*$D$11*$D$14*(1+$D$13)^($F57-'הנחות עבודה'!$C$5)/$D$11)</f>
        <v>0</v>
      </c>
      <c r="I57" s="44">
        <f ca="1">IF($F57&gt;$D$5,0,VLOOKUP($F57,$F$24:$BZ$44,I$2-$E$2,FALSE)*$D$11*$D$14*(1+$D$13)^($F57-'הנחות עבודה'!$C$5)/$D$11)</f>
        <v>0</v>
      </c>
      <c r="J57" s="44">
        <f ca="1">IF($F57&gt;$D$5,0,VLOOKUP($F57,$F$24:$BZ$44,J$2-$E$2,FALSE)*$D$11*$D$14*(1+$D$13)^($F57-'הנחות עבודה'!$C$5)/$D$11)</f>
        <v>0</v>
      </c>
      <c r="K57" s="44">
        <f ca="1">IF($F57&gt;$D$5,0,VLOOKUP($F57,$F$24:$BZ$44,K$2-$E$2,FALSE)*$D$11*$D$14*(1+$D$13)^($F57-'הנחות עבודה'!$C$5)/$D$11)</f>
        <v>0</v>
      </c>
      <c r="L57" s="44">
        <f ca="1">IF($F57&gt;$D$5,0,VLOOKUP($F57,$F$24:$BZ$44,L$2-$E$2,FALSE)*$D$11*$D$14*(1+$D$13)^($F57-'הנחות עבודה'!$C$5)/$D$11)</f>
        <v>0</v>
      </c>
      <c r="M57" s="42">
        <f ca="1">IF($F57&gt;$D$5,0,VLOOKUP($F57,$F$24:$BZ$44,M$2-$E$2,FALSE)*$D$11*$D$14*(1+$D$13)^($F57-'הנחות עבודה'!$C$5)/$D$11)</f>
        <v>12.673621158521774</v>
      </c>
      <c r="N57" s="42">
        <f ca="1">IF($F57&gt;$D$5,0,VLOOKUP($F57,$F$24:$BZ$44,N$2-$E$2,FALSE)*$D$11*$D$14*(1+$D$13)^($F57-'הנחות עבודה'!$C$5)/$D$11)</f>
        <v>49.262675894040825</v>
      </c>
      <c r="O57" s="42">
        <f ca="1">IF($F57&gt;$D$5,0,VLOOKUP($F57,$F$24:$BZ$44,O$2-$E$2,FALSE)*$D$11*$D$14*(1+$D$13)^($F57-'הנחות עבודה'!$C$5)/$D$11)</f>
        <v>0</v>
      </c>
      <c r="P57" s="42">
        <f ca="1">IF($F57&gt;$D$5,0,VLOOKUP($F57,$F$24:$BZ$44,P$2-$E$2,FALSE)*$D$11*$D$14*(1+$D$13)^($F57-'הנחות עבודה'!$C$5)/$D$11)</f>
        <v>0</v>
      </c>
      <c r="Q57" s="42">
        <f ca="1">IF($F57&gt;$D$5,0,VLOOKUP($F57,$F$24:$BZ$44,Q$2-$E$2,FALSE)*$D$11*$D$14*(1+$D$13)^($F57-'הנחות עבודה'!$C$5)/$D$11)</f>
        <v>0</v>
      </c>
      <c r="R57" s="42">
        <f ca="1">IF($F57&gt;$D$5,0,VLOOKUP($F57,$F$24:$BZ$44,R$2-$E$2,FALSE)*$D$11*$D$14*(1+$D$13)^($F57-'הנחות עבודה'!$C$5)/$D$11)</f>
        <v>0</v>
      </c>
      <c r="S57" s="52">
        <f ca="1">IF($F57&gt;$D$5,0,VLOOKUP($F57,$F$24:$BZ$44,S$2-$E$2,FALSE)*$D$11*$D$14*(1+$D$13)^($F57-'הנחות עבודה'!$C$5)/$D$11)</f>
        <v>0</v>
      </c>
      <c r="T57" s="127">
        <f ca="1">IF($F57&gt;$D$5,0,VLOOKUP($F57,$F$24:$BZ$44,T$2-$E$2,FALSE)*$D$11*$D$14*(1+$D$13)^($F57-'הנחות עבודה'!$C$5)/$D$11)</f>
        <v>0</v>
      </c>
      <c r="U57" s="127">
        <f ca="1">IF($F57&gt;$D$5,0,VLOOKUP($F57,$F$24:$BZ$44,U$2-$E$2,FALSE)*$D$11*$D$14*(1+$D$13)^($F57-'הנחות עבודה'!$C$5)/$D$11)</f>
        <v>0</v>
      </c>
      <c r="V57" s="127">
        <f ca="1">IF($F57&gt;$D$5,0,VLOOKUP($F57,$F$24:$BZ$44,V$2-$E$2,FALSE)*$D$11*$D$14*(1+$D$13)^($F57-'הנחות עבודה'!$C$5)/$D$11)</f>
        <v>0</v>
      </c>
      <c r="W57" s="127">
        <f ca="1">IF($F57&gt;$D$5,0,VLOOKUP($F57,$F$24:$BZ$44,W$2-$E$2,FALSE)*$D$11*$D$14*(1+$D$13)^($F57-'הנחות עבודה'!$C$5)/$D$11)</f>
        <v>0</v>
      </c>
      <c r="X57" s="127">
        <f ca="1">IF($F57&gt;$D$5,0,VLOOKUP($F57,$F$24:$BZ$44,X$2-$E$2,FALSE)*$D$11*$D$14*(1+$D$13)^($F57-'הנחות עבודה'!$C$5)/$D$11)</f>
        <v>0</v>
      </c>
      <c r="Y57" s="52">
        <f ca="1">IF($F57&gt;$D$5,0,VLOOKUP($F57,$F$24:$BZ$44,Y$2-$E$2,FALSE)*$D$11*$D$14*(1+$D$13)^($F57-'הנחות עבודה'!$C$5)/$D$11)</f>
        <v>12.673621158521774</v>
      </c>
      <c r="Z57" s="52">
        <f ca="1">IF($F57&gt;$D$5,0,VLOOKUP($F57,$F$24:$BZ$44,Z$2-$E$2,FALSE)*$D$11*$D$14*(1+$D$13)^($F57-'הנחות עבודה'!$C$5)/$D$11)</f>
        <v>49.262675894040825</v>
      </c>
      <c r="AA57" s="52">
        <f ca="1">IF($F57&gt;$D$5,0,VLOOKUP($F57,$F$24:$BZ$44,AA$2-$E$2,FALSE)*$D$11*$D$14*(1+$D$13)^($F57-'הנחות עבודה'!$C$5)/$D$11)</f>
        <v>0</v>
      </c>
      <c r="AB57" s="52">
        <f ca="1">IF($F57&gt;$D$5,0,VLOOKUP($F57,$F$24:$BZ$44,AB$2-$E$2,FALSE)*$D$11*$D$14*(1+$D$13)^($F57-'הנחות עבודה'!$C$5)/$D$11)</f>
        <v>0</v>
      </c>
      <c r="AC57" s="52">
        <f ca="1">IF($F57&gt;$D$5,0,VLOOKUP($F57,$F$24:$BZ$44,AC$2-$E$2,FALSE)*$D$11*$D$14*(1+$D$13)^($F57-'הנחות עבודה'!$C$5)/$D$11)</f>
        <v>0</v>
      </c>
      <c r="AD57" s="52">
        <f ca="1">IF($F57&gt;$D$5,0,VLOOKUP($F57,$F$24:$BZ$44,AD$2-$E$2,FALSE)*$D$11*$D$14*(1+$D$13)^($F57-'הנחות עבודה'!$C$5)/$D$11)</f>
        <v>0</v>
      </c>
      <c r="AE57" s="42">
        <f ca="1">IF($F57&gt;$D$5,0,VLOOKUP($F57,$F$24:$BZ$44,AE$2-$E$2,FALSE)*$D$11*$D$14*(1+$D$13)^($F57-'הנחות עבודה'!$C$5)/$D$11)</f>
        <v>0</v>
      </c>
      <c r="AF57" s="44">
        <f ca="1">IF($F57&gt;$D$5,0,VLOOKUP($F57,$F$24:$BZ$44,AF$2-$E$2,FALSE)*$D$11*$D$14*(1+$D$13)^($F57-'הנחות עבודה'!$C$5)/$D$11)</f>
        <v>0</v>
      </c>
      <c r="AG57" s="44">
        <f ca="1">IF($F57&gt;$D$5,0,VLOOKUP($F57,$F$24:$BZ$44,AG$2-$E$2,FALSE)*$D$11*$D$14*(1+$D$13)^($F57-'הנחות עבודה'!$C$5)/$D$11)</f>
        <v>0</v>
      </c>
      <c r="AH57" s="44">
        <f ca="1">IF($F57&gt;$D$5,0,VLOOKUP($F57,$F$24:$BZ$44,AH$2-$E$2,FALSE)*$D$11*$D$14*(1+$D$13)^($F57-'הנחות עבודה'!$C$5)/$D$11)</f>
        <v>0</v>
      </c>
      <c r="AI57" s="44">
        <f ca="1">IF($F57&gt;$D$5,0,VLOOKUP($F57,$F$24:$BZ$44,AI$2-$E$2,FALSE)*$D$11*$D$14*(1+$D$13)^($F57-'הנחות עבודה'!$C$5)/$D$11)</f>
        <v>0</v>
      </c>
      <c r="AJ57" s="44">
        <f ca="1">IF($F57&gt;$D$5,0,VLOOKUP($F57,$F$24:$BZ$44,AJ$2-$E$2,FALSE)*$D$11*$D$14*(1+$D$13)^($F57-'הנחות עבודה'!$C$5)/$D$11)</f>
        <v>0</v>
      </c>
      <c r="AK57" s="42">
        <f ca="1">IF($F57&gt;$D$5,0,VLOOKUP($F57,$F$24:$BZ$44,AK$2-$E$2,FALSE)*$D$11*$D$14*(1+$D$13)^($F57-'הנחות עבודה'!$C$5)/$D$11)</f>
        <v>12.392797386169422</v>
      </c>
      <c r="AL57" s="42">
        <f ca="1">IF($F57&gt;$D$5,0,VLOOKUP($F57,$F$24:$BZ$44,AL$2-$E$2,FALSE)*$D$11*$D$14*(1+$D$13)^($F57-'הנחות עבודה'!$C$5)/$D$11)</f>
        <v>45.791812940580421</v>
      </c>
      <c r="AM57" s="42">
        <f ca="1">IF($F57&gt;$D$5,0,VLOOKUP($F57,$F$24:$BZ$44,AM$2-$E$2,FALSE)*$D$11*$D$14*(1+$D$13)^($F57-'הנחות עבודה'!$C$5)/$D$11)</f>
        <v>0</v>
      </c>
      <c r="AN57" s="42">
        <f ca="1">IF($F57&gt;$D$5,0,VLOOKUP($F57,$F$24:$BZ$44,AN$2-$E$2,FALSE)*$D$11*$D$14*(1+$D$13)^($F57-'הנחות עבודה'!$C$5)/$D$11)</f>
        <v>0</v>
      </c>
      <c r="AO57" s="42">
        <f ca="1">IF($F57&gt;$D$5,0,VLOOKUP($F57,$F$24:$BZ$44,AO$2-$E$2,FALSE)*$D$11*$D$14*(1+$D$13)^($F57-'הנחות עבודה'!$C$5)/$D$11)</f>
        <v>0</v>
      </c>
      <c r="AP57" s="42">
        <f ca="1">IF($F57&gt;$D$5,0,VLOOKUP($F57,$F$24:$BZ$44,AP$2-$E$2,FALSE)*$D$11*$D$14*(1+$D$13)^($F57-'הנחות עבודה'!$C$5)/$D$11)</f>
        <v>0</v>
      </c>
      <c r="AQ57" s="52">
        <f ca="1">IF($F57&gt;$D$5,0,VLOOKUP($F57,$F$24:$BZ$44,AQ$2-$E$2,FALSE)*$D$11*$D$14*(1+$D$13)^($F57-'הנחות עבודה'!$C$5)/$D$11)</f>
        <v>0</v>
      </c>
      <c r="AR57" s="127">
        <f ca="1">IF($F57&gt;$D$5,0,VLOOKUP($F57,$F$24:$BZ$44,AR$2-$E$2,FALSE)*$D$11*$D$14*(1+$D$13)^($F57-'הנחות עבודה'!$C$5)/$D$11)</f>
        <v>0</v>
      </c>
      <c r="AS57" s="127">
        <f ca="1">IF($F57&gt;$D$5,0,VLOOKUP($F57,$F$24:$BZ$44,AS$2-$E$2,FALSE)*$D$11*$D$14*(1+$D$13)^($F57-'הנחות עבודה'!$C$5)/$D$11)</f>
        <v>0</v>
      </c>
      <c r="AT57" s="127">
        <f ca="1">IF($F57&gt;$D$5,0,VLOOKUP($F57,$F$24:$BZ$44,AT$2-$E$2,FALSE)*$D$11*$D$14*(1+$D$13)^($F57-'הנחות עבודה'!$C$5)/$D$11)</f>
        <v>0</v>
      </c>
      <c r="AU57" s="127">
        <f ca="1">IF($F57&gt;$D$5,0,VLOOKUP($F57,$F$24:$BZ$44,AU$2-$E$2,FALSE)*$D$11*$D$14*(1+$D$13)^($F57-'הנחות עבודה'!$C$5)/$D$11)</f>
        <v>0</v>
      </c>
      <c r="AV57" s="127">
        <f ca="1">IF($F57&gt;$D$5,0,VLOOKUP($F57,$F$24:$BZ$44,AV$2-$E$2,FALSE)*$D$11*$D$14*(1+$D$13)^($F57-'הנחות עבודה'!$C$5)/$D$11)</f>
        <v>0</v>
      </c>
      <c r="AW57" s="52">
        <f ca="1">IF($F57&gt;$D$5,0,VLOOKUP($F57,$F$24:$BZ$44,AW$2-$E$2,FALSE)*$D$11*$D$14*(1+$D$13)^($F57-'הנחות עבודה'!$C$5)/$D$11)</f>
        <v>12.392797386169422</v>
      </c>
      <c r="AX57" s="52">
        <f ca="1">IF($F57&gt;$D$5,0,VLOOKUP($F57,$F$24:$BZ$44,AX$2-$E$2,FALSE)*$D$11*$D$14*(1+$D$13)^($F57-'הנחות עבודה'!$C$5)/$D$11)</f>
        <v>45.791812940580421</v>
      </c>
      <c r="AY57" s="52">
        <f ca="1">IF($F57&gt;$D$5,0,VLOOKUP($F57,$F$24:$BZ$44,AY$2-$E$2,FALSE)*$D$11*$D$14*(1+$D$13)^($F57-'הנחות עבודה'!$C$5)/$D$11)</f>
        <v>0</v>
      </c>
      <c r="AZ57" s="52">
        <f ca="1">IF($F57&gt;$D$5,0,VLOOKUP($F57,$F$24:$BZ$44,AZ$2-$E$2,FALSE)*$D$11*$D$14*(1+$D$13)^($F57-'הנחות עבודה'!$C$5)/$D$11)</f>
        <v>0</v>
      </c>
      <c r="BA57" s="52">
        <f ca="1">IF($F57&gt;$D$5,0,VLOOKUP($F57,$F$24:$BZ$44,BA$2-$E$2,FALSE)*$D$11*$D$14*(1+$D$13)^($F57-'הנחות עבודה'!$C$5)/$D$11)</f>
        <v>0</v>
      </c>
      <c r="BB57" s="52">
        <f ca="1">IF($F57&gt;$D$5,0,VLOOKUP($F57,$F$24:$BZ$44,BB$2-$E$2,FALSE)*$D$11*$D$14*(1+$D$13)^($F57-'הנחות עבודה'!$C$5)/$D$11)</f>
        <v>0</v>
      </c>
      <c r="BC57" s="42">
        <f ca="1">IF($F57&gt;$D$5,0,VLOOKUP($F57,$F$24:$BZ$44,BC$2-$E$2,FALSE)*$D$11*$D$14*(1+$D$13)^($F57-'הנחות עבודה'!$C$5)/$D$11)</f>
        <v>0</v>
      </c>
      <c r="BD57" s="44">
        <f ca="1">IF($F57&gt;$D$5,0,VLOOKUP($F57,$F$24:$BZ$44,BD$2-$E$2,FALSE)*$D$11*$D$14*(1+$D$13)^($F57-'הנחות עבודה'!$C$5)/$D$11)</f>
        <v>0</v>
      </c>
      <c r="BE57" s="44">
        <f ca="1">IF($F57&gt;$D$5,0,VLOOKUP($F57,$F$24:$BZ$44,BE$2-$E$2,FALSE)*$D$11*$D$14*(1+$D$13)^($F57-'הנחות עבודה'!$C$5)/$D$11)</f>
        <v>0</v>
      </c>
      <c r="BF57" s="44">
        <f ca="1">IF($F57&gt;$D$5,0,VLOOKUP($F57,$F$24:$BZ$44,BF$2-$E$2,FALSE)*$D$11*$D$14*(1+$D$13)^($F57-'הנחות עבודה'!$C$5)/$D$11)</f>
        <v>0</v>
      </c>
      <c r="BG57" s="44">
        <f ca="1">IF($F57&gt;$D$5,0,VLOOKUP($F57,$F$24:$BZ$44,BG$2-$E$2,FALSE)*$D$11*$D$14*(1+$D$13)^($F57-'הנחות עבודה'!$C$5)/$D$11)</f>
        <v>0</v>
      </c>
      <c r="BH57" s="44">
        <f ca="1">IF($F57&gt;$D$5,0,VLOOKUP($F57,$F$24:$BZ$44,BH$2-$E$2,FALSE)*$D$11*$D$14*(1+$D$13)^($F57-'הנחות עבודה'!$C$5)/$D$11)</f>
        <v>0</v>
      </c>
      <c r="BI57" s="42">
        <f ca="1">IF($F57&gt;$D$5,0,VLOOKUP($F57,$F$24:$BZ$44,BI$2-$E$2,FALSE)*$D$11*$D$14*(1+$D$13)^($F57-'הנחות עבודה'!$C$5)/$D$11)</f>
        <v>12.491916043704904</v>
      </c>
      <c r="BJ57" s="42">
        <f ca="1">IF($F57&gt;$D$5,0,VLOOKUP($F57,$F$24:$BZ$44,BJ$2-$E$2,FALSE)*$D$11*$D$14*(1+$D$13)^($F57-'הנחות עבודה'!$C$5)/$D$11)</f>
        <v>43.55276230647469</v>
      </c>
      <c r="BK57" s="42">
        <f ca="1">IF($F57&gt;$D$5,0,VLOOKUP($F57,$F$24:$BZ$44,BK$2-$E$2,FALSE)*$D$11*$D$14*(1+$D$13)^($F57-'הנחות עבודה'!$C$5)/$D$11)</f>
        <v>0</v>
      </c>
      <c r="BL57" s="42">
        <f ca="1">IF($F57&gt;$D$5,0,VLOOKUP($F57,$F$24:$BZ$44,BL$2-$E$2,FALSE)*$D$11*$D$14*(1+$D$13)^($F57-'הנחות עבודה'!$C$5)/$D$11)</f>
        <v>0</v>
      </c>
      <c r="BM57" s="42">
        <f ca="1">IF($F57&gt;$D$5,0,VLOOKUP($F57,$F$24:$BZ$44,BM$2-$E$2,FALSE)*$D$11*$D$14*(1+$D$13)^($F57-'הנחות עבודה'!$C$5)/$D$11)</f>
        <v>0</v>
      </c>
      <c r="BN57" s="42">
        <f ca="1">IF($F57&gt;$D$5,0,VLOOKUP($F57,$F$24:$BZ$44,BN$2-$E$2,FALSE)*$D$11*$D$14*(1+$D$13)^($F57-'הנחות עבודה'!$C$5)/$D$11)</f>
        <v>0</v>
      </c>
      <c r="BO57" s="52">
        <f ca="1">IF($F57&gt;$D$5,0,VLOOKUP($F57,$F$24:$BZ$44,BO$2-$E$2,FALSE)*$D$11*$D$14*(1+$D$13)^($F57-'הנחות עבודה'!$C$5)/$D$11)</f>
        <v>0</v>
      </c>
      <c r="BP57" s="127">
        <f ca="1">IF($F57&gt;$D$5,0,VLOOKUP($F57,$F$24:$BZ$44,BP$2-$E$2,FALSE)*$D$11*$D$14*(1+$D$13)^($F57-'הנחות עבודה'!$C$5)/$D$11)</f>
        <v>0</v>
      </c>
      <c r="BQ57" s="127">
        <f ca="1">IF($F57&gt;$D$5,0,VLOOKUP($F57,$F$24:$BZ$44,BQ$2-$E$2,FALSE)*$D$11*$D$14*(1+$D$13)^($F57-'הנחות עבודה'!$C$5)/$D$11)</f>
        <v>0</v>
      </c>
      <c r="BR57" s="127">
        <f ca="1">IF($F57&gt;$D$5,0,VLOOKUP($F57,$F$24:$BZ$44,BR$2-$E$2,FALSE)*$D$11*$D$14*(1+$D$13)^($F57-'הנחות עבודה'!$C$5)/$D$11)</f>
        <v>0</v>
      </c>
      <c r="BS57" s="127">
        <f ca="1">IF($F57&gt;$D$5,0,VLOOKUP($F57,$F$24:$BZ$44,BS$2-$E$2,FALSE)*$D$11*$D$14*(1+$D$13)^($F57-'הנחות עבודה'!$C$5)/$D$11)</f>
        <v>0</v>
      </c>
      <c r="BT57" s="127">
        <f ca="1">IF($F57&gt;$D$5,0,VLOOKUP($F57,$F$24:$BZ$44,BT$2-$E$2,FALSE)*$D$11*$D$14*(1+$D$13)^($F57-'הנחות עבודה'!$C$5)/$D$11)</f>
        <v>0</v>
      </c>
      <c r="BU57" s="52">
        <f ca="1">IF($F57&gt;$D$5,0,VLOOKUP($F57,$F$24:$BZ$44,BU$2-$E$2,FALSE)*$D$11*$D$14*(1+$D$13)^($F57-'הנחות עבודה'!$C$5)/$D$11)</f>
        <v>12.491916043704904</v>
      </c>
      <c r="BV57" s="52">
        <f ca="1">IF($F57&gt;$D$5,0,VLOOKUP($F57,$F$24:$BZ$44,BV$2-$E$2,FALSE)*$D$11*$D$14*(1+$D$13)^($F57-'הנחות עבודה'!$C$5)/$D$11)</f>
        <v>43.55276230647469</v>
      </c>
      <c r="BW57" s="52">
        <f ca="1">IF($F57&gt;$D$5,0,VLOOKUP($F57,$F$24:$BZ$44,BW$2-$E$2,FALSE)*$D$11*$D$14*(1+$D$13)^($F57-'הנחות עבודה'!$C$5)/$D$11)</f>
        <v>0</v>
      </c>
      <c r="BX57" s="52">
        <f ca="1">IF($F57&gt;$D$5,0,VLOOKUP($F57,$F$24:$BZ$44,BX$2-$E$2,FALSE)*$D$11*$D$14*(1+$D$13)^($F57-'הנחות עבודה'!$C$5)/$D$11)</f>
        <v>0</v>
      </c>
      <c r="BY57" s="52">
        <f ca="1">IF($F57&gt;$D$5,0,VLOOKUP($F57,$F$24:$BZ$44,BY$2-$E$2,FALSE)*$D$11*$D$14*(1+$D$13)^($F57-'הנחות עבודה'!$C$5)/$D$11)</f>
        <v>0</v>
      </c>
      <c r="BZ57" s="52">
        <f ca="1">IF($F57&gt;$D$5,0,VLOOKUP($F57,$F$24:$BZ$44,BZ$2-$E$2,FALSE)*$D$11*$D$14*(1+$D$13)^($F57-'הנחות עבודה'!$C$5)/$D$11)</f>
        <v>0</v>
      </c>
    </row>
    <row r="58" spans="6:78" ht="15.75">
      <c r="F58" s="10">
        <f t="shared" si="123"/>
        <v>2027</v>
      </c>
      <c r="G58" s="42">
        <f ca="1">IF($F58&gt;$D$5,0,VLOOKUP($F58,$F$24:$BZ$44,G$2-$E$2,FALSE)*$D$11*$D$14*(1+$D$13)^($F58-'הנחות עבודה'!$C$5)/$D$11)</f>
        <v>0</v>
      </c>
      <c r="H58" s="44">
        <f ca="1">IF($F58&gt;$D$5,0,VLOOKUP($F58,$F$24:$BZ$44,H$2-$E$2,FALSE)*$D$11*$D$14*(1+$D$13)^($F58-'הנחות עבודה'!$C$5)/$D$11)</f>
        <v>0</v>
      </c>
      <c r="I58" s="44">
        <f ca="1">IF($F58&gt;$D$5,0,VLOOKUP($F58,$F$24:$BZ$44,I$2-$E$2,FALSE)*$D$11*$D$14*(1+$D$13)^($F58-'הנחות עבודה'!$C$5)/$D$11)</f>
        <v>0</v>
      </c>
      <c r="J58" s="44">
        <f ca="1">IF($F58&gt;$D$5,0,VLOOKUP($F58,$F$24:$BZ$44,J$2-$E$2,FALSE)*$D$11*$D$14*(1+$D$13)^($F58-'הנחות עבודה'!$C$5)/$D$11)</f>
        <v>0</v>
      </c>
      <c r="K58" s="44">
        <f ca="1">IF($F58&gt;$D$5,0,VLOOKUP($F58,$F$24:$BZ$44,K$2-$E$2,FALSE)*$D$11*$D$14*(1+$D$13)^($F58-'הנחות עבודה'!$C$5)/$D$11)</f>
        <v>0</v>
      </c>
      <c r="L58" s="44">
        <f ca="1">IF($F58&gt;$D$5,0,VLOOKUP($F58,$F$24:$BZ$44,L$2-$E$2,FALSE)*$D$11*$D$14*(1+$D$13)^($F58-'הנחות עבודה'!$C$5)/$D$11)</f>
        <v>0</v>
      </c>
      <c r="M58" s="42">
        <f ca="1">IF($F58&gt;$D$5,0,VLOOKUP($F58,$F$24:$BZ$44,M$2-$E$2,FALSE)*$D$11*$D$14*(1+$D$13)^($F58-'הנחות עבודה'!$C$5)/$D$11)</f>
        <v>12.78315565922659</v>
      </c>
      <c r="N58" s="42">
        <f ca="1">IF($F58&gt;$D$5,0,VLOOKUP($F58,$F$24:$BZ$44,N$2-$E$2,FALSE)*$D$11*$D$14*(1+$D$13)^($F58-'הנחות עבודה'!$C$5)/$D$11)</f>
        <v>52.34667117289105</v>
      </c>
      <c r="O58" s="42">
        <f ca="1">IF($F58&gt;$D$5,0,VLOOKUP($F58,$F$24:$BZ$44,O$2-$E$2,FALSE)*$D$11*$D$14*(1+$D$13)^($F58-'הנחות עבודה'!$C$5)/$D$11)</f>
        <v>0</v>
      </c>
      <c r="P58" s="42">
        <f ca="1">IF($F58&gt;$D$5,0,VLOOKUP($F58,$F$24:$BZ$44,P$2-$E$2,FALSE)*$D$11*$D$14*(1+$D$13)^($F58-'הנחות עבודה'!$C$5)/$D$11)</f>
        <v>0</v>
      </c>
      <c r="Q58" s="42">
        <f ca="1">IF($F58&gt;$D$5,0,VLOOKUP($F58,$F$24:$BZ$44,Q$2-$E$2,FALSE)*$D$11*$D$14*(1+$D$13)^($F58-'הנחות עבודה'!$C$5)/$D$11)</f>
        <v>0</v>
      </c>
      <c r="R58" s="42">
        <f ca="1">IF($F58&gt;$D$5,0,VLOOKUP($F58,$F$24:$BZ$44,R$2-$E$2,FALSE)*$D$11*$D$14*(1+$D$13)^($F58-'הנחות עבודה'!$C$5)/$D$11)</f>
        <v>0</v>
      </c>
      <c r="S58" s="52">
        <f ca="1">IF($F58&gt;$D$5,0,VLOOKUP($F58,$F$24:$BZ$44,S$2-$E$2,FALSE)*$D$11*$D$14*(1+$D$13)^($F58-'הנחות עבודה'!$C$5)/$D$11)</f>
        <v>0</v>
      </c>
      <c r="T58" s="127">
        <f ca="1">IF($F58&gt;$D$5,0,VLOOKUP($F58,$F$24:$BZ$44,T$2-$E$2,FALSE)*$D$11*$D$14*(1+$D$13)^($F58-'הנחות עבודה'!$C$5)/$D$11)</f>
        <v>0</v>
      </c>
      <c r="U58" s="127">
        <f ca="1">IF($F58&gt;$D$5,0,VLOOKUP($F58,$F$24:$BZ$44,U$2-$E$2,FALSE)*$D$11*$D$14*(1+$D$13)^($F58-'הנחות עבודה'!$C$5)/$D$11)</f>
        <v>0</v>
      </c>
      <c r="V58" s="127">
        <f ca="1">IF($F58&gt;$D$5,0,VLOOKUP($F58,$F$24:$BZ$44,V$2-$E$2,FALSE)*$D$11*$D$14*(1+$D$13)^($F58-'הנחות עבודה'!$C$5)/$D$11)</f>
        <v>0</v>
      </c>
      <c r="W58" s="127">
        <f ca="1">IF($F58&gt;$D$5,0,VLOOKUP($F58,$F$24:$BZ$44,W$2-$E$2,FALSE)*$D$11*$D$14*(1+$D$13)^($F58-'הנחות עבודה'!$C$5)/$D$11)</f>
        <v>0</v>
      </c>
      <c r="X58" s="127">
        <f ca="1">IF($F58&gt;$D$5,0,VLOOKUP($F58,$F$24:$BZ$44,X$2-$E$2,FALSE)*$D$11*$D$14*(1+$D$13)^($F58-'הנחות עבודה'!$C$5)/$D$11)</f>
        <v>0</v>
      </c>
      <c r="Y58" s="52">
        <f ca="1">IF($F58&gt;$D$5,0,VLOOKUP($F58,$F$24:$BZ$44,Y$2-$E$2,FALSE)*$D$11*$D$14*(1+$D$13)^($F58-'הנחות עבודה'!$C$5)/$D$11)</f>
        <v>12.78315565922659</v>
      </c>
      <c r="Z58" s="52">
        <f ca="1">IF($F58&gt;$D$5,0,VLOOKUP($F58,$F$24:$BZ$44,Z$2-$E$2,FALSE)*$D$11*$D$14*(1+$D$13)^($F58-'הנחות עבודה'!$C$5)/$D$11)</f>
        <v>52.34667117289105</v>
      </c>
      <c r="AA58" s="52">
        <f ca="1">IF($F58&gt;$D$5,0,VLOOKUP($F58,$F$24:$BZ$44,AA$2-$E$2,FALSE)*$D$11*$D$14*(1+$D$13)^($F58-'הנחות עבודה'!$C$5)/$D$11)</f>
        <v>0</v>
      </c>
      <c r="AB58" s="52">
        <f ca="1">IF($F58&gt;$D$5,0,VLOOKUP($F58,$F$24:$BZ$44,AB$2-$E$2,FALSE)*$D$11*$D$14*(1+$D$13)^($F58-'הנחות עבודה'!$C$5)/$D$11)</f>
        <v>0</v>
      </c>
      <c r="AC58" s="52">
        <f ca="1">IF($F58&gt;$D$5,0,VLOOKUP($F58,$F$24:$BZ$44,AC$2-$E$2,FALSE)*$D$11*$D$14*(1+$D$13)^($F58-'הנחות עבודה'!$C$5)/$D$11)</f>
        <v>0</v>
      </c>
      <c r="AD58" s="52">
        <f ca="1">IF($F58&gt;$D$5,0,VLOOKUP($F58,$F$24:$BZ$44,AD$2-$E$2,FALSE)*$D$11*$D$14*(1+$D$13)^($F58-'הנחות עבודה'!$C$5)/$D$11)</f>
        <v>0</v>
      </c>
      <c r="AE58" s="42">
        <f ca="1">IF($F58&gt;$D$5,0,VLOOKUP($F58,$F$24:$BZ$44,AE$2-$E$2,FALSE)*$D$11*$D$14*(1+$D$13)^($F58-'הנחות עבודה'!$C$5)/$D$11)</f>
        <v>0</v>
      </c>
      <c r="AF58" s="44">
        <f ca="1">IF($F58&gt;$D$5,0,VLOOKUP($F58,$F$24:$BZ$44,AF$2-$E$2,FALSE)*$D$11*$D$14*(1+$D$13)^($F58-'הנחות עבודה'!$C$5)/$D$11)</f>
        <v>0</v>
      </c>
      <c r="AG58" s="44">
        <f ca="1">IF($F58&gt;$D$5,0,VLOOKUP($F58,$F$24:$BZ$44,AG$2-$E$2,FALSE)*$D$11*$D$14*(1+$D$13)^($F58-'הנחות עבודה'!$C$5)/$D$11)</f>
        <v>0</v>
      </c>
      <c r="AH58" s="44">
        <f ca="1">IF($F58&gt;$D$5,0,VLOOKUP($F58,$F$24:$BZ$44,AH$2-$E$2,FALSE)*$D$11*$D$14*(1+$D$13)^($F58-'הנחות עבודה'!$C$5)/$D$11)</f>
        <v>0</v>
      </c>
      <c r="AI58" s="44">
        <f ca="1">IF($F58&gt;$D$5,0,VLOOKUP($F58,$F$24:$BZ$44,AI$2-$E$2,FALSE)*$D$11*$D$14*(1+$D$13)^($F58-'הנחות עבודה'!$C$5)/$D$11)</f>
        <v>0</v>
      </c>
      <c r="AJ58" s="44">
        <f ca="1">IF($F58&gt;$D$5,0,VLOOKUP($F58,$F$24:$BZ$44,AJ$2-$E$2,FALSE)*$D$11*$D$14*(1+$D$13)^($F58-'הנחות עבודה'!$C$5)/$D$11)</f>
        <v>0</v>
      </c>
      <c r="AK58" s="42">
        <f ca="1">IF($F58&gt;$D$5,0,VLOOKUP($F58,$F$24:$BZ$44,AK$2-$E$2,FALSE)*$D$11*$D$14*(1+$D$13)^($F58-'הנחות עבודה'!$C$5)/$D$11)</f>
        <v>12.683289728017758</v>
      </c>
      <c r="AL58" s="42">
        <f ca="1">IF($F58&gt;$D$5,0,VLOOKUP($F58,$F$24:$BZ$44,AL$2-$E$2,FALSE)*$D$11*$D$14*(1+$D$13)^($F58-'הנחות עבודה'!$C$5)/$D$11)</f>
        <v>47.92737170309325</v>
      </c>
      <c r="AM58" s="42">
        <f ca="1">IF($F58&gt;$D$5,0,VLOOKUP($F58,$F$24:$BZ$44,AM$2-$E$2,FALSE)*$D$11*$D$14*(1+$D$13)^($F58-'הנחות עבודה'!$C$5)/$D$11)</f>
        <v>0</v>
      </c>
      <c r="AN58" s="42">
        <f ca="1">IF($F58&gt;$D$5,0,VLOOKUP($F58,$F$24:$BZ$44,AN$2-$E$2,FALSE)*$D$11*$D$14*(1+$D$13)^($F58-'הנחות עבודה'!$C$5)/$D$11)</f>
        <v>0</v>
      </c>
      <c r="AO58" s="42">
        <f ca="1">IF($F58&gt;$D$5,0,VLOOKUP($F58,$F$24:$BZ$44,AO$2-$E$2,FALSE)*$D$11*$D$14*(1+$D$13)^($F58-'הנחות עבודה'!$C$5)/$D$11)</f>
        <v>0</v>
      </c>
      <c r="AP58" s="42">
        <f ca="1">IF($F58&gt;$D$5,0,VLOOKUP($F58,$F$24:$BZ$44,AP$2-$E$2,FALSE)*$D$11*$D$14*(1+$D$13)^($F58-'הנחות עבודה'!$C$5)/$D$11)</f>
        <v>0</v>
      </c>
      <c r="AQ58" s="52">
        <f ca="1">IF($F58&gt;$D$5,0,VLOOKUP($F58,$F$24:$BZ$44,AQ$2-$E$2,FALSE)*$D$11*$D$14*(1+$D$13)^($F58-'הנחות עבודה'!$C$5)/$D$11)</f>
        <v>0</v>
      </c>
      <c r="AR58" s="127">
        <f ca="1">IF($F58&gt;$D$5,0,VLOOKUP($F58,$F$24:$BZ$44,AR$2-$E$2,FALSE)*$D$11*$D$14*(1+$D$13)^($F58-'הנחות עבודה'!$C$5)/$D$11)</f>
        <v>0</v>
      </c>
      <c r="AS58" s="127">
        <f ca="1">IF($F58&gt;$D$5,0,VLOOKUP($F58,$F$24:$BZ$44,AS$2-$E$2,FALSE)*$D$11*$D$14*(1+$D$13)^($F58-'הנחות עבודה'!$C$5)/$D$11)</f>
        <v>0</v>
      </c>
      <c r="AT58" s="127">
        <f ca="1">IF($F58&gt;$D$5,0,VLOOKUP($F58,$F$24:$BZ$44,AT$2-$E$2,FALSE)*$D$11*$D$14*(1+$D$13)^($F58-'הנחות עבודה'!$C$5)/$D$11)</f>
        <v>0</v>
      </c>
      <c r="AU58" s="127">
        <f ca="1">IF($F58&gt;$D$5,0,VLOOKUP($F58,$F$24:$BZ$44,AU$2-$E$2,FALSE)*$D$11*$D$14*(1+$D$13)^($F58-'הנחות עבודה'!$C$5)/$D$11)</f>
        <v>0</v>
      </c>
      <c r="AV58" s="127">
        <f ca="1">IF($F58&gt;$D$5,0,VLOOKUP($F58,$F$24:$BZ$44,AV$2-$E$2,FALSE)*$D$11*$D$14*(1+$D$13)^($F58-'הנחות עבודה'!$C$5)/$D$11)</f>
        <v>0</v>
      </c>
      <c r="AW58" s="52">
        <f ca="1">IF($F58&gt;$D$5,0,VLOOKUP($F58,$F$24:$BZ$44,AW$2-$E$2,FALSE)*$D$11*$D$14*(1+$D$13)^($F58-'הנחות עבודה'!$C$5)/$D$11)</f>
        <v>12.683289728017758</v>
      </c>
      <c r="AX58" s="52">
        <f ca="1">IF($F58&gt;$D$5,0,VLOOKUP($F58,$F$24:$BZ$44,AX$2-$E$2,FALSE)*$D$11*$D$14*(1+$D$13)^($F58-'הנחות עבודה'!$C$5)/$D$11)</f>
        <v>47.92737170309325</v>
      </c>
      <c r="AY58" s="52">
        <f ca="1">IF($F58&gt;$D$5,0,VLOOKUP($F58,$F$24:$BZ$44,AY$2-$E$2,FALSE)*$D$11*$D$14*(1+$D$13)^($F58-'הנחות עבודה'!$C$5)/$D$11)</f>
        <v>0</v>
      </c>
      <c r="AZ58" s="52">
        <f ca="1">IF($F58&gt;$D$5,0,VLOOKUP($F58,$F$24:$BZ$44,AZ$2-$E$2,FALSE)*$D$11*$D$14*(1+$D$13)^($F58-'הנחות עבודה'!$C$5)/$D$11)</f>
        <v>0</v>
      </c>
      <c r="BA58" s="52">
        <f ca="1">IF($F58&gt;$D$5,0,VLOOKUP($F58,$F$24:$BZ$44,BA$2-$E$2,FALSE)*$D$11*$D$14*(1+$D$13)^($F58-'הנחות עבודה'!$C$5)/$D$11)</f>
        <v>0</v>
      </c>
      <c r="BB58" s="52">
        <f ca="1">IF($F58&gt;$D$5,0,VLOOKUP($F58,$F$24:$BZ$44,BB$2-$E$2,FALSE)*$D$11*$D$14*(1+$D$13)^($F58-'הנחות עבודה'!$C$5)/$D$11)</f>
        <v>0</v>
      </c>
      <c r="BC58" s="42">
        <f ca="1">IF($F58&gt;$D$5,0,VLOOKUP($F58,$F$24:$BZ$44,BC$2-$E$2,FALSE)*$D$11*$D$14*(1+$D$13)^($F58-'הנחות עבודה'!$C$5)/$D$11)</f>
        <v>0</v>
      </c>
      <c r="BD58" s="44">
        <f ca="1">IF($F58&gt;$D$5,0,VLOOKUP($F58,$F$24:$BZ$44,BD$2-$E$2,FALSE)*$D$11*$D$14*(1+$D$13)^($F58-'הנחות עבודה'!$C$5)/$D$11)</f>
        <v>0</v>
      </c>
      <c r="BE58" s="44">
        <f ca="1">IF($F58&gt;$D$5,0,VLOOKUP($F58,$F$24:$BZ$44,BE$2-$E$2,FALSE)*$D$11*$D$14*(1+$D$13)^($F58-'הנחות עבודה'!$C$5)/$D$11)</f>
        <v>0</v>
      </c>
      <c r="BF58" s="44">
        <f ca="1">IF($F58&gt;$D$5,0,VLOOKUP($F58,$F$24:$BZ$44,BF$2-$E$2,FALSE)*$D$11*$D$14*(1+$D$13)^($F58-'הנחות עבודה'!$C$5)/$D$11)</f>
        <v>0</v>
      </c>
      <c r="BG58" s="44">
        <f ca="1">IF($F58&gt;$D$5,0,VLOOKUP($F58,$F$24:$BZ$44,BG$2-$E$2,FALSE)*$D$11*$D$14*(1+$D$13)^($F58-'הנחות עבודה'!$C$5)/$D$11)</f>
        <v>0</v>
      </c>
      <c r="BH58" s="44">
        <f ca="1">IF($F58&gt;$D$5,0,VLOOKUP($F58,$F$24:$BZ$44,BH$2-$E$2,FALSE)*$D$11*$D$14*(1+$D$13)^($F58-'הנחות עבודה'!$C$5)/$D$11)</f>
        <v>0</v>
      </c>
      <c r="BI58" s="42">
        <f ca="1">IF($F58&gt;$D$5,0,VLOOKUP($F58,$F$24:$BZ$44,BI$2-$E$2,FALSE)*$D$11*$D$14*(1+$D$13)^($F58-'הנחות עבודה'!$C$5)/$D$11)</f>
        <v>12.862998796245646</v>
      </c>
      <c r="BJ58" s="42">
        <f ca="1">IF($F58&gt;$D$5,0,VLOOKUP($F58,$F$24:$BZ$44,BJ$2-$E$2,FALSE)*$D$11*$D$14*(1+$D$13)^($F58-'הנחות עבודה'!$C$5)/$D$11)</f>
        <v>45.092905703160781</v>
      </c>
      <c r="BK58" s="42">
        <f ca="1">IF($F58&gt;$D$5,0,VLOOKUP($F58,$F$24:$BZ$44,BK$2-$E$2,FALSE)*$D$11*$D$14*(1+$D$13)^($F58-'הנחות עבודה'!$C$5)/$D$11)</f>
        <v>0</v>
      </c>
      <c r="BL58" s="42">
        <f ca="1">IF($F58&gt;$D$5,0,VLOOKUP($F58,$F$24:$BZ$44,BL$2-$E$2,FALSE)*$D$11*$D$14*(1+$D$13)^($F58-'הנחות עבודה'!$C$5)/$D$11)</f>
        <v>0</v>
      </c>
      <c r="BM58" s="42">
        <f ca="1">IF($F58&gt;$D$5,0,VLOOKUP($F58,$F$24:$BZ$44,BM$2-$E$2,FALSE)*$D$11*$D$14*(1+$D$13)^($F58-'הנחות עבודה'!$C$5)/$D$11)</f>
        <v>0</v>
      </c>
      <c r="BN58" s="42">
        <f ca="1">IF($F58&gt;$D$5,0,VLOOKUP($F58,$F$24:$BZ$44,BN$2-$E$2,FALSE)*$D$11*$D$14*(1+$D$13)^($F58-'הנחות עבודה'!$C$5)/$D$11)</f>
        <v>0</v>
      </c>
      <c r="BO58" s="52">
        <f ca="1">IF($F58&gt;$D$5,0,VLOOKUP($F58,$F$24:$BZ$44,BO$2-$E$2,FALSE)*$D$11*$D$14*(1+$D$13)^($F58-'הנחות עבודה'!$C$5)/$D$11)</f>
        <v>0</v>
      </c>
      <c r="BP58" s="127">
        <f ca="1">IF($F58&gt;$D$5,0,VLOOKUP($F58,$F$24:$BZ$44,BP$2-$E$2,FALSE)*$D$11*$D$14*(1+$D$13)^($F58-'הנחות עבודה'!$C$5)/$D$11)</f>
        <v>0</v>
      </c>
      <c r="BQ58" s="127">
        <f ca="1">IF($F58&gt;$D$5,0,VLOOKUP($F58,$F$24:$BZ$44,BQ$2-$E$2,FALSE)*$D$11*$D$14*(1+$D$13)^($F58-'הנחות עבודה'!$C$5)/$D$11)</f>
        <v>0</v>
      </c>
      <c r="BR58" s="127">
        <f ca="1">IF($F58&gt;$D$5,0,VLOOKUP($F58,$F$24:$BZ$44,BR$2-$E$2,FALSE)*$D$11*$D$14*(1+$D$13)^($F58-'הנחות עבודה'!$C$5)/$D$11)</f>
        <v>0</v>
      </c>
      <c r="BS58" s="127">
        <f ca="1">IF($F58&gt;$D$5,0,VLOOKUP($F58,$F$24:$BZ$44,BS$2-$E$2,FALSE)*$D$11*$D$14*(1+$D$13)^($F58-'הנחות עבודה'!$C$5)/$D$11)</f>
        <v>0</v>
      </c>
      <c r="BT58" s="127">
        <f ca="1">IF($F58&gt;$D$5,0,VLOOKUP($F58,$F$24:$BZ$44,BT$2-$E$2,FALSE)*$D$11*$D$14*(1+$D$13)^($F58-'הנחות עבודה'!$C$5)/$D$11)</f>
        <v>0</v>
      </c>
      <c r="BU58" s="52">
        <f ca="1">IF($F58&gt;$D$5,0,VLOOKUP($F58,$F$24:$BZ$44,BU$2-$E$2,FALSE)*$D$11*$D$14*(1+$D$13)^($F58-'הנחות עבודה'!$C$5)/$D$11)</f>
        <v>12.862998796245646</v>
      </c>
      <c r="BV58" s="52">
        <f ca="1">IF($F58&gt;$D$5,0,VLOOKUP($F58,$F$24:$BZ$44,BV$2-$E$2,FALSE)*$D$11*$D$14*(1+$D$13)^($F58-'הנחות עבודה'!$C$5)/$D$11)</f>
        <v>45.092905703160781</v>
      </c>
      <c r="BW58" s="52">
        <f ca="1">IF($F58&gt;$D$5,0,VLOOKUP($F58,$F$24:$BZ$44,BW$2-$E$2,FALSE)*$D$11*$D$14*(1+$D$13)^($F58-'הנחות עבודה'!$C$5)/$D$11)</f>
        <v>0</v>
      </c>
      <c r="BX58" s="52">
        <f ca="1">IF($F58&gt;$D$5,0,VLOOKUP($F58,$F$24:$BZ$44,BX$2-$E$2,FALSE)*$D$11*$D$14*(1+$D$13)^($F58-'הנחות עבודה'!$C$5)/$D$11)</f>
        <v>0</v>
      </c>
      <c r="BY58" s="52">
        <f ca="1">IF($F58&gt;$D$5,0,VLOOKUP($F58,$F$24:$BZ$44,BY$2-$E$2,FALSE)*$D$11*$D$14*(1+$D$13)^($F58-'הנחות עבודה'!$C$5)/$D$11)</f>
        <v>0</v>
      </c>
      <c r="BZ58" s="52">
        <f ca="1">IF($F58&gt;$D$5,0,VLOOKUP($F58,$F$24:$BZ$44,BZ$2-$E$2,FALSE)*$D$11*$D$14*(1+$D$13)^($F58-'הנחות עבודה'!$C$5)/$D$11)</f>
        <v>0</v>
      </c>
    </row>
    <row r="59" spans="6:78" ht="15.75">
      <c r="F59" s="10">
        <f t="shared" si="123"/>
        <v>2028</v>
      </c>
      <c r="G59" s="42">
        <f ca="1">IF($F59&gt;$D$5,0,VLOOKUP($F59,$F$24:$BZ$44,G$2-$E$2,FALSE)*$D$11*$D$14*(1+$D$13)^($F59-'הנחות עבודה'!$C$5)/$D$11)</f>
        <v>0</v>
      </c>
      <c r="H59" s="44">
        <f ca="1">IF($F59&gt;$D$5,0,VLOOKUP($F59,$F$24:$BZ$44,H$2-$E$2,FALSE)*$D$11*$D$14*(1+$D$13)^($F59-'הנחות עבודה'!$C$5)/$D$11)</f>
        <v>0</v>
      </c>
      <c r="I59" s="44">
        <f ca="1">IF($F59&gt;$D$5,0,VLOOKUP($F59,$F$24:$BZ$44,I$2-$E$2,FALSE)*$D$11*$D$14*(1+$D$13)^($F59-'הנחות עבודה'!$C$5)/$D$11)</f>
        <v>0</v>
      </c>
      <c r="J59" s="44">
        <f ca="1">IF($F59&gt;$D$5,0,VLOOKUP($F59,$F$24:$BZ$44,J$2-$E$2,FALSE)*$D$11*$D$14*(1+$D$13)^($F59-'הנחות עבודה'!$C$5)/$D$11)</f>
        <v>0</v>
      </c>
      <c r="K59" s="44">
        <f ca="1">IF($F59&gt;$D$5,0,VLOOKUP($F59,$F$24:$BZ$44,K$2-$E$2,FALSE)*$D$11*$D$14*(1+$D$13)^($F59-'הנחות עבודה'!$C$5)/$D$11)</f>
        <v>0</v>
      </c>
      <c r="L59" s="44">
        <f ca="1">IF($F59&gt;$D$5,0,VLOOKUP($F59,$F$24:$BZ$44,L$2-$E$2,FALSE)*$D$11*$D$14*(1+$D$13)^($F59-'הנחות עבודה'!$C$5)/$D$11)</f>
        <v>0</v>
      </c>
      <c r="M59" s="42">
        <f ca="1">IF($F59&gt;$D$5,0,VLOOKUP($F59,$F$24:$BZ$44,M$2-$E$2,FALSE)*$D$11*$D$14*(1+$D$13)^($F59-'הנחות עבודה'!$C$5)/$D$11)</f>
        <v>12.927879786122572</v>
      </c>
      <c r="N59" s="42">
        <f ca="1">IF($F59&gt;$D$5,0,VLOOKUP($F59,$F$24:$BZ$44,N$2-$E$2,FALSE)*$D$11*$D$14*(1+$D$13)^($F59-'הנחות עבודה'!$C$5)/$D$11)</f>
        <v>55.364537433671423</v>
      </c>
      <c r="O59" s="42">
        <f ca="1">IF($F59&gt;$D$5,0,VLOOKUP($F59,$F$24:$BZ$44,O$2-$E$2,FALSE)*$D$11*$D$14*(1+$D$13)^($F59-'הנחות עבודה'!$C$5)/$D$11)</f>
        <v>0</v>
      </c>
      <c r="P59" s="42">
        <f ca="1">IF($F59&gt;$D$5,0,VLOOKUP($F59,$F$24:$BZ$44,P$2-$E$2,FALSE)*$D$11*$D$14*(1+$D$13)^($F59-'הנחות עבודה'!$C$5)/$D$11)</f>
        <v>0</v>
      </c>
      <c r="Q59" s="42">
        <f ca="1">IF($F59&gt;$D$5,0,VLOOKUP($F59,$F$24:$BZ$44,Q$2-$E$2,FALSE)*$D$11*$D$14*(1+$D$13)^($F59-'הנחות עבודה'!$C$5)/$D$11)</f>
        <v>0</v>
      </c>
      <c r="R59" s="42">
        <f ca="1">IF($F59&gt;$D$5,0,VLOOKUP($F59,$F$24:$BZ$44,R$2-$E$2,FALSE)*$D$11*$D$14*(1+$D$13)^($F59-'הנחות עבודה'!$C$5)/$D$11)</f>
        <v>0</v>
      </c>
      <c r="S59" s="52">
        <f ca="1">IF($F59&gt;$D$5,0,VLOOKUP($F59,$F$24:$BZ$44,S$2-$E$2,FALSE)*$D$11*$D$14*(1+$D$13)^($F59-'הנחות עבודה'!$C$5)/$D$11)</f>
        <v>0</v>
      </c>
      <c r="T59" s="127">
        <f ca="1">IF($F59&gt;$D$5,0,VLOOKUP($F59,$F$24:$BZ$44,T$2-$E$2,FALSE)*$D$11*$D$14*(1+$D$13)^($F59-'הנחות עבודה'!$C$5)/$D$11)</f>
        <v>0</v>
      </c>
      <c r="U59" s="127">
        <f ca="1">IF($F59&gt;$D$5,0,VLOOKUP($F59,$F$24:$BZ$44,U$2-$E$2,FALSE)*$D$11*$D$14*(1+$D$13)^($F59-'הנחות עבודה'!$C$5)/$D$11)</f>
        <v>0</v>
      </c>
      <c r="V59" s="127">
        <f ca="1">IF($F59&gt;$D$5,0,VLOOKUP($F59,$F$24:$BZ$44,V$2-$E$2,FALSE)*$D$11*$D$14*(1+$D$13)^($F59-'הנחות עבודה'!$C$5)/$D$11)</f>
        <v>0</v>
      </c>
      <c r="W59" s="127">
        <f ca="1">IF($F59&gt;$D$5,0,VLOOKUP($F59,$F$24:$BZ$44,W$2-$E$2,FALSE)*$D$11*$D$14*(1+$D$13)^($F59-'הנחות עבודה'!$C$5)/$D$11)</f>
        <v>0</v>
      </c>
      <c r="X59" s="127">
        <f ca="1">IF($F59&gt;$D$5,0,VLOOKUP($F59,$F$24:$BZ$44,X$2-$E$2,FALSE)*$D$11*$D$14*(1+$D$13)^($F59-'הנחות עבודה'!$C$5)/$D$11)</f>
        <v>0</v>
      </c>
      <c r="Y59" s="52">
        <f ca="1">IF($F59&gt;$D$5,0,VLOOKUP($F59,$F$24:$BZ$44,Y$2-$E$2,FALSE)*$D$11*$D$14*(1+$D$13)^($F59-'הנחות עבודה'!$C$5)/$D$11)</f>
        <v>12.927879786122572</v>
      </c>
      <c r="Z59" s="52">
        <f ca="1">IF($F59&gt;$D$5,0,VLOOKUP($F59,$F$24:$BZ$44,Z$2-$E$2,FALSE)*$D$11*$D$14*(1+$D$13)^($F59-'הנחות עבודה'!$C$5)/$D$11)</f>
        <v>55.364537433671423</v>
      </c>
      <c r="AA59" s="52">
        <f ca="1">IF($F59&gt;$D$5,0,VLOOKUP($F59,$F$24:$BZ$44,AA$2-$E$2,FALSE)*$D$11*$D$14*(1+$D$13)^($F59-'הנחות עבודה'!$C$5)/$D$11)</f>
        <v>0</v>
      </c>
      <c r="AB59" s="52">
        <f ca="1">IF($F59&gt;$D$5,0,VLOOKUP($F59,$F$24:$BZ$44,AB$2-$E$2,FALSE)*$D$11*$D$14*(1+$D$13)^($F59-'הנחות עבודה'!$C$5)/$D$11)</f>
        <v>0</v>
      </c>
      <c r="AC59" s="52">
        <f ca="1">IF($F59&gt;$D$5,0,VLOOKUP($F59,$F$24:$BZ$44,AC$2-$E$2,FALSE)*$D$11*$D$14*(1+$D$13)^($F59-'הנחות עבודה'!$C$5)/$D$11)</f>
        <v>0</v>
      </c>
      <c r="AD59" s="52">
        <f ca="1">IF($F59&gt;$D$5,0,VLOOKUP($F59,$F$24:$BZ$44,AD$2-$E$2,FALSE)*$D$11*$D$14*(1+$D$13)^($F59-'הנחות עבודה'!$C$5)/$D$11)</f>
        <v>0</v>
      </c>
      <c r="AE59" s="42">
        <f ca="1">IF($F59&gt;$D$5,0,VLOOKUP($F59,$F$24:$BZ$44,AE$2-$E$2,FALSE)*$D$11*$D$14*(1+$D$13)^($F59-'הנחות עבודה'!$C$5)/$D$11)</f>
        <v>0</v>
      </c>
      <c r="AF59" s="44">
        <f ca="1">IF($F59&gt;$D$5,0,VLOOKUP($F59,$F$24:$BZ$44,AF$2-$E$2,FALSE)*$D$11*$D$14*(1+$D$13)^($F59-'הנחות עבודה'!$C$5)/$D$11)</f>
        <v>0</v>
      </c>
      <c r="AG59" s="44">
        <f ca="1">IF($F59&gt;$D$5,0,VLOOKUP($F59,$F$24:$BZ$44,AG$2-$E$2,FALSE)*$D$11*$D$14*(1+$D$13)^($F59-'הנחות עבודה'!$C$5)/$D$11)</f>
        <v>0</v>
      </c>
      <c r="AH59" s="44">
        <f ca="1">IF($F59&gt;$D$5,0,VLOOKUP($F59,$F$24:$BZ$44,AH$2-$E$2,FALSE)*$D$11*$D$14*(1+$D$13)^($F59-'הנחות עבודה'!$C$5)/$D$11)</f>
        <v>0</v>
      </c>
      <c r="AI59" s="44">
        <f ca="1">IF($F59&gt;$D$5,0,VLOOKUP($F59,$F$24:$BZ$44,AI$2-$E$2,FALSE)*$D$11*$D$14*(1+$D$13)^($F59-'הנחות עבודה'!$C$5)/$D$11)</f>
        <v>0</v>
      </c>
      <c r="AJ59" s="44">
        <f ca="1">IF($F59&gt;$D$5,0,VLOOKUP($F59,$F$24:$BZ$44,AJ$2-$E$2,FALSE)*$D$11*$D$14*(1+$D$13)^($F59-'הנחות עבודה'!$C$5)/$D$11)</f>
        <v>0</v>
      </c>
      <c r="AK59" s="42">
        <f ca="1">IF($F59&gt;$D$5,0,VLOOKUP($F59,$F$24:$BZ$44,AK$2-$E$2,FALSE)*$D$11*$D$14*(1+$D$13)^($F59-'הנחות עבודה'!$C$5)/$D$11)</f>
        <v>13.205816270959387</v>
      </c>
      <c r="AL59" s="42">
        <f ca="1">IF($F59&gt;$D$5,0,VLOOKUP($F59,$F$24:$BZ$44,AL$2-$E$2,FALSE)*$D$11*$D$14*(1+$D$13)^($F59-'הנחות עבודה'!$C$5)/$D$11)</f>
        <v>49.732879151731041</v>
      </c>
      <c r="AM59" s="42">
        <f ca="1">IF($F59&gt;$D$5,0,VLOOKUP($F59,$F$24:$BZ$44,AM$2-$E$2,FALSE)*$D$11*$D$14*(1+$D$13)^($F59-'הנחות עבודה'!$C$5)/$D$11)</f>
        <v>0</v>
      </c>
      <c r="AN59" s="42">
        <f ca="1">IF($F59&gt;$D$5,0,VLOOKUP($F59,$F$24:$BZ$44,AN$2-$E$2,FALSE)*$D$11*$D$14*(1+$D$13)^($F59-'הנחות עבודה'!$C$5)/$D$11)</f>
        <v>0</v>
      </c>
      <c r="AO59" s="42">
        <f ca="1">IF($F59&gt;$D$5,0,VLOOKUP($F59,$F$24:$BZ$44,AO$2-$E$2,FALSE)*$D$11*$D$14*(1+$D$13)^($F59-'הנחות עבודה'!$C$5)/$D$11)</f>
        <v>0</v>
      </c>
      <c r="AP59" s="42">
        <f ca="1">IF($F59&gt;$D$5,0,VLOOKUP($F59,$F$24:$BZ$44,AP$2-$E$2,FALSE)*$D$11*$D$14*(1+$D$13)^($F59-'הנחות עבודה'!$C$5)/$D$11)</f>
        <v>0</v>
      </c>
      <c r="AQ59" s="52">
        <f ca="1">IF($F59&gt;$D$5,0,VLOOKUP($F59,$F$24:$BZ$44,AQ$2-$E$2,FALSE)*$D$11*$D$14*(1+$D$13)^($F59-'הנחות עבודה'!$C$5)/$D$11)</f>
        <v>0</v>
      </c>
      <c r="AR59" s="127">
        <f ca="1">IF($F59&gt;$D$5,0,VLOOKUP($F59,$F$24:$BZ$44,AR$2-$E$2,FALSE)*$D$11*$D$14*(1+$D$13)^($F59-'הנחות עבודה'!$C$5)/$D$11)</f>
        <v>0</v>
      </c>
      <c r="AS59" s="127">
        <f ca="1">IF($F59&gt;$D$5,0,VLOOKUP($F59,$F$24:$BZ$44,AS$2-$E$2,FALSE)*$D$11*$D$14*(1+$D$13)^($F59-'הנחות עבודה'!$C$5)/$D$11)</f>
        <v>0</v>
      </c>
      <c r="AT59" s="127">
        <f ca="1">IF($F59&gt;$D$5,0,VLOOKUP($F59,$F$24:$BZ$44,AT$2-$E$2,FALSE)*$D$11*$D$14*(1+$D$13)^($F59-'הנחות עבודה'!$C$5)/$D$11)</f>
        <v>0</v>
      </c>
      <c r="AU59" s="127">
        <f ca="1">IF($F59&gt;$D$5,0,VLOOKUP($F59,$F$24:$BZ$44,AU$2-$E$2,FALSE)*$D$11*$D$14*(1+$D$13)^($F59-'הנחות עבודה'!$C$5)/$D$11)</f>
        <v>0</v>
      </c>
      <c r="AV59" s="127">
        <f ca="1">IF($F59&gt;$D$5,0,VLOOKUP($F59,$F$24:$BZ$44,AV$2-$E$2,FALSE)*$D$11*$D$14*(1+$D$13)^($F59-'הנחות עבודה'!$C$5)/$D$11)</f>
        <v>0</v>
      </c>
      <c r="AW59" s="52">
        <f ca="1">IF($F59&gt;$D$5,0,VLOOKUP($F59,$F$24:$BZ$44,AW$2-$E$2,FALSE)*$D$11*$D$14*(1+$D$13)^($F59-'הנחות עבודה'!$C$5)/$D$11)</f>
        <v>13.205816270959387</v>
      </c>
      <c r="AX59" s="52">
        <f ca="1">IF($F59&gt;$D$5,0,VLOOKUP($F59,$F$24:$BZ$44,AX$2-$E$2,FALSE)*$D$11*$D$14*(1+$D$13)^($F59-'הנחות עבודה'!$C$5)/$D$11)</f>
        <v>49.732879151731041</v>
      </c>
      <c r="AY59" s="52">
        <f ca="1">IF($F59&gt;$D$5,0,VLOOKUP($F59,$F$24:$BZ$44,AY$2-$E$2,FALSE)*$D$11*$D$14*(1+$D$13)^($F59-'הנחות עבודה'!$C$5)/$D$11)</f>
        <v>0</v>
      </c>
      <c r="AZ59" s="52">
        <f ca="1">IF($F59&gt;$D$5,0,VLOOKUP($F59,$F$24:$BZ$44,AZ$2-$E$2,FALSE)*$D$11*$D$14*(1+$D$13)^($F59-'הנחות עבודה'!$C$5)/$D$11)</f>
        <v>0</v>
      </c>
      <c r="BA59" s="52">
        <f ca="1">IF($F59&gt;$D$5,0,VLOOKUP($F59,$F$24:$BZ$44,BA$2-$E$2,FALSE)*$D$11*$D$14*(1+$D$13)^($F59-'הנחות עבודה'!$C$5)/$D$11)</f>
        <v>0</v>
      </c>
      <c r="BB59" s="52">
        <f ca="1">IF($F59&gt;$D$5,0,VLOOKUP($F59,$F$24:$BZ$44,BB$2-$E$2,FALSE)*$D$11*$D$14*(1+$D$13)^($F59-'הנחות עבודה'!$C$5)/$D$11)</f>
        <v>0</v>
      </c>
      <c r="BC59" s="42">
        <f ca="1">IF($F59&gt;$D$5,0,VLOOKUP($F59,$F$24:$BZ$44,BC$2-$E$2,FALSE)*$D$11*$D$14*(1+$D$13)^($F59-'הנחות עבודה'!$C$5)/$D$11)</f>
        <v>0</v>
      </c>
      <c r="BD59" s="44">
        <f ca="1">IF($F59&gt;$D$5,0,VLOOKUP($F59,$F$24:$BZ$44,BD$2-$E$2,FALSE)*$D$11*$D$14*(1+$D$13)^($F59-'הנחות עבודה'!$C$5)/$D$11)</f>
        <v>0</v>
      </c>
      <c r="BE59" s="44">
        <f ca="1">IF($F59&gt;$D$5,0,VLOOKUP($F59,$F$24:$BZ$44,BE$2-$E$2,FALSE)*$D$11*$D$14*(1+$D$13)^($F59-'הנחות עבודה'!$C$5)/$D$11)</f>
        <v>0</v>
      </c>
      <c r="BF59" s="44">
        <f ca="1">IF($F59&gt;$D$5,0,VLOOKUP($F59,$F$24:$BZ$44,BF$2-$E$2,FALSE)*$D$11*$D$14*(1+$D$13)^($F59-'הנחות עבודה'!$C$5)/$D$11)</f>
        <v>0</v>
      </c>
      <c r="BG59" s="44">
        <f ca="1">IF($F59&gt;$D$5,0,VLOOKUP($F59,$F$24:$BZ$44,BG$2-$E$2,FALSE)*$D$11*$D$14*(1+$D$13)^($F59-'הנחות עבודה'!$C$5)/$D$11)</f>
        <v>0</v>
      </c>
      <c r="BH59" s="44">
        <f ca="1">IF($F59&gt;$D$5,0,VLOOKUP($F59,$F$24:$BZ$44,BH$2-$E$2,FALSE)*$D$11*$D$14*(1+$D$13)^($F59-'הנחות עבודה'!$C$5)/$D$11)</f>
        <v>0</v>
      </c>
      <c r="BI59" s="42">
        <f ca="1">IF($F59&gt;$D$5,0,VLOOKUP($F59,$F$24:$BZ$44,BI$2-$E$2,FALSE)*$D$11*$D$14*(1+$D$13)^($F59-'הנחות עבודה'!$C$5)/$D$11)</f>
        <v>13.502901297143799</v>
      </c>
      <c r="BJ59" s="42">
        <f ca="1">IF($F59&gt;$D$5,0,VLOOKUP($F59,$F$24:$BZ$44,BJ$2-$E$2,FALSE)*$D$11*$D$14*(1+$D$13)^($F59-'הנחות עבודה'!$C$5)/$D$11)</f>
        <v>46.218526125229722</v>
      </c>
      <c r="BK59" s="42">
        <f ca="1">IF($F59&gt;$D$5,0,VLOOKUP($F59,$F$24:$BZ$44,BK$2-$E$2,FALSE)*$D$11*$D$14*(1+$D$13)^($F59-'הנחות עבודה'!$C$5)/$D$11)</f>
        <v>0</v>
      </c>
      <c r="BL59" s="42">
        <f ca="1">IF($F59&gt;$D$5,0,VLOOKUP($F59,$F$24:$BZ$44,BL$2-$E$2,FALSE)*$D$11*$D$14*(1+$D$13)^($F59-'הנחות עבודה'!$C$5)/$D$11)</f>
        <v>0</v>
      </c>
      <c r="BM59" s="42">
        <f ca="1">IF($F59&gt;$D$5,0,VLOOKUP($F59,$F$24:$BZ$44,BM$2-$E$2,FALSE)*$D$11*$D$14*(1+$D$13)^($F59-'הנחות עבודה'!$C$5)/$D$11)</f>
        <v>0</v>
      </c>
      <c r="BN59" s="42">
        <f ca="1">IF($F59&gt;$D$5,0,VLOOKUP($F59,$F$24:$BZ$44,BN$2-$E$2,FALSE)*$D$11*$D$14*(1+$D$13)^($F59-'הנחות עבודה'!$C$5)/$D$11)</f>
        <v>0</v>
      </c>
      <c r="BO59" s="52">
        <f ca="1">IF($F59&gt;$D$5,0,VLOOKUP($F59,$F$24:$BZ$44,BO$2-$E$2,FALSE)*$D$11*$D$14*(1+$D$13)^($F59-'הנחות עבודה'!$C$5)/$D$11)</f>
        <v>0</v>
      </c>
      <c r="BP59" s="127">
        <f ca="1">IF($F59&gt;$D$5,0,VLOOKUP($F59,$F$24:$BZ$44,BP$2-$E$2,FALSE)*$D$11*$D$14*(1+$D$13)^($F59-'הנחות עבודה'!$C$5)/$D$11)</f>
        <v>0</v>
      </c>
      <c r="BQ59" s="127">
        <f ca="1">IF($F59&gt;$D$5,0,VLOOKUP($F59,$F$24:$BZ$44,BQ$2-$E$2,FALSE)*$D$11*$D$14*(1+$D$13)^($F59-'הנחות עבודה'!$C$5)/$D$11)</f>
        <v>0</v>
      </c>
      <c r="BR59" s="127">
        <f ca="1">IF($F59&gt;$D$5,0,VLOOKUP($F59,$F$24:$BZ$44,BR$2-$E$2,FALSE)*$D$11*$D$14*(1+$D$13)^($F59-'הנחות עבודה'!$C$5)/$D$11)</f>
        <v>0</v>
      </c>
      <c r="BS59" s="127">
        <f ca="1">IF($F59&gt;$D$5,0,VLOOKUP($F59,$F$24:$BZ$44,BS$2-$E$2,FALSE)*$D$11*$D$14*(1+$D$13)^($F59-'הנחות עבודה'!$C$5)/$D$11)</f>
        <v>0</v>
      </c>
      <c r="BT59" s="127">
        <f ca="1">IF($F59&gt;$D$5,0,VLOOKUP($F59,$F$24:$BZ$44,BT$2-$E$2,FALSE)*$D$11*$D$14*(1+$D$13)^($F59-'הנחות עבודה'!$C$5)/$D$11)</f>
        <v>0</v>
      </c>
      <c r="BU59" s="52">
        <f ca="1">IF($F59&gt;$D$5,0,VLOOKUP($F59,$F$24:$BZ$44,BU$2-$E$2,FALSE)*$D$11*$D$14*(1+$D$13)^($F59-'הנחות עבודה'!$C$5)/$D$11)</f>
        <v>13.502901297143799</v>
      </c>
      <c r="BV59" s="52">
        <f ca="1">IF($F59&gt;$D$5,0,VLOOKUP($F59,$F$24:$BZ$44,BV$2-$E$2,FALSE)*$D$11*$D$14*(1+$D$13)^($F59-'הנחות עבודה'!$C$5)/$D$11)</f>
        <v>46.218526125229722</v>
      </c>
      <c r="BW59" s="52">
        <f ca="1">IF($F59&gt;$D$5,0,VLOOKUP($F59,$F$24:$BZ$44,BW$2-$E$2,FALSE)*$D$11*$D$14*(1+$D$13)^($F59-'הנחות עבודה'!$C$5)/$D$11)</f>
        <v>0</v>
      </c>
      <c r="BX59" s="52">
        <f ca="1">IF($F59&gt;$D$5,0,VLOOKUP($F59,$F$24:$BZ$44,BX$2-$E$2,FALSE)*$D$11*$D$14*(1+$D$13)^($F59-'הנחות עבודה'!$C$5)/$D$11)</f>
        <v>0</v>
      </c>
      <c r="BY59" s="52">
        <f ca="1">IF($F59&gt;$D$5,0,VLOOKUP($F59,$F$24:$BZ$44,BY$2-$E$2,FALSE)*$D$11*$D$14*(1+$D$13)^($F59-'הנחות עבודה'!$C$5)/$D$11)</f>
        <v>0</v>
      </c>
      <c r="BZ59" s="52">
        <f ca="1">IF($F59&gt;$D$5,0,VLOOKUP($F59,$F$24:$BZ$44,BZ$2-$E$2,FALSE)*$D$11*$D$14*(1+$D$13)^($F59-'הנחות עבודה'!$C$5)/$D$11)</f>
        <v>0</v>
      </c>
    </row>
    <row r="60" spans="6:78" ht="15.75">
      <c r="F60" s="10">
        <f t="shared" si="123"/>
        <v>2029</v>
      </c>
      <c r="G60" s="42">
        <f ca="1">IF($F60&gt;$D$5,0,VLOOKUP($F60,$F$24:$BZ$44,G$2-$E$2,FALSE)*$D$11*$D$14*(1+$D$13)^($F60-'הנחות עבודה'!$C$5)/$D$11)</f>
        <v>0</v>
      </c>
      <c r="H60" s="44">
        <f ca="1">IF($F60&gt;$D$5,0,VLOOKUP($F60,$F$24:$BZ$44,H$2-$E$2,FALSE)*$D$11*$D$14*(1+$D$13)^($F60-'הנחות עבודה'!$C$5)/$D$11)</f>
        <v>0</v>
      </c>
      <c r="I60" s="44">
        <f ca="1">IF($F60&gt;$D$5,0,VLOOKUP($F60,$F$24:$BZ$44,I$2-$E$2,FALSE)*$D$11*$D$14*(1+$D$13)^($F60-'הנחות עבודה'!$C$5)/$D$11)</f>
        <v>0</v>
      </c>
      <c r="J60" s="44">
        <f ca="1">IF($F60&gt;$D$5,0,VLOOKUP($F60,$F$24:$BZ$44,J$2-$E$2,FALSE)*$D$11*$D$14*(1+$D$13)^($F60-'הנחות עבודה'!$C$5)/$D$11)</f>
        <v>0</v>
      </c>
      <c r="K60" s="44">
        <f ca="1">IF($F60&gt;$D$5,0,VLOOKUP($F60,$F$24:$BZ$44,K$2-$E$2,FALSE)*$D$11*$D$14*(1+$D$13)^($F60-'הנחות עבודה'!$C$5)/$D$11)</f>
        <v>0</v>
      </c>
      <c r="L60" s="44">
        <f ca="1">IF($F60&gt;$D$5,0,VLOOKUP($F60,$F$24:$BZ$44,L$2-$E$2,FALSE)*$D$11*$D$14*(1+$D$13)^($F60-'הנחות עבודה'!$C$5)/$D$11)</f>
        <v>0</v>
      </c>
      <c r="M60" s="42">
        <f ca="1">IF($F60&gt;$D$5,0,VLOOKUP($F60,$F$24:$BZ$44,M$2-$E$2,FALSE)*$D$11*$D$14*(1+$D$13)^($F60-'הנחות עבודה'!$C$5)/$D$11)</f>
        <v>13.403905933763655</v>
      </c>
      <c r="N60" s="42">
        <f ca="1">IF($F60&gt;$D$5,0,VLOOKUP($F60,$F$24:$BZ$44,N$2-$E$2,FALSE)*$D$11*$D$14*(1+$D$13)^($F60-'הנחות עבודה'!$C$5)/$D$11)</f>
        <v>58.588875215697499</v>
      </c>
      <c r="O60" s="42">
        <f ca="1">IF($F60&gt;$D$5,0,VLOOKUP($F60,$F$24:$BZ$44,O$2-$E$2,FALSE)*$D$11*$D$14*(1+$D$13)^($F60-'הנחות עבודה'!$C$5)/$D$11)</f>
        <v>0</v>
      </c>
      <c r="P60" s="42">
        <f ca="1">IF($F60&gt;$D$5,0,VLOOKUP($F60,$F$24:$BZ$44,P$2-$E$2,FALSE)*$D$11*$D$14*(1+$D$13)^($F60-'הנחות עבודה'!$C$5)/$D$11)</f>
        <v>0</v>
      </c>
      <c r="Q60" s="42">
        <f ca="1">IF($F60&gt;$D$5,0,VLOOKUP($F60,$F$24:$BZ$44,Q$2-$E$2,FALSE)*$D$11*$D$14*(1+$D$13)^($F60-'הנחות עבודה'!$C$5)/$D$11)</f>
        <v>0</v>
      </c>
      <c r="R60" s="42">
        <f ca="1">IF($F60&gt;$D$5,0,VLOOKUP($F60,$F$24:$BZ$44,R$2-$E$2,FALSE)*$D$11*$D$14*(1+$D$13)^($F60-'הנחות עבודה'!$C$5)/$D$11)</f>
        <v>0</v>
      </c>
      <c r="S60" s="52">
        <f ca="1">IF($F60&gt;$D$5,0,VLOOKUP($F60,$F$24:$BZ$44,S$2-$E$2,FALSE)*$D$11*$D$14*(1+$D$13)^($F60-'הנחות עבודה'!$C$5)/$D$11)</f>
        <v>0</v>
      </c>
      <c r="T60" s="127">
        <f ca="1">IF($F60&gt;$D$5,0,VLOOKUP($F60,$F$24:$BZ$44,T$2-$E$2,FALSE)*$D$11*$D$14*(1+$D$13)^($F60-'הנחות עבודה'!$C$5)/$D$11)</f>
        <v>0</v>
      </c>
      <c r="U60" s="127">
        <f ca="1">IF($F60&gt;$D$5,0,VLOOKUP($F60,$F$24:$BZ$44,U$2-$E$2,FALSE)*$D$11*$D$14*(1+$D$13)^($F60-'הנחות עבודה'!$C$5)/$D$11)</f>
        <v>0</v>
      </c>
      <c r="V60" s="127">
        <f ca="1">IF($F60&gt;$D$5,0,VLOOKUP($F60,$F$24:$BZ$44,V$2-$E$2,FALSE)*$D$11*$D$14*(1+$D$13)^($F60-'הנחות עבודה'!$C$5)/$D$11)</f>
        <v>0</v>
      </c>
      <c r="W60" s="127">
        <f ca="1">IF($F60&gt;$D$5,0,VLOOKUP($F60,$F$24:$BZ$44,W$2-$E$2,FALSE)*$D$11*$D$14*(1+$D$13)^($F60-'הנחות עבודה'!$C$5)/$D$11)</f>
        <v>0</v>
      </c>
      <c r="X60" s="127">
        <f ca="1">IF($F60&gt;$D$5,0,VLOOKUP($F60,$F$24:$BZ$44,X$2-$E$2,FALSE)*$D$11*$D$14*(1+$D$13)^($F60-'הנחות עבודה'!$C$5)/$D$11)</f>
        <v>0</v>
      </c>
      <c r="Y60" s="52">
        <f ca="1">IF($F60&gt;$D$5,0,VLOOKUP($F60,$F$24:$BZ$44,Y$2-$E$2,FALSE)*$D$11*$D$14*(1+$D$13)^($F60-'הנחות עבודה'!$C$5)/$D$11)</f>
        <v>13.403905933763655</v>
      </c>
      <c r="Z60" s="52">
        <f ca="1">IF($F60&gt;$D$5,0,VLOOKUP($F60,$F$24:$BZ$44,Z$2-$E$2,FALSE)*$D$11*$D$14*(1+$D$13)^($F60-'הנחות עבודה'!$C$5)/$D$11)</f>
        <v>58.588875215697499</v>
      </c>
      <c r="AA60" s="52">
        <f ca="1">IF($F60&gt;$D$5,0,VLOOKUP($F60,$F$24:$BZ$44,AA$2-$E$2,FALSE)*$D$11*$D$14*(1+$D$13)^($F60-'הנחות עבודה'!$C$5)/$D$11)</f>
        <v>0</v>
      </c>
      <c r="AB60" s="52">
        <f ca="1">IF($F60&gt;$D$5,0,VLOOKUP($F60,$F$24:$BZ$44,AB$2-$E$2,FALSE)*$D$11*$D$14*(1+$D$13)^($F60-'הנחות עבודה'!$C$5)/$D$11)</f>
        <v>0</v>
      </c>
      <c r="AC60" s="52">
        <f ca="1">IF($F60&gt;$D$5,0,VLOOKUP($F60,$F$24:$BZ$44,AC$2-$E$2,FALSE)*$D$11*$D$14*(1+$D$13)^($F60-'הנחות עבודה'!$C$5)/$D$11)</f>
        <v>0</v>
      </c>
      <c r="AD60" s="52">
        <f ca="1">IF($F60&gt;$D$5,0,VLOOKUP($F60,$F$24:$BZ$44,AD$2-$E$2,FALSE)*$D$11*$D$14*(1+$D$13)^($F60-'הנחות עבודה'!$C$5)/$D$11)</f>
        <v>0</v>
      </c>
      <c r="AE60" s="42">
        <f ca="1">IF($F60&gt;$D$5,0,VLOOKUP($F60,$F$24:$BZ$44,AE$2-$E$2,FALSE)*$D$11*$D$14*(1+$D$13)^($F60-'הנחות עבודה'!$C$5)/$D$11)</f>
        <v>0</v>
      </c>
      <c r="AF60" s="44">
        <f ca="1">IF($F60&gt;$D$5,0,VLOOKUP($F60,$F$24:$BZ$44,AF$2-$E$2,FALSE)*$D$11*$D$14*(1+$D$13)^($F60-'הנחות עבודה'!$C$5)/$D$11)</f>
        <v>0</v>
      </c>
      <c r="AG60" s="44">
        <f ca="1">IF($F60&gt;$D$5,0,VLOOKUP($F60,$F$24:$BZ$44,AG$2-$E$2,FALSE)*$D$11*$D$14*(1+$D$13)^($F60-'הנחות עבודה'!$C$5)/$D$11)</f>
        <v>0</v>
      </c>
      <c r="AH60" s="44">
        <f ca="1">IF($F60&gt;$D$5,0,VLOOKUP($F60,$F$24:$BZ$44,AH$2-$E$2,FALSE)*$D$11*$D$14*(1+$D$13)^($F60-'הנחות עבודה'!$C$5)/$D$11)</f>
        <v>0</v>
      </c>
      <c r="AI60" s="44">
        <f ca="1">IF($F60&gt;$D$5,0,VLOOKUP($F60,$F$24:$BZ$44,AI$2-$E$2,FALSE)*$D$11*$D$14*(1+$D$13)^($F60-'הנחות עבודה'!$C$5)/$D$11)</f>
        <v>0</v>
      </c>
      <c r="AJ60" s="44">
        <f ca="1">IF($F60&gt;$D$5,0,VLOOKUP($F60,$F$24:$BZ$44,AJ$2-$E$2,FALSE)*$D$11*$D$14*(1+$D$13)^($F60-'הנחות עבודה'!$C$5)/$D$11)</f>
        <v>0</v>
      </c>
      <c r="AK60" s="42">
        <f ca="1">IF($F60&gt;$D$5,0,VLOOKUP($F60,$F$24:$BZ$44,AK$2-$E$2,FALSE)*$D$11*$D$14*(1+$D$13)^($F60-'הנחות עבודה'!$C$5)/$D$11)</f>
        <v>13.877290028290975</v>
      </c>
      <c r="AL60" s="42">
        <f ca="1">IF($F60&gt;$D$5,0,VLOOKUP($F60,$F$24:$BZ$44,AL$2-$E$2,FALSE)*$D$11*$D$14*(1+$D$13)^($F60-'הנחות עבודה'!$C$5)/$D$11)</f>
        <v>51.814536711329865</v>
      </c>
      <c r="AM60" s="42">
        <f ca="1">IF($F60&gt;$D$5,0,VLOOKUP($F60,$F$24:$BZ$44,AM$2-$E$2,FALSE)*$D$11*$D$14*(1+$D$13)^($F60-'הנחות עבודה'!$C$5)/$D$11)</f>
        <v>0</v>
      </c>
      <c r="AN60" s="42">
        <f ca="1">IF($F60&gt;$D$5,0,VLOOKUP($F60,$F$24:$BZ$44,AN$2-$E$2,FALSE)*$D$11*$D$14*(1+$D$13)^($F60-'הנחות עבודה'!$C$5)/$D$11)</f>
        <v>0</v>
      </c>
      <c r="AO60" s="42">
        <f ca="1">IF($F60&gt;$D$5,0,VLOOKUP($F60,$F$24:$BZ$44,AO$2-$E$2,FALSE)*$D$11*$D$14*(1+$D$13)^($F60-'הנחות עבודה'!$C$5)/$D$11)</f>
        <v>0</v>
      </c>
      <c r="AP60" s="42">
        <f ca="1">IF($F60&gt;$D$5,0,VLOOKUP($F60,$F$24:$BZ$44,AP$2-$E$2,FALSE)*$D$11*$D$14*(1+$D$13)^($F60-'הנחות עבודה'!$C$5)/$D$11)</f>
        <v>0</v>
      </c>
      <c r="AQ60" s="52">
        <f ca="1">IF($F60&gt;$D$5,0,VLOOKUP($F60,$F$24:$BZ$44,AQ$2-$E$2,FALSE)*$D$11*$D$14*(1+$D$13)^($F60-'הנחות עבודה'!$C$5)/$D$11)</f>
        <v>0</v>
      </c>
      <c r="AR60" s="127">
        <f ca="1">IF($F60&gt;$D$5,0,VLOOKUP($F60,$F$24:$BZ$44,AR$2-$E$2,FALSE)*$D$11*$D$14*(1+$D$13)^($F60-'הנחות עבודה'!$C$5)/$D$11)</f>
        <v>0</v>
      </c>
      <c r="AS60" s="127">
        <f ca="1">IF($F60&gt;$D$5,0,VLOOKUP($F60,$F$24:$BZ$44,AS$2-$E$2,FALSE)*$D$11*$D$14*(1+$D$13)^($F60-'הנחות עבודה'!$C$5)/$D$11)</f>
        <v>0</v>
      </c>
      <c r="AT60" s="127">
        <f ca="1">IF($F60&gt;$D$5,0,VLOOKUP($F60,$F$24:$BZ$44,AT$2-$E$2,FALSE)*$D$11*$D$14*(1+$D$13)^($F60-'הנחות עבודה'!$C$5)/$D$11)</f>
        <v>0</v>
      </c>
      <c r="AU60" s="127">
        <f ca="1">IF($F60&gt;$D$5,0,VLOOKUP($F60,$F$24:$BZ$44,AU$2-$E$2,FALSE)*$D$11*$D$14*(1+$D$13)^($F60-'הנחות עבודה'!$C$5)/$D$11)</f>
        <v>0</v>
      </c>
      <c r="AV60" s="127">
        <f ca="1">IF($F60&gt;$D$5,0,VLOOKUP($F60,$F$24:$BZ$44,AV$2-$E$2,FALSE)*$D$11*$D$14*(1+$D$13)^($F60-'הנחות עבודה'!$C$5)/$D$11)</f>
        <v>0</v>
      </c>
      <c r="AW60" s="52">
        <f ca="1">IF($F60&gt;$D$5,0,VLOOKUP($F60,$F$24:$BZ$44,AW$2-$E$2,FALSE)*$D$11*$D$14*(1+$D$13)^($F60-'הנחות עבודה'!$C$5)/$D$11)</f>
        <v>13.877290028290975</v>
      </c>
      <c r="AX60" s="52">
        <f ca="1">IF($F60&gt;$D$5,0,VLOOKUP($F60,$F$24:$BZ$44,AX$2-$E$2,FALSE)*$D$11*$D$14*(1+$D$13)^($F60-'הנחות עבודה'!$C$5)/$D$11)</f>
        <v>51.814536711329865</v>
      </c>
      <c r="AY60" s="52">
        <f ca="1">IF($F60&gt;$D$5,0,VLOOKUP($F60,$F$24:$BZ$44,AY$2-$E$2,FALSE)*$D$11*$D$14*(1+$D$13)^($F60-'הנחות עבודה'!$C$5)/$D$11)</f>
        <v>0</v>
      </c>
      <c r="AZ60" s="52">
        <f ca="1">IF($F60&gt;$D$5,0,VLOOKUP($F60,$F$24:$BZ$44,AZ$2-$E$2,FALSE)*$D$11*$D$14*(1+$D$13)^($F60-'הנחות עבודה'!$C$5)/$D$11)</f>
        <v>0</v>
      </c>
      <c r="BA60" s="52">
        <f ca="1">IF($F60&gt;$D$5,0,VLOOKUP($F60,$F$24:$BZ$44,BA$2-$E$2,FALSE)*$D$11*$D$14*(1+$D$13)^($F60-'הנחות עבודה'!$C$5)/$D$11)</f>
        <v>0</v>
      </c>
      <c r="BB60" s="52">
        <f ca="1">IF($F60&gt;$D$5,0,VLOOKUP($F60,$F$24:$BZ$44,BB$2-$E$2,FALSE)*$D$11*$D$14*(1+$D$13)^($F60-'הנחות עבודה'!$C$5)/$D$11)</f>
        <v>0</v>
      </c>
      <c r="BC60" s="42">
        <f ca="1">IF($F60&gt;$D$5,0,VLOOKUP($F60,$F$24:$BZ$44,BC$2-$E$2,FALSE)*$D$11*$D$14*(1+$D$13)^($F60-'הנחות עבודה'!$C$5)/$D$11)</f>
        <v>0</v>
      </c>
      <c r="BD60" s="44">
        <f ca="1">IF($F60&gt;$D$5,0,VLOOKUP($F60,$F$24:$BZ$44,BD$2-$E$2,FALSE)*$D$11*$D$14*(1+$D$13)^($F60-'הנחות עבודה'!$C$5)/$D$11)</f>
        <v>0</v>
      </c>
      <c r="BE60" s="44">
        <f ca="1">IF($F60&gt;$D$5,0,VLOOKUP($F60,$F$24:$BZ$44,BE$2-$E$2,FALSE)*$D$11*$D$14*(1+$D$13)^($F60-'הנחות עבודה'!$C$5)/$D$11)</f>
        <v>0</v>
      </c>
      <c r="BF60" s="44">
        <f ca="1">IF($F60&gt;$D$5,0,VLOOKUP($F60,$F$24:$BZ$44,BF$2-$E$2,FALSE)*$D$11*$D$14*(1+$D$13)^($F60-'הנחות עבודה'!$C$5)/$D$11)</f>
        <v>0</v>
      </c>
      <c r="BG60" s="44">
        <f ca="1">IF($F60&gt;$D$5,0,VLOOKUP($F60,$F$24:$BZ$44,BG$2-$E$2,FALSE)*$D$11*$D$14*(1+$D$13)^($F60-'הנחות עבודה'!$C$5)/$D$11)</f>
        <v>0</v>
      </c>
      <c r="BH60" s="44">
        <f ca="1">IF($F60&gt;$D$5,0,VLOOKUP($F60,$F$24:$BZ$44,BH$2-$E$2,FALSE)*$D$11*$D$14*(1+$D$13)^($F60-'הנחות עבודה'!$C$5)/$D$11)</f>
        <v>0</v>
      </c>
      <c r="BI60" s="42">
        <f ca="1">IF($F60&gt;$D$5,0,VLOOKUP($F60,$F$24:$BZ$44,BI$2-$E$2,FALSE)*$D$11*$D$14*(1+$D$13)^($F60-'הנחות עבודה'!$C$5)/$D$11)</f>
        <v>14.232898144770603</v>
      </c>
      <c r="BJ60" s="42">
        <f ca="1">IF($F60&gt;$D$5,0,VLOOKUP($F60,$F$24:$BZ$44,BJ$2-$E$2,FALSE)*$D$11*$D$14*(1+$D$13)^($F60-'הנחות עבודה'!$C$5)/$D$11)</f>
        <v>47.598939803044168</v>
      </c>
      <c r="BK60" s="42">
        <f ca="1">IF($F60&gt;$D$5,0,VLOOKUP($F60,$F$24:$BZ$44,BK$2-$E$2,FALSE)*$D$11*$D$14*(1+$D$13)^($F60-'הנחות עבודה'!$C$5)/$D$11)</f>
        <v>0</v>
      </c>
      <c r="BL60" s="42">
        <f ca="1">IF($F60&gt;$D$5,0,VLOOKUP($F60,$F$24:$BZ$44,BL$2-$E$2,FALSE)*$D$11*$D$14*(1+$D$13)^($F60-'הנחות עבודה'!$C$5)/$D$11)</f>
        <v>0</v>
      </c>
      <c r="BM60" s="42">
        <f ca="1">IF($F60&gt;$D$5,0,VLOOKUP($F60,$F$24:$BZ$44,BM$2-$E$2,FALSE)*$D$11*$D$14*(1+$D$13)^($F60-'הנחות עבודה'!$C$5)/$D$11)</f>
        <v>0</v>
      </c>
      <c r="BN60" s="42">
        <f ca="1">IF($F60&gt;$D$5,0,VLOOKUP($F60,$F$24:$BZ$44,BN$2-$E$2,FALSE)*$D$11*$D$14*(1+$D$13)^($F60-'הנחות עבודה'!$C$5)/$D$11)</f>
        <v>0</v>
      </c>
      <c r="BO60" s="52">
        <f ca="1">IF($F60&gt;$D$5,0,VLOOKUP($F60,$F$24:$BZ$44,BO$2-$E$2,FALSE)*$D$11*$D$14*(1+$D$13)^($F60-'הנחות עבודה'!$C$5)/$D$11)</f>
        <v>0</v>
      </c>
      <c r="BP60" s="127">
        <f ca="1">IF($F60&gt;$D$5,0,VLOOKUP($F60,$F$24:$BZ$44,BP$2-$E$2,FALSE)*$D$11*$D$14*(1+$D$13)^($F60-'הנחות עבודה'!$C$5)/$D$11)</f>
        <v>0</v>
      </c>
      <c r="BQ60" s="127">
        <f ca="1">IF($F60&gt;$D$5,0,VLOOKUP($F60,$F$24:$BZ$44,BQ$2-$E$2,FALSE)*$D$11*$D$14*(1+$D$13)^($F60-'הנחות עבודה'!$C$5)/$D$11)</f>
        <v>0</v>
      </c>
      <c r="BR60" s="127">
        <f ca="1">IF($F60&gt;$D$5,0,VLOOKUP($F60,$F$24:$BZ$44,BR$2-$E$2,FALSE)*$D$11*$D$14*(1+$D$13)^($F60-'הנחות עבודה'!$C$5)/$D$11)</f>
        <v>0</v>
      </c>
      <c r="BS60" s="127">
        <f ca="1">IF($F60&gt;$D$5,0,VLOOKUP($F60,$F$24:$BZ$44,BS$2-$E$2,FALSE)*$D$11*$D$14*(1+$D$13)^($F60-'הנחות עבודה'!$C$5)/$D$11)</f>
        <v>0</v>
      </c>
      <c r="BT60" s="127">
        <f ca="1">IF($F60&gt;$D$5,0,VLOOKUP($F60,$F$24:$BZ$44,BT$2-$E$2,FALSE)*$D$11*$D$14*(1+$D$13)^($F60-'הנחות עבודה'!$C$5)/$D$11)</f>
        <v>0</v>
      </c>
      <c r="BU60" s="52">
        <f ca="1">IF($F60&gt;$D$5,0,VLOOKUP($F60,$F$24:$BZ$44,BU$2-$E$2,FALSE)*$D$11*$D$14*(1+$D$13)^($F60-'הנחות עבודה'!$C$5)/$D$11)</f>
        <v>14.232898144770603</v>
      </c>
      <c r="BV60" s="52">
        <f ca="1">IF($F60&gt;$D$5,0,VLOOKUP($F60,$F$24:$BZ$44,BV$2-$E$2,FALSE)*$D$11*$D$14*(1+$D$13)^($F60-'הנחות עבודה'!$C$5)/$D$11)</f>
        <v>47.598939803044168</v>
      </c>
      <c r="BW60" s="52">
        <f ca="1">IF($F60&gt;$D$5,0,VLOOKUP($F60,$F$24:$BZ$44,BW$2-$E$2,FALSE)*$D$11*$D$14*(1+$D$13)^($F60-'הנחות עבודה'!$C$5)/$D$11)</f>
        <v>0</v>
      </c>
      <c r="BX60" s="52">
        <f ca="1">IF($F60&gt;$D$5,0,VLOOKUP($F60,$F$24:$BZ$44,BX$2-$E$2,FALSE)*$D$11*$D$14*(1+$D$13)^($F60-'הנחות עבודה'!$C$5)/$D$11)</f>
        <v>0</v>
      </c>
      <c r="BY60" s="52">
        <f ca="1">IF($F60&gt;$D$5,0,VLOOKUP($F60,$F$24:$BZ$44,BY$2-$E$2,FALSE)*$D$11*$D$14*(1+$D$13)^($F60-'הנחות עבודה'!$C$5)/$D$11)</f>
        <v>0</v>
      </c>
      <c r="BZ60" s="52">
        <f ca="1">IF($F60&gt;$D$5,0,VLOOKUP($F60,$F$24:$BZ$44,BZ$2-$E$2,FALSE)*$D$11*$D$14*(1+$D$13)^($F60-'הנחות עבודה'!$C$5)/$D$11)</f>
        <v>0</v>
      </c>
    </row>
    <row r="61" spans="6:78" ht="15.75">
      <c r="F61" s="10">
        <f t="shared" si="123"/>
        <v>2030</v>
      </c>
      <c r="G61" s="42">
        <f ca="1">IF($F61&gt;$D$5,0,VLOOKUP($F61,$F$24:$BZ$44,G$2-$E$2,FALSE)*$D$11*$D$14*(1+$D$13)^($F61-'הנחות עבודה'!$C$5)/$D$11)</f>
        <v>0</v>
      </c>
      <c r="H61" s="44">
        <f ca="1">IF($F61&gt;$D$5,0,VLOOKUP($F61,$F$24:$BZ$44,H$2-$E$2,FALSE)*$D$11*$D$14*(1+$D$13)^($F61-'הנחות עבודה'!$C$5)/$D$11)</f>
        <v>0</v>
      </c>
      <c r="I61" s="44">
        <f ca="1">IF($F61&gt;$D$5,0,VLOOKUP($F61,$F$24:$BZ$44,I$2-$E$2,FALSE)*$D$11*$D$14*(1+$D$13)^($F61-'הנחות עבודה'!$C$5)/$D$11)</f>
        <v>0</v>
      </c>
      <c r="J61" s="44">
        <f ca="1">IF($F61&gt;$D$5,0,VLOOKUP($F61,$F$24:$BZ$44,J$2-$E$2,FALSE)*$D$11*$D$14*(1+$D$13)^($F61-'הנחות עבודה'!$C$5)/$D$11)</f>
        <v>0</v>
      </c>
      <c r="K61" s="44">
        <f ca="1">IF($F61&gt;$D$5,0,VLOOKUP($F61,$F$24:$BZ$44,K$2-$E$2,FALSE)*$D$11*$D$14*(1+$D$13)^($F61-'הנחות עבודה'!$C$5)/$D$11)</f>
        <v>0</v>
      </c>
      <c r="L61" s="44">
        <f ca="1">IF($F61&gt;$D$5,0,VLOOKUP($F61,$F$24:$BZ$44,L$2-$E$2,FALSE)*$D$11*$D$14*(1+$D$13)^($F61-'הנחות עבודה'!$C$5)/$D$11)</f>
        <v>0</v>
      </c>
      <c r="M61" s="42">
        <f ca="1">IF($F61&gt;$D$5,0,VLOOKUP($F61,$F$24:$BZ$44,M$2-$E$2,FALSE)*$D$11*$D$14*(1+$D$13)^($F61-'הנחות עבודה'!$C$5)/$D$11)</f>
        <v>13.70461700188611</v>
      </c>
      <c r="N61" s="42">
        <f ca="1">IF($F61&gt;$D$5,0,VLOOKUP($F61,$F$24:$BZ$44,N$2-$E$2,FALSE)*$D$11*$D$14*(1+$D$13)^($F61-'הנחות עבודה'!$C$5)/$D$11)</f>
        <v>61.991012566570831</v>
      </c>
      <c r="O61" s="42">
        <f ca="1">IF($F61&gt;$D$5,0,VLOOKUP($F61,$F$24:$BZ$44,O$2-$E$2,FALSE)*$D$11*$D$14*(1+$D$13)^($F61-'הנחות עבודה'!$C$5)/$D$11)</f>
        <v>0</v>
      </c>
      <c r="P61" s="42">
        <f ca="1">IF($F61&gt;$D$5,0,VLOOKUP($F61,$F$24:$BZ$44,P$2-$E$2,FALSE)*$D$11*$D$14*(1+$D$13)^($F61-'הנחות עבודה'!$C$5)/$D$11)</f>
        <v>0</v>
      </c>
      <c r="Q61" s="42">
        <f ca="1">IF($F61&gt;$D$5,0,VLOOKUP($F61,$F$24:$BZ$44,Q$2-$E$2,FALSE)*$D$11*$D$14*(1+$D$13)^($F61-'הנחות עבודה'!$C$5)/$D$11)</f>
        <v>0</v>
      </c>
      <c r="R61" s="42">
        <f ca="1">IF($F61&gt;$D$5,0,VLOOKUP($F61,$F$24:$BZ$44,R$2-$E$2,FALSE)*$D$11*$D$14*(1+$D$13)^($F61-'הנחות עבודה'!$C$5)/$D$11)</f>
        <v>0</v>
      </c>
      <c r="S61" s="52">
        <f ca="1">IF($F61&gt;$D$5,0,VLOOKUP($F61,$F$24:$BZ$44,S$2-$E$2,FALSE)*$D$11*$D$14*(1+$D$13)^($F61-'הנחות עבודה'!$C$5)/$D$11)</f>
        <v>0</v>
      </c>
      <c r="T61" s="127">
        <f ca="1">IF($F61&gt;$D$5,0,VLOOKUP($F61,$F$24:$BZ$44,T$2-$E$2,FALSE)*$D$11*$D$14*(1+$D$13)^($F61-'הנחות עבודה'!$C$5)/$D$11)</f>
        <v>0</v>
      </c>
      <c r="U61" s="127">
        <f ca="1">IF($F61&gt;$D$5,0,VLOOKUP($F61,$F$24:$BZ$44,U$2-$E$2,FALSE)*$D$11*$D$14*(1+$D$13)^($F61-'הנחות עבודה'!$C$5)/$D$11)</f>
        <v>0</v>
      </c>
      <c r="V61" s="127">
        <f ca="1">IF($F61&gt;$D$5,0,VLOOKUP($F61,$F$24:$BZ$44,V$2-$E$2,FALSE)*$D$11*$D$14*(1+$D$13)^($F61-'הנחות עבודה'!$C$5)/$D$11)</f>
        <v>0</v>
      </c>
      <c r="W61" s="127">
        <f ca="1">IF($F61&gt;$D$5,0,VLOOKUP($F61,$F$24:$BZ$44,W$2-$E$2,FALSE)*$D$11*$D$14*(1+$D$13)^($F61-'הנחות עבודה'!$C$5)/$D$11)</f>
        <v>0</v>
      </c>
      <c r="X61" s="127">
        <f ca="1">IF($F61&gt;$D$5,0,VLOOKUP($F61,$F$24:$BZ$44,X$2-$E$2,FALSE)*$D$11*$D$14*(1+$D$13)^($F61-'הנחות עבודה'!$C$5)/$D$11)</f>
        <v>0</v>
      </c>
      <c r="Y61" s="52">
        <f ca="1">IF($F61&gt;$D$5,0,VLOOKUP($F61,$F$24:$BZ$44,Y$2-$E$2,FALSE)*$D$11*$D$14*(1+$D$13)^($F61-'הנחות עבודה'!$C$5)/$D$11)</f>
        <v>13.70461700188611</v>
      </c>
      <c r="Z61" s="52">
        <f ca="1">IF($F61&gt;$D$5,0,VLOOKUP($F61,$F$24:$BZ$44,Z$2-$E$2,FALSE)*$D$11*$D$14*(1+$D$13)^($F61-'הנחות עבודה'!$C$5)/$D$11)</f>
        <v>61.991012566570831</v>
      </c>
      <c r="AA61" s="52">
        <f ca="1">IF($F61&gt;$D$5,0,VLOOKUP($F61,$F$24:$BZ$44,AA$2-$E$2,FALSE)*$D$11*$D$14*(1+$D$13)^($F61-'הנחות עבודה'!$C$5)/$D$11)</f>
        <v>0</v>
      </c>
      <c r="AB61" s="52">
        <f ca="1">IF($F61&gt;$D$5,0,VLOOKUP($F61,$F$24:$BZ$44,AB$2-$E$2,FALSE)*$D$11*$D$14*(1+$D$13)^($F61-'הנחות עבודה'!$C$5)/$D$11)</f>
        <v>0</v>
      </c>
      <c r="AC61" s="52">
        <f ca="1">IF($F61&gt;$D$5,0,VLOOKUP($F61,$F$24:$BZ$44,AC$2-$E$2,FALSE)*$D$11*$D$14*(1+$D$13)^($F61-'הנחות עבודה'!$C$5)/$D$11)</f>
        <v>0</v>
      </c>
      <c r="AD61" s="52">
        <f ca="1">IF($F61&gt;$D$5,0,VLOOKUP($F61,$F$24:$BZ$44,AD$2-$E$2,FALSE)*$D$11*$D$14*(1+$D$13)^($F61-'הנחות עבודה'!$C$5)/$D$11)</f>
        <v>0</v>
      </c>
      <c r="AE61" s="42">
        <f ca="1">IF($F61&gt;$D$5,0,VLOOKUP($F61,$F$24:$BZ$44,AE$2-$E$2,FALSE)*$D$11*$D$14*(1+$D$13)^($F61-'הנחות עבודה'!$C$5)/$D$11)</f>
        <v>0</v>
      </c>
      <c r="AF61" s="44">
        <f ca="1">IF($F61&gt;$D$5,0,VLOOKUP($F61,$F$24:$BZ$44,AF$2-$E$2,FALSE)*$D$11*$D$14*(1+$D$13)^($F61-'הנחות עבודה'!$C$5)/$D$11)</f>
        <v>0</v>
      </c>
      <c r="AG61" s="44">
        <f ca="1">IF($F61&gt;$D$5,0,VLOOKUP($F61,$F$24:$BZ$44,AG$2-$E$2,FALSE)*$D$11*$D$14*(1+$D$13)^($F61-'הנחות עבודה'!$C$5)/$D$11)</f>
        <v>0</v>
      </c>
      <c r="AH61" s="44">
        <f ca="1">IF($F61&gt;$D$5,0,VLOOKUP($F61,$F$24:$BZ$44,AH$2-$E$2,FALSE)*$D$11*$D$14*(1+$D$13)^($F61-'הנחות עבודה'!$C$5)/$D$11)</f>
        <v>0</v>
      </c>
      <c r="AI61" s="44">
        <f ca="1">IF($F61&gt;$D$5,0,VLOOKUP($F61,$F$24:$BZ$44,AI$2-$E$2,FALSE)*$D$11*$D$14*(1+$D$13)^($F61-'הנחות עבודה'!$C$5)/$D$11)</f>
        <v>0</v>
      </c>
      <c r="AJ61" s="44">
        <f ca="1">IF($F61&gt;$D$5,0,VLOOKUP($F61,$F$24:$BZ$44,AJ$2-$E$2,FALSE)*$D$11*$D$14*(1+$D$13)^($F61-'הנחות עבודה'!$C$5)/$D$11)</f>
        <v>0</v>
      </c>
      <c r="AK61" s="42">
        <f ca="1">IF($F61&gt;$D$5,0,VLOOKUP($F61,$F$24:$BZ$44,AK$2-$E$2,FALSE)*$D$11*$D$14*(1+$D$13)^($F61-'הנחות עבודה'!$C$5)/$D$11)</f>
        <v>14.518188859632518</v>
      </c>
      <c r="AL61" s="42">
        <f ca="1">IF($F61&gt;$D$5,0,VLOOKUP($F61,$F$24:$BZ$44,AL$2-$E$2,FALSE)*$D$11*$D$14*(1+$D$13)^($F61-'הנחות עבודה'!$C$5)/$D$11)</f>
        <v>53.845528414279713</v>
      </c>
      <c r="AM61" s="42">
        <f ca="1">IF($F61&gt;$D$5,0,VLOOKUP($F61,$F$24:$BZ$44,AM$2-$E$2,FALSE)*$D$11*$D$14*(1+$D$13)^($F61-'הנחות עבודה'!$C$5)/$D$11)</f>
        <v>0</v>
      </c>
      <c r="AN61" s="42">
        <f ca="1">IF($F61&gt;$D$5,0,VLOOKUP($F61,$F$24:$BZ$44,AN$2-$E$2,FALSE)*$D$11*$D$14*(1+$D$13)^($F61-'הנחות עבודה'!$C$5)/$D$11)</f>
        <v>0</v>
      </c>
      <c r="AO61" s="42">
        <f ca="1">IF($F61&gt;$D$5,0,VLOOKUP($F61,$F$24:$BZ$44,AO$2-$E$2,FALSE)*$D$11*$D$14*(1+$D$13)^($F61-'הנחות עבודה'!$C$5)/$D$11)</f>
        <v>0</v>
      </c>
      <c r="AP61" s="42">
        <f ca="1">IF($F61&gt;$D$5,0,VLOOKUP($F61,$F$24:$BZ$44,AP$2-$E$2,FALSE)*$D$11*$D$14*(1+$D$13)^($F61-'הנחות עבודה'!$C$5)/$D$11)</f>
        <v>0</v>
      </c>
      <c r="AQ61" s="52">
        <f ca="1">IF($F61&gt;$D$5,0,VLOOKUP($F61,$F$24:$BZ$44,AQ$2-$E$2,FALSE)*$D$11*$D$14*(1+$D$13)^($F61-'הנחות עבודה'!$C$5)/$D$11)</f>
        <v>0</v>
      </c>
      <c r="AR61" s="127">
        <f ca="1">IF($F61&gt;$D$5,0,VLOOKUP($F61,$F$24:$BZ$44,AR$2-$E$2,FALSE)*$D$11*$D$14*(1+$D$13)^($F61-'הנחות עבודה'!$C$5)/$D$11)</f>
        <v>0</v>
      </c>
      <c r="AS61" s="127">
        <f ca="1">IF($F61&gt;$D$5,0,VLOOKUP($F61,$F$24:$BZ$44,AS$2-$E$2,FALSE)*$D$11*$D$14*(1+$D$13)^($F61-'הנחות עבודה'!$C$5)/$D$11)</f>
        <v>0</v>
      </c>
      <c r="AT61" s="127">
        <f ca="1">IF($F61&gt;$D$5,0,VLOOKUP($F61,$F$24:$BZ$44,AT$2-$E$2,FALSE)*$D$11*$D$14*(1+$D$13)^($F61-'הנחות עבודה'!$C$5)/$D$11)</f>
        <v>0</v>
      </c>
      <c r="AU61" s="127">
        <f ca="1">IF($F61&gt;$D$5,0,VLOOKUP($F61,$F$24:$BZ$44,AU$2-$E$2,FALSE)*$D$11*$D$14*(1+$D$13)^($F61-'הנחות עבודה'!$C$5)/$D$11)</f>
        <v>0</v>
      </c>
      <c r="AV61" s="127">
        <f ca="1">IF($F61&gt;$D$5,0,VLOOKUP($F61,$F$24:$BZ$44,AV$2-$E$2,FALSE)*$D$11*$D$14*(1+$D$13)^($F61-'הנחות עבודה'!$C$5)/$D$11)</f>
        <v>0</v>
      </c>
      <c r="AW61" s="52">
        <f ca="1">IF($F61&gt;$D$5,0,VLOOKUP($F61,$F$24:$BZ$44,AW$2-$E$2,FALSE)*$D$11*$D$14*(1+$D$13)^($F61-'הנחות עבודה'!$C$5)/$D$11)</f>
        <v>14.518188859632518</v>
      </c>
      <c r="AX61" s="52">
        <f ca="1">IF($F61&gt;$D$5,0,VLOOKUP($F61,$F$24:$BZ$44,AX$2-$E$2,FALSE)*$D$11*$D$14*(1+$D$13)^($F61-'הנחות עבודה'!$C$5)/$D$11)</f>
        <v>53.845528414279713</v>
      </c>
      <c r="AY61" s="52">
        <f ca="1">IF($F61&gt;$D$5,0,VLOOKUP($F61,$F$24:$BZ$44,AY$2-$E$2,FALSE)*$D$11*$D$14*(1+$D$13)^($F61-'הנחות עבודה'!$C$5)/$D$11)</f>
        <v>0</v>
      </c>
      <c r="AZ61" s="52">
        <f ca="1">IF($F61&gt;$D$5,0,VLOOKUP($F61,$F$24:$BZ$44,AZ$2-$E$2,FALSE)*$D$11*$D$14*(1+$D$13)^($F61-'הנחות עבודה'!$C$5)/$D$11)</f>
        <v>0</v>
      </c>
      <c r="BA61" s="52">
        <f ca="1">IF($F61&gt;$D$5,0,VLOOKUP($F61,$F$24:$BZ$44,BA$2-$E$2,FALSE)*$D$11*$D$14*(1+$D$13)^($F61-'הנחות עבודה'!$C$5)/$D$11)</f>
        <v>0</v>
      </c>
      <c r="BB61" s="52">
        <f ca="1">IF($F61&gt;$D$5,0,VLOOKUP($F61,$F$24:$BZ$44,BB$2-$E$2,FALSE)*$D$11*$D$14*(1+$D$13)^($F61-'הנחות עבודה'!$C$5)/$D$11)</f>
        <v>0</v>
      </c>
      <c r="BC61" s="42">
        <f ca="1">IF($F61&gt;$D$5,0,VLOOKUP($F61,$F$24:$BZ$44,BC$2-$E$2,FALSE)*$D$11*$D$14*(1+$D$13)^($F61-'הנחות עבודה'!$C$5)/$D$11)</f>
        <v>0</v>
      </c>
      <c r="BD61" s="44">
        <f ca="1">IF($F61&gt;$D$5,0,VLOOKUP($F61,$F$24:$BZ$44,BD$2-$E$2,FALSE)*$D$11*$D$14*(1+$D$13)^($F61-'הנחות עבודה'!$C$5)/$D$11)</f>
        <v>0</v>
      </c>
      <c r="BE61" s="44">
        <f ca="1">IF($F61&gt;$D$5,0,VLOOKUP($F61,$F$24:$BZ$44,BE$2-$E$2,FALSE)*$D$11*$D$14*(1+$D$13)^($F61-'הנחות עבודה'!$C$5)/$D$11)</f>
        <v>0</v>
      </c>
      <c r="BF61" s="44">
        <f ca="1">IF($F61&gt;$D$5,0,VLOOKUP($F61,$F$24:$BZ$44,BF$2-$E$2,FALSE)*$D$11*$D$14*(1+$D$13)^($F61-'הנחות עבודה'!$C$5)/$D$11)</f>
        <v>0</v>
      </c>
      <c r="BG61" s="44">
        <f ca="1">IF($F61&gt;$D$5,0,VLOOKUP($F61,$F$24:$BZ$44,BG$2-$E$2,FALSE)*$D$11*$D$14*(1+$D$13)^($F61-'הנחות עבודה'!$C$5)/$D$11)</f>
        <v>0</v>
      </c>
      <c r="BH61" s="44">
        <f ca="1">IF($F61&gt;$D$5,0,VLOOKUP($F61,$F$24:$BZ$44,BH$2-$E$2,FALSE)*$D$11*$D$14*(1+$D$13)^($F61-'הנחות עבודה'!$C$5)/$D$11)</f>
        <v>0</v>
      </c>
      <c r="BI61" s="42">
        <f ca="1">IF($F61&gt;$D$5,0,VLOOKUP($F61,$F$24:$BZ$44,BI$2-$E$2,FALSE)*$D$11*$D$14*(1+$D$13)^($F61-'הנחות עבודה'!$C$5)/$D$11)</f>
        <v>14.788961924443258</v>
      </c>
      <c r="BJ61" s="42">
        <f ca="1">IF($F61&gt;$D$5,0,VLOOKUP($F61,$F$24:$BZ$44,BJ$2-$E$2,FALSE)*$D$11*$D$14*(1+$D$13)^($F61-'הנחות עבודה'!$C$5)/$D$11)</f>
        <v>49.024553295252467</v>
      </c>
      <c r="BK61" s="42">
        <f ca="1">IF($F61&gt;$D$5,0,VLOOKUP($F61,$F$24:$BZ$44,BK$2-$E$2,FALSE)*$D$11*$D$14*(1+$D$13)^($F61-'הנחות עבודה'!$C$5)/$D$11)</f>
        <v>0</v>
      </c>
      <c r="BL61" s="42">
        <f ca="1">IF($F61&gt;$D$5,0,VLOOKUP($F61,$F$24:$BZ$44,BL$2-$E$2,FALSE)*$D$11*$D$14*(1+$D$13)^($F61-'הנחות עבודה'!$C$5)/$D$11)</f>
        <v>0</v>
      </c>
      <c r="BM61" s="42">
        <f ca="1">IF($F61&gt;$D$5,0,VLOOKUP($F61,$F$24:$BZ$44,BM$2-$E$2,FALSE)*$D$11*$D$14*(1+$D$13)^($F61-'הנחות עבודה'!$C$5)/$D$11)</f>
        <v>0</v>
      </c>
      <c r="BN61" s="42">
        <f ca="1">IF($F61&gt;$D$5,0,VLOOKUP($F61,$F$24:$BZ$44,BN$2-$E$2,FALSE)*$D$11*$D$14*(1+$D$13)^($F61-'הנחות עבודה'!$C$5)/$D$11)</f>
        <v>0</v>
      </c>
      <c r="BO61" s="52">
        <f ca="1">IF($F61&gt;$D$5,0,VLOOKUP($F61,$F$24:$BZ$44,BO$2-$E$2,FALSE)*$D$11*$D$14*(1+$D$13)^($F61-'הנחות עבודה'!$C$5)/$D$11)</f>
        <v>0</v>
      </c>
      <c r="BP61" s="127">
        <f ca="1">IF($F61&gt;$D$5,0,VLOOKUP($F61,$F$24:$BZ$44,BP$2-$E$2,FALSE)*$D$11*$D$14*(1+$D$13)^($F61-'הנחות עבודה'!$C$5)/$D$11)</f>
        <v>0</v>
      </c>
      <c r="BQ61" s="127">
        <f ca="1">IF($F61&gt;$D$5,0,VLOOKUP($F61,$F$24:$BZ$44,BQ$2-$E$2,FALSE)*$D$11*$D$14*(1+$D$13)^($F61-'הנחות עבודה'!$C$5)/$D$11)</f>
        <v>0</v>
      </c>
      <c r="BR61" s="127">
        <f ca="1">IF($F61&gt;$D$5,0,VLOOKUP($F61,$F$24:$BZ$44,BR$2-$E$2,FALSE)*$D$11*$D$14*(1+$D$13)^($F61-'הנחות עבודה'!$C$5)/$D$11)</f>
        <v>0</v>
      </c>
      <c r="BS61" s="127">
        <f ca="1">IF($F61&gt;$D$5,0,VLOOKUP($F61,$F$24:$BZ$44,BS$2-$E$2,FALSE)*$D$11*$D$14*(1+$D$13)^($F61-'הנחות עבודה'!$C$5)/$D$11)</f>
        <v>0</v>
      </c>
      <c r="BT61" s="127">
        <f ca="1">IF($F61&gt;$D$5,0,VLOOKUP($F61,$F$24:$BZ$44,BT$2-$E$2,FALSE)*$D$11*$D$14*(1+$D$13)^($F61-'הנחות עבודה'!$C$5)/$D$11)</f>
        <v>0</v>
      </c>
      <c r="BU61" s="52">
        <f ca="1">IF($F61&gt;$D$5,0,VLOOKUP($F61,$F$24:$BZ$44,BU$2-$E$2,FALSE)*$D$11*$D$14*(1+$D$13)^($F61-'הנחות עבודה'!$C$5)/$D$11)</f>
        <v>14.788961924443258</v>
      </c>
      <c r="BV61" s="52">
        <f ca="1">IF($F61&gt;$D$5,0,VLOOKUP($F61,$F$24:$BZ$44,BV$2-$E$2,FALSE)*$D$11*$D$14*(1+$D$13)^($F61-'הנחות עבודה'!$C$5)/$D$11)</f>
        <v>49.024553295252467</v>
      </c>
      <c r="BW61" s="52">
        <f ca="1">IF($F61&gt;$D$5,0,VLOOKUP($F61,$F$24:$BZ$44,BW$2-$E$2,FALSE)*$D$11*$D$14*(1+$D$13)^($F61-'הנחות עבודה'!$C$5)/$D$11)</f>
        <v>0</v>
      </c>
      <c r="BX61" s="52">
        <f ca="1">IF($F61&gt;$D$5,0,VLOOKUP($F61,$F$24:$BZ$44,BX$2-$E$2,FALSE)*$D$11*$D$14*(1+$D$13)^($F61-'הנחות עבודה'!$C$5)/$D$11)</f>
        <v>0</v>
      </c>
      <c r="BY61" s="52">
        <f ca="1">IF($F61&gt;$D$5,0,VLOOKUP($F61,$F$24:$BZ$44,BY$2-$E$2,FALSE)*$D$11*$D$14*(1+$D$13)^($F61-'הנחות עבודה'!$C$5)/$D$11)</f>
        <v>0</v>
      </c>
      <c r="BZ61" s="52">
        <f ca="1">IF($F61&gt;$D$5,0,VLOOKUP($F61,$F$24:$BZ$44,BZ$2-$E$2,FALSE)*$D$11*$D$14*(1+$D$13)^($F61-'הנחות עבודה'!$C$5)/$D$11)</f>
        <v>0</v>
      </c>
    </row>
    <row r="62" spans="6:78" ht="15.75">
      <c r="F62" s="10">
        <f t="shared" si="123"/>
        <v>2031</v>
      </c>
      <c r="G62" s="42">
        <f ca="1">IF($F62&gt;$D$5,0,VLOOKUP($F62,$F$24:$BZ$44,G$2-$E$2,FALSE)*$D$11*$D$14*(1+$D$13)^($F62-'הנחות עבודה'!$C$5)/$D$11)</f>
        <v>0</v>
      </c>
      <c r="H62" s="44">
        <f ca="1">IF($F62&gt;$D$5,0,VLOOKUP($F62,$F$24:$BZ$44,H$2-$E$2,FALSE)*$D$11*$D$14*(1+$D$13)^($F62-'הנחות עבודה'!$C$5)/$D$11)</f>
        <v>0</v>
      </c>
      <c r="I62" s="44">
        <f ca="1">IF($F62&gt;$D$5,0,VLOOKUP($F62,$F$24:$BZ$44,I$2-$E$2,FALSE)*$D$11*$D$14*(1+$D$13)^($F62-'הנחות עבודה'!$C$5)/$D$11)</f>
        <v>0</v>
      </c>
      <c r="J62" s="44">
        <f ca="1">IF($F62&gt;$D$5,0,VLOOKUP($F62,$F$24:$BZ$44,J$2-$E$2,FALSE)*$D$11*$D$14*(1+$D$13)^($F62-'הנחות עבודה'!$C$5)/$D$11)</f>
        <v>0</v>
      </c>
      <c r="K62" s="44">
        <f ca="1">IF($F62&gt;$D$5,0,VLOOKUP($F62,$F$24:$BZ$44,K$2-$E$2,FALSE)*$D$11*$D$14*(1+$D$13)^($F62-'הנחות עבודה'!$C$5)/$D$11)</f>
        <v>0</v>
      </c>
      <c r="L62" s="44">
        <f ca="1">IF($F62&gt;$D$5,0,VLOOKUP($F62,$F$24:$BZ$44,L$2-$E$2,FALSE)*$D$11*$D$14*(1+$D$13)^($F62-'הנחות עבודה'!$C$5)/$D$11)</f>
        <v>0</v>
      </c>
      <c r="M62" s="42">
        <f ca="1">IF($F62&gt;$D$5,0,VLOOKUP($F62,$F$24:$BZ$44,M$2-$E$2,FALSE)*$D$11*$D$14*(1+$D$13)^($F62-'הנחות עבודה'!$C$5)/$D$11)</f>
        <v>14.099766126060741</v>
      </c>
      <c r="N62" s="42">
        <f ca="1">IF($F62&gt;$D$5,0,VLOOKUP($F62,$F$24:$BZ$44,N$2-$E$2,FALSE)*$D$11*$D$14*(1+$D$13)^($F62-'הנחות עבודה'!$C$5)/$D$11)</f>
        <v>66.98526603300472</v>
      </c>
      <c r="O62" s="42">
        <f ca="1">IF($F62&gt;$D$5,0,VLOOKUP($F62,$F$24:$BZ$44,O$2-$E$2,FALSE)*$D$11*$D$14*(1+$D$13)^($F62-'הנחות עבודה'!$C$5)/$D$11)</f>
        <v>0</v>
      </c>
      <c r="P62" s="42">
        <f ca="1">IF($F62&gt;$D$5,0,VLOOKUP($F62,$F$24:$BZ$44,P$2-$E$2,FALSE)*$D$11*$D$14*(1+$D$13)^($F62-'הנחות עבודה'!$C$5)/$D$11)</f>
        <v>0</v>
      </c>
      <c r="Q62" s="42">
        <f ca="1">IF($F62&gt;$D$5,0,VLOOKUP($F62,$F$24:$BZ$44,Q$2-$E$2,FALSE)*$D$11*$D$14*(1+$D$13)^($F62-'הנחות עבודה'!$C$5)/$D$11)</f>
        <v>0</v>
      </c>
      <c r="R62" s="42">
        <f ca="1">IF($F62&gt;$D$5,0,VLOOKUP($F62,$F$24:$BZ$44,R$2-$E$2,FALSE)*$D$11*$D$14*(1+$D$13)^($F62-'הנחות עבודה'!$C$5)/$D$11)</f>
        <v>0</v>
      </c>
      <c r="S62" s="52">
        <f ca="1">IF($F62&gt;$D$5,0,VLOOKUP($F62,$F$24:$BZ$44,S$2-$E$2,FALSE)*$D$11*$D$14*(1+$D$13)^($F62-'הנחות עבודה'!$C$5)/$D$11)</f>
        <v>0</v>
      </c>
      <c r="T62" s="127">
        <f ca="1">IF($F62&gt;$D$5,0,VLOOKUP($F62,$F$24:$BZ$44,T$2-$E$2,FALSE)*$D$11*$D$14*(1+$D$13)^($F62-'הנחות עבודה'!$C$5)/$D$11)</f>
        <v>0</v>
      </c>
      <c r="U62" s="127">
        <f ca="1">IF($F62&gt;$D$5,0,VLOOKUP($F62,$F$24:$BZ$44,U$2-$E$2,FALSE)*$D$11*$D$14*(1+$D$13)^($F62-'הנחות עבודה'!$C$5)/$D$11)</f>
        <v>0</v>
      </c>
      <c r="V62" s="127">
        <f ca="1">IF($F62&gt;$D$5,0,VLOOKUP($F62,$F$24:$BZ$44,V$2-$E$2,FALSE)*$D$11*$D$14*(1+$D$13)^($F62-'הנחות עבודה'!$C$5)/$D$11)</f>
        <v>0</v>
      </c>
      <c r="W62" s="127">
        <f ca="1">IF($F62&gt;$D$5,0,VLOOKUP($F62,$F$24:$BZ$44,W$2-$E$2,FALSE)*$D$11*$D$14*(1+$D$13)^($F62-'הנחות עבודה'!$C$5)/$D$11)</f>
        <v>0</v>
      </c>
      <c r="X62" s="127">
        <f ca="1">IF($F62&gt;$D$5,0,VLOOKUP($F62,$F$24:$BZ$44,X$2-$E$2,FALSE)*$D$11*$D$14*(1+$D$13)^($F62-'הנחות עבודה'!$C$5)/$D$11)</f>
        <v>0</v>
      </c>
      <c r="Y62" s="52">
        <f ca="1">IF($F62&gt;$D$5,0,VLOOKUP($F62,$F$24:$BZ$44,Y$2-$E$2,FALSE)*$D$11*$D$14*(1+$D$13)^($F62-'הנחות עבודה'!$C$5)/$D$11)</f>
        <v>14.099766126060741</v>
      </c>
      <c r="Z62" s="52">
        <f ca="1">IF($F62&gt;$D$5,0,VLOOKUP($F62,$F$24:$BZ$44,Z$2-$E$2,FALSE)*$D$11*$D$14*(1+$D$13)^($F62-'הנחות עבודה'!$C$5)/$D$11)</f>
        <v>66.98526603300472</v>
      </c>
      <c r="AA62" s="52">
        <f ca="1">IF($F62&gt;$D$5,0,VLOOKUP($F62,$F$24:$BZ$44,AA$2-$E$2,FALSE)*$D$11*$D$14*(1+$D$13)^($F62-'הנחות עבודה'!$C$5)/$D$11)</f>
        <v>0</v>
      </c>
      <c r="AB62" s="52">
        <f ca="1">IF($F62&gt;$D$5,0,VLOOKUP($F62,$F$24:$BZ$44,AB$2-$E$2,FALSE)*$D$11*$D$14*(1+$D$13)^($F62-'הנחות עבודה'!$C$5)/$D$11)</f>
        <v>0</v>
      </c>
      <c r="AC62" s="52">
        <f ca="1">IF($F62&gt;$D$5,0,VLOOKUP($F62,$F$24:$BZ$44,AC$2-$E$2,FALSE)*$D$11*$D$14*(1+$D$13)^($F62-'הנחות עבודה'!$C$5)/$D$11)</f>
        <v>0</v>
      </c>
      <c r="AD62" s="52">
        <f ca="1">IF($F62&gt;$D$5,0,VLOOKUP($F62,$F$24:$BZ$44,AD$2-$E$2,FALSE)*$D$11*$D$14*(1+$D$13)^($F62-'הנחות עבודה'!$C$5)/$D$11)</f>
        <v>0</v>
      </c>
      <c r="AE62" s="42">
        <f ca="1">IF($F62&gt;$D$5,0,VLOOKUP($F62,$F$24:$BZ$44,AE$2-$E$2,FALSE)*$D$11*$D$14*(1+$D$13)^($F62-'הנחות עבודה'!$C$5)/$D$11)</f>
        <v>0</v>
      </c>
      <c r="AF62" s="44">
        <f ca="1">IF($F62&gt;$D$5,0,VLOOKUP($F62,$F$24:$BZ$44,AF$2-$E$2,FALSE)*$D$11*$D$14*(1+$D$13)^($F62-'הנחות עבודה'!$C$5)/$D$11)</f>
        <v>0</v>
      </c>
      <c r="AG62" s="44">
        <f ca="1">IF($F62&gt;$D$5,0,VLOOKUP($F62,$F$24:$BZ$44,AG$2-$E$2,FALSE)*$D$11*$D$14*(1+$D$13)^($F62-'הנחות עבודה'!$C$5)/$D$11)</f>
        <v>0</v>
      </c>
      <c r="AH62" s="44">
        <f ca="1">IF($F62&gt;$D$5,0,VLOOKUP($F62,$F$24:$BZ$44,AH$2-$E$2,FALSE)*$D$11*$D$14*(1+$D$13)^($F62-'הנחות עבודה'!$C$5)/$D$11)</f>
        <v>0</v>
      </c>
      <c r="AI62" s="44">
        <f ca="1">IF($F62&gt;$D$5,0,VLOOKUP($F62,$F$24:$BZ$44,AI$2-$E$2,FALSE)*$D$11*$D$14*(1+$D$13)^($F62-'הנחות עבודה'!$C$5)/$D$11)</f>
        <v>0</v>
      </c>
      <c r="AJ62" s="44">
        <f ca="1">IF($F62&gt;$D$5,0,VLOOKUP($F62,$F$24:$BZ$44,AJ$2-$E$2,FALSE)*$D$11*$D$14*(1+$D$13)^($F62-'הנחות עבודה'!$C$5)/$D$11)</f>
        <v>0</v>
      </c>
      <c r="AK62" s="42">
        <f ca="1">IF($F62&gt;$D$5,0,VLOOKUP($F62,$F$24:$BZ$44,AK$2-$E$2,FALSE)*$D$11*$D$14*(1+$D$13)^($F62-'הנחות עבודה'!$C$5)/$D$11)</f>
        <v>14.977608946050809</v>
      </c>
      <c r="AL62" s="42">
        <f ca="1">IF($F62&gt;$D$5,0,VLOOKUP($F62,$F$24:$BZ$44,AL$2-$E$2,FALSE)*$D$11*$D$14*(1+$D$13)^($F62-'הנחות עבודה'!$C$5)/$D$11)</f>
        <v>58.58574912602905</v>
      </c>
      <c r="AM62" s="42">
        <f ca="1">IF($F62&gt;$D$5,0,VLOOKUP($F62,$F$24:$BZ$44,AM$2-$E$2,FALSE)*$D$11*$D$14*(1+$D$13)^($F62-'הנחות עבודה'!$C$5)/$D$11)</f>
        <v>0</v>
      </c>
      <c r="AN62" s="42">
        <f ca="1">IF($F62&gt;$D$5,0,VLOOKUP($F62,$F$24:$BZ$44,AN$2-$E$2,FALSE)*$D$11*$D$14*(1+$D$13)^($F62-'הנחות עבודה'!$C$5)/$D$11)</f>
        <v>0</v>
      </c>
      <c r="AO62" s="42">
        <f ca="1">IF($F62&gt;$D$5,0,VLOOKUP($F62,$F$24:$BZ$44,AO$2-$E$2,FALSE)*$D$11*$D$14*(1+$D$13)^($F62-'הנחות עבודה'!$C$5)/$D$11)</f>
        <v>0</v>
      </c>
      <c r="AP62" s="42">
        <f ca="1">IF($F62&gt;$D$5,0,VLOOKUP($F62,$F$24:$BZ$44,AP$2-$E$2,FALSE)*$D$11*$D$14*(1+$D$13)^($F62-'הנחות עבודה'!$C$5)/$D$11)</f>
        <v>0</v>
      </c>
      <c r="AQ62" s="52">
        <f ca="1">IF($F62&gt;$D$5,0,VLOOKUP($F62,$F$24:$BZ$44,AQ$2-$E$2,FALSE)*$D$11*$D$14*(1+$D$13)^($F62-'הנחות עבודה'!$C$5)/$D$11)</f>
        <v>0</v>
      </c>
      <c r="AR62" s="127">
        <f ca="1">IF($F62&gt;$D$5,0,VLOOKUP($F62,$F$24:$BZ$44,AR$2-$E$2,FALSE)*$D$11*$D$14*(1+$D$13)^($F62-'הנחות עבודה'!$C$5)/$D$11)</f>
        <v>0</v>
      </c>
      <c r="AS62" s="127">
        <f ca="1">IF($F62&gt;$D$5,0,VLOOKUP($F62,$F$24:$BZ$44,AS$2-$E$2,FALSE)*$D$11*$D$14*(1+$D$13)^($F62-'הנחות עבודה'!$C$5)/$D$11)</f>
        <v>0</v>
      </c>
      <c r="AT62" s="127">
        <f ca="1">IF($F62&gt;$D$5,0,VLOOKUP($F62,$F$24:$BZ$44,AT$2-$E$2,FALSE)*$D$11*$D$14*(1+$D$13)^($F62-'הנחות עבודה'!$C$5)/$D$11)</f>
        <v>0</v>
      </c>
      <c r="AU62" s="127">
        <f ca="1">IF($F62&gt;$D$5,0,VLOOKUP($F62,$F$24:$BZ$44,AU$2-$E$2,FALSE)*$D$11*$D$14*(1+$D$13)^($F62-'הנחות עבודה'!$C$5)/$D$11)</f>
        <v>0</v>
      </c>
      <c r="AV62" s="127">
        <f ca="1">IF($F62&gt;$D$5,0,VLOOKUP($F62,$F$24:$BZ$44,AV$2-$E$2,FALSE)*$D$11*$D$14*(1+$D$13)^($F62-'הנחות עבודה'!$C$5)/$D$11)</f>
        <v>0</v>
      </c>
      <c r="AW62" s="52">
        <f ca="1">IF($F62&gt;$D$5,0,VLOOKUP($F62,$F$24:$BZ$44,AW$2-$E$2,FALSE)*$D$11*$D$14*(1+$D$13)^($F62-'הנחות עבודה'!$C$5)/$D$11)</f>
        <v>14.977608946050809</v>
      </c>
      <c r="AX62" s="52">
        <f ca="1">IF($F62&gt;$D$5,0,VLOOKUP($F62,$F$24:$BZ$44,AX$2-$E$2,FALSE)*$D$11*$D$14*(1+$D$13)^($F62-'הנחות עבודה'!$C$5)/$D$11)</f>
        <v>58.58574912602905</v>
      </c>
      <c r="AY62" s="52">
        <f ca="1">IF($F62&gt;$D$5,0,VLOOKUP($F62,$F$24:$BZ$44,AY$2-$E$2,FALSE)*$D$11*$D$14*(1+$D$13)^($F62-'הנחות עבודה'!$C$5)/$D$11)</f>
        <v>0</v>
      </c>
      <c r="AZ62" s="52">
        <f ca="1">IF($F62&gt;$D$5,0,VLOOKUP($F62,$F$24:$BZ$44,AZ$2-$E$2,FALSE)*$D$11*$D$14*(1+$D$13)^($F62-'הנחות עבודה'!$C$5)/$D$11)</f>
        <v>0</v>
      </c>
      <c r="BA62" s="52">
        <f ca="1">IF($F62&gt;$D$5,0,VLOOKUP($F62,$F$24:$BZ$44,BA$2-$E$2,FALSE)*$D$11*$D$14*(1+$D$13)^($F62-'הנחות עבודה'!$C$5)/$D$11)</f>
        <v>0</v>
      </c>
      <c r="BB62" s="52">
        <f ca="1">IF($F62&gt;$D$5,0,VLOOKUP($F62,$F$24:$BZ$44,BB$2-$E$2,FALSE)*$D$11*$D$14*(1+$D$13)^($F62-'הנחות עבודה'!$C$5)/$D$11)</f>
        <v>0</v>
      </c>
      <c r="BC62" s="42">
        <f ca="1">IF($F62&gt;$D$5,0,VLOOKUP($F62,$F$24:$BZ$44,BC$2-$E$2,FALSE)*$D$11*$D$14*(1+$D$13)^($F62-'הנחות עבודה'!$C$5)/$D$11)</f>
        <v>0</v>
      </c>
      <c r="BD62" s="44">
        <f ca="1">IF($F62&gt;$D$5,0,VLOOKUP($F62,$F$24:$BZ$44,BD$2-$E$2,FALSE)*$D$11*$D$14*(1+$D$13)^($F62-'הנחות עבודה'!$C$5)/$D$11)</f>
        <v>0</v>
      </c>
      <c r="BE62" s="44">
        <f ca="1">IF($F62&gt;$D$5,0,VLOOKUP($F62,$F$24:$BZ$44,BE$2-$E$2,FALSE)*$D$11*$D$14*(1+$D$13)^($F62-'הנחות עבודה'!$C$5)/$D$11)</f>
        <v>0</v>
      </c>
      <c r="BF62" s="44">
        <f ca="1">IF($F62&gt;$D$5,0,VLOOKUP($F62,$F$24:$BZ$44,BF$2-$E$2,FALSE)*$D$11*$D$14*(1+$D$13)^($F62-'הנחות עבודה'!$C$5)/$D$11)</f>
        <v>0</v>
      </c>
      <c r="BG62" s="44">
        <f ca="1">IF($F62&gt;$D$5,0,VLOOKUP($F62,$F$24:$BZ$44,BG$2-$E$2,FALSE)*$D$11*$D$14*(1+$D$13)^($F62-'הנחות עבודה'!$C$5)/$D$11)</f>
        <v>0</v>
      </c>
      <c r="BH62" s="44">
        <f ca="1">IF($F62&gt;$D$5,0,VLOOKUP($F62,$F$24:$BZ$44,BH$2-$E$2,FALSE)*$D$11*$D$14*(1+$D$13)^($F62-'הנחות עבודה'!$C$5)/$D$11)</f>
        <v>0</v>
      </c>
      <c r="BI62" s="42">
        <f ca="1">IF($F62&gt;$D$5,0,VLOOKUP($F62,$F$24:$BZ$44,BI$2-$E$2,FALSE)*$D$11*$D$14*(1+$D$13)^($F62-'הנחות עבודה'!$C$5)/$D$11)</f>
        <v>15.287383188676689</v>
      </c>
      <c r="BJ62" s="42">
        <f ca="1">IF($F62&gt;$D$5,0,VLOOKUP($F62,$F$24:$BZ$44,BJ$2-$E$2,FALSE)*$D$11*$D$14*(1+$D$13)^($F62-'הנחות עבודה'!$C$5)/$D$11)</f>
        <v>53.577332125652852</v>
      </c>
      <c r="BK62" s="42">
        <f ca="1">IF($F62&gt;$D$5,0,VLOOKUP($F62,$F$24:$BZ$44,BK$2-$E$2,FALSE)*$D$11*$D$14*(1+$D$13)^($F62-'הנחות עבודה'!$C$5)/$D$11)</f>
        <v>0</v>
      </c>
      <c r="BL62" s="42">
        <f ca="1">IF($F62&gt;$D$5,0,VLOOKUP($F62,$F$24:$BZ$44,BL$2-$E$2,FALSE)*$D$11*$D$14*(1+$D$13)^($F62-'הנחות עבודה'!$C$5)/$D$11)</f>
        <v>0</v>
      </c>
      <c r="BM62" s="42">
        <f ca="1">IF($F62&gt;$D$5,0,VLOOKUP($F62,$F$24:$BZ$44,BM$2-$E$2,FALSE)*$D$11*$D$14*(1+$D$13)^($F62-'הנחות עבודה'!$C$5)/$D$11)</f>
        <v>0</v>
      </c>
      <c r="BN62" s="42">
        <f ca="1">IF($F62&gt;$D$5,0,VLOOKUP($F62,$F$24:$BZ$44,BN$2-$E$2,FALSE)*$D$11*$D$14*(1+$D$13)^($F62-'הנחות עבודה'!$C$5)/$D$11)</f>
        <v>0</v>
      </c>
      <c r="BO62" s="52">
        <f ca="1">IF($F62&gt;$D$5,0,VLOOKUP($F62,$F$24:$BZ$44,BO$2-$E$2,FALSE)*$D$11*$D$14*(1+$D$13)^($F62-'הנחות עבודה'!$C$5)/$D$11)</f>
        <v>0</v>
      </c>
      <c r="BP62" s="127">
        <f ca="1">IF($F62&gt;$D$5,0,VLOOKUP($F62,$F$24:$BZ$44,BP$2-$E$2,FALSE)*$D$11*$D$14*(1+$D$13)^($F62-'הנחות עבודה'!$C$5)/$D$11)</f>
        <v>0</v>
      </c>
      <c r="BQ62" s="127">
        <f ca="1">IF($F62&gt;$D$5,0,VLOOKUP($F62,$F$24:$BZ$44,BQ$2-$E$2,FALSE)*$D$11*$D$14*(1+$D$13)^($F62-'הנחות עבודה'!$C$5)/$D$11)</f>
        <v>0</v>
      </c>
      <c r="BR62" s="127">
        <f ca="1">IF($F62&gt;$D$5,0,VLOOKUP($F62,$F$24:$BZ$44,BR$2-$E$2,FALSE)*$D$11*$D$14*(1+$D$13)^($F62-'הנחות עבודה'!$C$5)/$D$11)</f>
        <v>0</v>
      </c>
      <c r="BS62" s="127">
        <f ca="1">IF($F62&gt;$D$5,0,VLOOKUP($F62,$F$24:$BZ$44,BS$2-$E$2,FALSE)*$D$11*$D$14*(1+$D$13)^($F62-'הנחות עבודה'!$C$5)/$D$11)</f>
        <v>0</v>
      </c>
      <c r="BT62" s="127">
        <f ca="1">IF($F62&gt;$D$5,0,VLOOKUP($F62,$F$24:$BZ$44,BT$2-$E$2,FALSE)*$D$11*$D$14*(1+$D$13)^($F62-'הנחות עבודה'!$C$5)/$D$11)</f>
        <v>0</v>
      </c>
      <c r="BU62" s="52">
        <f ca="1">IF($F62&gt;$D$5,0,VLOOKUP($F62,$F$24:$BZ$44,BU$2-$E$2,FALSE)*$D$11*$D$14*(1+$D$13)^($F62-'הנחות עבודה'!$C$5)/$D$11)</f>
        <v>15.287383188676689</v>
      </c>
      <c r="BV62" s="52">
        <f ca="1">IF($F62&gt;$D$5,0,VLOOKUP($F62,$F$24:$BZ$44,BV$2-$E$2,FALSE)*$D$11*$D$14*(1+$D$13)^($F62-'הנחות עבודה'!$C$5)/$D$11)</f>
        <v>53.577332125652852</v>
      </c>
      <c r="BW62" s="52">
        <f ca="1">IF($F62&gt;$D$5,0,VLOOKUP($F62,$F$24:$BZ$44,BW$2-$E$2,FALSE)*$D$11*$D$14*(1+$D$13)^($F62-'הנחות עבודה'!$C$5)/$D$11)</f>
        <v>0</v>
      </c>
      <c r="BX62" s="52">
        <f ca="1">IF($F62&gt;$D$5,0,VLOOKUP($F62,$F$24:$BZ$44,BX$2-$E$2,FALSE)*$D$11*$D$14*(1+$D$13)^($F62-'הנחות עבודה'!$C$5)/$D$11)</f>
        <v>0</v>
      </c>
      <c r="BY62" s="52">
        <f ca="1">IF($F62&gt;$D$5,0,VLOOKUP($F62,$F$24:$BZ$44,BY$2-$E$2,FALSE)*$D$11*$D$14*(1+$D$13)^($F62-'הנחות עבודה'!$C$5)/$D$11)</f>
        <v>0</v>
      </c>
      <c r="BZ62" s="52">
        <f ca="1">IF($F62&gt;$D$5,0,VLOOKUP($F62,$F$24:$BZ$44,BZ$2-$E$2,FALSE)*$D$11*$D$14*(1+$D$13)^($F62-'הנחות עבודה'!$C$5)/$D$11)</f>
        <v>0</v>
      </c>
    </row>
    <row r="63" spans="6:78" ht="15.75">
      <c r="F63" s="10">
        <f t="shared" si="123"/>
        <v>2032</v>
      </c>
      <c r="G63" s="42">
        <f ca="1">IF($F63&gt;$D$5,0,VLOOKUP($F63,$F$24:$BZ$44,G$2-$E$2,FALSE)*$D$11*$D$14*(1+$D$13)^($F63-'הנחות עבודה'!$C$5)/$D$11)</f>
        <v>0</v>
      </c>
      <c r="H63" s="44">
        <f ca="1">IF($F63&gt;$D$5,0,VLOOKUP($F63,$F$24:$BZ$44,H$2-$E$2,FALSE)*$D$11*$D$14*(1+$D$13)^($F63-'הנחות עבודה'!$C$5)/$D$11)</f>
        <v>0</v>
      </c>
      <c r="I63" s="44">
        <f ca="1">IF($F63&gt;$D$5,0,VLOOKUP($F63,$F$24:$BZ$44,I$2-$E$2,FALSE)*$D$11*$D$14*(1+$D$13)^($F63-'הנחות עבודה'!$C$5)/$D$11)</f>
        <v>0</v>
      </c>
      <c r="J63" s="44">
        <f ca="1">IF($F63&gt;$D$5,0,VLOOKUP($F63,$F$24:$BZ$44,J$2-$E$2,FALSE)*$D$11*$D$14*(1+$D$13)^($F63-'הנחות עבודה'!$C$5)/$D$11)</f>
        <v>0</v>
      </c>
      <c r="K63" s="44">
        <f ca="1">IF($F63&gt;$D$5,0,VLOOKUP($F63,$F$24:$BZ$44,K$2-$E$2,FALSE)*$D$11*$D$14*(1+$D$13)^($F63-'הנחות עבודה'!$C$5)/$D$11)</f>
        <v>0</v>
      </c>
      <c r="L63" s="44">
        <f ca="1">IF($F63&gt;$D$5,0,VLOOKUP($F63,$F$24:$BZ$44,L$2-$E$2,FALSE)*$D$11*$D$14*(1+$D$13)^($F63-'הנחות עבודה'!$C$5)/$D$11)</f>
        <v>0</v>
      </c>
      <c r="M63" s="42">
        <f ca="1">IF($F63&gt;$D$5,0,VLOOKUP($F63,$F$24:$BZ$44,M$2-$E$2,FALSE)*$D$11*$D$14*(1+$D$13)^($F63-'הנחות עבודה'!$C$5)/$D$11)</f>
        <v>14.553374196960547</v>
      </c>
      <c r="N63" s="42">
        <f ca="1">IF($F63&gt;$D$5,0,VLOOKUP($F63,$F$24:$BZ$44,N$2-$E$2,FALSE)*$D$11*$D$14*(1+$D$13)^($F63-'הנחות עבודה'!$C$5)/$D$11)</f>
        <v>72.279286083332224</v>
      </c>
      <c r="O63" s="42">
        <f ca="1">IF($F63&gt;$D$5,0,VLOOKUP($F63,$F$24:$BZ$44,O$2-$E$2,FALSE)*$D$11*$D$14*(1+$D$13)^($F63-'הנחות עבודה'!$C$5)/$D$11)</f>
        <v>0</v>
      </c>
      <c r="P63" s="42">
        <f ca="1">IF($F63&gt;$D$5,0,VLOOKUP($F63,$F$24:$BZ$44,P$2-$E$2,FALSE)*$D$11*$D$14*(1+$D$13)^($F63-'הנחות עבודה'!$C$5)/$D$11)</f>
        <v>0</v>
      </c>
      <c r="Q63" s="42">
        <f ca="1">IF($F63&gt;$D$5,0,VLOOKUP($F63,$F$24:$BZ$44,Q$2-$E$2,FALSE)*$D$11*$D$14*(1+$D$13)^($F63-'הנחות עבודה'!$C$5)/$D$11)</f>
        <v>0</v>
      </c>
      <c r="R63" s="42">
        <f ca="1">IF($F63&gt;$D$5,0,VLOOKUP($F63,$F$24:$BZ$44,R$2-$E$2,FALSE)*$D$11*$D$14*(1+$D$13)^($F63-'הנחות עבודה'!$C$5)/$D$11)</f>
        <v>0</v>
      </c>
      <c r="S63" s="52">
        <f ca="1">IF($F63&gt;$D$5,0,VLOOKUP($F63,$F$24:$BZ$44,S$2-$E$2,FALSE)*$D$11*$D$14*(1+$D$13)^($F63-'הנחות עבודה'!$C$5)/$D$11)</f>
        <v>0</v>
      </c>
      <c r="T63" s="127">
        <f ca="1">IF($F63&gt;$D$5,0,VLOOKUP($F63,$F$24:$BZ$44,T$2-$E$2,FALSE)*$D$11*$D$14*(1+$D$13)^($F63-'הנחות עבודה'!$C$5)/$D$11)</f>
        <v>0</v>
      </c>
      <c r="U63" s="127">
        <f ca="1">IF($F63&gt;$D$5,0,VLOOKUP($F63,$F$24:$BZ$44,U$2-$E$2,FALSE)*$D$11*$D$14*(1+$D$13)^($F63-'הנחות עבודה'!$C$5)/$D$11)</f>
        <v>0</v>
      </c>
      <c r="V63" s="127">
        <f ca="1">IF($F63&gt;$D$5,0,VLOOKUP($F63,$F$24:$BZ$44,V$2-$E$2,FALSE)*$D$11*$D$14*(1+$D$13)^($F63-'הנחות עבודה'!$C$5)/$D$11)</f>
        <v>0</v>
      </c>
      <c r="W63" s="127">
        <f ca="1">IF($F63&gt;$D$5,0,VLOOKUP($F63,$F$24:$BZ$44,W$2-$E$2,FALSE)*$D$11*$D$14*(1+$D$13)^($F63-'הנחות עבודה'!$C$5)/$D$11)</f>
        <v>0</v>
      </c>
      <c r="X63" s="127">
        <f ca="1">IF($F63&gt;$D$5,0,VLOOKUP($F63,$F$24:$BZ$44,X$2-$E$2,FALSE)*$D$11*$D$14*(1+$D$13)^($F63-'הנחות עבודה'!$C$5)/$D$11)</f>
        <v>0</v>
      </c>
      <c r="Y63" s="52">
        <f ca="1">IF($F63&gt;$D$5,0,VLOOKUP($F63,$F$24:$BZ$44,Y$2-$E$2,FALSE)*$D$11*$D$14*(1+$D$13)^($F63-'הנחות עבודה'!$C$5)/$D$11)</f>
        <v>14.553374196960547</v>
      </c>
      <c r="Z63" s="52">
        <f ca="1">IF($F63&gt;$D$5,0,VLOOKUP($F63,$F$24:$BZ$44,Z$2-$E$2,FALSE)*$D$11*$D$14*(1+$D$13)^($F63-'הנחות עבודה'!$C$5)/$D$11)</f>
        <v>72.279286083332224</v>
      </c>
      <c r="AA63" s="52">
        <f ca="1">IF($F63&gt;$D$5,0,VLOOKUP($F63,$F$24:$BZ$44,AA$2-$E$2,FALSE)*$D$11*$D$14*(1+$D$13)^($F63-'הנחות עבודה'!$C$5)/$D$11)</f>
        <v>0</v>
      </c>
      <c r="AB63" s="52">
        <f ca="1">IF($F63&gt;$D$5,0,VLOOKUP($F63,$F$24:$BZ$44,AB$2-$E$2,FALSE)*$D$11*$D$14*(1+$D$13)^($F63-'הנחות עבודה'!$C$5)/$D$11)</f>
        <v>0</v>
      </c>
      <c r="AC63" s="52">
        <f ca="1">IF($F63&gt;$D$5,0,VLOOKUP($F63,$F$24:$BZ$44,AC$2-$E$2,FALSE)*$D$11*$D$14*(1+$D$13)^($F63-'הנחות עבודה'!$C$5)/$D$11)</f>
        <v>0</v>
      </c>
      <c r="AD63" s="52">
        <f ca="1">IF($F63&gt;$D$5,0,VLOOKUP($F63,$F$24:$BZ$44,AD$2-$E$2,FALSE)*$D$11*$D$14*(1+$D$13)^($F63-'הנחות עבודה'!$C$5)/$D$11)</f>
        <v>0</v>
      </c>
      <c r="AE63" s="42">
        <f ca="1">IF($F63&gt;$D$5,0,VLOOKUP($F63,$F$24:$BZ$44,AE$2-$E$2,FALSE)*$D$11*$D$14*(1+$D$13)^($F63-'הנחות עבודה'!$C$5)/$D$11)</f>
        <v>0</v>
      </c>
      <c r="AF63" s="44">
        <f ca="1">IF($F63&gt;$D$5,0,VLOOKUP($F63,$F$24:$BZ$44,AF$2-$E$2,FALSE)*$D$11*$D$14*(1+$D$13)^($F63-'הנחות עבודה'!$C$5)/$D$11)</f>
        <v>0</v>
      </c>
      <c r="AG63" s="44">
        <f ca="1">IF($F63&gt;$D$5,0,VLOOKUP($F63,$F$24:$BZ$44,AG$2-$E$2,FALSE)*$D$11*$D$14*(1+$D$13)^($F63-'הנחות עבודה'!$C$5)/$D$11)</f>
        <v>0</v>
      </c>
      <c r="AH63" s="44">
        <f ca="1">IF($F63&gt;$D$5,0,VLOOKUP($F63,$F$24:$BZ$44,AH$2-$E$2,FALSE)*$D$11*$D$14*(1+$D$13)^($F63-'הנחות עבודה'!$C$5)/$D$11)</f>
        <v>0</v>
      </c>
      <c r="AI63" s="44">
        <f ca="1">IF($F63&gt;$D$5,0,VLOOKUP($F63,$F$24:$BZ$44,AI$2-$E$2,FALSE)*$D$11*$D$14*(1+$D$13)^($F63-'הנחות עבודה'!$C$5)/$D$11)</f>
        <v>0</v>
      </c>
      <c r="AJ63" s="44">
        <f ca="1">IF($F63&gt;$D$5,0,VLOOKUP($F63,$F$24:$BZ$44,AJ$2-$E$2,FALSE)*$D$11*$D$14*(1+$D$13)^($F63-'הנחות עבודה'!$C$5)/$D$11)</f>
        <v>0</v>
      </c>
      <c r="AK63" s="42">
        <f ca="1">IF($F63&gt;$D$5,0,VLOOKUP($F63,$F$24:$BZ$44,AK$2-$E$2,FALSE)*$D$11*$D$14*(1+$D$13)^($F63-'הנחות עבודה'!$C$5)/$D$11)</f>
        <v>15.526487680180812</v>
      </c>
      <c r="AL63" s="42">
        <f ca="1">IF($F63&gt;$D$5,0,VLOOKUP($F63,$F$24:$BZ$44,AL$2-$E$2,FALSE)*$D$11*$D$14*(1+$D$13)^($F63-'הנחות עבודה'!$C$5)/$D$11)</f>
        <v>63.584536749810802</v>
      </c>
      <c r="AM63" s="42">
        <f ca="1">IF($F63&gt;$D$5,0,VLOOKUP($F63,$F$24:$BZ$44,AM$2-$E$2,FALSE)*$D$11*$D$14*(1+$D$13)^($F63-'הנחות עבודה'!$C$5)/$D$11)</f>
        <v>0</v>
      </c>
      <c r="AN63" s="42">
        <f ca="1">IF($F63&gt;$D$5,0,VLOOKUP($F63,$F$24:$BZ$44,AN$2-$E$2,FALSE)*$D$11*$D$14*(1+$D$13)^($F63-'הנחות עבודה'!$C$5)/$D$11)</f>
        <v>0</v>
      </c>
      <c r="AO63" s="42">
        <f ca="1">IF($F63&gt;$D$5,0,VLOOKUP($F63,$F$24:$BZ$44,AO$2-$E$2,FALSE)*$D$11*$D$14*(1+$D$13)^($F63-'הנחות עבודה'!$C$5)/$D$11)</f>
        <v>0</v>
      </c>
      <c r="AP63" s="42">
        <f ca="1">IF($F63&gt;$D$5,0,VLOOKUP($F63,$F$24:$BZ$44,AP$2-$E$2,FALSE)*$D$11*$D$14*(1+$D$13)^($F63-'הנחות עבודה'!$C$5)/$D$11)</f>
        <v>0</v>
      </c>
      <c r="AQ63" s="52">
        <f ca="1">IF($F63&gt;$D$5,0,VLOOKUP($F63,$F$24:$BZ$44,AQ$2-$E$2,FALSE)*$D$11*$D$14*(1+$D$13)^($F63-'הנחות עבודה'!$C$5)/$D$11)</f>
        <v>0</v>
      </c>
      <c r="AR63" s="127">
        <f ca="1">IF($F63&gt;$D$5,0,VLOOKUP($F63,$F$24:$BZ$44,AR$2-$E$2,FALSE)*$D$11*$D$14*(1+$D$13)^($F63-'הנחות עבודה'!$C$5)/$D$11)</f>
        <v>0</v>
      </c>
      <c r="AS63" s="127">
        <f ca="1">IF($F63&gt;$D$5,0,VLOOKUP($F63,$F$24:$BZ$44,AS$2-$E$2,FALSE)*$D$11*$D$14*(1+$D$13)^($F63-'הנחות עבודה'!$C$5)/$D$11)</f>
        <v>0</v>
      </c>
      <c r="AT63" s="127">
        <f ca="1">IF($F63&gt;$D$5,0,VLOOKUP($F63,$F$24:$BZ$44,AT$2-$E$2,FALSE)*$D$11*$D$14*(1+$D$13)^($F63-'הנחות עבודה'!$C$5)/$D$11)</f>
        <v>0</v>
      </c>
      <c r="AU63" s="127">
        <f ca="1">IF($F63&gt;$D$5,0,VLOOKUP($F63,$F$24:$BZ$44,AU$2-$E$2,FALSE)*$D$11*$D$14*(1+$D$13)^($F63-'הנחות עבודה'!$C$5)/$D$11)</f>
        <v>0</v>
      </c>
      <c r="AV63" s="127">
        <f ca="1">IF($F63&gt;$D$5,0,VLOOKUP($F63,$F$24:$BZ$44,AV$2-$E$2,FALSE)*$D$11*$D$14*(1+$D$13)^($F63-'הנחות עבודה'!$C$5)/$D$11)</f>
        <v>0</v>
      </c>
      <c r="AW63" s="52">
        <f ca="1">IF($F63&gt;$D$5,0,VLOOKUP($F63,$F$24:$BZ$44,AW$2-$E$2,FALSE)*$D$11*$D$14*(1+$D$13)^($F63-'הנחות עבודה'!$C$5)/$D$11)</f>
        <v>15.526487680180812</v>
      </c>
      <c r="AX63" s="52">
        <f ca="1">IF($F63&gt;$D$5,0,VLOOKUP($F63,$F$24:$BZ$44,AX$2-$E$2,FALSE)*$D$11*$D$14*(1+$D$13)^($F63-'הנחות עבודה'!$C$5)/$D$11)</f>
        <v>63.584536749810802</v>
      </c>
      <c r="AY63" s="52">
        <f ca="1">IF($F63&gt;$D$5,0,VLOOKUP($F63,$F$24:$BZ$44,AY$2-$E$2,FALSE)*$D$11*$D$14*(1+$D$13)^($F63-'הנחות עבודה'!$C$5)/$D$11)</f>
        <v>0</v>
      </c>
      <c r="AZ63" s="52">
        <f ca="1">IF($F63&gt;$D$5,0,VLOOKUP($F63,$F$24:$BZ$44,AZ$2-$E$2,FALSE)*$D$11*$D$14*(1+$D$13)^($F63-'הנחות עבודה'!$C$5)/$D$11)</f>
        <v>0</v>
      </c>
      <c r="BA63" s="52">
        <f ca="1">IF($F63&gt;$D$5,0,VLOOKUP($F63,$F$24:$BZ$44,BA$2-$E$2,FALSE)*$D$11*$D$14*(1+$D$13)^($F63-'הנחות עבודה'!$C$5)/$D$11)</f>
        <v>0</v>
      </c>
      <c r="BB63" s="52">
        <f ca="1">IF($F63&gt;$D$5,0,VLOOKUP($F63,$F$24:$BZ$44,BB$2-$E$2,FALSE)*$D$11*$D$14*(1+$D$13)^($F63-'הנחות עבודה'!$C$5)/$D$11)</f>
        <v>0</v>
      </c>
      <c r="BC63" s="42">
        <f ca="1">IF($F63&gt;$D$5,0,VLOOKUP($F63,$F$24:$BZ$44,BC$2-$E$2,FALSE)*$D$11*$D$14*(1+$D$13)^($F63-'הנחות עבודה'!$C$5)/$D$11)</f>
        <v>0</v>
      </c>
      <c r="BD63" s="44">
        <f ca="1">IF($F63&gt;$D$5,0,VLOOKUP($F63,$F$24:$BZ$44,BD$2-$E$2,FALSE)*$D$11*$D$14*(1+$D$13)^($F63-'הנחות עבודה'!$C$5)/$D$11)</f>
        <v>0</v>
      </c>
      <c r="BE63" s="44">
        <f ca="1">IF($F63&gt;$D$5,0,VLOOKUP($F63,$F$24:$BZ$44,BE$2-$E$2,FALSE)*$D$11*$D$14*(1+$D$13)^($F63-'הנחות עבודה'!$C$5)/$D$11)</f>
        <v>0</v>
      </c>
      <c r="BF63" s="44">
        <f ca="1">IF($F63&gt;$D$5,0,VLOOKUP($F63,$F$24:$BZ$44,BF$2-$E$2,FALSE)*$D$11*$D$14*(1+$D$13)^($F63-'הנחות עבודה'!$C$5)/$D$11)</f>
        <v>0</v>
      </c>
      <c r="BG63" s="44">
        <f ca="1">IF($F63&gt;$D$5,0,VLOOKUP($F63,$F$24:$BZ$44,BG$2-$E$2,FALSE)*$D$11*$D$14*(1+$D$13)^($F63-'הנחות עבודה'!$C$5)/$D$11)</f>
        <v>0</v>
      </c>
      <c r="BH63" s="44">
        <f ca="1">IF($F63&gt;$D$5,0,VLOOKUP($F63,$F$24:$BZ$44,BH$2-$E$2,FALSE)*$D$11*$D$14*(1+$D$13)^($F63-'הנחות עבודה'!$C$5)/$D$11)</f>
        <v>0</v>
      </c>
      <c r="BI63" s="42">
        <f ca="1">IF($F63&gt;$D$5,0,VLOOKUP($F63,$F$24:$BZ$44,BI$2-$E$2,FALSE)*$D$11*$D$14*(1+$D$13)^($F63-'הנחות עבודה'!$C$5)/$D$11)</f>
        <v>15.882934722873863</v>
      </c>
      <c r="BJ63" s="42">
        <f ca="1">IF($F63&gt;$D$5,0,VLOOKUP($F63,$F$24:$BZ$44,BJ$2-$E$2,FALSE)*$D$11*$D$14*(1+$D$13)^($F63-'הנחות עבודה'!$C$5)/$D$11)</f>
        <v>58.408358354958665</v>
      </c>
      <c r="BK63" s="42">
        <f ca="1">IF($F63&gt;$D$5,0,VLOOKUP($F63,$F$24:$BZ$44,BK$2-$E$2,FALSE)*$D$11*$D$14*(1+$D$13)^($F63-'הנחות עבודה'!$C$5)/$D$11)</f>
        <v>0</v>
      </c>
      <c r="BL63" s="42">
        <f ca="1">IF($F63&gt;$D$5,0,VLOOKUP($F63,$F$24:$BZ$44,BL$2-$E$2,FALSE)*$D$11*$D$14*(1+$D$13)^($F63-'הנחות עבודה'!$C$5)/$D$11)</f>
        <v>0</v>
      </c>
      <c r="BM63" s="42">
        <f ca="1">IF($F63&gt;$D$5,0,VLOOKUP($F63,$F$24:$BZ$44,BM$2-$E$2,FALSE)*$D$11*$D$14*(1+$D$13)^($F63-'הנחות עבודה'!$C$5)/$D$11)</f>
        <v>0</v>
      </c>
      <c r="BN63" s="42">
        <f ca="1">IF($F63&gt;$D$5,0,VLOOKUP($F63,$F$24:$BZ$44,BN$2-$E$2,FALSE)*$D$11*$D$14*(1+$D$13)^($F63-'הנחות עבודה'!$C$5)/$D$11)</f>
        <v>0</v>
      </c>
      <c r="BO63" s="52">
        <f ca="1">IF($F63&gt;$D$5,0,VLOOKUP($F63,$F$24:$BZ$44,BO$2-$E$2,FALSE)*$D$11*$D$14*(1+$D$13)^($F63-'הנחות עבודה'!$C$5)/$D$11)</f>
        <v>0</v>
      </c>
      <c r="BP63" s="127">
        <f ca="1">IF($F63&gt;$D$5,0,VLOOKUP($F63,$F$24:$BZ$44,BP$2-$E$2,FALSE)*$D$11*$D$14*(1+$D$13)^($F63-'הנחות עבודה'!$C$5)/$D$11)</f>
        <v>0</v>
      </c>
      <c r="BQ63" s="127">
        <f ca="1">IF($F63&gt;$D$5,0,VLOOKUP($F63,$F$24:$BZ$44,BQ$2-$E$2,FALSE)*$D$11*$D$14*(1+$D$13)^($F63-'הנחות עבודה'!$C$5)/$D$11)</f>
        <v>0</v>
      </c>
      <c r="BR63" s="127">
        <f ca="1">IF($F63&gt;$D$5,0,VLOOKUP($F63,$F$24:$BZ$44,BR$2-$E$2,FALSE)*$D$11*$D$14*(1+$D$13)^($F63-'הנחות עבודה'!$C$5)/$D$11)</f>
        <v>0</v>
      </c>
      <c r="BS63" s="127">
        <f ca="1">IF($F63&gt;$D$5,0,VLOOKUP($F63,$F$24:$BZ$44,BS$2-$E$2,FALSE)*$D$11*$D$14*(1+$D$13)^($F63-'הנחות עבודה'!$C$5)/$D$11)</f>
        <v>0</v>
      </c>
      <c r="BT63" s="127">
        <f ca="1">IF($F63&gt;$D$5,0,VLOOKUP($F63,$F$24:$BZ$44,BT$2-$E$2,FALSE)*$D$11*$D$14*(1+$D$13)^($F63-'הנחות עבודה'!$C$5)/$D$11)</f>
        <v>0</v>
      </c>
      <c r="BU63" s="52">
        <f ca="1">IF($F63&gt;$D$5,0,VLOOKUP($F63,$F$24:$BZ$44,BU$2-$E$2,FALSE)*$D$11*$D$14*(1+$D$13)^($F63-'הנחות עבודה'!$C$5)/$D$11)</f>
        <v>15.882934722873863</v>
      </c>
      <c r="BV63" s="52">
        <f ca="1">IF($F63&gt;$D$5,0,VLOOKUP($F63,$F$24:$BZ$44,BV$2-$E$2,FALSE)*$D$11*$D$14*(1+$D$13)^($F63-'הנחות עבודה'!$C$5)/$D$11)</f>
        <v>58.408358354958665</v>
      </c>
      <c r="BW63" s="52">
        <f ca="1">IF($F63&gt;$D$5,0,VLOOKUP($F63,$F$24:$BZ$44,BW$2-$E$2,FALSE)*$D$11*$D$14*(1+$D$13)^($F63-'הנחות עבודה'!$C$5)/$D$11)</f>
        <v>0</v>
      </c>
      <c r="BX63" s="52">
        <f ca="1">IF($F63&gt;$D$5,0,VLOOKUP($F63,$F$24:$BZ$44,BX$2-$E$2,FALSE)*$D$11*$D$14*(1+$D$13)^($F63-'הנחות עבודה'!$C$5)/$D$11)</f>
        <v>0</v>
      </c>
      <c r="BY63" s="52">
        <f ca="1">IF($F63&gt;$D$5,0,VLOOKUP($F63,$F$24:$BZ$44,BY$2-$E$2,FALSE)*$D$11*$D$14*(1+$D$13)^($F63-'הנחות עבודה'!$C$5)/$D$11)</f>
        <v>0</v>
      </c>
      <c r="BZ63" s="52">
        <f ca="1">IF($F63&gt;$D$5,0,VLOOKUP($F63,$F$24:$BZ$44,BZ$2-$E$2,FALSE)*$D$11*$D$14*(1+$D$13)^($F63-'הנחות עבודה'!$C$5)/$D$11)</f>
        <v>0</v>
      </c>
    </row>
    <row r="64" spans="6:78" ht="15.75">
      <c r="F64" s="10">
        <f t="shared" si="123"/>
        <v>2033</v>
      </c>
      <c r="G64" s="42">
        <f ca="1">IF($F64&gt;$D$5,0,VLOOKUP($F64,$F$24:$BZ$44,G$2-$E$2,FALSE)*$D$11*$D$14*(1+$D$13)^($F64-'הנחות עבודה'!$C$5)/$D$11)</f>
        <v>0</v>
      </c>
      <c r="H64" s="44">
        <f ca="1">IF($F64&gt;$D$5,0,VLOOKUP($F64,$F$24:$BZ$44,H$2-$E$2,FALSE)*$D$11*$D$14*(1+$D$13)^($F64-'הנחות עבודה'!$C$5)/$D$11)</f>
        <v>0</v>
      </c>
      <c r="I64" s="44">
        <f ca="1">IF($F64&gt;$D$5,0,VLOOKUP($F64,$F$24:$BZ$44,I$2-$E$2,FALSE)*$D$11*$D$14*(1+$D$13)^($F64-'הנחות עבודה'!$C$5)/$D$11)</f>
        <v>0</v>
      </c>
      <c r="J64" s="44">
        <f ca="1">IF($F64&gt;$D$5,0,VLOOKUP($F64,$F$24:$BZ$44,J$2-$E$2,FALSE)*$D$11*$D$14*(1+$D$13)^($F64-'הנחות עבודה'!$C$5)/$D$11)</f>
        <v>0</v>
      </c>
      <c r="K64" s="44">
        <f ca="1">IF($F64&gt;$D$5,0,VLOOKUP($F64,$F$24:$BZ$44,K$2-$E$2,FALSE)*$D$11*$D$14*(1+$D$13)^($F64-'הנחות עבודה'!$C$5)/$D$11)</f>
        <v>0</v>
      </c>
      <c r="L64" s="44">
        <f ca="1">IF($F64&gt;$D$5,0,VLOOKUP($F64,$F$24:$BZ$44,L$2-$E$2,FALSE)*$D$11*$D$14*(1+$D$13)^($F64-'הנחות עבודה'!$C$5)/$D$11)</f>
        <v>0</v>
      </c>
      <c r="M64" s="42">
        <f ca="1">IF($F64&gt;$D$5,0,VLOOKUP($F64,$F$24:$BZ$44,M$2-$E$2,FALSE)*$D$11*$D$14*(1+$D$13)^($F64-'הנחות עבודה'!$C$5)/$D$11)</f>
        <v>15.339593946592226</v>
      </c>
      <c r="N64" s="42">
        <f ca="1">IF($F64&gt;$D$5,0,VLOOKUP($F64,$F$24:$BZ$44,N$2-$E$2,FALSE)*$D$11*$D$14*(1+$D$13)^($F64-'הנחות עבודה'!$C$5)/$D$11)</f>
        <v>77.611326402912781</v>
      </c>
      <c r="O64" s="42">
        <f ca="1">IF($F64&gt;$D$5,0,VLOOKUP($F64,$F$24:$BZ$44,O$2-$E$2,FALSE)*$D$11*$D$14*(1+$D$13)^($F64-'הנחות עבודה'!$C$5)/$D$11)</f>
        <v>0</v>
      </c>
      <c r="P64" s="42">
        <f ca="1">IF($F64&gt;$D$5,0,VLOOKUP($F64,$F$24:$BZ$44,P$2-$E$2,FALSE)*$D$11*$D$14*(1+$D$13)^($F64-'הנחות עבודה'!$C$5)/$D$11)</f>
        <v>0</v>
      </c>
      <c r="Q64" s="42">
        <f ca="1">IF($F64&gt;$D$5,0,VLOOKUP($F64,$F$24:$BZ$44,Q$2-$E$2,FALSE)*$D$11*$D$14*(1+$D$13)^($F64-'הנחות עבודה'!$C$5)/$D$11)</f>
        <v>0</v>
      </c>
      <c r="R64" s="42">
        <f ca="1">IF($F64&gt;$D$5,0,VLOOKUP($F64,$F$24:$BZ$44,R$2-$E$2,FALSE)*$D$11*$D$14*(1+$D$13)^($F64-'הנחות עבודה'!$C$5)/$D$11)</f>
        <v>0</v>
      </c>
      <c r="S64" s="52">
        <f ca="1">IF($F64&gt;$D$5,0,VLOOKUP($F64,$F$24:$BZ$44,S$2-$E$2,FALSE)*$D$11*$D$14*(1+$D$13)^($F64-'הנחות עבודה'!$C$5)/$D$11)</f>
        <v>0</v>
      </c>
      <c r="T64" s="127">
        <f ca="1">IF($F64&gt;$D$5,0,VLOOKUP($F64,$F$24:$BZ$44,T$2-$E$2,FALSE)*$D$11*$D$14*(1+$D$13)^($F64-'הנחות עבודה'!$C$5)/$D$11)</f>
        <v>0</v>
      </c>
      <c r="U64" s="127">
        <f ca="1">IF($F64&gt;$D$5,0,VLOOKUP($F64,$F$24:$BZ$44,U$2-$E$2,FALSE)*$D$11*$D$14*(1+$D$13)^($F64-'הנחות עבודה'!$C$5)/$D$11)</f>
        <v>0</v>
      </c>
      <c r="V64" s="127">
        <f ca="1">IF($F64&gt;$D$5,0,VLOOKUP($F64,$F$24:$BZ$44,V$2-$E$2,FALSE)*$D$11*$D$14*(1+$D$13)^($F64-'הנחות עבודה'!$C$5)/$D$11)</f>
        <v>0</v>
      </c>
      <c r="W64" s="127">
        <f ca="1">IF($F64&gt;$D$5,0,VLOOKUP($F64,$F$24:$BZ$44,W$2-$E$2,FALSE)*$D$11*$D$14*(1+$D$13)^($F64-'הנחות עבודה'!$C$5)/$D$11)</f>
        <v>0</v>
      </c>
      <c r="X64" s="127">
        <f ca="1">IF($F64&gt;$D$5,0,VLOOKUP($F64,$F$24:$BZ$44,X$2-$E$2,FALSE)*$D$11*$D$14*(1+$D$13)^($F64-'הנחות עבודה'!$C$5)/$D$11)</f>
        <v>0</v>
      </c>
      <c r="Y64" s="52">
        <f ca="1">IF($F64&gt;$D$5,0,VLOOKUP($F64,$F$24:$BZ$44,Y$2-$E$2,FALSE)*$D$11*$D$14*(1+$D$13)^($F64-'הנחות עבודה'!$C$5)/$D$11)</f>
        <v>15.339593946592226</v>
      </c>
      <c r="Z64" s="52">
        <f ca="1">IF($F64&gt;$D$5,0,VLOOKUP($F64,$F$24:$BZ$44,Z$2-$E$2,FALSE)*$D$11*$D$14*(1+$D$13)^($F64-'הנחות עבודה'!$C$5)/$D$11)</f>
        <v>77.611326402912781</v>
      </c>
      <c r="AA64" s="52">
        <f ca="1">IF($F64&gt;$D$5,0,VLOOKUP($F64,$F$24:$BZ$44,AA$2-$E$2,FALSE)*$D$11*$D$14*(1+$D$13)^($F64-'הנחות עבודה'!$C$5)/$D$11)</f>
        <v>0</v>
      </c>
      <c r="AB64" s="52">
        <f ca="1">IF($F64&gt;$D$5,0,VLOOKUP($F64,$F$24:$BZ$44,AB$2-$E$2,FALSE)*$D$11*$D$14*(1+$D$13)^($F64-'הנחות עבודה'!$C$5)/$D$11)</f>
        <v>0</v>
      </c>
      <c r="AC64" s="52">
        <f ca="1">IF($F64&gt;$D$5,0,VLOOKUP($F64,$F$24:$BZ$44,AC$2-$E$2,FALSE)*$D$11*$D$14*(1+$D$13)^($F64-'הנחות עבודה'!$C$5)/$D$11)</f>
        <v>0</v>
      </c>
      <c r="AD64" s="52">
        <f ca="1">IF($F64&gt;$D$5,0,VLOOKUP($F64,$F$24:$BZ$44,AD$2-$E$2,FALSE)*$D$11*$D$14*(1+$D$13)^($F64-'הנחות עבודה'!$C$5)/$D$11)</f>
        <v>0</v>
      </c>
      <c r="AE64" s="42">
        <f ca="1">IF($F64&gt;$D$5,0,VLOOKUP($F64,$F$24:$BZ$44,AE$2-$E$2,FALSE)*$D$11*$D$14*(1+$D$13)^($F64-'הנחות עבודה'!$C$5)/$D$11)</f>
        <v>0</v>
      </c>
      <c r="AF64" s="44">
        <f ca="1">IF($F64&gt;$D$5,0,VLOOKUP($F64,$F$24:$BZ$44,AF$2-$E$2,FALSE)*$D$11*$D$14*(1+$D$13)^($F64-'הנחות עבודה'!$C$5)/$D$11)</f>
        <v>0</v>
      </c>
      <c r="AG64" s="44">
        <f ca="1">IF($F64&gt;$D$5,0,VLOOKUP($F64,$F$24:$BZ$44,AG$2-$E$2,FALSE)*$D$11*$D$14*(1+$D$13)^($F64-'הנחות עבודה'!$C$5)/$D$11)</f>
        <v>0</v>
      </c>
      <c r="AH64" s="44">
        <f ca="1">IF($F64&gt;$D$5,0,VLOOKUP($F64,$F$24:$BZ$44,AH$2-$E$2,FALSE)*$D$11*$D$14*(1+$D$13)^($F64-'הנחות עבודה'!$C$5)/$D$11)</f>
        <v>0</v>
      </c>
      <c r="AI64" s="44">
        <f ca="1">IF($F64&gt;$D$5,0,VLOOKUP($F64,$F$24:$BZ$44,AI$2-$E$2,FALSE)*$D$11*$D$14*(1+$D$13)^($F64-'הנחות עבודה'!$C$5)/$D$11)</f>
        <v>0</v>
      </c>
      <c r="AJ64" s="44">
        <f ca="1">IF($F64&gt;$D$5,0,VLOOKUP($F64,$F$24:$BZ$44,AJ$2-$E$2,FALSE)*$D$11*$D$14*(1+$D$13)^($F64-'הנחות עבודה'!$C$5)/$D$11)</f>
        <v>0</v>
      </c>
      <c r="AK64" s="42">
        <f ca="1">IF($F64&gt;$D$5,0,VLOOKUP($F64,$F$24:$BZ$44,AK$2-$E$2,FALSE)*$D$11*$D$14*(1+$D$13)^($F64-'הנחות עבודה'!$C$5)/$D$11)</f>
        <v>16.344324012326773</v>
      </c>
      <c r="AL64" s="42">
        <f ca="1">IF($F64&gt;$D$5,0,VLOOKUP($F64,$F$24:$BZ$44,AL$2-$E$2,FALSE)*$D$11*$D$14*(1+$D$13)^($F64-'הנחות עבודה'!$C$5)/$D$11)</f>
        <v>68.677243798953185</v>
      </c>
      <c r="AM64" s="42">
        <f ca="1">IF($F64&gt;$D$5,0,VLOOKUP($F64,$F$24:$BZ$44,AM$2-$E$2,FALSE)*$D$11*$D$14*(1+$D$13)^($F64-'הנחות עבודה'!$C$5)/$D$11)</f>
        <v>0</v>
      </c>
      <c r="AN64" s="42">
        <f ca="1">IF($F64&gt;$D$5,0,VLOOKUP($F64,$F$24:$BZ$44,AN$2-$E$2,FALSE)*$D$11*$D$14*(1+$D$13)^($F64-'הנחות עבודה'!$C$5)/$D$11)</f>
        <v>0</v>
      </c>
      <c r="AO64" s="42">
        <f ca="1">IF($F64&gt;$D$5,0,VLOOKUP($F64,$F$24:$BZ$44,AO$2-$E$2,FALSE)*$D$11*$D$14*(1+$D$13)^($F64-'הנחות עבודה'!$C$5)/$D$11)</f>
        <v>0</v>
      </c>
      <c r="AP64" s="42">
        <f ca="1">IF($F64&gt;$D$5,0,VLOOKUP($F64,$F$24:$BZ$44,AP$2-$E$2,FALSE)*$D$11*$D$14*(1+$D$13)^($F64-'הנחות עבודה'!$C$5)/$D$11)</f>
        <v>0</v>
      </c>
      <c r="AQ64" s="52">
        <f ca="1">IF($F64&gt;$D$5,0,VLOOKUP($F64,$F$24:$BZ$44,AQ$2-$E$2,FALSE)*$D$11*$D$14*(1+$D$13)^($F64-'הנחות עבודה'!$C$5)/$D$11)</f>
        <v>0</v>
      </c>
      <c r="AR64" s="127">
        <f ca="1">IF($F64&gt;$D$5,0,VLOOKUP($F64,$F$24:$BZ$44,AR$2-$E$2,FALSE)*$D$11*$D$14*(1+$D$13)^($F64-'הנחות עבודה'!$C$5)/$D$11)</f>
        <v>0</v>
      </c>
      <c r="AS64" s="127">
        <f ca="1">IF($F64&gt;$D$5,0,VLOOKUP($F64,$F$24:$BZ$44,AS$2-$E$2,FALSE)*$D$11*$D$14*(1+$D$13)^($F64-'הנחות עבודה'!$C$5)/$D$11)</f>
        <v>0</v>
      </c>
      <c r="AT64" s="127">
        <f ca="1">IF($F64&gt;$D$5,0,VLOOKUP($F64,$F$24:$BZ$44,AT$2-$E$2,FALSE)*$D$11*$D$14*(1+$D$13)^($F64-'הנחות עבודה'!$C$5)/$D$11)</f>
        <v>0</v>
      </c>
      <c r="AU64" s="127">
        <f ca="1">IF($F64&gt;$D$5,0,VLOOKUP($F64,$F$24:$BZ$44,AU$2-$E$2,FALSE)*$D$11*$D$14*(1+$D$13)^($F64-'הנחות עבודה'!$C$5)/$D$11)</f>
        <v>0</v>
      </c>
      <c r="AV64" s="127">
        <f ca="1">IF($F64&gt;$D$5,0,VLOOKUP($F64,$F$24:$BZ$44,AV$2-$E$2,FALSE)*$D$11*$D$14*(1+$D$13)^($F64-'הנחות עבודה'!$C$5)/$D$11)</f>
        <v>0</v>
      </c>
      <c r="AW64" s="52">
        <f ca="1">IF($F64&gt;$D$5,0,VLOOKUP($F64,$F$24:$BZ$44,AW$2-$E$2,FALSE)*$D$11*$D$14*(1+$D$13)^($F64-'הנחות עבודה'!$C$5)/$D$11)</f>
        <v>16.344324012326773</v>
      </c>
      <c r="AX64" s="52">
        <f ca="1">IF($F64&gt;$D$5,0,VLOOKUP($F64,$F$24:$BZ$44,AX$2-$E$2,FALSE)*$D$11*$D$14*(1+$D$13)^($F64-'הנחות עבודה'!$C$5)/$D$11)</f>
        <v>68.677243798953185</v>
      </c>
      <c r="AY64" s="52">
        <f ca="1">IF($F64&gt;$D$5,0,VLOOKUP($F64,$F$24:$BZ$44,AY$2-$E$2,FALSE)*$D$11*$D$14*(1+$D$13)^($F64-'הנחות עבודה'!$C$5)/$D$11)</f>
        <v>0</v>
      </c>
      <c r="AZ64" s="52">
        <f ca="1">IF($F64&gt;$D$5,0,VLOOKUP($F64,$F$24:$BZ$44,AZ$2-$E$2,FALSE)*$D$11*$D$14*(1+$D$13)^($F64-'הנחות עבודה'!$C$5)/$D$11)</f>
        <v>0</v>
      </c>
      <c r="BA64" s="52">
        <f ca="1">IF($F64&gt;$D$5,0,VLOOKUP($F64,$F$24:$BZ$44,BA$2-$E$2,FALSE)*$D$11*$D$14*(1+$D$13)^($F64-'הנחות עבודה'!$C$5)/$D$11)</f>
        <v>0</v>
      </c>
      <c r="BB64" s="52">
        <f ca="1">IF($F64&gt;$D$5,0,VLOOKUP($F64,$F$24:$BZ$44,BB$2-$E$2,FALSE)*$D$11*$D$14*(1+$D$13)^($F64-'הנחות עבודה'!$C$5)/$D$11)</f>
        <v>0</v>
      </c>
      <c r="BC64" s="42">
        <f ca="1">IF($F64&gt;$D$5,0,VLOOKUP($F64,$F$24:$BZ$44,BC$2-$E$2,FALSE)*$D$11*$D$14*(1+$D$13)^($F64-'הנחות עבודה'!$C$5)/$D$11)</f>
        <v>0</v>
      </c>
      <c r="BD64" s="44">
        <f ca="1">IF($F64&gt;$D$5,0,VLOOKUP($F64,$F$24:$BZ$44,BD$2-$E$2,FALSE)*$D$11*$D$14*(1+$D$13)^($F64-'הנחות עבודה'!$C$5)/$D$11)</f>
        <v>0</v>
      </c>
      <c r="BE64" s="44">
        <f ca="1">IF($F64&gt;$D$5,0,VLOOKUP($F64,$F$24:$BZ$44,BE$2-$E$2,FALSE)*$D$11*$D$14*(1+$D$13)^($F64-'הנחות עבודה'!$C$5)/$D$11)</f>
        <v>0</v>
      </c>
      <c r="BF64" s="44">
        <f ca="1">IF($F64&gt;$D$5,0,VLOOKUP($F64,$F$24:$BZ$44,BF$2-$E$2,FALSE)*$D$11*$D$14*(1+$D$13)^($F64-'הנחות עבודה'!$C$5)/$D$11)</f>
        <v>0</v>
      </c>
      <c r="BG64" s="44">
        <f ca="1">IF($F64&gt;$D$5,0,VLOOKUP($F64,$F$24:$BZ$44,BG$2-$E$2,FALSE)*$D$11*$D$14*(1+$D$13)^($F64-'הנחות עבודה'!$C$5)/$D$11)</f>
        <v>0</v>
      </c>
      <c r="BH64" s="44">
        <f ca="1">IF($F64&gt;$D$5,0,VLOOKUP($F64,$F$24:$BZ$44,BH$2-$E$2,FALSE)*$D$11*$D$14*(1+$D$13)^($F64-'הנחות עבודה'!$C$5)/$D$11)</f>
        <v>0</v>
      </c>
      <c r="BI64" s="42">
        <f ca="1">IF($F64&gt;$D$5,0,VLOOKUP($F64,$F$24:$BZ$44,BI$2-$E$2,FALSE)*$D$11*$D$14*(1+$D$13)^($F64-'הנחות עבודה'!$C$5)/$D$11)</f>
        <v>16.767626992516398</v>
      </c>
      <c r="BJ64" s="42">
        <f ca="1">IF($F64&gt;$D$5,0,VLOOKUP($F64,$F$24:$BZ$44,BJ$2-$E$2,FALSE)*$D$11*$D$14*(1+$D$13)^($F64-'הנחות עבודה'!$C$5)/$D$11)</f>
        <v>63.306733657254725</v>
      </c>
      <c r="BK64" s="42">
        <f ca="1">IF($F64&gt;$D$5,0,VLOOKUP($F64,$F$24:$BZ$44,BK$2-$E$2,FALSE)*$D$11*$D$14*(1+$D$13)^($F64-'הנחות עבודה'!$C$5)/$D$11)</f>
        <v>0</v>
      </c>
      <c r="BL64" s="42">
        <f ca="1">IF($F64&gt;$D$5,0,VLOOKUP($F64,$F$24:$BZ$44,BL$2-$E$2,FALSE)*$D$11*$D$14*(1+$D$13)^($F64-'הנחות עבודה'!$C$5)/$D$11)</f>
        <v>0</v>
      </c>
      <c r="BM64" s="42">
        <f ca="1">IF($F64&gt;$D$5,0,VLOOKUP($F64,$F$24:$BZ$44,BM$2-$E$2,FALSE)*$D$11*$D$14*(1+$D$13)^($F64-'הנחות עבודה'!$C$5)/$D$11)</f>
        <v>0</v>
      </c>
      <c r="BN64" s="42">
        <f ca="1">IF($F64&gt;$D$5,0,VLOOKUP($F64,$F$24:$BZ$44,BN$2-$E$2,FALSE)*$D$11*$D$14*(1+$D$13)^($F64-'הנחות עבודה'!$C$5)/$D$11)</f>
        <v>0</v>
      </c>
      <c r="BO64" s="52">
        <f ca="1">IF($F64&gt;$D$5,0,VLOOKUP($F64,$F$24:$BZ$44,BO$2-$E$2,FALSE)*$D$11*$D$14*(1+$D$13)^($F64-'הנחות עבודה'!$C$5)/$D$11)</f>
        <v>0</v>
      </c>
      <c r="BP64" s="127">
        <f ca="1">IF($F64&gt;$D$5,0,VLOOKUP($F64,$F$24:$BZ$44,BP$2-$E$2,FALSE)*$D$11*$D$14*(1+$D$13)^($F64-'הנחות עבודה'!$C$5)/$D$11)</f>
        <v>0</v>
      </c>
      <c r="BQ64" s="127">
        <f ca="1">IF($F64&gt;$D$5,0,VLOOKUP($F64,$F$24:$BZ$44,BQ$2-$E$2,FALSE)*$D$11*$D$14*(1+$D$13)^($F64-'הנחות עבודה'!$C$5)/$D$11)</f>
        <v>0</v>
      </c>
      <c r="BR64" s="127">
        <f ca="1">IF($F64&gt;$D$5,0,VLOOKUP($F64,$F$24:$BZ$44,BR$2-$E$2,FALSE)*$D$11*$D$14*(1+$D$13)^($F64-'הנחות עבודה'!$C$5)/$D$11)</f>
        <v>0</v>
      </c>
      <c r="BS64" s="127">
        <f ca="1">IF($F64&gt;$D$5,0,VLOOKUP($F64,$F$24:$BZ$44,BS$2-$E$2,FALSE)*$D$11*$D$14*(1+$D$13)^($F64-'הנחות עבודה'!$C$5)/$D$11)</f>
        <v>0</v>
      </c>
      <c r="BT64" s="127">
        <f ca="1">IF($F64&gt;$D$5,0,VLOOKUP($F64,$F$24:$BZ$44,BT$2-$E$2,FALSE)*$D$11*$D$14*(1+$D$13)^($F64-'הנחות עבודה'!$C$5)/$D$11)</f>
        <v>0</v>
      </c>
      <c r="BU64" s="52">
        <f ca="1">IF($F64&gt;$D$5,0,VLOOKUP($F64,$F$24:$BZ$44,BU$2-$E$2,FALSE)*$D$11*$D$14*(1+$D$13)^($F64-'הנחות עבודה'!$C$5)/$D$11)</f>
        <v>16.767626992516398</v>
      </c>
      <c r="BV64" s="52">
        <f ca="1">IF($F64&gt;$D$5,0,VLOOKUP($F64,$F$24:$BZ$44,BV$2-$E$2,FALSE)*$D$11*$D$14*(1+$D$13)^($F64-'הנחות עבודה'!$C$5)/$D$11)</f>
        <v>63.306733657254725</v>
      </c>
      <c r="BW64" s="52">
        <f ca="1">IF($F64&gt;$D$5,0,VLOOKUP($F64,$F$24:$BZ$44,BW$2-$E$2,FALSE)*$D$11*$D$14*(1+$D$13)^($F64-'הנחות עבודה'!$C$5)/$D$11)</f>
        <v>0</v>
      </c>
      <c r="BX64" s="52">
        <f ca="1">IF($F64&gt;$D$5,0,VLOOKUP($F64,$F$24:$BZ$44,BX$2-$E$2,FALSE)*$D$11*$D$14*(1+$D$13)^($F64-'הנחות עבודה'!$C$5)/$D$11)</f>
        <v>0</v>
      </c>
      <c r="BY64" s="52">
        <f ca="1">IF($F64&gt;$D$5,0,VLOOKUP($F64,$F$24:$BZ$44,BY$2-$E$2,FALSE)*$D$11*$D$14*(1+$D$13)^($F64-'הנחות עבודה'!$C$5)/$D$11)</f>
        <v>0</v>
      </c>
      <c r="BZ64" s="52">
        <f ca="1">IF($F64&gt;$D$5,0,VLOOKUP($F64,$F$24:$BZ$44,BZ$2-$E$2,FALSE)*$D$11*$D$14*(1+$D$13)^($F64-'הנחות עבודה'!$C$5)/$D$11)</f>
        <v>0</v>
      </c>
    </row>
    <row r="65" spans="6:78" ht="15.75">
      <c r="F65" s="10">
        <f t="shared" si="123"/>
        <v>2034</v>
      </c>
      <c r="G65" s="42">
        <f ca="1">IF($F65&gt;$D$5,0,VLOOKUP($F65,$F$24:$BZ$44,G$2-$E$2,FALSE)*$D$11*$D$14*(1+$D$13)^($F65-'הנחות עבודה'!$C$5)/$D$11)</f>
        <v>0</v>
      </c>
      <c r="H65" s="44">
        <f ca="1">IF($F65&gt;$D$5,0,VLOOKUP($F65,$F$24:$BZ$44,H$2-$E$2,FALSE)*$D$11*$D$14*(1+$D$13)^($F65-'הנחות עבודה'!$C$5)/$D$11)</f>
        <v>0</v>
      </c>
      <c r="I65" s="44">
        <f ca="1">IF($F65&gt;$D$5,0,VLOOKUP($F65,$F$24:$BZ$44,I$2-$E$2,FALSE)*$D$11*$D$14*(1+$D$13)^($F65-'הנחות עבודה'!$C$5)/$D$11)</f>
        <v>0</v>
      </c>
      <c r="J65" s="44">
        <f ca="1">IF($F65&gt;$D$5,0,VLOOKUP($F65,$F$24:$BZ$44,J$2-$E$2,FALSE)*$D$11*$D$14*(1+$D$13)^($F65-'הנחות עבודה'!$C$5)/$D$11)</f>
        <v>0</v>
      </c>
      <c r="K65" s="44">
        <f ca="1">IF($F65&gt;$D$5,0,VLOOKUP($F65,$F$24:$BZ$44,K$2-$E$2,FALSE)*$D$11*$D$14*(1+$D$13)^($F65-'הנחות עבודה'!$C$5)/$D$11)</f>
        <v>0</v>
      </c>
      <c r="L65" s="44">
        <f ca="1">IF($F65&gt;$D$5,0,VLOOKUP($F65,$F$24:$BZ$44,L$2-$E$2,FALSE)*$D$11*$D$14*(1+$D$13)^($F65-'הנחות עבודה'!$C$5)/$D$11)</f>
        <v>0</v>
      </c>
      <c r="M65" s="42">
        <f ca="1">IF($F65&gt;$D$5,0,VLOOKUP($F65,$F$24:$BZ$44,M$2-$E$2,FALSE)*$D$11*$D$14*(1+$D$13)^($F65-'הנחות עבודה'!$C$5)/$D$11)</f>
        <v>15.761562187580383</v>
      </c>
      <c r="N65" s="42">
        <f ca="1">IF($F65&gt;$D$5,0,VLOOKUP($F65,$F$24:$BZ$44,N$2-$E$2,FALSE)*$D$11*$D$14*(1+$D$13)^($F65-'הנחות עבודה'!$C$5)/$D$11)</f>
        <v>83.726698939091534</v>
      </c>
      <c r="O65" s="42">
        <f ca="1">IF($F65&gt;$D$5,0,VLOOKUP($F65,$F$24:$BZ$44,O$2-$E$2,FALSE)*$D$11*$D$14*(1+$D$13)^($F65-'הנחות עבודה'!$C$5)/$D$11)</f>
        <v>0</v>
      </c>
      <c r="P65" s="42">
        <f ca="1">IF($F65&gt;$D$5,0,VLOOKUP($F65,$F$24:$BZ$44,P$2-$E$2,FALSE)*$D$11*$D$14*(1+$D$13)^($F65-'הנחות עבודה'!$C$5)/$D$11)</f>
        <v>0</v>
      </c>
      <c r="Q65" s="42">
        <f ca="1">IF($F65&gt;$D$5,0,VLOOKUP($F65,$F$24:$BZ$44,Q$2-$E$2,FALSE)*$D$11*$D$14*(1+$D$13)^($F65-'הנחות עבודה'!$C$5)/$D$11)</f>
        <v>0</v>
      </c>
      <c r="R65" s="42">
        <f ca="1">IF($F65&gt;$D$5,0,VLOOKUP($F65,$F$24:$BZ$44,R$2-$E$2,FALSE)*$D$11*$D$14*(1+$D$13)^($F65-'הנחות עבודה'!$C$5)/$D$11)</f>
        <v>0</v>
      </c>
      <c r="S65" s="52">
        <f ca="1">IF($F65&gt;$D$5,0,VLOOKUP($F65,$F$24:$BZ$44,S$2-$E$2,FALSE)*$D$11*$D$14*(1+$D$13)^($F65-'הנחות עבודה'!$C$5)/$D$11)</f>
        <v>0</v>
      </c>
      <c r="T65" s="127">
        <f ca="1">IF($F65&gt;$D$5,0,VLOOKUP($F65,$F$24:$BZ$44,T$2-$E$2,FALSE)*$D$11*$D$14*(1+$D$13)^($F65-'הנחות עבודה'!$C$5)/$D$11)</f>
        <v>0</v>
      </c>
      <c r="U65" s="127">
        <f ca="1">IF($F65&gt;$D$5,0,VLOOKUP($F65,$F$24:$BZ$44,U$2-$E$2,FALSE)*$D$11*$D$14*(1+$D$13)^($F65-'הנחות עבודה'!$C$5)/$D$11)</f>
        <v>0</v>
      </c>
      <c r="V65" s="127">
        <f ca="1">IF($F65&gt;$D$5,0,VLOOKUP($F65,$F$24:$BZ$44,V$2-$E$2,FALSE)*$D$11*$D$14*(1+$D$13)^($F65-'הנחות עבודה'!$C$5)/$D$11)</f>
        <v>0</v>
      </c>
      <c r="W65" s="127">
        <f ca="1">IF($F65&gt;$D$5,0,VLOOKUP($F65,$F$24:$BZ$44,W$2-$E$2,FALSE)*$D$11*$D$14*(1+$D$13)^($F65-'הנחות עבודה'!$C$5)/$D$11)</f>
        <v>0</v>
      </c>
      <c r="X65" s="127">
        <f ca="1">IF($F65&gt;$D$5,0,VLOOKUP($F65,$F$24:$BZ$44,X$2-$E$2,FALSE)*$D$11*$D$14*(1+$D$13)^($F65-'הנחות עבודה'!$C$5)/$D$11)</f>
        <v>0</v>
      </c>
      <c r="Y65" s="52">
        <f ca="1">IF($F65&gt;$D$5,0,VLOOKUP($F65,$F$24:$BZ$44,Y$2-$E$2,FALSE)*$D$11*$D$14*(1+$D$13)^($F65-'הנחות עבודה'!$C$5)/$D$11)</f>
        <v>15.761562187580383</v>
      </c>
      <c r="Z65" s="52">
        <f ca="1">IF($F65&gt;$D$5,0,VLOOKUP($F65,$F$24:$BZ$44,Z$2-$E$2,FALSE)*$D$11*$D$14*(1+$D$13)^($F65-'הנחות עבודה'!$C$5)/$D$11)</f>
        <v>83.726698939091534</v>
      </c>
      <c r="AA65" s="52">
        <f ca="1">IF($F65&gt;$D$5,0,VLOOKUP($F65,$F$24:$BZ$44,AA$2-$E$2,FALSE)*$D$11*$D$14*(1+$D$13)^($F65-'הנחות עבודה'!$C$5)/$D$11)</f>
        <v>0</v>
      </c>
      <c r="AB65" s="52">
        <f ca="1">IF($F65&gt;$D$5,0,VLOOKUP($F65,$F$24:$BZ$44,AB$2-$E$2,FALSE)*$D$11*$D$14*(1+$D$13)^($F65-'הנחות עבודה'!$C$5)/$D$11)</f>
        <v>0</v>
      </c>
      <c r="AC65" s="52">
        <f ca="1">IF($F65&gt;$D$5,0,VLOOKUP($F65,$F$24:$BZ$44,AC$2-$E$2,FALSE)*$D$11*$D$14*(1+$D$13)^($F65-'הנחות עבודה'!$C$5)/$D$11)</f>
        <v>0</v>
      </c>
      <c r="AD65" s="52">
        <f ca="1">IF($F65&gt;$D$5,0,VLOOKUP($F65,$F$24:$BZ$44,AD$2-$E$2,FALSE)*$D$11*$D$14*(1+$D$13)^($F65-'הנחות עבודה'!$C$5)/$D$11)</f>
        <v>0</v>
      </c>
      <c r="AE65" s="42">
        <f ca="1">IF($F65&gt;$D$5,0,VLOOKUP($F65,$F$24:$BZ$44,AE$2-$E$2,FALSE)*$D$11*$D$14*(1+$D$13)^($F65-'הנחות עבודה'!$C$5)/$D$11)</f>
        <v>0</v>
      </c>
      <c r="AF65" s="44">
        <f ca="1">IF($F65&gt;$D$5,0,VLOOKUP($F65,$F$24:$BZ$44,AF$2-$E$2,FALSE)*$D$11*$D$14*(1+$D$13)^($F65-'הנחות עבודה'!$C$5)/$D$11)</f>
        <v>0</v>
      </c>
      <c r="AG65" s="44">
        <f ca="1">IF($F65&gt;$D$5,0,VLOOKUP($F65,$F$24:$BZ$44,AG$2-$E$2,FALSE)*$D$11*$D$14*(1+$D$13)^($F65-'הנחות עבודה'!$C$5)/$D$11)</f>
        <v>0</v>
      </c>
      <c r="AH65" s="44">
        <f ca="1">IF($F65&gt;$D$5,0,VLOOKUP($F65,$F$24:$BZ$44,AH$2-$E$2,FALSE)*$D$11*$D$14*(1+$D$13)^($F65-'הנחות עבודה'!$C$5)/$D$11)</f>
        <v>0</v>
      </c>
      <c r="AI65" s="44">
        <f ca="1">IF($F65&gt;$D$5,0,VLOOKUP($F65,$F$24:$BZ$44,AI$2-$E$2,FALSE)*$D$11*$D$14*(1+$D$13)^($F65-'הנחות עבודה'!$C$5)/$D$11)</f>
        <v>0</v>
      </c>
      <c r="AJ65" s="44">
        <f ca="1">IF($F65&gt;$D$5,0,VLOOKUP($F65,$F$24:$BZ$44,AJ$2-$E$2,FALSE)*$D$11*$D$14*(1+$D$13)^($F65-'הנחות עבודה'!$C$5)/$D$11)</f>
        <v>0</v>
      </c>
      <c r="AK65" s="42">
        <f ca="1">IF($F65&gt;$D$5,0,VLOOKUP($F65,$F$24:$BZ$44,AK$2-$E$2,FALSE)*$D$11*$D$14*(1+$D$13)^($F65-'הנחות עבודה'!$C$5)/$D$11)</f>
        <v>16.809474819622441</v>
      </c>
      <c r="AL65" s="42">
        <f ca="1">IF($F65&gt;$D$5,0,VLOOKUP($F65,$F$24:$BZ$44,AL$2-$E$2,FALSE)*$D$11*$D$14*(1+$D$13)^($F65-'הנחות עבודה'!$C$5)/$D$11)</f>
        <v>74.538562262157413</v>
      </c>
      <c r="AM65" s="42">
        <f ca="1">IF($F65&gt;$D$5,0,VLOOKUP($F65,$F$24:$BZ$44,AM$2-$E$2,FALSE)*$D$11*$D$14*(1+$D$13)^($F65-'הנחות עבודה'!$C$5)/$D$11)</f>
        <v>0</v>
      </c>
      <c r="AN65" s="42">
        <f ca="1">IF($F65&gt;$D$5,0,VLOOKUP($F65,$F$24:$BZ$44,AN$2-$E$2,FALSE)*$D$11*$D$14*(1+$D$13)^($F65-'הנחות עבודה'!$C$5)/$D$11)</f>
        <v>0</v>
      </c>
      <c r="AO65" s="42">
        <f ca="1">IF($F65&gt;$D$5,0,VLOOKUP($F65,$F$24:$BZ$44,AO$2-$E$2,FALSE)*$D$11*$D$14*(1+$D$13)^($F65-'הנחות עבודה'!$C$5)/$D$11)</f>
        <v>0</v>
      </c>
      <c r="AP65" s="42">
        <f ca="1">IF($F65&gt;$D$5,0,VLOOKUP($F65,$F$24:$BZ$44,AP$2-$E$2,FALSE)*$D$11*$D$14*(1+$D$13)^($F65-'הנחות עבודה'!$C$5)/$D$11)</f>
        <v>0</v>
      </c>
      <c r="AQ65" s="52">
        <f ca="1">IF($F65&gt;$D$5,0,VLOOKUP($F65,$F$24:$BZ$44,AQ$2-$E$2,FALSE)*$D$11*$D$14*(1+$D$13)^($F65-'הנחות עבודה'!$C$5)/$D$11)</f>
        <v>0</v>
      </c>
      <c r="AR65" s="127">
        <f ca="1">IF($F65&gt;$D$5,0,VLOOKUP($F65,$F$24:$BZ$44,AR$2-$E$2,FALSE)*$D$11*$D$14*(1+$D$13)^($F65-'הנחות עבודה'!$C$5)/$D$11)</f>
        <v>0</v>
      </c>
      <c r="AS65" s="127">
        <f ca="1">IF($F65&gt;$D$5,0,VLOOKUP($F65,$F$24:$BZ$44,AS$2-$E$2,FALSE)*$D$11*$D$14*(1+$D$13)^($F65-'הנחות עבודה'!$C$5)/$D$11)</f>
        <v>0</v>
      </c>
      <c r="AT65" s="127">
        <f ca="1">IF($F65&gt;$D$5,0,VLOOKUP($F65,$F$24:$BZ$44,AT$2-$E$2,FALSE)*$D$11*$D$14*(1+$D$13)^($F65-'הנחות עבודה'!$C$5)/$D$11)</f>
        <v>0</v>
      </c>
      <c r="AU65" s="127">
        <f ca="1">IF($F65&gt;$D$5,0,VLOOKUP($F65,$F$24:$BZ$44,AU$2-$E$2,FALSE)*$D$11*$D$14*(1+$D$13)^($F65-'הנחות עבודה'!$C$5)/$D$11)</f>
        <v>0</v>
      </c>
      <c r="AV65" s="127">
        <f ca="1">IF($F65&gt;$D$5,0,VLOOKUP($F65,$F$24:$BZ$44,AV$2-$E$2,FALSE)*$D$11*$D$14*(1+$D$13)^($F65-'הנחות עבודה'!$C$5)/$D$11)</f>
        <v>0</v>
      </c>
      <c r="AW65" s="52">
        <f ca="1">IF($F65&gt;$D$5,0,VLOOKUP($F65,$F$24:$BZ$44,AW$2-$E$2,FALSE)*$D$11*$D$14*(1+$D$13)^($F65-'הנחות עבודה'!$C$5)/$D$11)</f>
        <v>16.809474819622441</v>
      </c>
      <c r="AX65" s="52">
        <f ca="1">IF($F65&gt;$D$5,0,VLOOKUP($F65,$F$24:$BZ$44,AX$2-$E$2,FALSE)*$D$11*$D$14*(1+$D$13)^($F65-'הנחות עבודה'!$C$5)/$D$11)</f>
        <v>74.538562262157413</v>
      </c>
      <c r="AY65" s="52">
        <f ca="1">IF($F65&gt;$D$5,0,VLOOKUP($F65,$F$24:$BZ$44,AY$2-$E$2,FALSE)*$D$11*$D$14*(1+$D$13)^($F65-'הנחות עבודה'!$C$5)/$D$11)</f>
        <v>0</v>
      </c>
      <c r="AZ65" s="52">
        <f ca="1">IF($F65&gt;$D$5,0,VLOOKUP($F65,$F$24:$BZ$44,AZ$2-$E$2,FALSE)*$D$11*$D$14*(1+$D$13)^($F65-'הנחות עבודה'!$C$5)/$D$11)</f>
        <v>0</v>
      </c>
      <c r="BA65" s="52">
        <f ca="1">IF($F65&gt;$D$5,0,VLOOKUP($F65,$F$24:$BZ$44,BA$2-$E$2,FALSE)*$D$11*$D$14*(1+$D$13)^($F65-'הנחות עבודה'!$C$5)/$D$11)</f>
        <v>0</v>
      </c>
      <c r="BB65" s="52">
        <f ca="1">IF($F65&gt;$D$5,0,VLOOKUP($F65,$F$24:$BZ$44,BB$2-$E$2,FALSE)*$D$11*$D$14*(1+$D$13)^($F65-'הנחות עבודה'!$C$5)/$D$11)</f>
        <v>0</v>
      </c>
      <c r="BC65" s="42">
        <f ca="1">IF($F65&gt;$D$5,0,VLOOKUP($F65,$F$24:$BZ$44,BC$2-$E$2,FALSE)*$D$11*$D$14*(1+$D$13)^($F65-'הנחות עבודה'!$C$5)/$D$11)</f>
        <v>0</v>
      </c>
      <c r="BD65" s="44">
        <f ca="1">IF($F65&gt;$D$5,0,VLOOKUP($F65,$F$24:$BZ$44,BD$2-$E$2,FALSE)*$D$11*$D$14*(1+$D$13)^($F65-'הנחות עבודה'!$C$5)/$D$11)</f>
        <v>0</v>
      </c>
      <c r="BE65" s="44">
        <f ca="1">IF($F65&gt;$D$5,0,VLOOKUP($F65,$F$24:$BZ$44,BE$2-$E$2,FALSE)*$D$11*$D$14*(1+$D$13)^($F65-'הנחות עבודה'!$C$5)/$D$11)</f>
        <v>0</v>
      </c>
      <c r="BF65" s="44">
        <f ca="1">IF($F65&gt;$D$5,0,VLOOKUP($F65,$F$24:$BZ$44,BF$2-$E$2,FALSE)*$D$11*$D$14*(1+$D$13)^($F65-'הנחות עבודה'!$C$5)/$D$11)</f>
        <v>0</v>
      </c>
      <c r="BG65" s="44">
        <f ca="1">IF($F65&gt;$D$5,0,VLOOKUP($F65,$F$24:$BZ$44,BG$2-$E$2,FALSE)*$D$11*$D$14*(1+$D$13)^($F65-'הנחות עבודה'!$C$5)/$D$11)</f>
        <v>0</v>
      </c>
      <c r="BH65" s="44">
        <f ca="1">IF($F65&gt;$D$5,0,VLOOKUP($F65,$F$24:$BZ$44,BH$2-$E$2,FALSE)*$D$11*$D$14*(1+$D$13)^($F65-'הנחות עבודה'!$C$5)/$D$11)</f>
        <v>0</v>
      </c>
      <c r="BI65" s="42">
        <f ca="1">IF($F65&gt;$D$5,0,VLOOKUP($F65,$F$24:$BZ$44,BI$2-$E$2,FALSE)*$D$11*$D$14*(1+$D$13)^($F65-'הנחות עבודה'!$C$5)/$D$11)</f>
        <v>17.218698716658459</v>
      </c>
      <c r="BJ65" s="42">
        <f ca="1">IF($F65&gt;$D$5,0,VLOOKUP($F65,$F$24:$BZ$44,BJ$2-$E$2,FALSE)*$D$11*$D$14*(1+$D$13)^($F65-'הנחות עבודה'!$C$5)/$D$11)</f>
        <v>69.053747249209309</v>
      </c>
      <c r="BK65" s="42">
        <f ca="1">IF($F65&gt;$D$5,0,VLOOKUP($F65,$F$24:$BZ$44,BK$2-$E$2,FALSE)*$D$11*$D$14*(1+$D$13)^($F65-'הנחות עבודה'!$C$5)/$D$11)</f>
        <v>0</v>
      </c>
      <c r="BL65" s="42">
        <f ca="1">IF($F65&gt;$D$5,0,VLOOKUP($F65,$F$24:$BZ$44,BL$2-$E$2,FALSE)*$D$11*$D$14*(1+$D$13)^($F65-'הנחות עבודה'!$C$5)/$D$11)</f>
        <v>0</v>
      </c>
      <c r="BM65" s="42">
        <f ca="1">IF($F65&gt;$D$5,0,VLOOKUP($F65,$F$24:$BZ$44,BM$2-$E$2,FALSE)*$D$11*$D$14*(1+$D$13)^($F65-'הנחות עבודה'!$C$5)/$D$11)</f>
        <v>0</v>
      </c>
      <c r="BN65" s="42">
        <f ca="1">IF($F65&gt;$D$5,0,VLOOKUP($F65,$F$24:$BZ$44,BN$2-$E$2,FALSE)*$D$11*$D$14*(1+$D$13)^($F65-'הנחות עבודה'!$C$5)/$D$11)</f>
        <v>0</v>
      </c>
      <c r="BO65" s="52">
        <f ca="1">IF($F65&gt;$D$5,0,VLOOKUP($F65,$F$24:$BZ$44,BO$2-$E$2,FALSE)*$D$11*$D$14*(1+$D$13)^($F65-'הנחות עבודה'!$C$5)/$D$11)</f>
        <v>0</v>
      </c>
      <c r="BP65" s="127">
        <f ca="1">IF($F65&gt;$D$5,0,VLOOKUP($F65,$F$24:$BZ$44,BP$2-$E$2,FALSE)*$D$11*$D$14*(1+$D$13)^($F65-'הנחות עבודה'!$C$5)/$D$11)</f>
        <v>0</v>
      </c>
      <c r="BQ65" s="127">
        <f ca="1">IF($F65&gt;$D$5,0,VLOOKUP($F65,$F$24:$BZ$44,BQ$2-$E$2,FALSE)*$D$11*$D$14*(1+$D$13)^($F65-'הנחות עבודה'!$C$5)/$D$11)</f>
        <v>0</v>
      </c>
      <c r="BR65" s="127">
        <f ca="1">IF($F65&gt;$D$5,0,VLOOKUP($F65,$F$24:$BZ$44,BR$2-$E$2,FALSE)*$D$11*$D$14*(1+$D$13)^($F65-'הנחות עבודה'!$C$5)/$D$11)</f>
        <v>0</v>
      </c>
      <c r="BS65" s="127">
        <f ca="1">IF($F65&gt;$D$5,0,VLOOKUP($F65,$F$24:$BZ$44,BS$2-$E$2,FALSE)*$D$11*$D$14*(1+$D$13)^($F65-'הנחות עבודה'!$C$5)/$D$11)</f>
        <v>0</v>
      </c>
      <c r="BT65" s="127">
        <f ca="1">IF($F65&gt;$D$5,0,VLOOKUP($F65,$F$24:$BZ$44,BT$2-$E$2,FALSE)*$D$11*$D$14*(1+$D$13)^($F65-'הנחות עבודה'!$C$5)/$D$11)</f>
        <v>0</v>
      </c>
      <c r="BU65" s="52">
        <f ca="1">IF($F65&gt;$D$5,0,VLOOKUP($F65,$F$24:$BZ$44,BU$2-$E$2,FALSE)*$D$11*$D$14*(1+$D$13)^($F65-'הנחות עבודה'!$C$5)/$D$11)</f>
        <v>17.218698716658459</v>
      </c>
      <c r="BV65" s="52">
        <f ca="1">IF($F65&gt;$D$5,0,VLOOKUP($F65,$F$24:$BZ$44,BV$2-$E$2,FALSE)*$D$11*$D$14*(1+$D$13)^($F65-'הנחות עבודה'!$C$5)/$D$11)</f>
        <v>69.053747249209309</v>
      </c>
      <c r="BW65" s="52">
        <f ca="1">IF($F65&gt;$D$5,0,VLOOKUP($F65,$F$24:$BZ$44,BW$2-$E$2,FALSE)*$D$11*$D$14*(1+$D$13)^($F65-'הנחות עבודה'!$C$5)/$D$11)</f>
        <v>0</v>
      </c>
      <c r="BX65" s="52">
        <f ca="1">IF($F65&gt;$D$5,0,VLOOKUP($F65,$F$24:$BZ$44,BX$2-$E$2,FALSE)*$D$11*$D$14*(1+$D$13)^($F65-'הנחות עבודה'!$C$5)/$D$11)</f>
        <v>0</v>
      </c>
      <c r="BY65" s="52">
        <f ca="1">IF($F65&gt;$D$5,0,VLOOKUP($F65,$F$24:$BZ$44,BY$2-$E$2,FALSE)*$D$11*$D$14*(1+$D$13)^($F65-'הנחות עבודה'!$C$5)/$D$11)</f>
        <v>0</v>
      </c>
      <c r="BZ65" s="52">
        <f ca="1">IF($F65&gt;$D$5,0,VLOOKUP($F65,$F$24:$BZ$44,BZ$2-$E$2,FALSE)*$D$11*$D$14*(1+$D$13)^($F65-'הנחות עבודה'!$C$5)/$D$11)</f>
        <v>0</v>
      </c>
    </row>
    <row r="66" spans="6:78" ht="15.75">
      <c r="F66" s="10">
        <f t="shared" si="123"/>
        <v>2035</v>
      </c>
      <c r="G66" s="42">
        <f ca="1">IF($F66&gt;$D$5,0,VLOOKUP($F66,$F$24:$BZ$44,G$2-$E$2,FALSE)*$D$11*$D$14*(1+$D$13)^($F66-'הנחות עבודה'!$C$5)/$D$11)</f>
        <v>0</v>
      </c>
      <c r="H66" s="44">
        <f ca="1">IF($F66&gt;$D$5,0,VLOOKUP($F66,$F$24:$BZ$44,H$2-$E$2,FALSE)*$D$11*$D$14*(1+$D$13)^($F66-'הנחות עבודה'!$C$5)/$D$11)</f>
        <v>0</v>
      </c>
      <c r="I66" s="44">
        <f ca="1">IF($F66&gt;$D$5,0,VLOOKUP($F66,$F$24:$BZ$44,I$2-$E$2,FALSE)*$D$11*$D$14*(1+$D$13)^($F66-'הנחות עבודה'!$C$5)/$D$11)</f>
        <v>0</v>
      </c>
      <c r="J66" s="44">
        <f ca="1">IF($F66&gt;$D$5,0,VLOOKUP($F66,$F$24:$BZ$44,J$2-$E$2,FALSE)*$D$11*$D$14*(1+$D$13)^($F66-'הנחות עבודה'!$C$5)/$D$11)</f>
        <v>0</v>
      </c>
      <c r="K66" s="44">
        <f ca="1">IF($F66&gt;$D$5,0,VLOOKUP($F66,$F$24:$BZ$44,K$2-$E$2,FALSE)*$D$11*$D$14*(1+$D$13)^($F66-'הנחות עבודה'!$C$5)/$D$11)</f>
        <v>0</v>
      </c>
      <c r="L66" s="44">
        <f ca="1">IF($F66&gt;$D$5,0,VLOOKUP($F66,$F$24:$BZ$44,L$2-$E$2,FALSE)*$D$11*$D$14*(1+$D$13)^($F66-'הנחות עבודה'!$C$5)/$D$11)</f>
        <v>0</v>
      </c>
      <c r="M66" s="42">
        <f ca="1">IF($F66&gt;$D$5,0,VLOOKUP($F66,$F$24:$BZ$44,M$2-$E$2,FALSE)*$D$11*$D$14*(1+$D$13)^($F66-'הנחות עבודה'!$C$5)/$D$11)</f>
        <v>16.381112863224413</v>
      </c>
      <c r="N66" s="42">
        <f ca="1">IF($F66&gt;$D$5,0,VLOOKUP($F66,$F$24:$BZ$44,N$2-$E$2,FALSE)*$D$11*$D$14*(1+$D$13)^($F66-'הנחות עבודה'!$C$5)/$D$11)</f>
        <v>90.072600118214879</v>
      </c>
      <c r="O66" s="42">
        <f ca="1">IF($F66&gt;$D$5,0,VLOOKUP($F66,$F$24:$BZ$44,O$2-$E$2,FALSE)*$D$11*$D$14*(1+$D$13)^($F66-'הנחות עבודה'!$C$5)/$D$11)</f>
        <v>0</v>
      </c>
      <c r="P66" s="42">
        <f ca="1">IF($F66&gt;$D$5,0,VLOOKUP($F66,$F$24:$BZ$44,P$2-$E$2,FALSE)*$D$11*$D$14*(1+$D$13)^($F66-'הנחות עבודה'!$C$5)/$D$11)</f>
        <v>0</v>
      </c>
      <c r="Q66" s="42">
        <f ca="1">IF($F66&gt;$D$5,0,VLOOKUP($F66,$F$24:$BZ$44,Q$2-$E$2,FALSE)*$D$11*$D$14*(1+$D$13)^($F66-'הנחות עבודה'!$C$5)/$D$11)</f>
        <v>0</v>
      </c>
      <c r="R66" s="42">
        <f ca="1">IF($F66&gt;$D$5,0,VLOOKUP($F66,$F$24:$BZ$44,R$2-$E$2,FALSE)*$D$11*$D$14*(1+$D$13)^($F66-'הנחות עבודה'!$C$5)/$D$11)</f>
        <v>0</v>
      </c>
      <c r="S66" s="52">
        <f ca="1">IF($F66&gt;$D$5,0,VLOOKUP($F66,$F$24:$BZ$44,S$2-$E$2,FALSE)*$D$11*$D$14*(1+$D$13)^($F66-'הנחות עבודה'!$C$5)/$D$11)</f>
        <v>0</v>
      </c>
      <c r="T66" s="127">
        <f ca="1">IF($F66&gt;$D$5,0,VLOOKUP($F66,$F$24:$BZ$44,T$2-$E$2,FALSE)*$D$11*$D$14*(1+$D$13)^($F66-'הנחות עבודה'!$C$5)/$D$11)</f>
        <v>0</v>
      </c>
      <c r="U66" s="127">
        <f ca="1">IF($F66&gt;$D$5,0,VLOOKUP($F66,$F$24:$BZ$44,U$2-$E$2,FALSE)*$D$11*$D$14*(1+$D$13)^($F66-'הנחות עבודה'!$C$5)/$D$11)</f>
        <v>0</v>
      </c>
      <c r="V66" s="127">
        <f ca="1">IF($F66&gt;$D$5,0,VLOOKUP($F66,$F$24:$BZ$44,V$2-$E$2,FALSE)*$D$11*$D$14*(1+$D$13)^($F66-'הנחות עבודה'!$C$5)/$D$11)</f>
        <v>0</v>
      </c>
      <c r="W66" s="127">
        <f ca="1">IF($F66&gt;$D$5,0,VLOOKUP($F66,$F$24:$BZ$44,W$2-$E$2,FALSE)*$D$11*$D$14*(1+$D$13)^($F66-'הנחות עבודה'!$C$5)/$D$11)</f>
        <v>0</v>
      </c>
      <c r="X66" s="127">
        <f ca="1">IF($F66&gt;$D$5,0,VLOOKUP($F66,$F$24:$BZ$44,X$2-$E$2,FALSE)*$D$11*$D$14*(1+$D$13)^($F66-'הנחות עבודה'!$C$5)/$D$11)</f>
        <v>0</v>
      </c>
      <c r="Y66" s="52">
        <f ca="1">IF($F66&gt;$D$5,0,VLOOKUP($F66,$F$24:$BZ$44,Y$2-$E$2,FALSE)*$D$11*$D$14*(1+$D$13)^($F66-'הנחות עבודה'!$C$5)/$D$11)</f>
        <v>16.381112863224413</v>
      </c>
      <c r="Z66" s="52">
        <f ca="1">IF($F66&gt;$D$5,0,VLOOKUP($F66,$F$24:$BZ$44,Z$2-$E$2,FALSE)*$D$11*$D$14*(1+$D$13)^($F66-'הנחות עבודה'!$C$5)/$D$11)</f>
        <v>90.072600118214879</v>
      </c>
      <c r="AA66" s="52">
        <f ca="1">IF($F66&gt;$D$5,0,VLOOKUP($F66,$F$24:$BZ$44,AA$2-$E$2,FALSE)*$D$11*$D$14*(1+$D$13)^($F66-'הנחות עבודה'!$C$5)/$D$11)</f>
        <v>0</v>
      </c>
      <c r="AB66" s="52">
        <f ca="1">IF($F66&gt;$D$5,0,VLOOKUP($F66,$F$24:$BZ$44,AB$2-$E$2,FALSE)*$D$11*$D$14*(1+$D$13)^($F66-'הנחות עבודה'!$C$5)/$D$11)</f>
        <v>0</v>
      </c>
      <c r="AC66" s="52">
        <f ca="1">IF($F66&gt;$D$5,0,VLOOKUP($F66,$F$24:$BZ$44,AC$2-$E$2,FALSE)*$D$11*$D$14*(1+$D$13)^($F66-'הנחות עבודה'!$C$5)/$D$11)</f>
        <v>0</v>
      </c>
      <c r="AD66" s="52">
        <f ca="1">IF($F66&gt;$D$5,0,VLOOKUP($F66,$F$24:$BZ$44,AD$2-$E$2,FALSE)*$D$11*$D$14*(1+$D$13)^($F66-'הנחות עבודה'!$C$5)/$D$11)</f>
        <v>0</v>
      </c>
      <c r="AE66" s="42">
        <f ca="1">IF($F66&gt;$D$5,0,VLOOKUP($F66,$F$24:$BZ$44,AE$2-$E$2,FALSE)*$D$11*$D$14*(1+$D$13)^($F66-'הנחות עבודה'!$C$5)/$D$11)</f>
        <v>0</v>
      </c>
      <c r="AF66" s="44">
        <f ca="1">IF($F66&gt;$D$5,0,VLOOKUP($F66,$F$24:$BZ$44,AF$2-$E$2,FALSE)*$D$11*$D$14*(1+$D$13)^($F66-'הנחות עבודה'!$C$5)/$D$11)</f>
        <v>0</v>
      </c>
      <c r="AG66" s="44">
        <f ca="1">IF($F66&gt;$D$5,0,VLOOKUP($F66,$F$24:$BZ$44,AG$2-$E$2,FALSE)*$D$11*$D$14*(1+$D$13)^($F66-'הנחות עבודה'!$C$5)/$D$11)</f>
        <v>0</v>
      </c>
      <c r="AH66" s="44">
        <f ca="1">IF($F66&gt;$D$5,0,VLOOKUP($F66,$F$24:$BZ$44,AH$2-$E$2,FALSE)*$D$11*$D$14*(1+$D$13)^($F66-'הנחות עבודה'!$C$5)/$D$11)</f>
        <v>0</v>
      </c>
      <c r="AI66" s="44">
        <f ca="1">IF($F66&gt;$D$5,0,VLOOKUP($F66,$F$24:$BZ$44,AI$2-$E$2,FALSE)*$D$11*$D$14*(1+$D$13)^($F66-'הנחות עבודה'!$C$5)/$D$11)</f>
        <v>0</v>
      </c>
      <c r="AJ66" s="44">
        <f ca="1">IF($F66&gt;$D$5,0,VLOOKUP($F66,$F$24:$BZ$44,AJ$2-$E$2,FALSE)*$D$11*$D$14*(1+$D$13)^($F66-'הנחות עבודה'!$C$5)/$D$11)</f>
        <v>0</v>
      </c>
      <c r="AK66" s="42">
        <f ca="1">IF($F66&gt;$D$5,0,VLOOKUP($F66,$F$24:$BZ$44,AK$2-$E$2,FALSE)*$D$11*$D$14*(1+$D$13)^($F66-'הנחות עבודה'!$C$5)/$D$11)</f>
        <v>17.509304036048384</v>
      </c>
      <c r="AL66" s="42">
        <f ca="1">IF($F66&gt;$D$5,0,VLOOKUP($F66,$F$24:$BZ$44,AL$2-$E$2,FALSE)*$D$11*$D$14*(1+$D$13)^($F66-'הנחות עבודה'!$C$5)/$D$11)</f>
        <v>80.592812813247235</v>
      </c>
      <c r="AM66" s="42">
        <f ca="1">IF($F66&gt;$D$5,0,VLOOKUP($F66,$F$24:$BZ$44,AM$2-$E$2,FALSE)*$D$11*$D$14*(1+$D$13)^($F66-'הנחות עבודה'!$C$5)/$D$11)</f>
        <v>0</v>
      </c>
      <c r="AN66" s="42">
        <f ca="1">IF($F66&gt;$D$5,0,VLOOKUP($F66,$F$24:$BZ$44,AN$2-$E$2,FALSE)*$D$11*$D$14*(1+$D$13)^($F66-'הנחות עבודה'!$C$5)/$D$11)</f>
        <v>0</v>
      </c>
      <c r="AO66" s="42">
        <f ca="1">IF($F66&gt;$D$5,0,VLOOKUP($F66,$F$24:$BZ$44,AO$2-$E$2,FALSE)*$D$11*$D$14*(1+$D$13)^($F66-'הנחות עבודה'!$C$5)/$D$11)</f>
        <v>0</v>
      </c>
      <c r="AP66" s="42">
        <f ca="1">IF($F66&gt;$D$5,0,VLOOKUP($F66,$F$24:$BZ$44,AP$2-$E$2,FALSE)*$D$11*$D$14*(1+$D$13)^($F66-'הנחות עבודה'!$C$5)/$D$11)</f>
        <v>0</v>
      </c>
      <c r="AQ66" s="52">
        <f ca="1">IF($F66&gt;$D$5,0,VLOOKUP($F66,$F$24:$BZ$44,AQ$2-$E$2,FALSE)*$D$11*$D$14*(1+$D$13)^($F66-'הנחות עבודה'!$C$5)/$D$11)</f>
        <v>0</v>
      </c>
      <c r="AR66" s="127">
        <f ca="1">IF($F66&gt;$D$5,0,VLOOKUP($F66,$F$24:$BZ$44,AR$2-$E$2,FALSE)*$D$11*$D$14*(1+$D$13)^($F66-'הנחות עבודה'!$C$5)/$D$11)</f>
        <v>0</v>
      </c>
      <c r="AS66" s="127">
        <f ca="1">IF($F66&gt;$D$5,0,VLOOKUP($F66,$F$24:$BZ$44,AS$2-$E$2,FALSE)*$D$11*$D$14*(1+$D$13)^($F66-'הנחות עבודה'!$C$5)/$D$11)</f>
        <v>0</v>
      </c>
      <c r="AT66" s="127">
        <f ca="1">IF($F66&gt;$D$5,0,VLOOKUP($F66,$F$24:$BZ$44,AT$2-$E$2,FALSE)*$D$11*$D$14*(1+$D$13)^($F66-'הנחות עבודה'!$C$5)/$D$11)</f>
        <v>0</v>
      </c>
      <c r="AU66" s="127">
        <f ca="1">IF($F66&gt;$D$5,0,VLOOKUP($F66,$F$24:$BZ$44,AU$2-$E$2,FALSE)*$D$11*$D$14*(1+$D$13)^($F66-'הנחות עבודה'!$C$5)/$D$11)</f>
        <v>0</v>
      </c>
      <c r="AV66" s="127">
        <f ca="1">IF($F66&gt;$D$5,0,VLOOKUP($F66,$F$24:$BZ$44,AV$2-$E$2,FALSE)*$D$11*$D$14*(1+$D$13)^($F66-'הנחות עבודה'!$C$5)/$D$11)</f>
        <v>0</v>
      </c>
      <c r="AW66" s="52">
        <f ca="1">IF($F66&gt;$D$5,0,VLOOKUP($F66,$F$24:$BZ$44,AW$2-$E$2,FALSE)*$D$11*$D$14*(1+$D$13)^($F66-'הנחות עבודה'!$C$5)/$D$11)</f>
        <v>17.509304036048384</v>
      </c>
      <c r="AX66" s="52">
        <f ca="1">IF($F66&gt;$D$5,0,VLOOKUP($F66,$F$24:$BZ$44,AX$2-$E$2,FALSE)*$D$11*$D$14*(1+$D$13)^($F66-'הנחות עבודה'!$C$5)/$D$11)</f>
        <v>80.592812813247235</v>
      </c>
      <c r="AY66" s="52">
        <f ca="1">IF($F66&gt;$D$5,0,VLOOKUP($F66,$F$24:$BZ$44,AY$2-$E$2,FALSE)*$D$11*$D$14*(1+$D$13)^($F66-'הנחות עבודה'!$C$5)/$D$11)</f>
        <v>0</v>
      </c>
      <c r="AZ66" s="52">
        <f ca="1">IF($F66&gt;$D$5,0,VLOOKUP($F66,$F$24:$BZ$44,AZ$2-$E$2,FALSE)*$D$11*$D$14*(1+$D$13)^($F66-'הנחות עבודה'!$C$5)/$D$11)</f>
        <v>0</v>
      </c>
      <c r="BA66" s="52">
        <f ca="1">IF($F66&gt;$D$5,0,VLOOKUP($F66,$F$24:$BZ$44,BA$2-$E$2,FALSE)*$D$11*$D$14*(1+$D$13)^($F66-'הנחות עבודה'!$C$5)/$D$11)</f>
        <v>0</v>
      </c>
      <c r="BB66" s="52">
        <f ca="1">IF($F66&gt;$D$5,0,VLOOKUP($F66,$F$24:$BZ$44,BB$2-$E$2,FALSE)*$D$11*$D$14*(1+$D$13)^($F66-'הנחות עבודה'!$C$5)/$D$11)</f>
        <v>0</v>
      </c>
      <c r="BC66" s="42">
        <f ca="1">IF($F66&gt;$D$5,0,VLOOKUP($F66,$F$24:$BZ$44,BC$2-$E$2,FALSE)*$D$11*$D$14*(1+$D$13)^($F66-'הנחות עבודה'!$C$5)/$D$11)</f>
        <v>0</v>
      </c>
      <c r="BD66" s="44">
        <f ca="1">IF($F66&gt;$D$5,0,VLOOKUP($F66,$F$24:$BZ$44,BD$2-$E$2,FALSE)*$D$11*$D$14*(1+$D$13)^($F66-'הנחות עבודה'!$C$5)/$D$11)</f>
        <v>0</v>
      </c>
      <c r="BE66" s="44">
        <f ca="1">IF($F66&gt;$D$5,0,VLOOKUP($F66,$F$24:$BZ$44,BE$2-$E$2,FALSE)*$D$11*$D$14*(1+$D$13)^($F66-'הנחות עבודה'!$C$5)/$D$11)</f>
        <v>0</v>
      </c>
      <c r="BF66" s="44">
        <f ca="1">IF($F66&gt;$D$5,0,VLOOKUP($F66,$F$24:$BZ$44,BF$2-$E$2,FALSE)*$D$11*$D$14*(1+$D$13)^($F66-'הנחות עבודה'!$C$5)/$D$11)</f>
        <v>0</v>
      </c>
      <c r="BG66" s="44">
        <f ca="1">IF($F66&gt;$D$5,0,VLOOKUP($F66,$F$24:$BZ$44,BG$2-$E$2,FALSE)*$D$11*$D$14*(1+$D$13)^($F66-'הנחות עבודה'!$C$5)/$D$11)</f>
        <v>0</v>
      </c>
      <c r="BH66" s="44">
        <f ca="1">IF($F66&gt;$D$5,0,VLOOKUP($F66,$F$24:$BZ$44,BH$2-$E$2,FALSE)*$D$11*$D$14*(1+$D$13)^($F66-'הנחות עבודה'!$C$5)/$D$11)</f>
        <v>0</v>
      </c>
      <c r="BI66" s="42">
        <f ca="1">IF($F66&gt;$D$5,0,VLOOKUP($F66,$F$24:$BZ$44,BI$2-$E$2,FALSE)*$D$11*$D$14*(1+$D$13)^($F66-'הנחות עבודה'!$C$5)/$D$11)</f>
        <v>17.883745651873888</v>
      </c>
      <c r="BJ66" s="42">
        <f ca="1">IF($F66&gt;$D$5,0,VLOOKUP($F66,$F$24:$BZ$44,BJ$2-$E$2,FALSE)*$D$11*$D$14*(1+$D$13)^($F66-'הנחות עבודה'!$C$5)/$D$11)</f>
        <v>75.003199619633079</v>
      </c>
      <c r="BK66" s="42">
        <f ca="1">IF($F66&gt;$D$5,0,VLOOKUP($F66,$F$24:$BZ$44,BK$2-$E$2,FALSE)*$D$11*$D$14*(1+$D$13)^($F66-'הנחות עבודה'!$C$5)/$D$11)</f>
        <v>0</v>
      </c>
      <c r="BL66" s="42">
        <f ca="1">IF($F66&gt;$D$5,0,VLOOKUP($F66,$F$24:$BZ$44,BL$2-$E$2,FALSE)*$D$11*$D$14*(1+$D$13)^($F66-'הנחות עבודה'!$C$5)/$D$11)</f>
        <v>0</v>
      </c>
      <c r="BM66" s="42">
        <f ca="1">IF($F66&gt;$D$5,0,VLOOKUP($F66,$F$24:$BZ$44,BM$2-$E$2,FALSE)*$D$11*$D$14*(1+$D$13)^($F66-'הנחות עבודה'!$C$5)/$D$11)</f>
        <v>0</v>
      </c>
      <c r="BN66" s="42">
        <f ca="1">IF($F66&gt;$D$5,0,VLOOKUP($F66,$F$24:$BZ$44,BN$2-$E$2,FALSE)*$D$11*$D$14*(1+$D$13)^($F66-'הנחות עבודה'!$C$5)/$D$11)</f>
        <v>0</v>
      </c>
      <c r="BO66" s="52">
        <f ca="1">IF($F66&gt;$D$5,0,VLOOKUP($F66,$F$24:$BZ$44,BO$2-$E$2,FALSE)*$D$11*$D$14*(1+$D$13)^($F66-'הנחות עבודה'!$C$5)/$D$11)</f>
        <v>0</v>
      </c>
      <c r="BP66" s="127">
        <f ca="1">IF($F66&gt;$D$5,0,VLOOKUP($F66,$F$24:$BZ$44,BP$2-$E$2,FALSE)*$D$11*$D$14*(1+$D$13)^($F66-'הנחות עבודה'!$C$5)/$D$11)</f>
        <v>0</v>
      </c>
      <c r="BQ66" s="127">
        <f ca="1">IF($F66&gt;$D$5,0,VLOOKUP($F66,$F$24:$BZ$44,BQ$2-$E$2,FALSE)*$D$11*$D$14*(1+$D$13)^($F66-'הנחות עבודה'!$C$5)/$D$11)</f>
        <v>0</v>
      </c>
      <c r="BR66" s="127">
        <f ca="1">IF($F66&gt;$D$5,0,VLOOKUP($F66,$F$24:$BZ$44,BR$2-$E$2,FALSE)*$D$11*$D$14*(1+$D$13)^($F66-'הנחות עבודה'!$C$5)/$D$11)</f>
        <v>0</v>
      </c>
      <c r="BS66" s="127">
        <f ca="1">IF($F66&gt;$D$5,0,VLOOKUP($F66,$F$24:$BZ$44,BS$2-$E$2,FALSE)*$D$11*$D$14*(1+$D$13)^($F66-'הנחות עבודה'!$C$5)/$D$11)</f>
        <v>0</v>
      </c>
      <c r="BT66" s="127">
        <f ca="1">IF($F66&gt;$D$5,0,VLOOKUP($F66,$F$24:$BZ$44,BT$2-$E$2,FALSE)*$D$11*$D$14*(1+$D$13)^($F66-'הנחות עבודה'!$C$5)/$D$11)</f>
        <v>0</v>
      </c>
      <c r="BU66" s="52">
        <f ca="1">IF($F66&gt;$D$5,0,VLOOKUP($F66,$F$24:$BZ$44,BU$2-$E$2,FALSE)*$D$11*$D$14*(1+$D$13)^($F66-'הנחות עבודה'!$C$5)/$D$11)</f>
        <v>17.883745651873888</v>
      </c>
      <c r="BV66" s="52">
        <f ca="1">IF($F66&gt;$D$5,0,VLOOKUP($F66,$F$24:$BZ$44,BV$2-$E$2,FALSE)*$D$11*$D$14*(1+$D$13)^($F66-'הנחות עבודה'!$C$5)/$D$11)</f>
        <v>75.003199619633079</v>
      </c>
      <c r="BW66" s="52">
        <f ca="1">IF($F66&gt;$D$5,0,VLOOKUP($F66,$F$24:$BZ$44,BW$2-$E$2,FALSE)*$D$11*$D$14*(1+$D$13)^($F66-'הנחות עבודה'!$C$5)/$D$11)</f>
        <v>0</v>
      </c>
      <c r="BX66" s="52">
        <f ca="1">IF($F66&gt;$D$5,0,VLOOKUP($F66,$F$24:$BZ$44,BX$2-$E$2,FALSE)*$D$11*$D$14*(1+$D$13)^($F66-'הנחות עבודה'!$C$5)/$D$11)</f>
        <v>0</v>
      </c>
      <c r="BY66" s="52">
        <f ca="1">IF($F66&gt;$D$5,0,VLOOKUP($F66,$F$24:$BZ$44,BY$2-$E$2,FALSE)*$D$11*$D$14*(1+$D$13)^($F66-'הנחות עבודה'!$C$5)/$D$11)</f>
        <v>0</v>
      </c>
      <c r="BZ66" s="52">
        <f ca="1">IF($F66&gt;$D$5,0,VLOOKUP($F66,$F$24:$BZ$44,BZ$2-$E$2,FALSE)*$D$11*$D$14*(1+$D$13)^($F66-'הנחות עבודה'!$C$5)/$D$11)</f>
        <v>0</v>
      </c>
    </row>
    <row r="67" spans="6:78" ht="15.75">
      <c r="F67" s="10">
        <f t="shared" si="123"/>
        <v>2036</v>
      </c>
      <c r="G67" s="42">
        <f ca="1">IF($F67&gt;$D$5,0,VLOOKUP($F67,$F$24:$BZ$44,G$2-$E$2,FALSE)*$D$11*$D$14*(1+$D$13)^($F67-'הנחות עבודה'!$C$5)/$D$11)</f>
        <v>0</v>
      </c>
      <c r="H67" s="44">
        <f ca="1">IF($F67&gt;$D$5,0,VLOOKUP($F67,$F$24:$BZ$44,H$2-$E$2,FALSE)*$D$11*$D$14*(1+$D$13)^($F67-'הנחות עבודה'!$C$5)/$D$11)</f>
        <v>0</v>
      </c>
      <c r="I67" s="44">
        <f ca="1">IF($F67&gt;$D$5,0,VLOOKUP($F67,$F$24:$BZ$44,I$2-$E$2,FALSE)*$D$11*$D$14*(1+$D$13)^($F67-'הנחות עבודה'!$C$5)/$D$11)</f>
        <v>0</v>
      </c>
      <c r="J67" s="44">
        <f ca="1">IF($F67&gt;$D$5,0,VLOOKUP($F67,$F$24:$BZ$44,J$2-$E$2,FALSE)*$D$11*$D$14*(1+$D$13)^($F67-'הנחות עבודה'!$C$5)/$D$11)</f>
        <v>0</v>
      </c>
      <c r="K67" s="44">
        <f ca="1">IF($F67&gt;$D$5,0,VLOOKUP($F67,$F$24:$BZ$44,K$2-$E$2,FALSE)*$D$11*$D$14*(1+$D$13)^($F67-'הנחות עבודה'!$C$5)/$D$11)</f>
        <v>0</v>
      </c>
      <c r="L67" s="44">
        <f ca="1">IF($F67&gt;$D$5,0,VLOOKUP($F67,$F$24:$BZ$44,L$2-$E$2,FALSE)*$D$11*$D$14*(1+$D$13)^($F67-'הנחות עבודה'!$C$5)/$D$11)</f>
        <v>0</v>
      </c>
      <c r="M67" s="42">
        <f ca="1">IF($F67&gt;$D$5,0,VLOOKUP($F67,$F$24:$BZ$44,M$2-$E$2,FALSE)*$D$11*$D$14*(1+$D$13)^($F67-'הנחות עבודה'!$C$5)/$D$11)</f>
        <v>17.264660148854485</v>
      </c>
      <c r="N67" s="42">
        <f ca="1">IF($F67&gt;$D$5,0,VLOOKUP($F67,$F$24:$BZ$44,N$2-$E$2,FALSE)*$D$11*$D$14*(1+$D$13)^($F67-'הנחות עבודה'!$C$5)/$D$11)</f>
        <v>96.611048718134924</v>
      </c>
      <c r="O67" s="42">
        <f ca="1">IF($F67&gt;$D$5,0,VLOOKUP($F67,$F$24:$BZ$44,O$2-$E$2,FALSE)*$D$11*$D$14*(1+$D$13)^($F67-'הנחות עבודה'!$C$5)/$D$11)</f>
        <v>0</v>
      </c>
      <c r="P67" s="42">
        <f ca="1">IF($F67&gt;$D$5,0,VLOOKUP($F67,$F$24:$BZ$44,P$2-$E$2,FALSE)*$D$11*$D$14*(1+$D$13)^($F67-'הנחות עבודה'!$C$5)/$D$11)</f>
        <v>0</v>
      </c>
      <c r="Q67" s="42">
        <f ca="1">IF($F67&gt;$D$5,0,VLOOKUP($F67,$F$24:$BZ$44,Q$2-$E$2,FALSE)*$D$11*$D$14*(1+$D$13)^($F67-'הנחות עבודה'!$C$5)/$D$11)</f>
        <v>0</v>
      </c>
      <c r="R67" s="42">
        <f ca="1">IF($F67&gt;$D$5,0,VLOOKUP($F67,$F$24:$BZ$44,R$2-$E$2,FALSE)*$D$11*$D$14*(1+$D$13)^($F67-'הנחות עבודה'!$C$5)/$D$11)</f>
        <v>0</v>
      </c>
      <c r="S67" s="52">
        <f ca="1">IF($F67&gt;$D$5,0,VLOOKUP($F67,$F$24:$BZ$44,S$2-$E$2,FALSE)*$D$11*$D$14*(1+$D$13)^($F67-'הנחות עבודה'!$C$5)/$D$11)</f>
        <v>0</v>
      </c>
      <c r="T67" s="127">
        <f ca="1">IF($F67&gt;$D$5,0,VLOOKUP($F67,$F$24:$BZ$44,T$2-$E$2,FALSE)*$D$11*$D$14*(1+$D$13)^($F67-'הנחות עבודה'!$C$5)/$D$11)</f>
        <v>0</v>
      </c>
      <c r="U67" s="127">
        <f ca="1">IF($F67&gt;$D$5,0,VLOOKUP($F67,$F$24:$BZ$44,U$2-$E$2,FALSE)*$D$11*$D$14*(1+$D$13)^($F67-'הנחות עבודה'!$C$5)/$D$11)</f>
        <v>0</v>
      </c>
      <c r="V67" s="127">
        <f ca="1">IF($F67&gt;$D$5,0,VLOOKUP($F67,$F$24:$BZ$44,V$2-$E$2,FALSE)*$D$11*$D$14*(1+$D$13)^($F67-'הנחות עבודה'!$C$5)/$D$11)</f>
        <v>0</v>
      </c>
      <c r="W67" s="127">
        <f ca="1">IF($F67&gt;$D$5,0,VLOOKUP($F67,$F$24:$BZ$44,W$2-$E$2,FALSE)*$D$11*$D$14*(1+$D$13)^($F67-'הנחות עבודה'!$C$5)/$D$11)</f>
        <v>0</v>
      </c>
      <c r="X67" s="127">
        <f ca="1">IF($F67&gt;$D$5,0,VLOOKUP($F67,$F$24:$BZ$44,X$2-$E$2,FALSE)*$D$11*$D$14*(1+$D$13)^($F67-'הנחות עבודה'!$C$5)/$D$11)</f>
        <v>0</v>
      </c>
      <c r="Y67" s="52">
        <f ca="1">IF($F67&gt;$D$5,0,VLOOKUP($F67,$F$24:$BZ$44,Y$2-$E$2,FALSE)*$D$11*$D$14*(1+$D$13)^($F67-'הנחות עבודה'!$C$5)/$D$11)</f>
        <v>17.264660148854485</v>
      </c>
      <c r="Z67" s="52">
        <f ca="1">IF($F67&gt;$D$5,0,VLOOKUP($F67,$F$24:$BZ$44,Z$2-$E$2,FALSE)*$D$11*$D$14*(1+$D$13)^($F67-'הנחות עבודה'!$C$5)/$D$11)</f>
        <v>96.611048718134924</v>
      </c>
      <c r="AA67" s="52">
        <f ca="1">IF($F67&gt;$D$5,0,VLOOKUP($F67,$F$24:$BZ$44,AA$2-$E$2,FALSE)*$D$11*$D$14*(1+$D$13)^($F67-'הנחות עבודה'!$C$5)/$D$11)</f>
        <v>0</v>
      </c>
      <c r="AB67" s="52">
        <f ca="1">IF($F67&gt;$D$5,0,VLOOKUP($F67,$F$24:$BZ$44,AB$2-$E$2,FALSE)*$D$11*$D$14*(1+$D$13)^($F67-'הנחות עבודה'!$C$5)/$D$11)</f>
        <v>0</v>
      </c>
      <c r="AC67" s="52">
        <f ca="1">IF($F67&gt;$D$5,0,VLOOKUP($F67,$F$24:$BZ$44,AC$2-$E$2,FALSE)*$D$11*$D$14*(1+$D$13)^($F67-'הנחות עבודה'!$C$5)/$D$11)</f>
        <v>0</v>
      </c>
      <c r="AD67" s="52">
        <f ca="1">IF($F67&gt;$D$5,0,VLOOKUP($F67,$F$24:$BZ$44,AD$2-$E$2,FALSE)*$D$11*$D$14*(1+$D$13)^($F67-'הנחות עבודה'!$C$5)/$D$11)</f>
        <v>0</v>
      </c>
      <c r="AE67" s="42">
        <f ca="1">IF($F67&gt;$D$5,0,VLOOKUP($F67,$F$24:$BZ$44,AE$2-$E$2,FALSE)*$D$11*$D$14*(1+$D$13)^($F67-'הנחות עבודה'!$C$5)/$D$11)</f>
        <v>0</v>
      </c>
      <c r="AF67" s="44">
        <f ca="1">IF($F67&gt;$D$5,0,VLOOKUP($F67,$F$24:$BZ$44,AF$2-$E$2,FALSE)*$D$11*$D$14*(1+$D$13)^($F67-'הנחות עבודה'!$C$5)/$D$11)</f>
        <v>0</v>
      </c>
      <c r="AG67" s="44">
        <f ca="1">IF($F67&gt;$D$5,0,VLOOKUP($F67,$F$24:$BZ$44,AG$2-$E$2,FALSE)*$D$11*$D$14*(1+$D$13)^($F67-'הנחות עבודה'!$C$5)/$D$11)</f>
        <v>0</v>
      </c>
      <c r="AH67" s="44">
        <f ca="1">IF($F67&gt;$D$5,0,VLOOKUP($F67,$F$24:$BZ$44,AH$2-$E$2,FALSE)*$D$11*$D$14*(1+$D$13)^($F67-'הנחות עבודה'!$C$5)/$D$11)</f>
        <v>0</v>
      </c>
      <c r="AI67" s="44">
        <f ca="1">IF($F67&gt;$D$5,0,VLOOKUP($F67,$F$24:$BZ$44,AI$2-$E$2,FALSE)*$D$11*$D$14*(1+$D$13)^($F67-'הנחות עבודה'!$C$5)/$D$11)</f>
        <v>0</v>
      </c>
      <c r="AJ67" s="44">
        <f ca="1">IF($F67&gt;$D$5,0,VLOOKUP($F67,$F$24:$BZ$44,AJ$2-$E$2,FALSE)*$D$11*$D$14*(1+$D$13)^($F67-'הנחות עבודה'!$C$5)/$D$11)</f>
        <v>0</v>
      </c>
      <c r="AK67" s="42">
        <f ca="1">IF($F67&gt;$D$5,0,VLOOKUP($F67,$F$24:$BZ$44,AK$2-$E$2,FALSE)*$D$11*$D$14*(1+$D$13)^($F67-'הנחות עבודה'!$C$5)/$D$11)</f>
        <v>18.265168212146222</v>
      </c>
      <c r="AL67" s="42">
        <f ca="1">IF($F67&gt;$D$5,0,VLOOKUP($F67,$F$24:$BZ$44,AL$2-$E$2,FALSE)*$D$11*$D$14*(1+$D$13)^($F67-'הנחות עבודה'!$C$5)/$D$11)</f>
        <v>87.037818097883871</v>
      </c>
      <c r="AM67" s="42">
        <f ca="1">IF($F67&gt;$D$5,0,VLOOKUP($F67,$F$24:$BZ$44,AM$2-$E$2,FALSE)*$D$11*$D$14*(1+$D$13)^($F67-'הנחות עבודה'!$C$5)/$D$11)</f>
        <v>0</v>
      </c>
      <c r="AN67" s="42">
        <f ca="1">IF($F67&gt;$D$5,0,VLOOKUP($F67,$F$24:$BZ$44,AN$2-$E$2,FALSE)*$D$11*$D$14*(1+$D$13)^($F67-'הנחות עבודה'!$C$5)/$D$11)</f>
        <v>0</v>
      </c>
      <c r="AO67" s="42">
        <f ca="1">IF($F67&gt;$D$5,0,VLOOKUP($F67,$F$24:$BZ$44,AO$2-$E$2,FALSE)*$D$11*$D$14*(1+$D$13)^($F67-'הנחות עבודה'!$C$5)/$D$11)</f>
        <v>0</v>
      </c>
      <c r="AP67" s="42">
        <f ca="1">IF($F67&gt;$D$5,0,VLOOKUP($F67,$F$24:$BZ$44,AP$2-$E$2,FALSE)*$D$11*$D$14*(1+$D$13)^($F67-'הנחות עבודה'!$C$5)/$D$11)</f>
        <v>0</v>
      </c>
      <c r="AQ67" s="52">
        <f ca="1">IF($F67&gt;$D$5,0,VLOOKUP($F67,$F$24:$BZ$44,AQ$2-$E$2,FALSE)*$D$11*$D$14*(1+$D$13)^($F67-'הנחות עבודה'!$C$5)/$D$11)</f>
        <v>0</v>
      </c>
      <c r="AR67" s="127">
        <f ca="1">IF($F67&gt;$D$5,0,VLOOKUP($F67,$F$24:$BZ$44,AR$2-$E$2,FALSE)*$D$11*$D$14*(1+$D$13)^($F67-'הנחות עבודה'!$C$5)/$D$11)</f>
        <v>0</v>
      </c>
      <c r="AS67" s="127">
        <f ca="1">IF($F67&gt;$D$5,0,VLOOKUP($F67,$F$24:$BZ$44,AS$2-$E$2,FALSE)*$D$11*$D$14*(1+$D$13)^($F67-'הנחות עבודה'!$C$5)/$D$11)</f>
        <v>0</v>
      </c>
      <c r="AT67" s="127">
        <f ca="1">IF($F67&gt;$D$5,0,VLOOKUP($F67,$F$24:$BZ$44,AT$2-$E$2,FALSE)*$D$11*$D$14*(1+$D$13)^($F67-'הנחות עבודה'!$C$5)/$D$11)</f>
        <v>0</v>
      </c>
      <c r="AU67" s="127">
        <f ca="1">IF($F67&gt;$D$5,0,VLOOKUP($F67,$F$24:$BZ$44,AU$2-$E$2,FALSE)*$D$11*$D$14*(1+$D$13)^($F67-'הנחות עבודה'!$C$5)/$D$11)</f>
        <v>0</v>
      </c>
      <c r="AV67" s="127">
        <f ca="1">IF($F67&gt;$D$5,0,VLOOKUP($F67,$F$24:$BZ$44,AV$2-$E$2,FALSE)*$D$11*$D$14*(1+$D$13)^($F67-'הנחות עבודה'!$C$5)/$D$11)</f>
        <v>0</v>
      </c>
      <c r="AW67" s="52">
        <f ca="1">IF($F67&gt;$D$5,0,VLOOKUP($F67,$F$24:$BZ$44,AW$2-$E$2,FALSE)*$D$11*$D$14*(1+$D$13)^($F67-'הנחות עבודה'!$C$5)/$D$11)</f>
        <v>18.265168212146222</v>
      </c>
      <c r="AX67" s="52">
        <f ca="1">IF($F67&gt;$D$5,0,VLOOKUP($F67,$F$24:$BZ$44,AX$2-$E$2,FALSE)*$D$11*$D$14*(1+$D$13)^($F67-'הנחות עבודה'!$C$5)/$D$11)</f>
        <v>87.037818097883871</v>
      </c>
      <c r="AY67" s="52">
        <f ca="1">IF($F67&gt;$D$5,0,VLOOKUP($F67,$F$24:$BZ$44,AY$2-$E$2,FALSE)*$D$11*$D$14*(1+$D$13)^($F67-'הנחות עבודה'!$C$5)/$D$11)</f>
        <v>0</v>
      </c>
      <c r="AZ67" s="52">
        <f ca="1">IF($F67&gt;$D$5,0,VLOOKUP($F67,$F$24:$BZ$44,AZ$2-$E$2,FALSE)*$D$11*$D$14*(1+$D$13)^($F67-'הנחות עבודה'!$C$5)/$D$11)</f>
        <v>0</v>
      </c>
      <c r="BA67" s="52">
        <f ca="1">IF($F67&gt;$D$5,0,VLOOKUP($F67,$F$24:$BZ$44,BA$2-$E$2,FALSE)*$D$11*$D$14*(1+$D$13)^($F67-'הנחות עבודה'!$C$5)/$D$11)</f>
        <v>0</v>
      </c>
      <c r="BB67" s="52">
        <f ca="1">IF($F67&gt;$D$5,0,VLOOKUP($F67,$F$24:$BZ$44,BB$2-$E$2,FALSE)*$D$11*$D$14*(1+$D$13)^($F67-'הנחות עבודה'!$C$5)/$D$11)</f>
        <v>0</v>
      </c>
      <c r="BC67" s="42">
        <f ca="1">IF($F67&gt;$D$5,0,VLOOKUP($F67,$F$24:$BZ$44,BC$2-$E$2,FALSE)*$D$11*$D$14*(1+$D$13)^($F67-'הנחות עבודה'!$C$5)/$D$11)</f>
        <v>0</v>
      </c>
      <c r="BD67" s="44">
        <f ca="1">IF($F67&gt;$D$5,0,VLOOKUP($F67,$F$24:$BZ$44,BD$2-$E$2,FALSE)*$D$11*$D$14*(1+$D$13)^($F67-'הנחות עבודה'!$C$5)/$D$11)</f>
        <v>0</v>
      </c>
      <c r="BE67" s="44">
        <f ca="1">IF($F67&gt;$D$5,0,VLOOKUP($F67,$F$24:$BZ$44,BE$2-$E$2,FALSE)*$D$11*$D$14*(1+$D$13)^($F67-'הנחות עבודה'!$C$5)/$D$11)</f>
        <v>0</v>
      </c>
      <c r="BF67" s="44">
        <f ca="1">IF($F67&gt;$D$5,0,VLOOKUP($F67,$F$24:$BZ$44,BF$2-$E$2,FALSE)*$D$11*$D$14*(1+$D$13)^($F67-'הנחות עבודה'!$C$5)/$D$11)</f>
        <v>0</v>
      </c>
      <c r="BG67" s="44">
        <f ca="1">IF($F67&gt;$D$5,0,VLOOKUP($F67,$F$24:$BZ$44,BG$2-$E$2,FALSE)*$D$11*$D$14*(1+$D$13)^($F67-'הנחות עבודה'!$C$5)/$D$11)</f>
        <v>0</v>
      </c>
      <c r="BH67" s="44">
        <f ca="1">IF($F67&gt;$D$5,0,VLOOKUP($F67,$F$24:$BZ$44,BH$2-$E$2,FALSE)*$D$11*$D$14*(1+$D$13)^($F67-'הנחות עבודה'!$C$5)/$D$11)</f>
        <v>0</v>
      </c>
      <c r="BI67" s="42">
        <f ca="1">IF($F67&gt;$D$5,0,VLOOKUP($F67,$F$24:$BZ$44,BI$2-$E$2,FALSE)*$D$11*$D$14*(1+$D$13)^($F67-'הנחות עבודה'!$C$5)/$D$11)</f>
        <v>18.641248141099961</v>
      </c>
      <c r="BJ67" s="42">
        <f ca="1">IF($F67&gt;$D$5,0,VLOOKUP($F67,$F$24:$BZ$44,BJ$2-$E$2,FALSE)*$D$11*$D$14*(1+$D$13)^($F67-'הנחות עבודה'!$C$5)/$D$11)</f>
        <v>81.307758200557942</v>
      </c>
      <c r="BK67" s="42">
        <f ca="1">IF($F67&gt;$D$5,0,VLOOKUP($F67,$F$24:$BZ$44,BK$2-$E$2,FALSE)*$D$11*$D$14*(1+$D$13)^($F67-'הנחות עבודה'!$C$5)/$D$11)</f>
        <v>0</v>
      </c>
      <c r="BL67" s="42">
        <f ca="1">IF($F67&gt;$D$5,0,VLOOKUP($F67,$F$24:$BZ$44,BL$2-$E$2,FALSE)*$D$11*$D$14*(1+$D$13)^($F67-'הנחות עבודה'!$C$5)/$D$11)</f>
        <v>0</v>
      </c>
      <c r="BM67" s="42">
        <f ca="1">IF($F67&gt;$D$5,0,VLOOKUP($F67,$F$24:$BZ$44,BM$2-$E$2,FALSE)*$D$11*$D$14*(1+$D$13)^($F67-'הנחות עבודה'!$C$5)/$D$11)</f>
        <v>0</v>
      </c>
      <c r="BN67" s="42">
        <f ca="1">IF($F67&gt;$D$5,0,VLOOKUP($F67,$F$24:$BZ$44,BN$2-$E$2,FALSE)*$D$11*$D$14*(1+$D$13)^($F67-'הנחות עבודה'!$C$5)/$D$11)</f>
        <v>0</v>
      </c>
      <c r="BO67" s="52">
        <f ca="1">IF($F67&gt;$D$5,0,VLOOKUP($F67,$F$24:$BZ$44,BO$2-$E$2,FALSE)*$D$11*$D$14*(1+$D$13)^($F67-'הנחות עבודה'!$C$5)/$D$11)</f>
        <v>0</v>
      </c>
      <c r="BP67" s="127">
        <f ca="1">IF($F67&gt;$D$5,0,VLOOKUP($F67,$F$24:$BZ$44,BP$2-$E$2,FALSE)*$D$11*$D$14*(1+$D$13)^($F67-'הנחות עבודה'!$C$5)/$D$11)</f>
        <v>0</v>
      </c>
      <c r="BQ67" s="127">
        <f ca="1">IF($F67&gt;$D$5,0,VLOOKUP($F67,$F$24:$BZ$44,BQ$2-$E$2,FALSE)*$D$11*$D$14*(1+$D$13)^($F67-'הנחות עבודה'!$C$5)/$D$11)</f>
        <v>0</v>
      </c>
      <c r="BR67" s="127">
        <f ca="1">IF($F67&gt;$D$5,0,VLOOKUP($F67,$F$24:$BZ$44,BR$2-$E$2,FALSE)*$D$11*$D$14*(1+$D$13)^($F67-'הנחות עבודה'!$C$5)/$D$11)</f>
        <v>0</v>
      </c>
      <c r="BS67" s="127">
        <f ca="1">IF($F67&gt;$D$5,0,VLOOKUP($F67,$F$24:$BZ$44,BS$2-$E$2,FALSE)*$D$11*$D$14*(1+$D$13)^($F67-'הנחות עבודה'!$C$5)/$D$11)</f>
        <v>0</v>
      </c>
      <c r="BT67" s="127">
        <f ca="1">IF($F67&gt;$D$5,0,VLOOKUP($F67,$F$24:$BZ$44,BT$2-$E$2,FALSE)*$D$11*$D$14*(1+$D$13)^($F67-'הנחות עבודה'!$C$5)/$D$11)</f>
        <v>0</v>
      </c>
      <c r="BU67" s="52">
        <f ca="1">IF($F67&gt;$D$5,0,VLOOKUP($F67,$F$24:$BZ$44,BU$2-$E$2,FALSE)*$D$11*$D$14*(1+$D$13)^($F67-'הנחות עבודה'!$C$5)/$D$11)</f>
        <v>18.641248141099961</v>
      </c>
      <c r="BV67" s="52">
        <f ca="1">IF($F67&gt;$D$5,0,VLOOKUP($F67,$F$24:$BZ$44,BV$2-$E$2,FALSE)*$D$11*$D$14*(1+$D$13)^($F67-'הנחות עבודה'!$C$5)/$D$11)</f>
        <v>81.307758200557942</v>
      </c>
      <c r="BW67" s="52">
        <f ca="1">IF($F67&gt;$D$5,0,VLOOKUP($F67,$F$24:$BZ$44,BW$2-$E$2,FALSE)*$D$11*$D$14*(1+$D$13)^($F67-'הנחות עבודה'!$C$5)/$D$11)</f>
        <v>0</v>
      </c>
      <c r="BX67" s="52">
        <f ca="1">IF($F67&gt;$D$5,0,VLOOKUP($F67,$F$24:$BZ$44,BX$2-$E$2,FALSE)*$D$11*$D$14*(1+$D$13)^($F67-'הנחות עבודה'!$C$5)/$D$11)</f>
        <v>0</v>
      </c>
      <c r="BY67" s="52">
        <f ca="1">IF($F67&gt;$D$5,0,VLOOKUP($F67,$F$24:$BZ$44,BY$2-$E$2,FALSE)*$D$11*$D$14*(1+$D$13)^($F67-'הנחות עבודה'!$C$5)/$D$11)</f>
        <v>0</v>
      </c>
      <c r="BZ67" s="52">
        <f ca="1">IF($F67&gt;$D$5,0,VLOOKUP($F67,$F$24:$BZ$44,BZ$2-$E$2,FALSE)*$D$11*$D$14*(1+$D$13)^($F67-'הנחות עבודה'!$C$5)/$D$11)</f>
        <v>0</v>
      </c>
    </row>
    <row r="68" spans="6:78" ht="15.75">
      <c r="F68" s="10">
        <f t="shared" si="123"/>
        <v>2037</v>
      </c>
      <c r="G68" s="42">
        <f ca="1">IF($F68&gt;$D$5,0,VLOOKUP($F68,$F$24:$BZ$44,G$2-$E$2,FALSE)*$D$11*$D$14*(1+$D$13)^($F68-'הנחות עבודה'!$C$5)/$D$11)</f>
        <v>0</v>
      </c>
      <c r="H68" s="44">
        <f ca="1">IF($F68&gt;$D$5,0,VLOOKUP($F68,$F$24:$BZ$44,H$2-$E$2,FALSE)*$D$11*$D$14*(1+$D$13)^($F68-'הנחות עבודה'!$C$5)/$D$11)</f>
        <v>0</v>
      </c>
      <c r="I68" s="44">
        <f ca="1">IF($F68&gt;$D$5,0,VLOOKUP($F68,$F$24:$BZ$44,I$2-$E$2,FALSE)*$D$11*$D$14*(1+$D$13)^($F68-'הנחות עבודה'!$C$5)/$D$11)</f>
        <v>0</v>
      </c>
      <c r="J68" s="44">
        <f ca="1">IF($F68&gt;$D$5,0,VLOOKUP($F68,$F$24:$BZ$44,J$2-$E$2,FALSE)*$D$11*$D$14*(1+$D$13)^($F68-'הנחות עבודה'!$C$5)/$D$11)</f>
        <v>0</v>
      </c>
      <c r="K68" s="44">
        <f ca="1">IF($F68&gt;$D$5,0,VLOOKUP($F68,$F$24:$BZ$44,K$2-$E$2,FALSE)*$D$11*$D$14*(1+$D$13)^($F68-'הנחות עבודה'!$C$5)/$D$11)</f>
        <v>0</v>
      </c>
      <c r="L68" s="44">
        <f ca="1">IF($F68&gt;$D$5,0,VLOOKUP($F68,$F$24:$BZ$44,L$2-$E$2,FALSE)*$D$11*$D$14*(1+$D$13)^($F68-'הנחות עבודה'!$C$5)/$D$11)</f>
        <v>0</v>
      </c>
      <c r="M68" s="42">
        <f ca="1">IF($F68&gt;$D$5,0,VLOOKUP($F68,$F$24:$BZ$44,M$2-$E$2,FALSE)*$D$11*$D$14*(1+$D$13)^($F68-'הנחות עבודה'!$C$5)/$D$11)</f>
        <v>18.028586902341946</v>
      </c>
      <c r="N68" s="42">
        <f ca="1">IF($F68&gt;$D$5,0,VLOOKUP($F68,$F$24:$BZ$44,N$2-$E$2,FALSE)*$D$11*$D$14*(1+$D$13)^($F68-'הנחות עבודה'!$C$5)/$D$11)</f>
        <v>103.762356402096</v>
      </c>
      <c r="O68" s="42">
        <f ca="1">IF($F68&gt;$D$5,0,VLOOKUP($F68,$F$24:$BZ$44,O$2-$E$2,FALSE)*$D$11*$D$14*(1+$D$13)^($F68-'הנחות עבודה'!$C$5)/$D$11)</f>
        <v>0</v>
      </c>
      <c r="P68" s="42">
        <f ca="1">IF($F68&gt;$D$5,0,VLOOKUP($F68,$F$24:$BZ$44,P$2-$E$2,FALSE)*$D$11*$D$14*(1+$D$13)^($F68-'הנחות עבודה'!$C$5)/$D$11)</f>
        <v>0</v>
      </c>
      <c r="Q68" s="42">
        <f ca="1">IF($F68&gt;$D$5,0,VLOOKUP($F68,$F$24:$BZ$44,Q$2-$E$2,FALSE)*$D$11*$D$14*(1+$D$13)^($F68-'הנחות עבודה'!$C$5)/$D$11)</f>
        <v>0</v>
      </c>
      <c r="R68" s="42">
        <f ca="1">IF($F68&gt;$D$5,0,VLOOKUP($F68,$F$24:$BZ$44,R$2-$E$2,FALSE)*$D$11*$D$14*(1+$D$13)^($F68-'הנחות עבודה'!$C$5)/$D$11)</f>
        <v>0</v>
      </c>
      <c r="S68" s="52">
        <f ca="1">IF($F68&gt;$D$5,0,VLOOKUP($F68,$F$24:$BZ$44,S$2-$E$2,FALSE)*$D$11*$D$14*(1+$D$13)^($F68-'הנחות עבודה'!$C$5)/$D$11)</f>
        <v>0</v>
      </c>
      <c r="T68" s="127">
        <f ca="1">IF($F68&gt;$D$5,0,VLOOKUP($F68,$F$24:$BZ$44,T$2-$E$2,FALSE)*$D$11*$D$14*(1+$D$13)^($F68-'הנחות עבודה'!$C$5)/$D$11)</f>
        <v>0</v>
      </c>
      <c r="U68" s="127">
        <f ca="1">IF($F68&gt;$D$5,0,VLOOKUP($F68,$F$24:$BZ$44,U$2-$E$2,FALSE)*$D$11*$D$14*(1+$D$13)^($F68-'הנחות עבודה'!$C$5)/$D$11)</f>
        <v>0</v>
      </c>
      <c r="V68" s="127">
        <f ca="1">IF($F68&gt;$D$5,0,VLOOKUP($F68,$F$24:$BZ$44,V$2-$E$2,FALSE)*$D$11*$D$14*(1+$D$13)^($F68-'הנחות עבודה'!$C$5)/$D$11)</f>
        <v>0</v>
      </c>
      <c r="W68" s="127">
        <f ca="1">IF($F68&gt;$D$5,0,VLOOKUP($F68,$F$24:$BZ$44,W$2-$E$2,FALSE)*$D$11*$D$14*(1+$D$13)^($F68-'הנחות עבודה'!$C$5)/$D$11)</f>
        <v>0</v>
      </c>
      <c r="X68" s="127">
        <f ca="1">IF($F68&gt;$D$5,0,VLOOKUP($F68,$F$24:$BZ$44,X$2-$E$2,FALSE)*$D$11*$D$14*(1+$D$13)^($F68-'הנחות עבודה'!$C$5)/$D$11)</f>
        <v>0</v>
      </c>
      <c r="Y68" s="52">
        <f ca="1">IF($F68&gt;$D$5,0,VLOOKUP($F68,$F$24:$BZ$44,Y$2-$E$2,FALSE)*$D$11*$D$14*(1+$D$13)^($F68-'הנחות עבודה'!$C$5)/$D$11)</f>
        <v>18.028586902341946</v>
      </c>
      <c r="Z68" s="52">
        <f ca="1">IF($F68&gt;$D$5,0,VLOOKUP($F68,$F$24:$BZ$44,Z$2-$E$2,FALSE)*$D$11*$D$14*(1+$D$13)^($F68-'הנחות עבודה'!$C$5)/$D$11)</f>
        <v>103.762356402096</v>
      </c>
      <c r="AA68" s="52">
        <f ca="1">IF($F68&gt;$D$5,0,VLOOKUP($F68,$F$24:$BZ$44,AA$2-$E$2,FALSE)*$D$11*$D$14*(1+$D$13)^($F68-'הנחות עבודה'!$C$5)/$D$11)</f>
        <v>0</v>
      </c>
      <c r="AB68" s="52">
        <f ca="1">IF($F68&gt;$D$5,0,VLOOKUP($F68,$F$24:$BZ$44,AB$2-$E$2,FALSE)*$D$11*$D$14*(1+$D$13)^($F68-'הנחות עבודה'!$C$5)/$D$11)</f>
        <v>0</v>
      </c>
      <c r="AC68" s="52">
        <f ca="1">IF($F68&gt;$D$5,0,VLOOKUP($F68,$F$24:$BZ$44,AC$2-$E$2,FALSE)*$D$11*$D$14*(1+$D$13)^($F68-'הנחות עבודה'!$C$5)/$D$11)</f>
        <v>0</v>
      </c>
      <c r="AD68" s="52">
        <f ca="1">IF($F68&gt;$D$5,0,VLOOKUP($F68,$F$24:$BZ$44,AD$2-$E$2,FALSE)*$D$11*$D$14*(1+$D$13)^($F68-'הנחות עבודה'!$C$5)/$D$11)</f>
        <v>0</v>
      </c>
      <c r="AE68" s="42">
        <f ca="1">IF($F68&gt;$D$5,0,VLOOKUP($F68,$F$24:$BZ$44,AE$2-$E$2,FALSE)*$D$11*$D$14*(1+$D$13)^($F68-'הנחות עבודה'!$C$5)/$D$11)</f>
        <v>0</v>
      </c>
      <c r="AF68" s="44">
        <f ca="1">IF($F68&gt;$D$5,0,VLOOKUP($F68,$F$24:$BZ$44,AF$2-$E$2,FALSE)*$D$11*$D$14*(1+$D$13)^($F68-'הנחות עבודה'!$C$5)/$D$11)</f>
        <v>0</v>
      </c>
      <c r="AG68" s="44">
        <f ca="1">IF($F68&gt;$D$5,0,VLOOKUP($F68,$F$24:$BZ$44,AG$2-$E$2,FALSE)*$D$11*$D$14*(1+$D$13)^($F68-'הנחות עבודה'!$C$5)/$D$11)</f>
        <v>0</v>
      </c>
      <c r="AH68" s="44">
        <f ca="1">IF($F68&gt;$D$5,0,VLOOKUP($F68,$F$24:$BZ$44,AH$2-$E$2,FALSE)*$D$11*$D$14*(1+$D$13)^($F68-'הנחות עבודה'!$C$5)/$D$11)</f>
        <v>0</v>
      </c>
      <c r="AI68" s="44">
        <f ca="1">IF($F68&gt;$D$5,0,VLOOKUP($F68,$F$24:$BZ$44,AI$2-$E$2,FALSE)*$D$11*$D$14*(1+$D$13)^($F68-'הנחות עבודה'!$C$5)/$D$11)</f>
        <v>0</v>
      </c>
      <c r="AJ68" s="44">
        <f ca="1">IF($F68&gt;$D$5,0,VLOOKUP($F68,$F$24:$BZ$44,AJ$2-$E$2,FALSE)*$D$11*$D$14*(1+$D$13)^($F68-'הנחות עבודה'!$C$5)/$D$11)</f>
        <v>0</v>
      </c>
      <c r="AK68" s="42">
        <f ca="1">IF($F68&gt;$D$5,0,VLOOKUP($F68,$F$24:$BZ$44,AK$2-$E$2,FALSE)*$D$11*$D$14*(1+$D$13)^($F68-'הנחות עבודה'!$C$5)/$D$11)</f>
        <v>18.825460430438405</v>
      </c>
      <c r="AL68" s="42">
        <f ca="1">IF($F68&gt;$D$5,0,VLOOKUP($F68,$F$24:$BZ$44,AL$2-$E$2,FALSE)*$D$11*$D$14*(1+$D$13)^($F68-'הנחות עבודה'!$C$5)/$D$11)</f>
        <v>94.163064195186067</v>
      </c>
      <c r="AM68" s="42">
        <f ca="1">IF($F68&gt;$D$5,0,VLOOKUP($F68,$F$24:$BZ$44,AM$2-$E$2,FALSE)*$D$11*$D$14*(1+$D$13)^($F68-'הנחות עבודה'!$C$5)/$D$11)</f>
        <v>0</v>
      </c>
      <c r="AN68" s="42">
        <f ca="1">IF($F68&gt;$D$5,0,VLOOKUP($F68,$F$24:$BZ$44,AN$2-$E$2,FALSE)*$D$11*$D$14*(1+$D$13)^($F68-'הנחות עבודה'!$C$5)/$D$11)</f>
        <v>0</v>
      </c>
      <c r="AO68" s="42">
        <f ca="1">IF($F68&gt;$D$5,0,VLOOKUP($F68,$F$24:$BZ$44,AO$2-$E$2,FALSE)*$D$11*$D$14*(1+$D$13)^($F68-'הנחות עבודה'!$C$5)/$D$11)</f>
        <v>0</v>
      </c>
      <c r="AP68" s="42">
        <f ca="1">IF($F68&gt;$D$5,0,VLOOKUP($F68,$F$24:$BZ$44,AP$2-$E$2,FALSE)*$D$11*$D$14*(1+$D$13)^($F68-'הנחות עבודה'!$C$5)/$D$11)</f>
        <v>0</v>
      </c>
      <c r="AQ68" s="52">
        <f ca="1">IF($F68&gt;$D$5,0,VLOOKUP($F68,$F$24:$BZ$44,AQ$2-$E$2,FALSE)*$D$11*$D$14*(1+$D$13)^($F68-'הנחות עבודה'!$C$5)/$D$11)</f>
        <v>0</v>
      </c>
      <c r="AR68" s="127">
        <f ca="1">IF($F68&gt;$D$5,0,VLOOKUP($F68,$F$24:$BZ$44,AR$2-$E$2,FALSE)*$D$11*$D$14*(1+$D$13)^($F68-'הנחות עבודה'!$C$5)/$D$11)</f>
        <v>0</v>
      </c>
      <c r="AS68" s="127">
        <f ca="1">IF($F68&gt;$D$5,0,VLOOKUP($F68,$F$24:$BZ$44,AS$2-$E$2,FALSE)*$D$11*$D$14*(1+$D$13)^($F68-'הנחות עבודה'!$C$5)/$D$11)</f>
        <v>0</v>
      </c>
      <c r="AT68" s="127">
        <f ca="1">IF($F68&gt;$D$5,0,VLOOKUP($F68,$F$24:$BZ$44,AT$2-$E$2,FALSE)*$D$11*$D$14*(1+$D$13)^($F68-'הנחות עבודה'!$C$5)/$D$11)</f>
        <v>0</v>
      </c>
      <c r="AU68" s="127">
        <f ca="1">IF($F68&gt;$D$5,0,VLOOKUP($F68,$F$24:$BZ$44,AU$2-$E$2,FALSE)*$D$11*$D$14*(1+$D$13)^($F68-'הנחות עבודה'!$C$5)/$D$11)</f>
        <v>0</v>
      </c>
      <c r="AV68" s="127">
        <f ca="1">IF($F68&gt;$D$5,0,VLOOKUP($F68,$F$24:$BZ$44,AV$2-$E$2,FALSE)*$D$11*$D$14*(1+$D$13)^($F68-'הנחות עבודה'!$C$5)/$D$11)</f>
        <v>0</v>
      </c>
      <c r="AW68" s="52">
        <f ca="1">IF($F68&gt;$D$5,0,VLOOKUP($F68,$F$24:$BZ$44,AW$2-$E$2,FALSE)*$D$11*$D$14*(1+$D$13)^($F68-'הנחות עבודה'!$C$5)/$D$11)</f>
        <v>18.825460430438405</v>
      </c>
      <c r="AX68" s="52">
        <f ca="1">IF($F68&gt;$D$5,0,VLOOKUP($F68,$F$24:$BZ$44,AX$2-$E$2,FALSE)*$D$11*$D$14*(1+$D$13)^($F68-'הנחות עבודה'!$C$5)/$D$11)</f>
        <v>94.163064195186067</v>
      </c>
      <c r="AY68" s="52">
        <f ca="1">IF($F68&gt;$D$5,0,VLOOKUP($F68,$F$24:$BZ$44,AY$2-$E$2,FALSE)*$D$11*$D$14*(1+$D$13)^($F68-'הנחות עבודה'!$C$5)/$D$11)</f>
        <v>0</v>
      </c>
      <c r="AZ68" s="52">
        <f ca="1">IF($F68&gt;$D$5,0,VLOOKUP($F68,$F$24:$BZ$44,AZ$2-$E$2,FALSE)*$D$11*$D$14*(1+$D$13)^($F68-'הנחות עבודה'!$C$5)/$D$11)</f>
        <v>0</v>
      </c>
      <c r="BA68" s="52">
        <f ca="1">IF($F68&gt;$D$5,0,VLOOKUP($F68,$F$24:$BZ$44,BA$2-$E$2,FALSE)*$D$11*$D$14*(1+$D$13)^($F68-'הנחות עבודה'!$C$5)/$D$11)</f>
        <v>0</v>
      </c>
      <c r="BB68" s="52">
        <f ca="1">IF($F68&gt;$D$5,0,VLOOKUP($F68,$F$24:$BZ$44,BB$2-$E$2,FALSE)*$D$11*$D$14*(1+$D$13)^($F68-'הנחות עבודה'!$C$5)/$D$11)</f>
        <v>0</v>
      </c>
      <c r="BC68" s="42">
        <f ca="1">IF($F68&gt;$D$5,0,VLOOKUP($F68,$F$24:$BZ$44,BC$2-$E$2,FALSE)*$D$11*$D$14*(1+$D$13)^($F68-'הנחות עבודה'!$C$5)/$D$11)</f>
        <v>0</v>
      </c>
      <c r="BD68" s="44">
        <f ca="1">IF($F68&gt;$D$5,0,VLOOKUP($F68,$F$24:$BZ$44,BD$2-$E$2,FALSE)*$D$11*$D$14*(1+$D$13)^($F68-'הנחות עבודה'!$C$5)/$D$11)</f>
        <v>0</v>
      </c>
      <c r="BE68" s="44">
        <f ca="1">IF($F68&gt;$D$5,0,VLOOKUP($F68,$F$24:$BZ$44,BE$2-$E$2,FALSE)*$D$11*$D$14*(1+$D$13)^($F68-'הנחות עבודה'!$C$5)/$D$11)</f>
        <v>0</v>
      </c>
      <c r="BF68" s="44">
        <f ca="1">IF($F68&gt;$D$5,0,VLOOKUP($F68,$F$24:$BZ$44,BF$2-$E$2,FALSE)*$D$11*$D$14*(1+$D$13)^($F68-'הנחות עבודה'!$C$5)/$D$11)</f>
        <v>0</v>
      </c>
      <c r="BG68" s="44">
        <f ca="1">IF($F68&gt;$D$5,0,VLOOKUP($F68,$F$24:$BZ$44,BG$2-$E$2,FALSE)*$D$11*$D$14*(1+$D$13)^($F68-'הנחות עבודה'!$C$5)/$D$11)</f>
        <v>0</v>
      </c>
      <c r="BH68" s="44">
        <f ca="1">IF($F68&gt;$D$5,0,VLOOKUP($F68,$F$24:$BZ$44,BH$2-$E$2,FALSE)*$D$11*$D$14*(1+$D$13)^($F68-'הנחות עבודה'!$C$5)/$D$11)</f>
        <v>0</v>
      </c>
      <c r="BI68" s="42">
        <f ca="1">IF($F68&gt;$D$5,0,VLOOKUP($F68,$F$24:$BZ$44,BI$2-$E$2,FALSE)*$D$11*$D$14*(1+$D$13)^($F68-'הנחות עבודה'!$C$5)/$D$11)</f>
        <v>19.203888966499363</v>
      </c>
      <c r="BJ68" s="42">
        <f ca="1">IF($F68&gt;$D$5,0,VLOOKUP($F68,$F$24:$BZ$44,BJ$2-$E$2,FALSE)*$D$11*$D$14*(1+$D$13)^($F68-'הנחות עבודה'!$C$5)/$D$11)</f>
        <v>88.293591006581167</v>
      </c>
      <c r="BK68" s="42">
        <f ca="1">IF($F68&gt;$D$5,0,VLOOKUP($F68,$F$24:$BZ$44,BK$2-$E$2,FALSE)*$D$11*$D$14*(1+$D$13)^($F68-'הנחות עבודה'!$C$5)/$D$11)</f>
        <v>0</v>
      </c>
      <c r="BL68" s="42">
        <f ca="1">IF($F68&gt;$D$5,0,VLOOKUP($F68,$F$24:$BZ$44,BL$2-$E$2,FALSE)*$D$11*$D$14*(1+$D$13)^($F68-'הנחות עבודה'!$C$5)/$D$11)</f>
        <v>0</v>
      </c>
      <c r="BM68" s="42">
        <f ca="1">IF($F68&gt;$D$5,0,VLOOKUP($F68,$F$24:$BZ$44,BM$2-$E$2,FALSE)*$D$11*$D$14*(1+$D$13)^($F68-'הנחות עבודה'!$C$5)/$D$11)</f>
        <v>0</v>
      </c>
      <c r="BN68" s="42">
        <f ca="1">IF($F68&gt;$D$5,0,VLOOKUP($F68,$F$24:$BZ$44,BN$2-$E$2,FALSE)*$D$11*$D$14*(1+$D$13)^($F68-'הנחות עבודה'!$C$5)/$D$11)</f>
        <v>0</v>
      </c>
      <c r="BO68" s="52">
        <f ca="1">IF($F68&gt;$D$5,0,VLOOKUP($F68,$F$24:$BZ$44,BO$2-$E$2,FALSE)*$D$11*$D$14*(1+$D$13)^($F68-'הנחות עבודה'!$C$5)/$D$11)</f>
        <v>0</v>
      </c>
      <c r="BP68" s="127">
        <f ca="1">IF($F68&gt;$D$5,0,VLOOKUP($F68,$F$24:$BZ$44,BP$2-$E$2,FALSE)*$D$11*$D$14*(1+$D$13)^($F68-'הנחות עבודה'!$C$5)/$D$11)</f>
        <v>0</v>
      </c>
      <c r="BQ68" s="127">
        <f ca="1">IF($F68&gt;$D$5,0,VLOOKUP($F68,$F$24:$BZ$44,BQ$2-$E$2,FALSE)*$D$11*$D$14*(1+$D$13)^($F68-'הנחות עבודה'!$C$5)/$D$11)</f>
        <v>0</v>
      </c>
      <c r="BR68" s="127">
        <f ca="1">IF($F68&gt;$D$5,0,VLOOKUP($F68,$F$24:$BZ$44,BR$2-$E$2,FALSE)*$D$11*$D$14*(1+$D$13)^($F68-'הנחות עבודה'!$C$5)/$D$11)</f>
        <v>0</v>
      </c>
      <c r="BS68" s="127">
        <f ca="1">IF($F68&gt;$D$5,0,VLOOKUP($F68,$F$24:$BZ$44,BS$2-$E$2,FALSE)*$D$11*$D$14*(1+$D$13)^($F68-'הנחות עבודה'!$C$5)/$D$11)</f>
        <v>0</v>
      </c>
      <c r="BT68" s="127">
        <f ca="1">IF($F68&gt;$D$5,0,VLOOKUP($F68,$F$24:$BZ$44,BT$2-$E$2,FALSE)*$D$11*$D$14*(1+$D$13)^($F68-'הנחות עבודה'!$C$5)/$D$11)</f>
        <v>0</v>
      </c>
      <c r="BU68" s="52">
        <f ca="1">IF($F68&gt;$D$5,0,VLOOKUP($F68,$F$24:$BZ$44,BU$2-$E$2,FALSE)*$D$11*$D$14*(1+$D$13)^($F68-'הנחות עבודה'!$C$5)/$D$11)</f>
        <v>19.203888966499363</v>
      </c>
      <c r="BV68" s="52">
        <f ca="1">IF($F68&gt;$D$5,0,VLOOKUP($F68,$F$24:$BZ$44,BV$2-$E$2,FALSE)*$D$11*$D$14*(1+$D$13)^($F68-'הנחות עבודה'!$C$5)/$D$11)</f>
        <v>88.293591006581167</v>
      </c>
      <c r="BW68" s="52">
        <f ca="1">IF($F68&gt;$D$5,0,VLOOKUP($F68,$F$24:$BZ$44,BW$2-$E$2,FALSE)*$D$11*$D$14*(1+$D$13)^($F68-'הנחות עבודה'!$C$5)/$D$11)</f>
        <v>0</v>
      </c>
      <c r="BX68" s="52">
        <f ca="1">IF($F68&gt;$D$5,0,VLOOKUP($F68,$F$24:$BZ$44,BX$2-$E$2,FALSE)*$D$11*$D$14*(1+$D$13)^($F68-'הנחות עבודה'!$C$5)/$D$11)</f>
        <v>0</v>
      </c>
      <c r="BY68" s="52">
        <f ca="1">IF($F68&gt;$D$5,0,VLOOKUP($F68,$F$24:$BZ$44,BY$2-$E$2,FALSE)*$D$11*$D$14*(1+$D$13)^($F68-'הנחות עבודה'!$C$5)/$D$11)</f>
        <v>0</v>
      </c>
      <c r="BZ68" s="52">
        <f ca="1">IF($F68&gt;$D$5,0,VLOOKUP($F68,$F$24:$BZ$44,BZ$2-$E$2,FALSE)*$D$11*$D$14*(1+$D$13)^($F68-'הנחות עבודה'!$C$5)/$D$11)</f>
        <v>0</v>
      </c>
    </row>
    <row r="69" spans="6:78" ht="15.75">
      <c r="F69" s="10">
        <f t="shared" si="123"/>
        <v>2038</v>
      </c>
      <c r="G69" s="42">
        <f ca="1">IF($F69&gt;$D$5,0,VLOOKUP($F69,$F$24:$BZ$44,G$2-$E$2,FALSE)*$D$11*$D$14*(1+$D$13)^($F69-'הנחות עבודה'!$C$5)/$D$11)</f>
        <v>0</v>
      </c>
      <c r="H69" s="44">
        <f ca="1">IF($F69&gt;$D$5,0,VLOOKUP($F69,$F$24:$BZ$44,H$2-$E$2,FALSE)*$D$11*$D$14*(1+$D$13)^($F69-'הנחות עבודה'!$C$5)/$D$11)</f>
        <v>0</v>
      </c>
      <c r="I69" s="44">
        <f ca="1">IF($F69&gt;$D$5,0,VLOOKUP($F69,$F$24:$BZ$44,I$2-$E$2,FALSE)*$D$11*$D$14*(1+$D$13)^($F69-'הנחות עבודה'!$C$5)/$D$11)</f>
        <v>0</v>
      </c>
      <c r="J69" s="44">
        <f ca="1">IF($F69&gt;$D$5,0,VLOOKUP($F69,$F$24:$BZ$44,J$2-$E$2,FALSE)*$D$11*$D$14*(1+$D$13)^($F69-'הנחות עבודה'!$C$5)/$D$11)</f>
        <v>0</v>
      </c>
      <c r="K69" s="44">
        <f ca="1">IF($F69&gt;$D$5,0,VLOOKUP($F69,$F$24:$BZ$44,K$2-$E$2,FALSE)*$D$11*$D$14*(1+$D$13)^($F69-'הנחות עבודה'!$C$5)/$D$11)</f>
        <v>0</v>
      </c>
      <c r="L69" s="44">
        <f ca="1">IF($F69&gt;$D$5,0,VLOOKUP($F69,$F$24:$BZ$44,L$2-$E$2,FALSE)*$D$11*$D$14*(1+$D$13)^($F69-'הנחות עבודה'!$C$5)/$D$11)</f>
        <v>0</v>
      </c>
      <c r="M69" s="42">
        <f ca="1">IF($F69&gt;$D$5,0,VLOOKUP($F69,$F$24:$BZ$44,M$2-$E$2,FALSE)*$D$11*$D$14*(1+$D$13)^($F69-'הנחות עבודה'!$C$5)/$D$11)</f>
        <v>18.821460346343684</v>
      </c>
      <c r="N69" s="42">
        <f ca="1">IF($F69&gt;$D$5,0,VLOOKUP($F69,$F$24:$BZ$44,N$2-$E$2,FALSE)*$D$11*$D$14*(1+$D$13)^($F69-'הנחות עבודה'!$C$5)/$D$11)</f>
        <v>111.41383364003042</v>
      </c>
      <c r="O69" s="42">
        <f ca="1">IF($F69&gt;$D$5,0,VLOOKUP($F69,$F$24:$BZ$44,O$2-$E$2,FALSE)*$D$11*$D$14*(1+$D$13)^($F69-'הנחות עבודה'!$C$5)/$D$11)</f>
        <v>0</v>
      </c>
      <c r="P69" s="42">
        <f ca="1">IF($F69&gt;$D$5,0,VLOOKUP($F69,$F$24:$BZ$44,P$2-$E$2,FALSE)*$D$11*$D$14*(1+$D$13)^($F69-'הנחות עבודה'!$C$5)/$D$11)</f>
        <v>0</v>
      </c>
      <c r="Q69" s="42">
        <f ca="1">IF($F69&gt;$D$5,0,VLOOKUP($F69,$F$24:$BZ$44,Q$2-$E$2,FALSE)*$D$11*$D$14*(1+$D$13)^($F69-'הנחות עבודה'!$C$5)/$D$11)</f>
        <v>0</v>
      </c>
      <c r="R69" s="42">
        <f ca="1">IF($F69&gt;$D$5,0,VLOOKUP($F69,$F$24:$BZ$44,R$2-$E$2,FALSE)*$D$11*$D$14*(1+$D$13)^($F69-'הנחות עבודה'!$C$5)/$D$11)</f>
        <v>0</v>
      </c>
      <c r="S69" s="52">
        <f ca="1">IF($F69&gt;$D$5,0,VLOOKUP($F69,$F$24:$BZ$44,S$2-$E$2,FALSE)*$D$11*$D$14*(1+$D$13)^($F69-'הנחות עבודה'!$C$5)/$D$11)</f>
        <v>0</v>
      </c>
      <c r="T69" s="127">
        <f ca="1">IF($F69&gt;$D$5,0,VLOOKUP($F69,$F$24:$BZ$44,T$2-$E$2,FALSE)*$D$11*$D$14*(1+$D$13)^($F69-'הנחות עבודה'!$C$5)/$D$11)</f>
        <v>0</v>
      </c>
      <c r="U69" s="127">
        <f ca="1">IF($F69&gt;$D$5,0,VLOOKUP($F69,$F$24:$BZ$44,U$2-$E$2,FALSE)*$D$11*$D$14*(1+$D$13)^($F69-'הנחות עבודה'!$C$5)/$D$11)</f>
        <v>0</v>
      </c>
      <c r="V69" s="127">
        <f ca="1">IF($F69&gt;$D$5,0,VLOOKUP($F69,$F$24:$BZ$44,V$2-$E$2,FALSE)*$D$11*$D$14*(1+$D$13)^($F69-'הנחות עבודה'!$C$5)/$D$11)</f>
        <v>0</v>
      </c>
      <c r="W69" s="127">
        <f ca="1">IF($F69&gt;$D$5,0,VLOOKUP($F69,$F$24:$BZ$44,W$2-$E$2,FALSE)*$D$11*$D$14*(1+$D$13)^($F69-'הנחות עבודה'!$C$5)/$D$11)</f>
        <v>0</v>
      </c>
      <c r="X69" s="127">
        <f ca="1">IF($F69&gt;$D$5,0,VLOOKUP($F69,$F$24:$BZ$44,X$2-$E$2,FALSE)*$D$11*$D$14*(1+$D$13)^($F69-'הנחות עבודה'!$C$5)/$D$11)</f>
        <v>0</v>
      </c>
      <c r="Y69" s="52">
        <f ca="1">IF($F69&gt;$D$5,0,VLOOKUP($F69,$F$24:$BZ$44,Y$2-$E$2,FALSE)*$D$11*$D$14*(1+$D$13)^($F69-'הנחות עבודה'!$C$5)/$D$11)</f>
        <v>18.821460346343684</v>
      </c>
      <c r="Z69" s="52">
        <f ca="1">IF($F69&gt;$D$5,0,VLOOKUP($F69,$F$24:$BZ$44,Z$2-$E$2,FALSE)*$D$11*$D$14*(1+$D$13)^($F69-'הנחות עבודה'!$C$5)/$D$11)</f>
        <v>111.41383364003042</v>
      </c>
      <c r="AA69" s="52">
        <f ca="1">IF($F69&gt;$D$5,0,VLOOKUP($F69,$F$24:$BZ$44,AA$2-$E$2,FALSE)*$D$11*$D$14*(1+$D$13)^($F69-'הנחות עבודה'!$C$5)/$D$11)</f>
        <v>0</v>
      </c>
      <c r="AB69" s="52">
        <f ca="1">IF($F69&gt;$D$5,0,VLOOKUP($F69,$F$24:$BZ$44,AB$2-$E$2,FALSE)*$D$11*$D$14*(1+$D$13)^($F69-'הנחות עבודה'!$C$5)/$D$11)</f>
        <v>0</v>
      </c>
      <c r="AC69" s="52">
        <f ca="1">IF($F69&gt;$D$5,0,VLOOKUP($F69,$F$24:$BZ$44,AC$2-$E$2,FALSE)*$D$11*$D$14*(1+$D$13)^($F69-'הנחות עבודה'!$C$5)/$D$11)</f>
        <v>0</v>
      </c>
      <c r="AD69" s="52">
        <f ca="1">IF($F69&gt;$D$5,0,VLOOKUP($F69,$F$24:$BZ$44,AD$2-$E$2,FALSE)*$D$11*$D$14*(1+$D$13)^($F69-'הנחות עבודה'!$C$5)/$D$11)</f>
        <v>0</v>
      </c>
      <c r="AE69" s="42">
        <f ca="1">IF($F69&gt;$D$5,0,VLOOKUP($F69,$F$24:$BZ$44,AE$2-$E$2,FALSE)*$D$11*$D$14*(1+$D$13)^($F69-'הנחות עבודה'!$C$5)/$D$11)</f>
        <v>0</v>
      </c>
      <c r="AF69" s="44">
        <f ca="1">IF($F69&gt;$D$5,0,VLOOKUP($F69,$F$24:$BZ$44,AF$2-$E$2,FALSE)*$D$11*$D$14*(1+$D$13)^($F69-'הנחות עבודה'!$C$5)/$D$11)</f>
        <v>0</v>
      </c>
      <c r="AG69" s="44">
        <f ca="1">IF($F69&gt;$D$5,0,VLOOKUP($F69,$F$24:$BZ$44,AG$2-$E$2,FALSE)*$D$11*$D$14*(1+$D$13)^($F69-'הנחות עבודה'!$C$5)/$D$11)</f>
        <v>0</v>
      </c>
      <c r="AH69" s="44">
        <f ca="1">IF($F69&gt;$D$5,0,VLOOKUP($F69,$F$24:$BZ$44,AH$2-$E$2,FALSE)*$D$11*$D$14*(1+$D$13)^($F69-'הנחות עבודה'!$C$5)/$D$11)</f>
        <v>0</v>
      </c>
      <c r="AI69" s="44">
        <f ca="1">IF($F69&gt;$D$5,0,VLOOKUP($F69,$F$24:$BZ$44,AI$2-$E$2,FALSE)*$D$11*$D$14*(1+$D$13)^($F69-'הנחות עבודה'!$C$5)/$D$11)</f>
        <v>0</v>
      </c>
      <c r="AJ69" s="44">
        <f ca="1">IF($F69&gt;$D$5,0,VLOOKUP($F69,$F$24:$BZ$44,AJ$2-$E$2,FALSE)*$D$11*$D$14*(1+$D$13)^($F69-'הנחות עבודה'!$C$5)/$D$11)</f>
        <v>0</v>
      </c>
      <c r="AK69" s="42">
        <f ca="1">IF($F69&gt;$D$5,0,VLOOKUP($F69,$F$24:$BZ$44,AK$2-$E$2,FALSE)*$D$11*$D$14*(1+$D$13)^($F69-'הנחות עבודה'!$C$5)/$D$11)</f>
        <v>19.678659744445589</v>
      </c>
      <c r="AL69" s="42">
        <f ca="1">IF($F69&gt;$D$5,0,VLOOKUP($F69,$F$24:$BZ$44,AL$2-$E$2,FALSE)*$D$11*$D$14*(1+$D$13)^($F69-'הנחות עבודה'!$C$5)/$D$11)</f>
        <v>101.52149648204097</v>
      </c>
      <c r="AM69" s="42">
        <f ca="1">IF($F69&gt;$D$5,0,VLOOKUP($F69,$F$24:$BZ$44,AM$2-$E$2,FALSE)*$D$11*$D$14*(1+$D$13)^($F69-'הנחות עבודה'!$C$5)/$D$11)</f>
        <v>0</v>
      </c>
      <c r="AN69" s="42">
        <f ca="1">IF($F69&gt;$D$5,0,VLOOKUP($F69,$F$24:$BZ$44,AN$2-$E$2,FALSE)*$D$11*$D$14*(1+$D$13)^($F69-'הנחות עבודה'!$C$5)/$D$11)</f>
        <v>0</v>
      </c>
      <c r="AO69" s="42">
        <f ca="1">IF($F69&gt;$D$5,0,VLOOKUP($F69,$F$24:$BZ$44,AO$2-$E$2,FALSE)*$D$11*$D$14*(1+$D$13)^($F69-'הנחות עבודה'!$C$5)/$D$11)</f>
        <v>0</v>
      </c>
      <c r="AP69" s="42">
        <f ca="1">IF($F69&gt;$D$5,0,VLOOKUP($F69,$F$24:$BZ$44,AP$2-$E$2,FALSE)*$D$11*$D$14*(1+$D$13)^($F69-'הנחות עבודה'!$C$5)/$D$11)</f>
        <v>0</v>
      </c>
      <c r="AQ69" s="52">
        <f ca="1">IF($F69&gt;$D$5,0,VLOOKUP($F69,$F$24:$BZ$44,AQ$2-$E$2,FALSE)*$D$11*$D$14*(1+$D$13)^($F69-'הנחות עבודה'!$C$5)/$D$11)</f>
        <v>0</v>
      </c>
      <c r="AR69" s="127">
        <f ca="1">IF($F69&gt;$D$5,0,VLOOKUP($F69,$F$24:$BZ$44,AR$2-$E$2,FALSE)*$D$11*$D$14*(1+$D$13)^($F69-'הנחות עבודה'!$C$5)/$D$11)</f>
        <v>0</v>
      </c>
      <c r="AS69" s="127">
        <f ca="1">IF($F69&gt;$D$5,0,VLOOKUP($F69,$F$24:$BZ$44,AS$2-$E$2,FALSE)*$D$11*$D$14*(1+$D$13)^($F69-'הנחות עבודה'!$C$5)/$D$11)</f>
        <v>0</v>
      </c>
      <c r="AT69" s="127">
        <f ca="1">IF($F69&gt;$D$5,0,VLOOKUP($F69,$F$24:$BZ$44,AT$2-$E$2,FALSE)*$D$11*$D$14*(1+$D$13)^($F69-'הנחות עבודה'!$C$5)/$D$11)</f>
        <v>0</v>
      </c>
      <c r="AU69" s="127">
        <f ca="1">IF($F69&gt;$D$5,0,VLOOKUP($F69,$F$24:$BZ$44,AU$2-$E$2,FALSE)*$D$11*$D$14*(1+$D$13)^($F69-'הנחות עבודה'!$C$5)/$D$11)</f>
        <v>0</v>
      </c>
      <c r="AV69" s="127">
        <f ca="1">IF($F69&gt;$D$5,0,VLOOKUP($F69,$F$24:$BZ$44,AV$2-$E$2,FALSE)*$D$11*$D$14*(1+$D$13)^($F69-'הנחות עבודה'!$C$5)/$D$11)</f>
        <v>0</v>
      </c>
      <c r="AW69" s="52">
        <f ca="1">IF($F69&gt;$D$5,0,VLOOKUP($F69,$F$24:$BZ$44,AW$2-$E$2,FALSE)*$D$11*$D$14*(1+$D$13)^($F69-'הנחות עבודה'!$C$5)/$D$11)</f>
        <v>19.678659744445589</v>
      </c>
      <c r="AX69" s="52">
        <f ca="1">IF($F69&gt;$D$5,0,VLOOKUP($F69,$F$24:$BZ$44,AX$2-$E$2,FALSE)*$D$11*$D$14*(1+$D$13)^($F69-'הנחות עבודה'!$C$5)/$D$11)</f>
        <v>101.52149648204097</v>
      </c>
      <c r="AY69" s="52">
        <f ca="1">IF($F69&gt;$D$5,0,VLOOKUP($F69,$F$24:$BZ$44,AY$2-$E$2,FALSE)*$D$11*$D$14*(1+$D$13)^($F69-'הנחות עבודה'!$C$5)/$D$11)</f>
        <v>0</v>
      </c>
      <c r="AZ69" s="52">
        <f ca="1">IF($F69&gt;$D$5,0,VLOOKUP($F69,$F$24:$BZ$44,AZ$2-$E$2,FALSE)*$D$11*$D$14*(1+$D$13)^($F69-'הנחות עבודה'!$C$5)/$D$11)</f>
        <v>0</v>
      </c>
      <c r="BA69" s="52">
        <f ca="1">IF($F69&gt;$D$5,0,VLOOKUP($F69,$F$24:$BZ$44,BA$2-$E$2,FALSE)*$D$11*$D$14*(1+$D$13)^($F69-'הנחות עבודה'!$C$5)/$D$11)</f>
        <v>0</v>
      </c>
      <c r="BB69" s="52">
        <f ca="1">IF($F69&gt;$D$5,0,VLOOKUP($F69,$F$24:$BZ$44,BB$2-$E$2,FALSE)*$D$11*$D$14*(1+$D$13)^($F69-'הנחות עבודה'!$C$5)/$D$11)</f>
        <v>0</v>
      </c>
      <c r="BC69" s="42">
        <f ca="1">IF($F69&gt;$D$5,0,VLOOKUP($F69,$F$24:$BZ$44,BC$2-$E$2,FALSE)*$D$11*$D$14*(1+$D$13)^($F69-'הנחות עבודה'!$C$5)/$D$11)</f>
        <v>0</v>
      </c>
      <c r="BD69" s="44">
        <f ca="1">IF($F69&gt;$D$5,0,VLOOKUP($F69,$F$24:$BZ$44,BD$2-$E$2,FALSE)*$D$11*$D$14*(1+$D$13)^($F69-'הנחות עבודה'!$C$5)/$D$11)</f>
        <v>0</v>
      </c>
      <c r="BE69" s="44">
        <f ca="1">IF($F69&gt;$D$5,0,VLOOKUP($F69,$F$24:$BZ$44,BE$2-$E$2,FALSE)*$D$11*$D$14*(1+$D$13)^($F69-'הנחות עבודה'!$C$5)/$D$11)</f>
        <v>0</v>
      </c>
      <c r="BF69" s="44">
        <f ca="1">IF($F69&gt;$D$5,0,VLOOKUP($F69,$F$24:$BZ$44,BF$2-$E$2,FALSE)*$D$11*$D$14*(1+$D$13)^($F69-'הנחות עבודה'!$C$5)/$D$11)</f>
        <v>0</v>
      </c>
      <c r="BG69" s="44">
        <f ca="1">IF($F69&gt;$D$5,0,VLOOKUP($F69,$F$24:$BZ$44,BG$2-$E$2,FALSE)*$D$11*$D$14*(1+$D$13)^($F69-'הנחות עבודה'!$C$5)/$D$11)</f>
        <v>0</v>
      </c>
      <c r="BH69" s="44">
        <f ca="1">IF($F69&gt;$D$5,0,VLOOKUP($F69,$F$24:$BZ$44,BH$2-$E$2,FALSE)*$D$11*$D$14*(1+$D$13)^($F69-'הנחות עבודה'!$C$5)/$D$11)</f>
        <v>0</v>
      </c>
      <c r="BI69" s="42">
        <f ca="1">IF($F69&gt;$D$5,0,VLOOKUP($F69,$F$24:$BZ$44,BI$2-$E$2,FALSE)*$D$11*$D$14*(1+$D$13)^($F69-'הנחות עבודה'!$C$5)/$D$11)</f>
        <v>20.139022003598978</v>
      </c>
      <c r="BJ69" s="42">
        <f ca="1">IF($F69&gt;$D$5,0,VLOOKUP($F69,$F$24:$BZ$44,BJ$2-$E$2,FALSE)*$D$11*$D$14*(1+$D$13)^($F69-'הנחות עבודה'!$C$5)/$D$11)</f>
        <v>95.423767048080762</v>
      </c>
      <c r="BK69" s="42">
        <f ca="1">IF($F69&gt;$D$5,0,VLOOKUP($F69,$F$24:$BZ$44,BK$2-$E$2,FALSE)*$D$11*$D$14*(1+$D$13)^($F69-'הנחות עבודה'!$C$5)/$D$11)</f>
        <v>0</v>
      </c>
      <c r="BL69" s="42">
        <f ca="1">IF($F69&gt;$D$5,0,VLOOKUP($F69,$F$24:$BZ$44,BL$2-$E$2,FALSE)*$D$11*$D$14*(1+$D$13)^($F69-'הנחות עבודה'!$C$5)/$D$11)</f>
        <v>0</v>
      </c>
      <c r="BM69" s="42">
        <f ca="1">IF($F69&gt;$D$5,0,VLOOKUP($F69,$F$24:$BZ$44,BM$2-$E$2,FALSE)*$D$11*$D$14*(1+$D$13)^($F69-'הנחות עבודה'!$C$5)/$D$11)</f>
        <v>0</v>
      </c>
      <c r="BN69" s="42">
        <f ca="1">IF($F69&gt;$D$5,0,VLOOKUP($F69,$F$24:$BZ$44,BN$2-$E$2,FALSE)*$D$11*$D$14*(1+$D$13)^($F69-'הנחות עבודה'!$C$5)/$D$11)</f>
        <v>0</v>
      </c>
      <c r="BO69" s="52">
        <f ca="1">IF($F69&gt;$D$5,0,VLOOKUP($F69,$F$24:$BZ$44,BO$2-$E$2,FALSE)*$D$11*$D$14*(1+$D$13)^($F69-'הנחות עבודה'!$C$5)/$D$11)</f>
        <v>0</v>
      </c>
      <c r="BP69" s="127">
        <f ca="1">IF($F69&gt;$D$5,0,VLOOKUP($F69,$F$24:$BZ$44,BP$2-$E$2,FALSE)*$D$11*$D$14*(1+$D$13)^($F69-'הנחות עבודה'!$C$5)/$D$11)</f>
        <v>0</v>
      </c>
      <c r="BQ69" s="127">
        <f ca="1">IF($F69&gt;$D$5,0,VLOOKUP($F69,$F$24:$BZ$44,BQ$2-$E$2,FALSE)*$D$11*$D$14*(1+$D$13)^($F69-'הנחות עבודה'!$C$5)/$D$11)</f>
        <v>0</v>
      </c>
      <c r="BR69" s="127">
        <f ca="1">IF($F69&gt;$D$5,0,VLOOKUP($F69,$F$24:$BZ$44,BR$2-$E$2,FALSE)*$D$11*$D$14*(1+$D$13)^($F69-'הנחות עבודה'!$C$5)/$D$11)</f>
        <v>0</v>
      </c>
      <c r="BS69" s="127">
        <f ca="1">IF($F69&gt;$D$5,0,VLOOKUP($F69,$F$24:$BZ$44,BS$2-$E$2,FALSE)*$D$11*$D$14*(1+$D$13)^($F69-'הנחות עבודה'!$C$5)/$D$11)</f>
        <v>0</v>
      </c>
      <c r="BT69" s="127">
        <f ca="1">IF($F69&gt;$D$5,0,VLOOKUP($F69,$F$24:$BZ$44,BT$2-$E$2,FALSE)*$D$11*$D$14*(1+$D$13)^($F69-'הנחות עבודה'!$C$5)/$D$11)</f>
        <v>0</v>
      </c>
      <c r="BU69" s="52">
        <f ca="1">IF($F69&gt;$D$5,0,VLOOKUP($F69,$F$24:$BZ$44,BU$2-$E$2,FALSE)*$D$11*$D$14*(1+$D$13)^($F69-'הנחות עבודה'!$C$5)/$D$11)</f>
        <v>20.139022003598978</v>
      </c>
      <c r="BV69" s="52">
        <f ca="1">IF($F69&gt;$D$5,0,VLOOKUP($F69,$F$24:$BZ$44,BV$2-$E$2,FALSE)*$D$11*$D$14*(1+$D$13)^($F69-'הנחות עבודה'!$C$5)/$D$11)</f>
        <v>95.423767048080762</v>
      </c>
      <c r="BW69" s="52">
        <f ca="1">IF($F69&gt;$D$5,0,VLOOKUP($F69,$F$24:$BZ$44,BW$2-$E$2,FALSE)*$D$11*$D$14*(1+$D$13)^($F69-'הנחות עבודה'!$C$5)/$D$11)</f>
        <v>0</v>
      </c>
      <c r="BX69" s="52">
        <f ca="1">IF($F69&gt;$D$5,0,VLOOKUP($F69,$F$24:$BZ$44,BX$2-$E$2,FALSE)*$D$11*$D$14*(1+$D$13)^($F69-'הנחות עבודה'!$C$5)/$D$11)</f>
        <v>0</v>
      </c>
      <c r="BY69" s="52">
        <f ca="1">IF($F69&gt;$D$5,0,VLOOKUP($F69,$F$24:$BZ$44,BY$2-$E$2,FALSE)*$D$11*$D$14*(1+$D$13)^($F69-'הנחות עבודה'!$C$5)/$D$11)</f>
        <v>0</v>
      </c>
      <c r="BZ69" s="52">
        <f ca="1">IF($F69&gt;$D$5,0,VLOOKUP($F69,$F$24:$BZ$44,BZ$2-$E$2,FALSE)*$D$11*$D$14*(1+$D$13)^($F69-'הנחות עבודה'!$C$5)/$D$11)</f>
        <v>0</v>
      </c>
    </row>
    <row r="70" spans="6:78" ht="15.75">
      <c r="F70" s="10">
        <f t="shared" si="123"/>
        <v>2039</v>
      </c>
      <c r="G70" s="42">
        <f ca="1">IF($F70&gt;$D$5,0,VLOOKUP($F70,$F$24:$BZ$44,G$2-$E$2,FALSE)*$D$11*$D$14*(1+$D$13)^($F70-'הנחות עבודה'!$C$5)/$D$11)</f>
        <v>0</v>
      </c>
      <c r="H70" s="44">
        <f ca="1">IF($F70&gt;$D$5,0,VLOOKUP($F70,$F$24:$BZ$44,H$2-$E$2,FALSE)*$D$11*$D$14*(1+$D$13)^($F70-'הנחות עבודה'!$C$5)/$D$11)</f>
        <v>0</v>
      </c>
      <c r="I70" s="44">
        <f ca="1">IF($F70&gt;$D$5,0,VLOOKUP($F70,$F$24:$BZ$44,I$2-$E$2,FALSE)*$D$11*$D$14*(1+$D$13)^($F70-'הנחות עבודה'!$C$5)/$D$11)</f>
        <v>0</v>
      </c>
      <c r="J70" s="44">
        <f ca="1">IF($F70&gt;$D$5,0,VLOOKUP($F70,$F$24:$BZ$44,J$2-$E$2,FALSE)*$D$11*$D$14*(1+$D$13)^($F70-'הנחות עבודה'!$C$5)/$D$11)</f>
        <v>0</v>
      </c>
      <c r="K70" s="44">
        <f ca="1">IF($F70&gt;$D$5,0,VLOOKUP($F70,$F$24:$BZ$44,K$2-$E$2,FALSE)*$D$11*$D$14*(1+$D$13)^($F70-'הנחות עבודה'!$C$5)/$D$11)</f>
        <v>0</v>
      </c>
      <c r="L70" s="44">
        <f ca="1">IF($F70&gt;$D$5,0,VLOOKUP($F70,$F$24:$BZ$44,L$2-$E$2,FALSE)*$D$11*$D$14*(1+$D$13)^($F70-'הנחות עבודה'!$C$5)/$D$11)</f>
        <v>0</v>
      </c>
      <c r="M70" s="42">
        <f ca="1">IF($F70&gt;$D$5,0,VLOOKUP($F70,$F$24:$BZ$44,M$2-$E$2,FALSE)*$D$11*$D$14*(1+$D$13)^($F70-'הנחות עבודה'!$C$5)/$D$11)</f>
        <v>19.618064124862169</v>
      </c>
      <c r="N70" s="42">
        <f ca="1">IF($F70&gt;$D$5,0,VLOOKUP($F70,$F$24:$BZ$44,N$2-$E$2,FALSE)*$D$11*$D$14*(1+$D$13)^($F70-'הנחות עבודה'!$C$5)/$D$11)</f>
        <v>119.60733731780837</v>
      </c>
      <c r="O70" s="42">
        <f ca="1">IF($F70&gt;$D$5,0,VLOOKUP($F70,$F$24:$BZ$44,O$2-$E$2,FALSE)*$D$11*$D$14*(1+$D$13)^($F70-'הנחות עבודה'!$C$5)/$D$11)</f>
        <v>0</v>
      </c>
      <c r="P70" s="42">
        <f ca="1">IF($F70&gt;$D$5,0,VLOOKUP($F70,$F$24:$BZ$44,P$2-$E$2,FALSE)*$D$11*$D$14*(1+$D$13)^($F70-'הנחות עבודה'!$C$5)/$D$11)</f>
        <v>0</v>
      </c>
      <c r="Q70" s="42">
        <f ca="1">IF($F70&gt;$D$5,0,VLOOKUP($F70,$F$24:$BZ$44,Q$2-$E$2,FALSE)*$D$11*$D$14*(1+$D$13)^($F70-'הנחות עבודה'!$C$5)/$D$11)</f>
        <v>0</v>
      </c>
      <c r="R70" s="42">
        <f ca="1">IF($F70&gt;$D$5,0,VLOOKUP($F70,$F$24:$BZ$44,R$2-$E$2,FALSE)*$D$11*$D$14*(1+$D$13)^($F70-'הנחות עבודה'!$C$5)/$D$11)</f>
        <v>0</v>
      </c>
      <c r="S70" s="52">
        <f ca="1">IF($F70&gt;$D$5,0,VLOOKUP($F70,$F$24:$BZ$44,S$2-$E$2,FALSE)*$D$11*$D$14*(1+$D$13)^($F70-'הנחות עבודה'!$C$5)/$D$11)</f>
        <v>0</v>
      </c>
      <c r="T70" s="127">
        <f ca="1">IF($F70&gt;$D$5,0,VLOOKUP($F70,$F$24:$BZ$44,T$2-$E$2,FALSE)*$D$11*$D$14*(1+$D$13)^($F70-'הנחות עבודה'!$C$5)/$D$11)</f>
        <v>0</v>
      </c>
      <c r="U70" s="127">
        <f ca="1">IF($F70&gt;$D$5,0,VLOOKUP($F70,$F$24:$BZ$44,U$2-$E$2,FALSE)*$D$11*$D$14*(1+$D$13)^($F70-'הנחות עבודה'!$C$5)/$D$11)</f>
        <v>0</v>
      </c>
      <c r="V70" s="127">
        <f ca="1">IF($F70&gt;$D$5,0,VLOOKUP($F70,$F$24:$BZ$44,V$2-$E$2,FALSE)*$D$11*$D$14*(1+$D$13)^($F70-'הנחות עבודה'!$C$5)/$D$11)</f>
        <v>0</v>
      </c>
      <c r="W70" s="127">
        <f ca="1">IF($F70&gt;$D$5,0,VLOOKUP($F70,$F$24:$BZ$44,W$2-$E$2,FALSE)*$D$11*$D$14*(1+$D$13)^($F70-'הנחות עבודה'!$C$5)/$D$11)</f>
        <v>0</v>
      </c>
      <c r="X70" s="127">
        <f ca="1">IF($F70&gt;$D$5,0,VLOOKUP($F70,$F$24:$BZ$44,X$2-$E$2,FALSE)*$D$11*$D$14*(1+$D$13)^($F70-'הנחות עבודה'!$C$5)/$D$11)</f>
        <v>0</v>
      </c>
      <c r="Y70" s="52">
        <f ca="1">IF($F70&gt;$D$5,0,VLOOKUP($F70,$F$24:$BZ$44,Y$2-$E$2,FALSE)*$D$11*$D$14*(1+$D$13)^($F70-'הנחות עבודה'!$C$5)/$D$11)</f>
        <v>19.618064124862169</v>
      </c>
      <c r="Z70" s="52">
        <f ca="1">IF($F70&gt;$D$5,0,VLOOKUP($F70,$F$24:$BZ$44,Z$2-$E$2,FALSE)*$D$11*$D$14*(1+$D$13)^($F70-'הנחות עבודה'!$C$5)/$D$11)</f>
        <v>119.60733731780837</v>
      </c>
      <c r="AA70" s="52">
        <f ca="1">IF($F70&gt;$D$5,0,VLOOKUP($F70,$F$24:$BZ$44,AA$2-$E$2,FALSE)*$D$11*$D$14*(1+$D$13)^($F70-'הנחות עבודה'!$C$5)/$D$11)</f>
        <v>0</v>
      </c>
      <c r="AB70" s="52">
        <f ca="1">IF($F70&gt;$D$5,0,VLOOKUP($F70,$F$24:$BZ$44,AB$2-$E$2,FALSE)*$D$11*$D$14*(1+$D$13)^($F70-'הנחות עבודה'!$C$5)/$D$11)</f>
        <v>0</v>
      </c>
      <c r="AC70" s="52">
        <f ca="1">IF($F70&gt;$D$5,0,VLOOKUP($F70,$F$24:$BZ$44,AC$2-$E$2,FALSE)*$D$11*$D$14*(1+$D$13)^($F70-'הנחות עבודה'!$C$5)/$D$11)</f>
        <v>0</v>
      </c>
      <c r="AD70" s="52">
        <f ca="1">IF($F70&gt;$D$5,0,VLOOKUP($F70,$F$24:$BZ$44,AD$2-$E$2,FALSE)*$D$11*$D$14*(1+$D$13)^($F70-'הנחות עבודה'!$C$5)/$D$11)</f>
        <v>0</v>
      </c>
      <c r="AE70" s="42">
        <f ca="1">IF($F70&gt;$D$5,0,VLOOKUP($F70,$F$24:$BZ$44,AE$2-$E$2,FALSE)*$D$11*$D$14*(1+$D$13)^($F70-'הנחות עבודה'!$C$5)/$D$11)</f>
        <v>0</v>
      </c>
      <c r="AF70" s="44">
        <f ca="1">IF($F70&gt;$D$5,0,VLOOKUP($F70,$F$24:$BZ$44,AF$2-$E$2,FALSE)*$D$11*$D$14*(1+$D$13)^($F70-'הנחות עבודה'!$C$5)/$D$11)</f>
        <v>0</v>
      </c>
      <c r="AG70" s="44">
        <f ca="1">IF($F70&gt;$D$5,0,VLOOKUP($F70,$F$24:$BZ$44,AG$2-$E$2,FALSE)*$D$11*$D$14*(1+$D$13)^($F70-'הנחות עבודה'!$C$5)/$D$11)</f>
        <v>0</v>
      </c>
      <c r="AH70" s="44">
        <f ca="1">IF($F70&gt;$D$5,0,VLOOKUP($F70,$F$24:$BZ$44,AH$2-$E$2,FALSE)*$D$11*$D$14*(1+$D$13)^($F70-'הנחות עבודה'!$C$5)/$D$11)</f>
        <v>0</v>
      </c>
      <c r="AI70" s="44">
        <f ca="1">IF($F70&gt;$D$5,0,VLOOKUP($F70,$F$24:$BZ$44,AI$2-$E$2,FALSE)*$D$11*$D$14*(1+$D$13)^($F70-'הנחות עבודה'!$C$5)/$D$11)</f>
        <v>0</v>
      </c>
      <c r="AJ70" s="44">
        <f ca="1">IF($F70&gt;$D$5,0,VLOOKUP($F70,$F$24:$BZ$44,AJ$2-$E$2,FALSE)*$D$11*$D$14*(1+$D$13)^($F70-'הנחות עבודה'!$C$5)/$D$11)</f>
        <v>0</v>
      </c>
      <c r="AK70" s="42">
        <f ca="1">IF($F70&gt;$D$5,0,VLOOKUP($F70,$F$24:$BZ$44,AK$2-$E$2,FALSE)*$D$11*$D$14*(1+$D$13)^($F70-'הנחות עבודה'!$C$5)/$D$11)</f>
        <v>20.304692722036702</v>
      </c>
      <c r="AL70" s="42">
        <f ca="1">IF($F70&gt;$D$5,0,VLOOKUP($F70,$F$24:$BZ$44,AL$2-$E$2,FALSE)*$D$11*$D$14*(1+$D$13)^($F70-'הנחות עבודה'!$C$5)/$D$11)</f>
        <v>109.64307912278329</v>
      </c>
      <c r="AM70" s="42">
        <f ca="1">IF($F70&gt;$D$5,0,VLOOKUP($F70,$F$24:$BZ$44,AM$2-$E$2,FALSE)*$D$11*$D$14*(1+$D$13)^($F70-'הנחות עבודה'!$C$5)/$D$11)</f>
        <v>0</v>
      </c>
      <c r="AN70" s="42">
        <f ca="1">IF($F70&gt;$D$5,0,VLOOKUP($F70,$F$24:$BZ$44,AN$2-$E$2,FALSE)*$D$11*$D$14*(1+$D$13)^($F70-'הנחות עבודה'!$C$5)/$D$11)</f>
        <v>0</v>
      </c>
      <c r="AO70" s="42">
        <f ca="1">IF($F70&gt;$D$5,0,VLOOKUP($F70,$F$24:$BZ$44,AO$2-$E$2,FALSE)*$D$11*$D$14*(1+$D$13)^($F70-'הנחות עבודה'!$C$5)/$D$11)</f>
        <v>0</v>
      </c>
      <c r="AP70" s="42">
        <f ca="1">IF($F70&gt;$D$5,0,VLOOKUP($F70,$F$24:$BZ$44,AP$2-$E$2,FALSE)*$D$11*$D$14*(1+$D$13)^($F70-'הנחות עבודה'!$C$5)/$D$11)</f>
        <v>0</v>
      </c>
      <c r="AQ70" s="52">
        <f ca="1">IF($F70&gt;$D$5,0,VLOOKUP($F70,$F$24:$BZ$44,AQ$2-$E$2,FALSE)*$D$11*$D$14*(1+$D$13)^($F70-'הנחות עבודה'!$C$5)/$D$11)</f>
        <v>0</v>
      </c>
      <c r="AR70" s="127">
        <f ca="1">IF($F70&gt;$D$5,0,VLOOKUP($F70,$F$24:$BZ$44,AR$2-$E$2,FALSE)*$D$11*$D$14*(1+$D$13)^($F70-'הנחות עבודה'!$C$5)/$D$11)</f>
        <v>0</v>
      </c>
      <c r="AS70" s="127">
        <f ca="1">IF($F70&gt;$D$5,0,VLOOKUP($F70,$F$24:$BZ$44,AS$2-$E$2,FALSE)*$D$11*$D$14*(1+$D$13)^($F70-'הנחות עבודה'!$C$5)/$D$11)</f>
        <v>0</v>
      </c>
      <c r="AT70" s="127">
        <f ca="1">IF($F70&gt;$D$5,0,VLOOKUP($F70,$F$24:$BZ$44,AT$2-$E$2,FALSE)*$D$11*$D$14*(1+$D$13)^($F70-'הנחות עבודה'!$C$5)/$D$11)</f>
        <v>0</v>
      </c>
      <c r="AU70" s="127">
        <f ca="1">IF($F70&gt;$D$5,0,VLOOKUP($F70,$F$24:$BZ$44,AU$2-$E$2,FALSE)*$D$11*$D$14*(1+$D$13)^($F70-'הנחות עבודה'!$C$5)/$D$11)</f>
        <v>0</v>
      </c>
      <c r="AV70" s="127">
        <f ca="1">IF($F70&gt;$D$5,0,VLOOKUP($F70,$F$24:$BZ$44,AV$2-$E$2,FALSE)*$D$11*$D$14*(1+$D$13)^($F70-'הנחות עבודה'!$C$5)/$D$11)</f>
        <v>0</v>
      </c>
      <c r="AW70" s="52">
        <f ca="1">IF($F70&gt;$D$5,0,VLOOKUP($F70,$F$24:$BZ$44,AW$2-$E$2,FALSE)*$D$11*$D$14*(1+$D$13)^($F70-'הנחות עבודה'!$C$5)/$D$11)</f>
        <v>20.304692722036702</v>
      </c>
      <c r="AX70" s="52">
        <f ca="1">IF($F70&gt;$D$5,0,VLOOKUP($F70,$F$24:$BZ$44,AX$2-$E$2,FALSE)*$D$11*$D$14*(1+$D$13)^($F70-'הנחות עבודה'!$C$5)/$D$11)</f>
        <v>109.64307912278329</v>
      </c>
      <c r="AY70" s="52">
        <f ca="1">IF($F70&gt;$D$5,0,VLOOKUP($F70,$F$24:$BZ$44,AY$2-$E$2,FALSE)*$D$11*$D$14*(1+$D$13)^($F70-'הנחות עבודה'!$C$5)/$D$11)</f>
        <v>0</v>
      </c>
      <c r="AZ70" s="52">
        <f ca="1">IF($F70&gt;$D$5,0,VLOOKUP($F70,$F$24:$BZ$44,AZ$2-$E$2,FALSE)*$D$11*$D$14*(1+$D$13)^($F70-'הנחות עבודה'!$C$5)/$D$11)</f>
        <v>0</v>
      </c>
      <c r="BA70" s="52">
        <f ca="1">IF($F70&gt;$D$5,0,VLOOKUP($F70,$F$24:$BZ$44,BA$2-$E$2,FALSE)*$D$11*$D$14*(1+$D$13)^($F70-'הנחות עבודה'!$C$5)/$D$11)</f>
        <v>0</v>
      </c>
      <c r="BB70" s="52">
        <f ca="1">IF($F70&gt;$D$5,0,VLOOKUP($F70,$F$24:$BZ$44,BB$2-$E$2,FALSE)*$D$11*$D$14*(1+$D$13)^($F70-'הנחות עבודה'!$C$5)/$D$11)</f>
        <v>0</v>
      </c>
      <c r="BC70" s="42">
        <f ca="1">IF($F70&gt;$D$5,0,VLOOKUP($F70,$F$24:$BZ$44,BC$2-$E$2,FALSE)*$D$11*$D$14*(1+$D$13)^($F70-'הנחות עבודה'!$C$5)/$D$11)</f>
        <v>0</v>
      </c>
      <c r="BD70" s="44">
        <f ca="1">IF($F70&gt;$D$5,0,VLOOKUP($F70,$F$24:$BZ$44,BD$2-$E$2,FALSE)*$D$11*$D$14*(1+$D$13)^($F70-'הנחות עבודה'!$C$5)/$D$11)</f>
        <v>0</v>
      </c>
      <c r="BE70" s="44">
        <f ca="1">IF($F70&gt;$D$5,0,VLOOKUP($F70,$F$24:$BZ$44,BE$2-$E$2,FALSE)*$D$11*$D$14*(1+$D$13)^($F70-'הנחות עבודה'!$C$5)/$D$11)</f>
        <v>0</v>
      </c>
      <c r="BF70" s="44">
        <f ca="1">IF($F70&gt;$D$5,0,VLOOKUP($F70,$F$24:$BZ$44,BF$2-$E$2,FALSE)*$D$11*$D$14*(1+$D$13)^($F70-'הנחות עבודה'!$C$5)/$D$11)</f>
        <v>0</v>
      </c>
      <c r="BG70" s="44">
        <f ca="1">IF($F70&gt;$D$5,0,VLOOKUP($F70,$F$24:$BZ$44,BG$2-$E$2,FALSE)*$D$11*$D$14*(1+$D$13)^($F70-'הנחות עבודה'!$C$5)/$D$11)</f>
        <v>0</v>
      </c>
      <c r="BH70" s="44">
        <f ca="1">IF($F70&gt;$D$5,0,VLOOKUP($F70,$F$24:$BZ$44,BH$2-$E$2,FALSE)*$D$11*$D$14*(1+$D$13)^($F70-'הנחות עבודה'!$C$5)/$D$11)</f>
        <v>0</v>
      </c>
      <c r="BI70" s="42">
        <f ca="1">IF($F70&gt;$D$5,0,VLOOKUP($F70,$F$24:$BZ$44,BI$2-$E$2,FALSE)*$D$11*$D$14*(1+$D$13)^($F70-'הנחות עבודה'!$C$5)/$D$11)</f>
        <v>20.877050906838029</v>
      </c>
      <c r="BJ70" s="42">
        <f ca="1">IF($F70&gt;$D$5,0,VLOOKUP($F70,$F$24:$BZ$44,BJ$2-$E$2,FALSE)*$D$11*$D$14*(1+$D$13)^($F70-'הנחות עבודה'!$C$5)/$D$11)</f>
        <v>103.28871543200043</v>
      </c>
      <c r="BK70" s="42">
        <f ca="1">IF($F70&gt;$D$5,0,VLOOKUP($F70,$F$24:$BZ$44,BK$2-$E$2,FALSE)*$D$11*$D$14*(1+$D$13)^($F70-'הנחות עבודה'!$C$5)/$D$11)</f>
        <v>0</v>
      </c>
      <c r="BL70" s="42">
        <f ca="1">IF($F70&gt;$D$5,0,VLOOKUP($F70,$F$24:$BZ$44,BL$2-$E$2,FALSE)*$D$11*$D$14*(1+$D$13)^($F70-'הנחות עבודה'!$C$5)/$D$11)</f>
        <v>0</v>
      </c>
      <c r="BM70" s="42">
        <f ca="1">IF($F70&gt;$D$5,0,VLOOKUP($F70,$F$24:$BZ$44,BM$2-$E$2,FALSE)*$D$11*$D$14*(1+$D$13)^($F70-'הנחות עבודה'!$C$5)/$D$11)</f>
        <v>0</v>
      </c>
      <c r="BN70" s="42">
        <f ca="1">IF($F70&gt;$D$5,0,VLOOKUP($F70,$F$24:$BZ$44,BN$2-$E$2,FALSE)*$D$11*$D$14*(1+$D$13)^($F70-'הנחות עבודה'!$C$5)/$D$11)</f>
        <v>0</v>
      </c>
      <c r="BO70" s="52">
        <f ca="1">IF($F70&gt;$D$5,0,VLOOKUP($F70,$F$24:$BZ$44,BO$2-$E$2,FALSE)*$D$11*$D$14*(1+$D$13)^($F70-'הנחות עבודה'!$C$5)/$D$11)</f>
        <v>0</v>
      </c>
      <c r="BP70" s="127">
        <f ca="1">IF($F70&gt;$D$5,0,VLOOKUP($F70,$F$24:$BZ$44,BP$2-$E$2,FALSE)*$D$11*$D$14*(1+$D$13)^($F70-'הנחות עבודה'!$C$5)/$D$11)</f>
        <v>0</v>
      </c>
      <c r="BQ70" s="127">
        <f ca="1">IF($F70&gt;$D$5,0,VLOOKUP($F70,$F$24:$BZ$44,BQ$2-$E$2,FALSE)*$D$11*$D$14*(1+$D$13)^($F70-'הנחות עבודה'!$C$5)/$D$11)</f>
        <v>0</v>
      </c>
      <c r="BR70" s="127">
        <f ca="1">IF($F70&gt;$D$5,0,VLOOKUP($F70,$F$24:$BZ$44,BR$2-$E$2,FALSE)*$D$11*$D$14*(1+$D$13)^($F70-'הנחות עבודה'!$C$5)/$D$11)</f>
        <v>0</v>
      </c>
      <c r="BS70" s="127">
        <f ca="1">IF($F70&gt;$D$5,0,VLOOKUP($F70,$F$24:$BZ$44,BS$2-$E$2,FALSE)*$D$11*$D$14*(1+$D$13)^($F70-'הנחות עבודה'!$C$5)/$D$11)</f>
        <v>0</v>
      </c>
      <c r="BT70" s="127">
        <f ca="1">IF($F70&gt;$D$5,0,VLOOKUP($F70,$F$24:$BZ$44,BT$2-$E$2,FALSE)*$D$11*$D$14*(1+$D$13)^($F70-'הנחות עבודה'!$C$5)/$D$11)</f>
        <v>0</v>
      </c>
      <c r="BU70" s="52">
        <f ca="1">IF($F70&gt;$D$5,0,VLOOKUP($F70,$F$24:$BZ$44,BU$2-$E$2,FALSE)*$D$11*$D$14*(1+$D$13)^($F70-'הנחות עבודה'!$C$5)/$D$11)</f>
        <v>20.877050906838029</v>
      </c>
      <c r="BV70" s="52">
        <f ca="1">IF($F70&gt;$D$5,0,VLOOKUP($F70,$F$24:$BZ$44,BV$2-$E$2,FALSE)*$D$11*$D$14*(1+$D$13)^($F70-'הנחות עבודה'!$C$5)/$D$11)</f>
        <v>103.28871543200043</v>
      </c>
      <c r="BW70" s="52">
        <f ca="1">IF($F70&gt;$D$5,0,VLOOKUP($F70,$F$24:$BZ$44,BW$2-$E$2,FALSE)*$D$11*$D$14*(1+$D$13)^($F70-'הנחות עבודה'!$C$5)/$D$11)</f>
        <v>0</v>
      </c>
      <c r="BX70" s="52">
        <f ca="1">IF($F70&gt;$D$5,0,VLOOKUP($F70,$F$24:$BZ$44,BX$2-$E$2,FALSE)*$D$11*$D$14*(1+$D$13)^($F70-'הנחות עבודה'!$C$5)/$D$11)</f>
        <v>0</v>
      </c>
      <c r="BY70" s="52">
        <f ca="1">IF($F70&gt;$D$5,0,VLOOKUP($F70,$F$24:$BZ$44,BY$2-$E$2,FALSE)*$D$11*$D$14*(1+$D$13)^($F70-'הנחות עבודה'!$C$5)/$D$11)</f>
        <v>0</v>
      </c>
      <c r="BZ70" s="52">
        <f ca="1">IF($F70&gt;$D$5,0,VLOOKUP($F70,$F$24:$BZ$44,BZ$2-$E$2,FALSE)*$D$11*$D$14*(1+$D$13)^($F70-'הנחות עבודה'!$C$5)/$D$11)</f>
        <v>0</v>
      </c>
    </row>
    <row r="71" spans="6:78" ht="16.5" thickBot="1">
      <c r="F71" s="328">
        <f t="shared" si="123"/>
        <v>2040</v>
      </c>
      <c r="G71" s="45">
        <f ca="1">IF($F71&gt;$D$5,0,VLOOKUP($F71,$F$24:$BZ$44,G$2-$E$2,FALSE)*$D$11*$D$14*(1+$D$13)^($F71-'הנחות עבודה'!$C$5)/$D$11)</f>
        <v>0</v>
      </c>
      <c r="H71" s="47">
        <f ca="1">IF($F71&gt;$D$5,0,VLOOKUP($F71,$F$24:$BZ$44,H$2-$E$2,FALSE)*$D$11*$D$14*(1+$D$13)^($F71-'הנחות עבודה'!$C$5)/$D$11)</f>
        <v>0</v>
      </c>
      <c r="I71" s="47">
        <f ca="1">IF($F71&gt;$D$5,0,VLOOKUP($F71,$F$24:$BZ$44,I$2-$E$2,FALSE)*$D$11*$D$14*(1+$D$13)^($F71-'הנחות עבודה'!$C$5)/$D$11)</f>
        <v>0</v>
      </c>
      <c r="J71" s="47">
        <f ca="1">IF($F71&gt;$D$5,0,VLOOKUP($F71,$F$24:$BZ$44,J$2-$E$2,FALSE)*$D$11*$D$14*(1+$D$13)^($F71-'הנחות עבודה'!$C$5)/$D$11)</f>
        <v>0</v>
      </c>
      <c r="K71" s="47">
        <f ca="1">IF($F71&gt;$D$5,0,VLOOKUP($F71,$F$24:$BZ$44,K$2-$E$2,FALSE)*$D$11*$D$14*(1+$D$13)^($F71-'הנחות עבודה'!$C$5)/$D$11)</f>
        <v>0</v>
      </c>
      <c r="L71" s="47">
        <f ca="1">IF($F71&gt;$D$5,0,VLOOKUP($F71,$F$24:$BZ$44,L$2-$E$2,FALSE)*$D$11*$D$14*(1+$D$13)^($F71-'הנחות עבודה'!$C$5)/$D$11)</f>
        <v>0</v>
      </c>
      <c r="M71" s="45">
        <f ca="1">IF($F71&gt;$D$5,0,VLOOKUP($F71,$F$24:$BZ$44,M$2-$E$2,FALSE)*$D$11*$D$14*(1+$D$13)^($F71-'הנחות עבודה'!$C$5)/$D$11)</f>
        <v>20.403491669507346</v>
      </c>
      <c r="N71" s="45">
        <f ca="1">IF($F71&gt;$D$5,0,VLOOKUP($F71,$F$24:$BZ$44,N$2-$E$2,FALSE)*$D$11*$D$14*(1+$D$13)^($F71-'הנחות עבודה'!$C$5)/$D$11)</f>
        <v>128.40493491208983</v>
      </c>
      <c r="O71" s="45">
        <f ca="1">IF($F71&gt;$D$5,0,VLOOKUP($F71,$F$24:$BZ$44,O$2-$E$2,FALSE)*$D$11*$D$14*(1+$D$13)^($F71-'הנחות עבודה'!$C$5)/$D$11)</f>
        <v>0</v>
      </c>
      <c r="P71" s="45">
        <f ca="1">IF($F71&gt;$D$5,0,VLOOKUP($F71,$F$24:$BZ$44,P$2-$E$2,FALSE)*$D$11*$D$14*(1+$D$13)^($F71-'הנחות עבודה'!$C$5)/$D$11)</f>
        <v>0</v>
      </c>
      <c r="Q71" s="45">
        <f ca="1">IF($F71&gt;$D$5,0,VLOOKUP($F71,$F$24:$BZ$44,Q$2-$E$2,FALSE)*$D$11*$D$14*(1+$D$13)^($F71-'הנחות עבודה'!$C$5)/$D$11)</f>
        <v>0</v>
      </c>
      <c r="R71" s="45">
        <f ca="1">IF($F71&gt;$D$5,0,VLOOKUP($F71,$F$24:$BZ$44,R$2-$E$2,FALSE)*$D$11*$D$14*(1+$D$13)^($F71-'הנחות עבודה'!$C$5)/$D$11)</f>
        <v>0</v>
      </c>
      <c r="S71" s="55">
        <f ca="1">IF($F71&gt;$D$5,0,VLOOKUP($F71,$F$24:$BZ$44,S$2-$E$2,FALSE)*$D$11*$D$14*(1+$D$13)^($F71-'הנחות עבודה'!$C$5)/$D$11)</f>
        <v>0</v>
      </c>
      <c r="T71" s="128">
        <f ca="1">IF($F71&gt;$D$5,0,VLOOKUP($F71,$F$24:$BZ$44,T$2-$E$2,FALSE)*$D$11*$D$14*(1+$D$13)^($F71-'הנחות עבודה'!$C$5)/$D$11)</f>
        <v>0</v>
      </c>
      <c r="U71" s="128">
        <f ca="1">IF($F71&gt;$D$5,0,VLOOKUP($F71,$F$24:$BZ$44,U$2-$E$2,FALSE)*$D$11*$D$14*(1+$D$13)^($F71-'הנחות עבודה'!$C$5)/$D$11)</f>
        <v>0</v>
      </c>
      <c r="V71" s="128">
        <f ca="1">IF($F71&gt;$D$5,0,VLOOKUP($F71,$F$24:$BZ$44,V$2-$E$2,FALSE)*$D$11*$D$14*(1+$D$13)^($F71-'הנחות עבודה'!$C$5)/$D$11)</f>
        <v>0</v>
      </c>
      <c r="W71" s="128">
        <f ca="1">IF($F71&gt;$D$5,0,VLOOKUP($F71,$F$24:$BZ$44,W$2-$E$2,FALSE)*$D$11*$D$14*(1+$D$13)^($F71-'הנחות עבודה'!$C$5)/$D$11)</f>
        <v>0</v>
      </c>
      <c r="X71" s="128">
        <f ca="1">IF($F71&gt;$D$5,0,VLOOKUP($F71,$F$24:$BZ$44,X$2-$E$2,FALSE)*$D$11*$D$14*(1+$D$13)^($F71-'הנחות עבודה'!$C$5)/$D$11)</f>
        <v>0</v>
      </c>
      <c r="Y71" s="55">
        <f ca="1">IF($F71&gt;$D$5,0,VLOOKUP($F71,$F$24:$BZ$44,Y$2-$E$2,FALSE)*$D$11*$D$14*(1+$D$13)^($F71-'הנחות עבודה'!$C$5)/$D$11)</f>
        <v>20.403491669507346</v>
      </c>
      <c r="Z71" s="55">
        <f ca="1">IF($F71&gt;$D$5,0,VLOOKUP($F71,$F$24:$BZ$44,Z$2-$E$2,FALSE)*$D$11*$D$14*(1+$D$13)^($F71-'הנחות עבודה'!$C$5)/$D$11)</f>
        <v>128.40493491208983</v>
      </c>
      <c r="AA71" s="55">
        <f ca="1">IF($F71&gt;$D$5,0,VLOOKUP($F71,$F$24:$BZ$44,AA$2-$E$2,FALSE)*$D$11*$D$14*(1+$D$13)^($F71-'הנחות עבודה'!$C$5)/$D$11)</f>
        <v>0</v>
      </c>
      <c r="AB71" s="55">
        <f ca="1">IF($F71&gt;$D$5,0,VLOOKUP($F71,$F$24:$BZ$44,AB$2-$E$2,FALSE)*$D$11*$D$14*(1+$D$13)^($F71-'הנחות עבודה'!$C$5)/$D$11)</f>
        <v>0</v>
      </c>
      <c r="AC71" s="55">
        <f ca="1">IF($F71&gt;$D$5,0,VLOOKUP($F71,$F$24:$BZ$44,AC$2-$E$2,FALSE)*$D$11*$D$14*(1+$D$13)^($F71-'הנחות עבודה'!$C$5)/$D$11)</f>
        <v>0</v>
      </c>
      <c r="AD71" s="55">
        <f ca="1">IF($F71&gt;$D$5,0,VLOOKUP($F71,$F$24:$BZ$44,AD$2-$E$2,FALSE)*$D$11*$D$14*(1+$D$13)^($F71-'הנחות עבודה'!$C$5)/$D$11)</f>
        <v>0</v>
      </c>
      <c r="AE71" s="45">
        <f ca="1">IF($F71&gt;$D$5,0,VLOOKUP($F71,$F$24:$BZ$44,AE$2-$E$2,FALSE)*$D$11*$D$14*(1+$D$13)^($F71-'הנחות עבודה'!$C$5)/$D$11)</f>
        <v>0</v>
      </c>
      <c r="AF71" s="47">
        <f ca="1">IF($F71&gt;$D$5,0,VLOOKUP($F71,$F$24:$BZ$44,AF$2-$E$2,FALSE)*$D$11*$D$14*(1+$D$13)^($F71-'הנחות עבודה'!$C$5)/$D$11)</f>
        <v>0</v>
      </c>
      <c r="AG71" s="47">
        <f ca="1">IF($F71&gt;$D$5,0,VLOOKUP($F71,$F$24:$BZ$44,AG$2-$E$2,FALSE)*$D$11*$D$14*(1+$D$13)^($F71-'הנחות עבודה'!$C$5)/$D$11)</f>
        <v>0</v>
      </c>
      <c r="AH71" s="47">
        <f ca="1">IF($F71&gt;$D$5,0,VLOOKUP($F71,$F$24:$BZ$44,AH$2-$E$2,FALSE)*$D$11*$D$14*(1+$D$13)^($F71-'הנחות עבודה'!$C$5)/$D$11)</f>
        <v>0</v>
      </c>
      <c r="AI71" s="47">
        <f ca="1">IF($F71&gt;$D$5,0,VLOOKUP($F71,$F$24:$BZ$44,AI$2-$E$2,FALSE)*$D$11*$D$14*(1+$D$13)^($F71-'הנחות עבודה'!$C$5)/$D$11)</f>
        <v>0</v>
      </c>
      <c r="AJ71" s="47">
        <f ca="1">IF($F71&gt;$D$5,0,VLOOKUP($F71,$F$24:$BZ$44,AJ$2-$E$2,FALSE)*$D$11*$D$14*(1+$D$13)^($F71-'הנחות עבודה'!$C$5)/$D$11)</f>
        <v>0</v>
      </c>
      <c r="AK71" s="45">
        <f ca="1">IF($F71&gt;$D$5,0,VLOOKUP($F71,$F$24:$BZ$44,AK$2-$E$2,FALSE)*$D$11*$D$14*(1+$D$13)^($F71-'הנחות עבודה'!$C$5)/$D$11)</f>
        <v>21.186422647111669</v>
      </c>
      <c r="AL71" s="45">
        <f ca="1">IF($F71&gt;$D$5,0,VLOOKUP($F71,$F$24:$BZ$44,AL$2-$E$2,FALSE)*$D$11*$D$14*(1+$D$13)^($F71-'הנחות עבודה'!$C$5)/$D$11)</f>
        <v>118.10322896628757</v>
      </c>
      <c r="AM71" s="45">
        <f ca="1">IF($F71&gt;$D$5,0,VLOOKUP($F71,$F$24:$BZ$44,AM$2-$E$2,FALSE)*$D$11*$D$14*(1+$D$13)^($F71-'הנחות עבודה'!$C$5)/$D$11)</f>
        <v>0</v>
      </c>
      <c r="AN71" s="45">
        <f ca="1">IF($F71&gt;$D$5,0,VLOOKUP($F71,$F$24:$BZ$44,AN$2-$E$2,FALSE)*$D$11*$D$14*(1+$D$13)^($F71-'הנחות עבודה'!$C$5)/$D$11)</f>
        <v>0</v>
      </c>
      <c r="AO71" s="45">
        <f ca="1">IF($F71&gt;$D$5,0,VLOOKUP($F71,$F$24:$BZ$44,AO$2-$E$2,FALSE)*$D$11*$D$14*(1+$D$13)^($F71-'הנחות עבודה'!$C$5)/$D$11)</f>
        <v>0</v>
      </c>
      <c r="AP71" s="45">
        <f ca="1">IF($F71&gt;$D$5,0,VLOOKUP($F71,$F$24:$BZ$44,AP$2-$E$2,FALSE)*$D$11*$D$14*(1+$D$13)^($F71-'הנחות עבודה'!$C$5)/$D$11)</f>
        <v>0</v>
      </c>
      <c r="AQ71" s="55">
        <f ca="1">IF($F71&gt;$D$5,0,VLOOKUP($F71,$F$24:$BZ$44,AQ$2-$E$2,FALSE)*$D$11*$D$14*(1+$D$13)^($F71-'הנחות עבודה'!$C$5)/$D$11)</f>
        <v>0</v>
      </c>
      <c r="AR71" s="128">
        <f ca="1">IF($F71&gt;$D$5,0,VLOOKUP($F71,$F$24:$BZ$44,AR$2-$E$2,FALSE)*$D$11*$D$14*(1+$D$13)^($F71-'הנחות עבודה'!$C$5)/$D$11)</f>
        <v>0</v>
      </c>
      <c r="AS71" s="128">
        <f ca="1">IF($F71&gt;$D$5,0,VLOOKUP($F71,$F$24:$BZ$44,AS$2-$E$2,FALSE)*$D$11*$D$14*(1+$D$13)^($F71-'הנחות עבודה'!$C$5)/$D$11)</f>
        <v>0</v>
      </c>
      <c r="AT71" s="128">
        <f ca="1">IF($F71&gt;$D$5,0,VLOOKUP($F71,$F$24:$BZ$44,AT$2-$E$2,FALSE)*$D$11*$D$14*(1+$D$13)^($F71-'הנחות עבודה'!$C$5)/$D$11)</f>
        <v>0</v>
      </c>
      <c r="AU71" s="128">
        <f ca="1">IF($F71&gt;$D$5,0,VLOOKUP($F71,$F$24:$BZ$44,AU$2-$E$2,FALSE)*$D$11*$D$14*(1+$D$13)^($F71-'הנחות עבודה'!$C$5)/$D$11)</f>
        <v>0</v>
      </c>
      <c r="AV71" s="128">
        <f ca="1">IF($F71&gt;$D$5,0,VLOOKUP($F71,$F$24:$BZ$44,AV$2-$E$2,FALSE)*$D$11*$D$14*(1+$D$13)^($F71-'הנחות עבודה'!$C$5)/$D$11)</f>
        <v>0</v>
      </c>
      <c r="AW71" s="55">
        <f ca="1">IF($F71&gt;$D$5,0,VLOOKUP($F71,$F$24:$BZ$44,AW$2-$E$2,FALSE)*$D$11*$D$14*(1+$D$13)^($F71-'הנחות עבודה'!$C$5)/$D$11)</f>
        <v>21.186422647111669</v>
      </c>
      <c r="AX71" s="55">
        <f ca="1">IF($F71&gt;$D$5,0,VLOOKUP($F71,$F$24:$BZ$44,AX$2-$E$2,FALSE)*$D$11*$D$14*(1+$D$13)^($F71-'הנחות עבודה'!$C$5)/$D$11)</f>
        <v>118.10322896628757</v>
      </c>
      <c r="AY71" s="55">
        <f ca="1">IF($F71&gt;$D$5,0,VLOOKUP($F71,$F$24:$BZ$44,AY$2-$E$2,FALSE)*$D$11*$D$14*(1+$D$13)^($F71-'הנחות עבודה'!$C$5)/$D$11)</f>
        <v>0</v>
      </c>
      <c r="AZ71" s="55">
        <f ca="1">IF($F71&gt;$D$5,0,VLOOKUP($F71,$F$24:$BZ$44,AZ$2-$E$2,FALSE)*$D$11*$D$14*(1+$D$13)^($F71-'הנחות עבודה'!$C$5)/$D$11)</f>
        <v>0</v>
      </c>
      <c r="BA71" s="55">
        <f ca="1">IF($F71&gt;$D$5,0,VLOOKUP($F71,$F$24:$BZ$44,BA$2-$E$2,FALSE)*$D$11*$D$14*(1+$D$13)^($F71-'הנחות עבודה'!$C$5)/$D$11)</f>
        <v>0</v>
      </c>
      <c r="BB71" s="55">
        <f ca="1">IF($F71&gt;$D$5,0,VLOOKUP($F71,$F$24:$BZ$44,BB$2-$E$2,FALSE)*$D$11*$D$14*(1+$D$13)^($F71-'הנחות עבודה'!$C$5)/$D$11)</f>
        <v>0</v>
      </c>
      <c r="BC71" s="45">
        <f ca="1">IF($F71&gt;$D$5,0,VLOOKUP($F71,$F$24:$BZ$44,BC$2-$E$2,FALSE)*$D$11*$D$14*(1+$D$13)^($F71-'הנחות עבודה'!$C$5)/$D$11)</f>
        <v>0</v>
      </c>
      <c r="BD71" s="47">
        <f ca="1">IF($F71&gt;$D$5,0,VLOOKUP($F71,$F$24:$BZ$44,BD$2-$E$2,FALSE)*$D$11*$D$14*(1+$D$13)^($F71-'הנחות עבודה'!$C$5)/$D$11)</f>
        <v>0</v>
      </c>
      <c r="BE71" s="47">
        <f ca="1">IF($F71&gt;$D$5,0,VLOOKUP($F71,$F$24:$BZ$44,BE$2-$E$2,FALSE)*$D$11*$D$14*(1+$D$13)^($F71-'הנחות עבודה'!$C$5)/$D$11)</f>
        <v>0</v>
      </c>
      <c r="BF71" s="47">
        <f ca="1">IF($F71&gt;$D$5,0,VLOOKUP($F71,$F$24:$BZ$44,BF$2-$E$2,FALSE)*$D$11*$D$14*(1+$D$13)^($F71-'הנחות עבודה'!$C$5)/$D$11)</f>
        <v>0</v>
      </c>
      <c r="BG71" s="47">
        <f ca="1">IF($F71&gt;$D$5,0,VLOOKUP($F71,$F$24:$BZ$44,BG$2-$E$2,FALSE)*$D$11*$D$14*(1+$D$13)^($F71-'הנחות עבודה'!$C$5)/$D$11)</f>
        <v>0</v>
      </c>
      <c r="BH71" s="47">
        <f ca="1">IF($F71&gt;$D$5,0,VLOOKUP($F71,$F$24:$BZ$44,BH$2-$E$2,FALSE)*$D$11*$D$14*(1+$D$13)^($F71-'הנחות עבודה'!$C$5)/$D$11)</f>
        <v>0</v>
      </c>
      <c r="BI71" s="45">
        <f ca="1">IF($F71&gt;$D$5,0,VLOOKUP($F71,$F$24:$BZ$44,BI$2-$E$2,FALSE)*$D$11*$D$14*(1+$D$13)^($F71-'הנחות עבודה'!$C$5)/$D$11)</f>
        <v>21.704142817821108</v>
      </c>
      <c r="BJ71" s="45">
        <f ca="1">IF($F71&gt;$D$5,0,VLOOKUP($F71,$F$24:$BZ$44,BJ$2-$E$2,FALSE)*$D$11*$D$14*(1+$D$13)^($F71-'הנחות עבודה'!$C$5)/$D$11)</f>
        <v>111.6464336468446</v>
      </c>
      <c r="BK71" s="45">
        <f ca="1">IF($F71&gt;$D$5,0,VLOOKUP($F71,$F$24:$BZ$44,BK$2-$E$2,FALSE)*$D$11*$D$14*(1+$D$13)^($F71-'הנחות עבודה'!$C$5)/$D$11)</f>
        <v>0</v>
      </c>
      <c r="BL71" s="45">
        <f ca="1">IF($F71&gt;$D$5,0,VLOOKUP($F71,$F$24:$BZ$44,BL$2-$E$2,FALSE)*$D$11*$D$14*(1+$D$13)^($F71-'הנחות עבודה'!$C$5)/$D$11)</f>
        <v>0</v>
      </c>
      <c r="BM71" s="45">
        <f ca="1">IF($F71&gt;$D$5,0,VLOOKUP($F71,$F$24:$BZ$44,BM$2-$E$2,FALSE)*$D$11*$D$14*(1+$D$13)^($F71-'הנחות עבודה'!$C$5)/$D$11)</f>
        <v>0</v>
      </c>
      <c r="BN71" s="45">
        <f ca="1">IF($F71&gt;$D$5,0,VLOOKUP($F71,$F$24:$BZ$44,BN$2-$E$2,FALSE)*$D$11*$D$14*(1+$D$13)^($F71-'הנחות עבודה'!$C$5)/$D$11)</f>
        <v>0</v>
      </c>
      <c r="BO71" s="55">
        <f ca="1">IF($F71&gt;$D$5,0,VLOOKUP($F71,$F$24:$BZ$44,BO$2-$E$2,FALSE)*$D$11*$D$14*(1+$D$13)^($F71-'הנחות עבודה'!$C$5)/$D$11)</f>
        <v>0</v>
      </c>
      <c r="BP71" s="128">
        <f ca="1">IF($F71&gt;$D$5,0,VLOOKUP($F71,$F$24:$BZ$44,BP$2-$E$2,FALSE)*$D$11*$D$14*(1+$D$13)^($F71-'הנחות עבודה'!$C$5)/$D$11)</f>
        <v>0</v>
      </c>
      <c r="BQ71" s="128">
        <f ca="1">IF($F71&gt;$D$5,0,VLOOKUP($F71,$F$24:$BZ$44,BQ$2-$E$2,FALSE)*$D$11*$D$14*(1+$D$13)^($F71-'הנחות עבודה'!$C$5)/$D$11)</f>
        <v>0</v>
      </c>
      <c r="BR71" s="128">
        <f ca="1">IF($F71&gt;$D$5,0,VLOOKUP($F71,$F$24:$BZ$44,BR$2-$E$2,FALSE)*$D$11*$D$14*(1+$D$13)^($F71-'הנחות עבודה'!$C$5)/$D$11)</f>
        <v>0</v>
      </c>
      <c r="BS71" s="128">
        <f ca="1">IF($F71&gt;$D$5,0,VLOOKUP($F71,$F$24:$BZ$44,BS$2-$E$2,FALSE)*$D$11*$D$14*(1+$D$13)^($F71-'הנחות עבודה'!$C$5)/$D$11)</f>
        <v>0</v>
      </c>
      <c r="BT71" s="128">
        <f ca="1">IF($F71&gt;$D$5,0,VLOOKUP($F71,$F$24:$BZ$44,BT$2-$E$2,FALSE)*$D$11*$D$14*(1+$D$13)^($F71-'הנחות עבודה'!$C$5)/$D$11)</f>
        <v>0</v>
      </c>
      <c r="BU71" s="55">
        <f ca="1">IF($F71&gt;$D$5,0,VLOOKUP($F71,$F$24:$BZ$44,BU$2-$E$2,FALSE)*$D$11*$D$14*(1+$D$13)^($F71-'הנחות עבודה'!$C$5)/$D$11)</f>
        <v>21.704142817821108</v>
      </c>
      <c r="BV71" s="55">
        <f ca="1">IF($F71&gt;$D$5,0,VLOOKUP($F71,$F$24:$BZ$44,BV$2-$E$2,FALSE)*$D$11*$D$14*(1+$D$13)^($F71-'הנחות עבודה'!$C$5)/$D$11)</f>
        <v>111.6464336468446</v>
      </c>
      <c r="BW71" s="55">
        <f ca="1">IF($F71&gt;$D$5,0,VLOOKUP($F71,$F$24:$BZ$44,BW$2-$E$2,FALSE)*$D$11*$D$14*(1+$D$13)^($F71-'הנחות עבודה'!$C$5)/$D$11)</f>
        <v>0</v>
      </c>
      <c r="BX71" s="55">
        <f ca="1">IF($F71&gt;$D$5,0,VLOOKUP($F71,$F$24:$BZ$44,BX$2-$E$2,FALSE)*$D$11*$D$14*(1+$D$13)^($F71-'הנחות עבודה'!$C$5)/$D$11)</f>
        <v>0</v>
      </c>
      <c r="BY71" s="55">
        <f ca="1">IF($F71&gt;$D$5,0,VLOOKUP($F71,$F$24:$BZ$44,BY$2-$E$2,FALSE)*$D$11*$D$14*(1+$D$13)^($F71-'הנחות עבודה'!$C$5)/$D$11)</f>
        <v>0</v>
      </c>
      <c r="BZ71" s="55">
        <f ca="1">IF($F71&gt;$D$5,0,VLOOKUP($F71,$F$24:$BZ$44,BZ$2-$E$2,FALSE)*$D$11*$D$14*(1+$D$13)^($F71-'הנחות עבודה'!$C$5)/$D$11)</f>
        <v>0</v>
      </c>
    </row>
    <row r="72" spans="6:78" ht="16.5" thickBot="1">
      <c r="F72" s="349" t="s">
        <v>27</v>
      </c>
      <c r="G72" s="65">
        <f t="shared" ref="G72:BU72" ca="1" si="124">SUM(G51:G71)</f>
        <v>0</v>
      </c>
      <c r="H72" s="65">
        <f t="shared" ca="1" si="124"/>
        <v>0</v>
      </c>
      <c r="I72" s="65">
        <f t="shared" ca="1" si="124"/>
        <v>0</v>
      </c>
      <c r="J72" s="65">
        <f t="shared" ca="1" si="124"/>
        <v>0</v>
      </c>
      <c r="K72" s="65">
        <f t="shared" ca="1" si="124"/>
        <v>0</v>
      </c>
      <c r="L72" s="65">
        <f t="shared" ca="1" si="124"/>
        <v>0</v>
      </c>
      <c r="M72" s="65">
        <f t="shared" ca="1" si="124"/>
        <v>247.69332352618699</v>
      </c>
      <c r="N72" s="65">
        <f t="shared" ref="N72:R72" ca="1" si="125">SUM(N51:N71)</f>
        <v>1472.9149303169015</v>
      </c>
      <c r="O72" s="65">
        <f t="shared" ca="1" si="125"/>
        <v>0</v>
      </c>
      <c r="P72" s="65">
        <f t="shared" ca="1" si="125"/>
        <v>0</v>
      </c>
      <c r="Q72" s="65">
        <f t="shared" ca="1" si="125"/>
        <v>2183.173495877857</v>
      </c>
      <c r="R72" s="65">
        <f t="shared" ca="1" si="125"/>
        <v>0</v>
      </c>
      <c r="S72" s="76">
        <f t="shared" ca="1" si="124"/>
        <v>0</v>
      </c>
      <c r="T72" s="76">
        <f t="shared" ca="1" si="124"/>
        <v>0</v>
      </c>
      <c r="U72" s="76">
        <f t="shared" ca="1" si="124"/>
        <v>0</v>
      </c>
      <c r="V72" s="76">
        <f t="shared" ca="1" si="124"/>
        <v>0</v>
      </c>
      <c r="W72" s="76">
        <f t="shared" ca="1" si="124"/>
        <v>0</v>
      </c>
      <c r="X72" s="76">
        <f t="shared" ca="1" si="124"/>
        <v>0</v>
      </c>
      <c r="Y72" s="76">
        <f t="shared" ca="1" si="124"/>
        <v>247.69332352618699</v>
      </c>
      <c r="Z72" s="76">
        <f t="shared" ref="Z72:AD72" ca="1" si="126">SUM(Z51:Z71)</f>
        <v>1472.9149303169015</v>
      </c>
      <c r="AA72" s="76">
        <f t="shared" ca="1" si="126"/>
        <v>0</v>
      </c>
      <c r="AB72" s="76">
        <f t="shared" ca="1" si="126"/>
        <v>0</v>
      </c>
      <c r="AC72" s="76">
        <f t="shared" ca="1" si="126"/>
        <v>2183.173495877857</v>
      </c>
      <c r="AD72" s="76">
        <f t="shared" ca="1" si="126"/>
        <v>0</v>
      </c>
      <c r="AE72" s="65">
        <f t="shared" ref="AE72:BB72" ca="1" si="127">SUM(AE51:AE71)</f>
        <v>0</v>
      </c>
      <c r="AF72" s="65">
        <f t="shared" ca="1" si="127"/>
        <v>0</v>
      </c>
      <c r="AG72" s="65">
        <f t="shared" ca="1" si="127"/>
        <v>0</v>
      </c>
      <c r="AH72" s="65">
        <f t="shared" ca="1" si="127"/>
        <v>0</v>
      </c>
      <c r="AI72" s="65">
        <f t="shared" ca="1" si="127"/>
        <v>0</v>
      </c>
      <c r="AJ72" s="65">
        <f t="shared" ca="1" si="127"/>
        <v>0</v>
      </c>
      <c r="AK72" s="65">
        <f t="shared" ca="1" si="127"/>
        <v>257.65318247705</v>
      </c>
      <c r="AL72" s="65">
        <f t="shared" ca="1" si="127"/>
        <v>1342.3491433973863</v>
      </c>
      <c r="AM72" s="65">
        <f t="shared" ca="1" si="127"/>
        <v>0</v>
      </c>
      <c r="AN72" s="65">
        <f t="shared" ca="1" si="127"/>
        <v>0</v>
      </c>
      <c r="AO72" s="65">
        <f t="shared" ca="1" si="127"/>
        <v>2182.2403078643565</v>
      </c>
      <c r="AP72" s="65">
        <f t="shared" ca="1" si="127"/>
        <v>0</v>
      </c>
      <c r="AQ72" s="76">
        <f t="shared" ca="1" si="127"/>
        <v>0</v>
      </c>
      <c r="AR72" s="76">
        <f t="shared" ca="1" si="127"/>
        <v>0</v>
      </c>
      <c r="AS72" s="76">
        <f t="shared" ca="1" si="127"/>
        <v>0</v>
      </c>
      <c r="AT72" s="76">
        <f t="shared" ca="1" si="127"/>
        <v>0</v>
      </c>
      <c r="AU72" s="76">
        <f t="shared" ca="1" si="127"/>
        <v>0</v>
      </c>
      <c r="AV72" s="76">
        <f t="shared" ca="1" si="127"/>
        <v>0</v>
      </c>
      <c r="AW72" s="76">
        <f t="shared" ca="1" si="127"/>
        <v>257.65318247705</v>
      </c>
      <c r="AX72" s="76">
        <f t="shared" ca="1" si="127"/>
        <v>1342.3491433973863</v>
      </c>
      <c r="AY72" s="76">
        <f t="shared" ca="1" si="127"/>
        <v>0</v>
      </c>
      <c r="AZ72" s="76">
        <f t="shared" ca="1" si="127"/>
        <v>0</v>
      </c>
      <c r="BA72" s="76">
        <f t="shared" ca="1" si="127"/>
        <v>2182.2403078643565</v>
      </c>
      <c r="BB72" s="76">
        <f t="shared" ca="1" si="127"/>
        <v>0</v>
      </c>
      <c r="BC72" s="65">
        <f t="shared" ca="1" si="124"/>
        <v>0</v>
      </c>
      <c r="BD72" s="65">
        <f t="shared" ca="1" si="124"/>
        <v>0</v>
      </c>
      <c r="BE72" s="65">
        <f t="shared" ca="1" si="124"/>
        <v>0</v>
      </c>
      <c r="BF72" s="65">
        <f t="shared" ca="1" si="124"/>
        <v>0</v>
      </c>
      <c r="BG72" s="65">
        <f t="shared" ca="1" si="124"/>
        <v>0</v>
      </c>
      <c r="BH72" s="65">
        <f t="shared" ca="1" si="124"/>
        <v>0</v>
      </c>
      <c r="BI72" s="65">
        <f t="shared" ca="1" si="124"/>
        <v>263.02826282990168</v>
      </c>
      <c r="BJ72" s="65">
        <f t="shared" ref="BJ72:BN72" ca="1" si="128">SUM(BJ51:BJ71)</f>
        <v>1263.100570102345</v>
      </c>
      <c r="BK72" s="65">
        <f t="shared" ca="1" si="128"/>
        <v>0</v>
      </c>
      <c r="BL72" s="65">
        <f t="shared" ca="1" si="128"/>
        <v>0</v>
      </c>
      <c r="BM72" s="65">
        <f t="shared" ca="1" si="128"/>
        <v>2181.9168223789511</v>
      </c>
      <c r="BN72" s="65">
        <f t="shared" ca="1" si="128"/>
        <v>0</v>
      </c>
      <c r="BO72" s="76">
        <f t="shared" ca="1" si="124"/>
        <v>0</v>
      </c>
      <c r="BP72" s="76">
        <f t="shared" ca="1" si="124"/>
        <v>0</v>
      </c>
      <c r="BQ72" s="76">
        <f t="shared" ca="1" si="124"/>
        <v>0</v>
      </c>
      <c r="BR72" s="76">
        <f t="shared" ca="1" si="124"/>
        <v>0</v>
      </c>
      <c r="BS72" s="76">
        <f t="shared" ca="1" si="124"/>
        <v>0</v>
      </c>
      <c r="BT72" s="76">
        <f t="shared" ca="1" si="124"/>
        <v>0</v>
      </c>
      <c r="BU72" s="76">
        <f t="shared" ca="1" si="124"/>
        <v>263.02826282990168</v>
      </c>
      <c r="BV72" s="76">
        <f t="shared" ref="BV72:BZ72" ca="1" si="129">SUM(BV51:BV71)</f>
        <v>1263.100570102345</v>
      </c>
      <c r="BW72" s="76">
        <f t="shared" ca="1" si="129"/>
        <v>0</v>
      </c>
      <c r="BX72" s="76">
        <f t="shared" ca="1" si="129"/>
        <v>0</v>
      </c>
      <c r="BY72" s="76">
        <f t="shared" ca="1" si="129"/>
        <v>2181.9168223789511</v>
      </c>
      <c r="BZ72" s="76">
        <f t="shared" ca="1" si="129"/>
        <v>0</v>
      </c>
    </row>
    <row r="73" spans="6:78" ht="16.5" thickBot="1">
      <c r="F73" s="349" t="s">
        <v>4</v>
      </c>
      <c r="G73" s="65">
        <f ca="1">NPV($D$6,G51:G71)</f>
        <v>0</v>
      </c>
      <c r="H73" s="65">
        <f t="shared" ref="H73:BU73" ca="1" si="130">NPV($D$6,H51:H71)</f>
        <v>0</v>
      </c>
      <c r="I73" s="65">
        <f t="shared" ca="1" si="130"/>
        <v>0</v>
      </c>
      <c r="J73" s="65">
        <f t="shared" ca="1" si="130"/>
        <v>0</v>
      </c>
      <c r="K73" s="65">
        <f t="shared" ca="1" si="130"/>
        <v>0</v>
      </c>
      <c r="L73" s="65">
        <f t="shared" ca="1" si="130"/>
        <v>0</v>
      </c>
      <c r="M73" s="65">
        <f t="shared" ca="1" si="130"/>
        <v>164.23504522066187</v>
      </c>
      <c r="N73" s="65">
        <f t="shared" ref="N73:R73" ca="1" si="131">NPV($D$6,N51:N71)</f>
        <v>1007.2863922954438</v>
      </c>
      <c r="O73" s="65">
        <f t="shared" ca="1" si="131"/>
        <v>0</v>
      </c>
      <c r="P73" s="65">
        <f t="shared" ca="1" si="131"/>
        <v>0</v>
      </c>
      <c r="Q73" s="65">
        <f t="shared" ca="1" si="131"/>
        <v>2006.5628653025999</v>
      </c>
      <c r="R73" s="65">
        <f t="shared" ca="1" si="131"/>
        <v>0</v>
      </c>
      <c r="S73" s="76">
        <f t="shared" ca="1" si="130"/>
        <v>0</v>
      </c>
      <c r="T73" s="76">
        <f t="shared" ca="1" si="130"/>
        <v>0</v>
      </c>
      <c r="U73" s="76">
        <f t="shared" ca="1" si="130"/>
        <v>0</v>
      </c>
      <c r="V73" s="76">
        <f t="shared" ca="1" si="130"/>
        <v>0</v>
      </c>
      <c r="W73" s="76">
        <f t="shared" ca="1" si="130"/>
        <v>0</v>
      </c>
      <c r="X73" s="76">
        <f t="shared" ca="1" si="130"/>
        <v>0</v>
      </c>
      <c r="Y73" s="76">
        <f t="shared" ca="1" si="130"/>
        <v>164.23504522066187</v>
      </c>
      <c r="Z73" s="76">
        <f t="shared" ref="Z73:AD73" ca="1" si="132">NPV($D$6,Z51:Z71)</f>
        <v>1007.2863922954438</v>
      </c>
      <c r="AA73" s="76">
        <f t="shared" ca="1" si="132"/>
        <v>0</v>
      </c>
      <c r="AB73" s="76">
        <f t="shared" ca="1" si="132"/>
        <v>0</v>
      </c>
      <c r="AC73" s="76">
        <f t="shared" ca="1" si="132"/>
        <v>2006.5628653025999</v>
      </c>
      <c r="AD73" s="76">
        <f t="shared" ca="1" si="132"/>
        <v>0</v>
      </c>
      <c r="AE73" s="65">
        <f t="shared" ref="AE73:BB73" ca="1" si="133">NPV($D$6,AE51:AE71)</f>
        <v>0</v>
      </c>
      <c r="AF73" s="65">
        <f t="shared" ca="1" si="133"/>
        <v>0</v>
      </c>
      <c r="AG73" s="65">
        <f t="shared" ca="1" si="133"/>
        <v>0</v>
      </c>
      <c r="AH73" s="65">
        <f t="shared" ca="1" si="133"/>
        <v>0</v>
      </c>
      <c r="AI73" s="65">
        <f t="shared" ca="1" si="133"/>
        <v>0</v>
      </c>
      <c r="AJ73" s="65">
        <f t="shared" ca="1" si="133"/>
        <v>0</v>
      </c>
      <c r="AK73" s="65">
        <f t="shared" ca="1" si="133"/>
        <v>170.43883915438096</v>
      </c>
      <c r="AL73" s="65">
        <f t="shared" ca="1" si="133"/>
        <v>921.03721213857921</v>
      </c>
      <c r="AM73" s="65">
        <f t="shared" ca="1" si="133"/>
        <v>0</v>
      </c>
      <c r="AN73" s="65">
        <f t="shared" ca="1" si="133"/>
        <v>0</v>
      </c>
      <c r="AO73" s="65">
        <f t="shared" ca="1" si="133"/>
        <v>2005.7592215751465</v>
      </c>
      <c r="AP73" s="65">
        <f t="shared" ca="1" si="133"/>
        <v>0</v>
      </c>
      <c r="AQ73" s="76">
        <f t="shared" ca="1" si="133"/>
        <v>0</v>
      </c>
      <c r="AR73" s="76">
        <f t="shared" ca="1" si="133"/>
        <v>0</v>
      </c>
      <c r="AS73" s="76">
        <f t="shared" ca="1" si="133"/>
        <v>0</v>
      </c>
      <c r="AT73" s="76">
        <f t="shared" ca="1" si="133"/>
        <v>0</v>
      </c>
      <c r="AU73" s="76">
        <f t="shared" ca="1" si="133"/>
        <v>0</v>
      </c>
      <c r="AV73" s="76">
        <f t="shared" ca="1" si="133"/>
        <v>0</v>
      </c>
      <c r="AW73" s="76">
        <f t="shared" ca="1" si="133"/>
        <v>170.43883915438096</v>
      </c>
      <c r="AX73" s="76">
        <f t="shared" ca="1" si="133"/>
        <v>921.03721213857921</v>
      </c>
      <c r="AY73" s="76">
        <f t="shared" ca="1" si="133"/>
        <v>0</v>
      </c>
      <c r="AZ73" s="76">
        <f t="shared" ca="1" si="133"/>
        <v>0</v>
      </c>
      <c r="BA73" s="76">
        <f t="shared" ca="1" si="133"/>
        <v>2005.7592215751465</v>
      </c>
      <c r="BB73" s="76">
        <f t="shared" ca="1" si="133"/>
        <v>0</v>
      </c>
      <c r="BC73" s="65">
        <f t="shared" ca="1" si="130"/>
        <v>0</v>
      </c>
      <c r="BD73" s="65">
        <f t="shared" ca="1" si="130"/>
        <v>0</v>
      </c>
      <c r="BE73" s="65">
        <f t="shared" ca="1" si="130"/>
        <v>0</v>
      </c>
      <c r="BF73" s="65">
        <f t="shared" ca="1" si="130"/>
        <v>0</v>
      </c>
      <c r="BG73" s="65">
        <f t="shared" ca="1" si="130"/>
        <v>0</v>
      </c>
      <c r="BH73" s="65">
        <f t="shared" ca="1" si="130"/>
        <v>0</v>
      </c>
      <c r="BI73" s="65">
        <f t="shared" ca="1" si="130"/>
        <v>173.88664406313987</v>
      </c>
      <c r="BJ73" s="65">
        <f t="shared" ref="BJ73:BN73" ca="1" si="134">NPV($D$6,BJ51:BJ71)</f>
        <v>868.80407911732414</v>
      </c>
      <c r="BK73" s="65">
        <f t="shared" ca="1" si="134"/>
        <v>0</v>
      </c>
      <c r="BL73" s="65">
        <f t="shared" ca="1" si="134"/>
        <v>0</v>
      </c>
      <c r="BM73" s="65">
        <f t="shared" ca="1" si="134"/>
        <v>2005.483447957884</v>
      </c>
      <c r="BN73" s="65">
        <f t="shared" ca="1" si="134"/>
        <v>0</v>
      </c>
      <c r="BO73" s="76">
        <f t="shared" ca="1" si="130"/>
        <v>0</v>
      </c>
      <c r="BP73" s="76">
        <f t="shared" ca="1" si="130"/>
        <v>0</v>
      </c>
      <c r="BQ73" s="76">
        <f t="shared" ca="1" si="130"/>
        <v>0</v>
      </c>
      <c r="BR73" s="76">
        <f t="shared" ca="1" si="130"/>
        <v>0</v>
      </c>
      <c r="BS73" s="76">
        <f t="shared" ca="1" si="130"/>
        <v>0</v>
      </c>
      <c r="BT73" s="76">
        <f t="shared" ca="1" si="130"/>
        <v>0</v>
      </c>
      <c r="BU73" s="76">
        <f t="shared" ca="1" si="130"/>
        <v>173.88664406313987</v>
      </c>
      <c r="BV73" s="76">
        <f t="shared" ref="BV73:BZ73" ca="1" si="135">NPV($D$6,BV51:BV71)</f>
        <v>868.80407911732414</v>
      </c>
      <c r="BW73" s="76">
        <f t="shared" ca="1" si="135"/>
        <v>0</v>
      </c>
      <c r="BX73" s="76">
        <f t="shared" ca="1" si="135"/>
        <v>0</v>
      </c>
      <c r="BY73" s="76">
        <f t="shared" ca="1" si="135"/>
        <v>2005.483447957884</v>
      </c>
      <c r="BZ73" s="76">
        <f t="shared" ca="1" si="135"/>
        <v>0</v>
      </c>
    </row>
    <row r="74" spans="6:78" ht="16.5" thickBot="1">
      <c r="F74" s="349" t="s">
        <v>27</v>
      </c>
      <c r="G74" s="1306">
        <f ca="1">SUM(G72:R72)</f>
        <v>3903.7817497209453</v>
      </c>
      <c r="H74" s="1307"/>
      <c r="I74" s="1307"/>
      <c r="J74" s="1307"/>
      <c r="K74" s="1307"/>
      <c r="L74" s="1307"/>
      <c r="M74" s="1307"/>
      <c r="N74" s="1307"/>
      <c r="O74" s="1307"/>
      <c r="P74" s="1307"/>
      <c r="Q74" s="1307"/>
      <c r="R74" s="1308"/>
      <c r="S74" s="1306">
        <f ca="1">SUM(S72:AD72)</f>
        <v>3903.7817497209453</v>
      </c>
      <c r="T74" s="1307"/>
      <c r="U74" s="1307"/>
      <c r="V74" s="1307"/>
      <c r="W74" s="1307"/>
      <c r="X74" s="1307"/>
      <c r="Y74" s="1307"/>
      <c r="Z74" s="1307"/>
      <c r="AA74" s="1307"/>
      <c r="AB74" s="1307"/>
      <c r="AC74" s="1307"/>
      <c r="AD74" s="1308"/>
      <c r="AE74" s="1306">
        <f t="shared" ref="AE74:AE75" ca="1" si="136">SUM(AE72:AP72)</f>
        <v>3782.2426337387928</v>
      </c>
      <c r="AF74" s="1307"/>
      <c r="AG74" s="1307"/>
      <c r="AH74" s="1307"/>
      <c r="AI74" s="1307"/>
      <c r="AJ74" s="1307"/>
      <c r="AK74" s="1307"/>
      <c r="AL74" s="1307"/>
      <c r="AM74" s="1307"/>
      <c r="AN74" s="1307"/>
      <c r="AO74" s="1307"/>
      <c r="AP74" s="1308"/>
      <c r="AQ74" s="1306">
        <f t="shared" ref="AQ74:AQ75" ca="1" si="137">SUM(AQ72:BB72)</f>
        <v>3782.2426337387928</v>
      </c>
      <c r="AR74" s="1307"/>
      <c r="AS74" s="1307"/>
      <c r="AT74" s="1307"/>
      <c r="AU74" s="1307"/>
      <c r="AV74" s="1307"/>
      <c r="AW74" s="1307"/>
      <c r="AX74" s="1307"/>
      <c r="AY74" s="1307"/>
      <c r="AZ74" s="1307"/>
      <c r="BA74" s="1307"/>
      <c r="BB74" s="1308"/>
      <c r="BC74" s="1306">
        <f ca="1">SUM(BC72:BN72)</f>
        <v>3708.0456553111981</v>
      </c>
      <c r="BD74" s="1307"/>
      <c r="BE74" s="1307"/>
      <c r="BF74" s="1307"/>
      <c r="BG74" s="1307"/>
      <c r="BH74" s="1307"/>
      <c r="BI74" s="1307"/>
      <c r="BJ74" s="1307"/>
      <c r="BK74" s="1307"/>
      <c r="BL74" s="1307"/>
      <c r="BM74" s="1307"/>
      <c r="BN74" s="1308"/>
      <c r="BO74" s="1306">
        <f ca="1">SUM(BO72:BZ72)</f>
        <v>3708.0456553111981</v>
      </c>
      <c r="BP74" s="1307"/>
      <c r="BQ74" s="1307"/>
      <c r="BR74" s="1307"/>
      <c r="BS74" s="1307"/>
      <c r="BT74" s="1307"/>
      <c r="BU74" s="1307"/>
      <c r="BV74" s="1307"/>
      <c r="BW74" s="1307"/>
      <c r="BX74" s="1307"/>
      <c r="BY74" s="1307"/>
      <c r="BZ74" s="1308"/>
    </row>
    <row r="75" spans="6:78" ht="16.5" thickBot="1">
      <c r="F75" s="349" t="s">
        <v>4</v>
      </c>
      <c r="G75" s="1309">
        <f ca="1">SUM(G73:R73)</f>
        <v>3178.0843028187055</v>
      </c>
      <c r="H75" s="1310"/>
      <c r="I75" s="1310"/>
      <c r="J75" s="1310"/>
      <c r="K75" s="1310"/>
      <c r="L75" s="1310"/>
      <c r="M75" s="1310"/>
      <c r="N75" s="1310"/>
      <c r="O75" s="1310"/>
      <c r="P75" s="1310"/>
      <c r="Q75" s="1310"/>
      <c r="R75" s="1311"/>
      <c r="S75" s="1309">
        <f ca="1">SUM(S73:AD73)</f>
        <v>3178.0843028187055</v>
      </c>
      <c r="T75" s="1310"/>
      <c r="U75" s="1310"/>
      <c r="V75" s="1310"/>
      <c r="W75" s="1310"/>
      <c r="X75" s="1310"/>
      <c r="Y75" s="1310"/>
      <c r="Z75" s="1310"/>
      <c r="AA75" s="1310"/>
      <c r="AB75" s="1310"/>
      <c r="AC75" s="1310"/>
      <c r="AD75" s="1311"/>
      <c r="AE75" s="1309">
        <f t="shared" ca="1" si="136"/>
        <v>3097.2352728681067</v>
      </c>
      <c r="AF75" s="1310"/>
      <c r="AG75" s="1310"/>
      <c r="AH75" s="1310"/>
      <c r="AI75" s="1310"/>
      <c r="AJ75" s="1310"/>
      <c r="AK75" s="1310"/>
      <c r="AL75" s="1310"/>
      <c r="AM75" s="1310"/>
      <c r="AN75" s="1310"/>
      <c r="AO75" s="1310"/>
      <c r="AP75" s="1311"/>
      <c r="AQ75" s="1309">
        <f t="shared" ca="1" si="137"/>
        <v>3097.2352728681067</v>
      </c>
      <c r="AR75" s="1310"/>
      <c r="AS75" s="1310"/>
      <c r="AT75" s="1310"/>
      <c r="AU75" s="1310"/>
      <c r="AV75" s="1310"/>
      <c r="AW75" s="1310"/>
      <c r="AX75" s="1310"/>
      <c r="AY75" s="1310"/>
      <c r="AZ75" s="1310"/>
      <c r="BA75" s="1310"/>
      <c r="BB75" s="1311"/>
      <c r="BC75" s="1309">
        <f ca="1">SUM(BC73:BN73)</f>
        <v>3048.1741711383479</v>
      </c>
      <c r="BD75" s="1310"/>
      <c r="BE75" s="1310"/>
      <c r="BF75" s="1310"/>
      <c r="BG75" s="1310"/>
      <c r="BH75" s="1310"/>
      <c r="BI75" s="1310"/>
      <c r="BJ75" s="1310"/>
      <c r="BK75" s="1310"/>
      <c r="BL75" s="1310"/>
      <c r="BM75" s="1310"/>
      <c r="BN75" s="1311"/>
      <c r="BO75" s="1309">
        <f ca="1">SUM(BO73:BZ73)</f>
        <v>3048.1741711383479</v>
      </c>
      <c r="BP75" s="1310"/>
      <c r="BQ75" s="1310"/>
      <c r="BR75" s="1310"/>
      <c r="BS75" s="1310"/>
      <c r="BT75" s="1310"/>
      <c r="BU75" s="1310"/>
      <c r="BV75" s="1310"/>
      <c r="BW75" s="1310"/>
      <c r="BX75" s="1310"/>
      <c r="BY75" s="1310"/>
      <c r="BZ75" s="1311"/>
    </row>
  </sheetData>
  <mergeCells count="34">
    <mergeCell ref="G49:R49"/>
    <mergeCell ref="S49:AD49"/>
    <mergeCell ref="BC49:BN49"/>
    <mergeCell ref="BO49:BZ49"/>
    <mergeCell ref="B6:B11"/>
    <mergeCell ref="F17:R17"/>
    <mergeCell ref="G21:BZ21"/>
    <mergeCell ref="G22:R22"/>
    <mergeCell ref="S22:AD22"/>
    <mergeCell ref="BC22:BN22"/>
    <mergeCell ref="BO22:BZ22"/>
    <mergeCell ref="G46:R46"/>
    <mergeCell ref="S46:AD46"/>
    <mergeCell ref="BC46:BN46"/>
    <mergeCell ref="BO46:BZ46"/>
    <mergeCell ref="G48:BZ48"/>
    <mergeCell ref="G74:R74"/>
    <mergeCell ref="S74:AD74"/>
    <mergeCell ref="BC74:BN74"/>
    <mergeCell ref="BO74:BZ74"/>
    <mergeCell ref="G75:R75"/>
    <mergeCell ref="S75:AD75"/>
    <mergeCell ref="BC75:BN75"/>
    <mergeCell ref="BO75:BZ75"/>
    <mergeCell ref="AE74:AP74"/>
    <mergeCell ref="AQ74:BB74"/>
    <mergeCell ref="AE75:AP75"/>
    <mergeCell ref="AQ75:BB75"/>
    <mergeCell ref="AE22:AP22"/>
    <mergeCell ref="AQ22:BB22"/>
    <mergeCell ref="AE49:AP49"/>
    <mergeCell ref="AQ49:BB49"/>
    <mergeCell ref="AE46:AP46"/>
    <mergeCell ref="AQ46:BB46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D00-000000000000}">
          <x14:formula1>
            <xm:f>'הנחות עבודה'!$L$39:$L$42</xm:f>
          </x14:formula1>
          <xm:sqref>F19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K75"/>
  <sheetViews>
    <sheetView rightToLeft="1" topLeftCell="AB18" zoomScaleNormal="100" workbookViewId="0">
      <selection activeCell="M26" sqref="M26"/>
    </sheetView>
  </sheetViews>
  <sheetFormatPr defaultColWidth="10.42578125" defaultRowHeight="15"/>
  <cols>
    <col min="1" max="1" width="2.28515625" bestFit="1" customWidth="1"/>
    <col min="2" max="2" width="22.7109375" bestFit="1" customWidth="1"/>
    <col min="3" max="3" width="31.140625" bestFit="1" customWidth="1"/>
    <col min="4" max="4" width="15.7109375" bestFit="1" customWidth="1"/>
    <col min="5" max="5" width="2.28515625" bestFit="1" customWidth="1"/>
    <col min="6" max="6" width="9.140625" bestFit="1" customWidth="1"/>
    <col min="7" max="7" width="19.140625" bestFit="1" customWidth="1"/>
    <col min="8" max="8" width="11.28515625" bestFit="1" customWidth="1"/>
    <col min="9" max="9" width="5.28515625" bestFit="1" customWidth="1"/>
    <col min="10" max="10" width="14.140625" customWidth="1"/>
    <col min="11" max="11" width="6.7109375" bestFit="1" customWidth="1"/>
    <col min="12" max="12" width="10.28515625" bestFit="1" customWidth="1"/>
    <col min="13" max="13" width="17.140625" bestFit="1" customWidth="1"/>
    <col min="14" max="14" width="17.140625" customWidth="1"/>
    <col min="15" max="15" width="15.7109375" bestFit="1" customWidth="1"/>
    <col min="16" max="16" width="11.7109375" bestFit="1" customWidth="1"/>
    <col min="17" max="17" width="15.7109375" bestFit="1" customWidth="1"/>
    <col min="18" max="18" width="5.28515625" bestFit="1" customWidth="1"/>
    <col min="19" max="20" width="11.28515625" bestFit="1" customWidth="1"/>
    <col min="21" max="21" width="5.28515625" bestFit="1" customWidth="1"/>
    <col min="22" max="22" width="12" bestFit="1" customWidth="1"/>
    <col min="23" max="23" width="11.5703125" bestFit="1" customWidth="1"/>
    <col min="24" max="24" width="10.140625" bestFit="1" customWidth="1"/>
    <col min="25" max="25" width="13.42578125" bestFit="1" customWidth="1"/>
    <col min="26" max="26" width="13.42578125" customWidth="1"/>
    <col min="27" max="27" width="14.140625" bestFit="1" customWidth="1"/>
    <col min="28" max="28" width="11.5703125" bestFit="1" customWidth="1"/>
    <col min="29" max="29" width="12.7109375" bestFit="1" customWidth="1"/>
    <col min="30" max="30" width="5.28515625" bestFit="1" customWidth="1"/>
    <col min="31" max="54" width="5.28515625" customWidth="1"/>
    <col min="55" max="56" width="11.28515625" bestFit="1" customWidth="1"/>
    <col min="57" max="57" width="5.28515625" bestFit="1" customWidth="1"/>
    <col min="58" max="58" width="12" bestFit="1" customWidth="1"/>
    <col min="59" max="59" width="11.5703125" bestFit="1" customWidth="1"/>
    <col min="60" max="60" width="10.140625" bestFit="1" customWidth="1"/>
    <col min="61" max="61" width="11.7109375" bestFit="1" customWidth="1"/>
    <col min="62" max="62" width="11.7109375" customWidth="1"/>
    <col min="63" max="63" width="10.7109375" bestFit="1" customWidth="1"/>
    <col min="64" max="64" width="11" bestFit="1" customWidth="1"/>
    <col min="65" max="65" width="12.28515625" bestFit="1" customWidth="1"/>
    <col min="66" max="66" width="5.28515625" bestFit="1" customWidth="1"/>
    <col min="67" max="68" width="11.28515625" bestFit="1" customWidth="1"/>
    <col min="69" max="69" width="5.28515625" bestFit="1" customWidth="1"/>
    <col min="70" max="70" width="12" bestFit="1" customWidth="1"/>
    <col min="71" max="71" width="11.5703125" bestFit="1" customWidth="1"/>
    <col min="72" max="72" width="10.140625" bestFit="1" customWidth="1"/>
    <col min="73" max="73" width="11.7109375" bestFit="1" customWidth="1"/>
    <col min="74" max="74" width="11.7109375" customWidth="1"/>
    <col min="75" max="75" width="10.7109375" bestFit="1" customWidth="1"/>
    <col min="76" max="76" width="11" bestFit="1" customWidth="1"/>
    <col min="77" max="77" width="12.28515625" bestFit="1" customWidth="1"/>
    <col min="78" max="78" width="5.28515625" bestFit="1" customWidth="1"/>
    <col min="79" max="89" width="3.28515625" bestFit="1" customWidth="1"/>
  </cols>
  <sheetData>
    <row r="1" spans="1:89" ht="15.75" thickBot="1"/>
    <row r="2" spans="1:89" s="3" customFormat="1" ht="16.5" thickBot="1">
      <c r="A2" s="2">
        <v>1</v>
      </c>
      <c r="B2" s="2">
        <f>+A2+1</f>
        <v>2</v>
      </c>
      <c r="C2" s="2">
        <f t="shared" ref="C2:D2" si="0">+B2+1</f>
        <v>3</v>
      </c>
      <c r="D2" s="2">
        <f t="shared" si="0"/>
        <v>4</v>
      </c>
      <c r="E2" s="2">
        <f t="shared" ref="E2" si="1">+D2+1</f>
        <v>5</v>
      </c>
      <c r="F2" s="2">
        <f t="shared" ref="F2" si="2">+E2+1</f>
        <v>6</v>
      </c>
      <c r="G2" s="2">
        <f t="shared" ref="G2" si="3">+F2+1</f>
        <v>7</v>
      </c>
      <c r="H2" s="2">
        <f t="shared" ref="H2" si="4">+G2+1</f>
        <v>8</v>
      </c>
      <c r="I2" s="2">
        <f t="shared" ref="I2" si="5">+H2+1</f>
        <v>9</v>
      </c>
      <c r="J2" s="2">
        <f t="shared" ref="J2" si="6">+I2+1</f>
        <v>10</v>
      </c>
      <c r="K2" s="2">
        <f t="shared" ref="K2" si="7">+J2+1</f>
        <v>11</v>
      </c>
      <c r="L2" s="2">
        <f t="shared" ref="L2" si="8">+K2+1</f>
        <v>12</v>
      </c>
      <c r="M2" s="2">
        <f t="shared" ref="M2" si="9">+L2+1</f>
        <v>13</v>
      </c>
      <c r="N2" s="2">
        <f t="shared" ref="N2" si="10">+M2+1</f>
        <v>14</v>
      </c>
      <c r="O2" s="2">
        <f t="shared" ref="O2" si="11">+N2+1</f>
        <v>15</v>
      </c>
      <c r="P2" s="2">
        <f t="shared" ref="P2" si="12">+O2+1</f>
        <v>16</v>
      </c>
      <c r="Q2" s="2">
        <f t="shared" ref="Q2" si="13">+P2+1</f>
        <v>17</v>
      </c>
      <c r="R2" s="2">
        <f t="shared" ref="R2" si="14">+Q2+1</f>
        <v>18</v>
      </c>
      <c r="S2" s="2">
        <f t="shared" ref="S2" si="15">+R2+1</f>
        <v>19</v>
      </c>
      <c r="T2" s="2">
        <f t="shared" ref="T2" si="16">+S2+1</f>
        <v>20</v>
      </c>
      <c r="U2" s="2">
        <f t="shared" ref="U2" si="17">+T2+1</f>
        <v>21</v>
      </c>
      <c r="V2" s="2">
        <f t="shared" ref="V2" si="18">+U2+1</f>
        <v>22</v>
      </c>
      <c r="W2" s="2">
        <f t="shared" ref="W2" si="19">+V2+1</f>
        <v>23</v>
      </c>
      <c r="X2" s="2">
        <f t="shared" ref="X2" si="20">+W2+1</f>
        <v>24</v>
      </c>
      <c r="Y2" s="2">
        <f t="shared" ref="Y2" si="21">+X2+1</f>
        <v>25</v>
      </c>
      <c r="Z2" s="2">
        <f t="shared" ref="Z2" si="22">+Y2+1</f>
        <v>26</v>
      </c>
      <c r="AA2" s="2">
        <f t="shared" ref="AA2" si="23">+Z2+1</f>
        <v>27</v>
      </c>
      <c r="AB2" s="2">
        <f t="shared" ref="AB2" si="24">+AA2+1</f>
        <v>28</v>
      </c>
      <c r="AC2" s="2">
        <f t="shared" ref="AC2" si="25">+AB2+1</f>
        <v>29</v>
      </c>
      <c r="AD2" s="2">
        <f t="shared" ref="AD2" si="26">+AC2+1</f>
        <v>30</v>
      </c>
      <c r="AE2" s="2">
        <f t="shared" ref="AE2" si="27">+AD2+1</f>
        <v>31</v>
      </c>
      <c r="AF2" s="2">
        <f t="shared" ref="AF2" si="28">+AE2+1</f>
        <v>32</v>
      </c>
      <c r="AG2" s="2">
        <f t="shared" ref="AG2" si="29">+AF2+1</f>
        <v>33</v>
      </c>
      <c r="AH2" s="2">
        <f t="shared" ref="AH2" si="30">+AG2+1</f>
        <v>34</v>
      </c>
      <c r="AI2" s="2">
        <f t="shared" ref="AI2" si="31">+AH2+1</f>
        <v>35</v>
      </c>
      <c r="AJ2" s="2">
        <f t="shared" ref="AJ2" si="32">+AI2+1</f>
        <v>36</v>
      </c>
      <c r="AK2" s="2">
        <f t="shared" ref="AK2" si="33">+AJ2+1</f>
        <v>37</v>
      </c>
      <c r="AL2" s="2">
        <f t="shared" ref="AL2" si="34">+AK2+1</f>
        <v>38</v>
      </c>
      <c r="AM2" s="2">
        <f t="shared" ref="AM2" si="35">+AL2+1</f>
        <v>39</v>
      </c>
      <c r="AN2" s="2">
        <f t="shared" ref="AN2" si="36">+AM2+1</f>
        <v>40</v>
      </c>
      <c r="AO2" s="2">
        <f t="shared" ref="AO2" si="37">+AN2+1</f>
        <v>41</v>
      </c>
      <c r="AP2" s="2">
        <f t="shared" ref="AP2" si="38">+AO2+1</f>
        <v>42</v>
      </c>
      <c r="AQ2" s="2">
        <f t="shared" ref="AQ2" si="39">+AP2+1</f>
        <v>43</v>
      </c>
      <c r="AR2" s="2">
        <f t="shared" ref="AR2" si="40">+AQ2+1</f>
        <v>44</v>
      </c>
      <c r="AS2" s="2">
        <f t="shared" ref="AS2" si="41">+AR2+1</f>
        <v>45</v>
      </c>
      <c r="AT2" s="2">
        <f t="shared" ref="AT2" si="42">+AS2+1</f>
        <v>46</v>
      </c>
      <c r="AU2" s="2">
        <f t="shared" ref="AU2" si="43">+AT2+1</f>
        <v>47</v>
      </c>
      <c r="AV2" s="2">
        <f t="shared" ref="AV2" si="44">+AU2+1</f>
        <v>48</v>
      </c>
      <c r="AW2" s="2">
        <f t="shared" ref="AW2" si="45">+AV2+1</f>
        <v>49</v>
      </c>
      <c r="AX2" s="2">
        <f t="shared" ref="AX2" si="46">+AW2+1</f>
        <v>50</v>
      </c>
      <c r="AY2" s="2">
        <f t="shared" ref="AY2" si="47">+AX2+1</f>
        <v>51</v>
      </c>
      <c r="AZ2" s="2">
        <f t="shared" ref="AZ2" si="48">+AY2+1</f>
        <v>52</v>
      </c>
      <c r="BA2" s="2">
        <f t="shared" ref="BA2" si="49">+AZ2+1</f>
        <v>53</v>
      </c>
      <c r="BB2" s="2">
        <f t="shared" ref="BB2" si="50">+BA2+1</f>
        <v>54</v>
      </c>
      <c r="BC2" s="2">
        <f t="shared" ref="BC2" si="51">+BB2+1</f>
        <v>55</v>
      </c>
      <c r="BD2" s="2">
        <f t="shared" ref="BD2" si="52">+BC2+1</f>
        <v>56</v>
      </c>
      <c r="BE2" s="2">
        <f t="shared" ref="BE2" si="53">+BD2+1</f>
        <v>57</v>
      </c>
      <c r="BF2" s="2">
        <f t="shared" ref="BF2" si="54">+BE2+1</f>
        <v>58</v>
      </c>
      <c r="BG2" s="2">
        <f t="shared" ref="BG2" si="55">+BF2+1</f>
        <v>59</v>
      </c>
      <c r="BH2" s="2">
        <f t="shared" ref="BH2" si="56">+BG2+1</f>
        <v>60</v>
      </c>
      <c r="BI2" s="2">
        <f t="shared" ref="BI2" si="57">+BH2+1</f>
        <v>61</v>
      </c>
      <c r="BJ2" s="2">
        <f t="shared" ref="BJ2" si="58">+BI2+1</f>
        <v>62</v>
      </c>
      <c r="BK2" s="2">
        <f t="shared" ref="BK2" si="59">+BJ2+1</f>
        <v>63</v>
      </c>
      <c r="BL2" s="2">
        <f t="shared" ref="BL2" si="60">+BK2+1</f>
        <v>64</v>
      </c>
      <c r="BM2" s="2">
        <f t="shared" ref="BM2" si="61">+BL2+1</f>
        <v>65</v>
      </c>
      <c r="BN2" s="2">
        <f t="shared" ref="BN2" si="62">+BM2+1</f>
        <v>66</v>
      </c>
      <c r="BO2" s="2">
        <f t="shared" ref="BO2" si="63">+BN2+1</f>
        <v>67</v>
      </c>
      <c r="BP2" s="2">
        <f t="shared" ref="BP2" si="64">+BO2+1</f>
        <v>68</v>
      </c>
      <c r="BQ2" s="2">
        <f t="shared" ref="BQ2" si="65">+BP2+1</f>
        <v>69</v>
      </c>
      <c r="BR2" s="2">
        <f t="shared" ref="BR2" si="66">+BQ2+1</f>
        <v>70</v>
      </c>
      <c r="BS2" s="2">
        <f t="shared" ref="BS2" si="67">+BR2+1</f>
        <v>71</v>
      </c>
      <c r="BT2" s="2">
        <f t="shared" ref="BT2" si="68">+BS2+1</f>
        <v>72</v>
      </c>
      <c r="BU2" s="2">
        <f t="shared" ref="BU2" si="69">+BT2+1</f>
        <v>73</v>
      </c>
      <c r="BV2" s="2">
        <f t="shared" ref="BV2" si="70">+BU2+1</f>
        <v>74</v>
      </c>
      <c r="BW2" s="2">
        <f t="shared" ref="BW2" si="71">+BV2+1</f>
        <v>75</v>
      </c>
      <c r="BX2" s="2">
        <f t="shared" ref="BX2" si="72">+BW2+1</f>
        <v>76</v>
      </c>
      <c r="BY2" s="2">
        <f t="shared" ref="BY2" si="73">+BX2+1</f>
        <v>77</v>
      </c>
      <c r="BZ2" s="2">
        <f t="shared" ref="BZ2" si="74">+BY2+1</f>
        <v>78</v>
      </c>
      <c r="CA2" s="2">
        <f t="shared" ref="CA2" si="75">+BZ2+1</f>
        <v>79</v>
      </c>
      <c r="CB2" s="2">
        <f t="shared" ref="CB2" si="76">+CA2+1</f>
        <v>80</v>
      </c>
      <c r="CC2" s="2">
        <f t="shared" ref="CC2" si="77">+CB2+1</f>
        <v>81</v>
      </c>
      <c r="CD2" s="2">
        <f t="shared" ref="CD2" si="78">+CC2+1</f>
        <v>82</v>
      </c>
      <c r="CE2" s="2">
        <f t="shared" ref="CE2" si="79">+CD2+1</f>
        <v>83</v>
      </c>
      <c r="CF2" s="2">
        <f t="shared" ref="CF2" si="80">+CE2+1</f>
        <v>84</v>
      </c>
      <c r="CG2" s="2">
        <f t="shared" ref="CG2" si="81">+CF2+1</f>
        <v>85</v>
      </c>
      <c r="CH2" s="2">
        <f t="shared" ref="CH2" si="82">+CG2+1</f>
        <v>86</v>
      </c>
      <c r="CI2" s="2">
        <f t="shared" ref="CI2" si="83">+CH2+1</f>
        <v>87</v>
      </c>
      <c r="CJ2" s="2">
        <f t="shared" ref="CJ2" si="84">+CI2+1</f>
        <v>88</v>
      </c>
      <c r="CK2" s="2">
        <f t="shared" ref="CK2" si="85">+CJ2+1</f>
        <v>89</v>
      </c>
    </row>
    <row r="3" spans="1:89" ht="15.75" thickBot="1"/>
    <row r="4" spans="1:89" ht="15.75">
      <c r="C4" s="368" t="str">
        <f>'הנחות עבודה'!B6</f>
        <v>שנת התחלת חישוב תזרים</v>
      </c>
      <c r="D4" s="18">
        <f>'הנחות עבודה'!C6</f>
        <v>2020</v>
      </c>
    </row>
    <row r="5" spans="1:89" ht="16.5" thickBot="1">
      <c r="C5" s="369" t="str">
        <f>'הנחות עבודה'!B7</f>
        <v>שנת היוון מקסימלית - תפעולי</v>
      </c>
      <c r="D5" s="19">
        <f>'הנחות עבודה'!C7</f>
        <v>2040</v>
      </c>
    </row>
    <row r="6" spans="1:89" ht="15.75">
      <c r="B6" s="1249" t="str">
        <f>'הנחות עבודה'!B9</f>
        <v>הנחות כלליות</v>
      </c>
      <c r="C6" s="366" t="str">
        <f>'הנחות עבודה'!C9</f>
        <v>ריבית שנתית להיוון</v>
      </c>
      <c r="D6" s="367">
        <f>'הנחות עבודה'!D9</f>
        <v>0.03</v>
      </c>
    </row>
    <row r="7" spans="1:89" ht="15.75">
      <c r="B7" s="1250"/>
      <c r="C7" s="184" t="str">
        <f>'הנחות עבודה'!C11</f>
        <v>שער הדולר שקל</v>
      </c>
      <c r="D7" s="193">
        <f>'הנחות עבודה'!D11</f>
        <v>3.5643360655737717</v>
      </c>
    </row>
    <row r="8" spans="1:89" ht="15.75">
      <c r="B8" s="1250"/>
      <c r="C8" s="185" t="str">
        <f>'הנחות עבודה'!C13</f>
        <v>MW TO KW / KW TO W</v>
      </c>
      <c r="D8" s="188">
        <f>'הנחות עבודה'!D13</f>
        <v>1000</v>
      </c>
    </row>
    <row r="9" spans="1:89" ht="15.75">
      <c r="B9" s="1250"/>
      <c r="C9" s="185" t="str">
        <f>'הנחות עבודה'!C14</f>
        <v>TW TO MW</v>
      </c>
      <c r="D9" s="188">
        <f>'הנחות עבודה'!D14</f>
        <v>1000000</v>
      </c>
    </row>
    <row r="10" spans="1:89" ht="15.75">
      <c r="B10" s="1250"/>
      <c r="C10" s="186" t="str">
        <f>'הנחות עבודה'!C15</f>
        <v>₪ לאג</v>
      </c>
      <c r="D10" s="188">
        <f>'הנחות עבודה'!D15</f>
        <v>100</v>
      </c>
    </row>
    <row r="11" spans="1:89" ht="16.5" thickBot="1">
      <c r="B11" s="1251"/>
      <c r="C11" s="347" t="str">
        <f>'הנחות עבודה'!C16</f>
        <v>מלש"ח ל- ₪ / טון לגר' / מיליון טון לטון</v>
      </c>
      <c r="D11" s="348">
        <f>'הנחות עבודה'!D16</f>
        <v>1000000</v>
      </c>
    </row>
    <row r="12" spans="1:89" ht="16.5" thickBot="1">
      <c r="B12" s="295" t="str">
        <f>'הנחות עבודה'!M31</f>
        <v>שיעור הפחתת כמות שנתי</v>
      </c>
      <c r="C12" s="182" t="str">
        <f>$F$19</f>
        <v>חלקיקים</v>
      </c>
      <c r="D12" s="191">
        <f>VLOOKUP(C12,'הנחות עבודה'!$L$32:$N$35,2,FALSE)</f>
        <v>0</v>
      </c>
      <c r="I12" s="244"/>
      <c r="J12" s="244"/>
      <c r="K12" s="244"/>
      <c r="L12" s="244"/>
      <c r="M12" s="244"/>
      <c r="N12" s="244"/>
      <c r="O12" s="244"/>
    </row>
    <row r="13" spans="1:89" ht="16.5" thickBot="1">
      <c r="B13" s="82" t="str">
        <f>'הנחות עבודה'!N31</f>
        <v>שיעור עלית מחיר</v>
      </c>
      <c r="C13" s="347" t="str">
        <f>$F$19</f>
        <v>חלקיקים</v>
      </c>
      <c r="D13" s="352">
        <f>VLOOKUP(C13,'הנחות עבודה'!$L$32:$N$35,3,FALSE)</f>
        <v>3.2649999999999998E-2</v>
      </c>
    </row>
    <row r="14" spans="1:89" ht="16.5" thickBot="1">
      <c r="B14" s="359" t="s">
        <v>250</v>
      </c>
      <c r="C14" s="353" t="str">
        <f>F19</f>
        <v>חלקיקים</v>
      </c>
      <c r="D14" s="358">
        <f>VLOOKUP(C14,'הנחות עבודה'!L39:M42,2,FALSE)</f>
        <v>270760</v>
      </c>
    </row>
    <row r="16" spans="1:89" ht="15.75" thickBot="1">
      <c r="I16" s="244"/>
      <c r="J16" s="244"/>
      <c r="K16" s="244"/>
      <c r="L16" s="244"/>
      <c r="M16" s="244"/>
      <c r="N16" s="244"/>
      <c r="O16" s="244"/>
    </row>
    <row r="17" spans="6:78" ht="16.5" thickBot="1">
      <c r="F17" s="1243" t="s">
        <v>243</v>
      </c>
      <c r="G17" s="1244"/>
      <c r="H17" s="1244"/>
      <c r="I17" s="1244"/>
      <c r="J17" s="1244"/>
      <c r="K17" s="1244"/>
      <c r="L17" s="1244"/>
      <c r="M17" s="1244"/>
      <c r="N17" s="1244"/>
      <c r="O17" s="1244"/>
      <c r="P17" s="1244"/>
      <c r="Q17" s="1244"/>
      <c r="R17" s="1245"/>
    </row>
    <row r="18" spans="6:78" ht="79.5" thickBot="1">
      <c r="F18" s="357"/>
      <c r="G18" s="335" t="str">
        <f t="shared" ref="G18:M18" ca="1" si="86">G23</f>
        <v>מוטה קרקע PV</v>
      </c>
      <c r="H18" s="336" t="str">
        <f t="shared" ca="1" si="86"/>
        <v>מוטה דואלי PV</v>
      </c>
      <c r="I18" s="336" t="str">
        <f t="shared" ca="1" si="86"/>
        <v>רוח</v>
      </c>
      <c r="J18" s="336" t="str">
        <f t="shared" ca="1" si="86"/>
        <v>ביומסה/ביוגז</v>
      </c>
      <c r="K18" s="336" t="str">
        <f t="shared" ca="1" si="86"/>
        <v>תרמו סולארי</v>
      </c>
      <c r="L18" s="336" t="str">
        <f t="shared" si="86"/>
        <v>אחר</v>
      </c>
      <c r="M18" s="336" t="str">
        <f t="shared" ca="1" si="86"/>
        <v>גז פחמיות מוסבות</v>
      </c>
      <c r="N18" s="336" t="str">
        <f t="shared" ref="N18:R18" ca="1" si="87">N23</f>
        <v>גז חח"י מחזמים ופקירים ויח"פים</v>
      </c>
      <c r="O18" s="336" t="str">
        <f t="shared" ca="1" si="87"/>
        <v>אחר 1</v>
      </c>
      <c r="P18" s="336" t="str">
        <f t="shared" ca="1" si="87"/>
        <v>אחר 2</v>
      </c>
      <c r="Q18" s="336" t="str">
        <f t="shared" si="87"/>
        <v>יחידה פחמית</v>
      </c>
      <c r="R18" s="336" t="str">
        <f t="shared" si="87"/>
        <v>סולר ופצלי שמן</v>
      </c>
    </row>
    <row r="19" spans="6:78" ht="16.5" thickBot="1">
      <c r="F19" s="335" t="s">
        <v>239</v>
      </c>
      <c r="G19" s="354">
        <f ca="1">HLOOKUP(G18,'הנחות עבודה'!$C$117:$N$121,MATCH('מזהם מקומי- חלקיקים'!$F$19,'הנחות עבודה'!$B$117:$B$121,0),FALSE)</f>
        <v>0</v>
      </c>
      <c r="H19" s="355">
        <f ca="1">HLOOKUP(H18,'הנחות עבודה'!$C$117:$N$121,MATCH('מזהם מקומי- חלקיקים'!$F$19,'הנחות עבודה'!$B$117:$B$121,0),FALSE)</f>
        <v>0</v>
      </c>
      <c r="I19" s="355">
        <f ca="1">HLOOKUP(I18,'הנחות עבודה'!$C$117:$N$121,MATCH('מזהם מקומי- חלקיקים'!$F$19,'הנחות עבודה'!$B$117:$B$121,0),FALSE)</f>
        <v>0</v>
      </c>
      <c r="J19" s="355">
        <f ca="1">HLOOKUP(J18,'הנחות עבודה'!$C$117:$N$121,MATCH('מזהם מקומי- חלקיקים'!$F$19,'הנחות עבודה'!$B$117:$B$121,0),FALSE)</f>
        <v>0</v>
      </c>
      <c r="K19" s="355">
        <f ca="1">HLOOKUP(K18,'הנחות עבודה'!$C$117:$N$121,MATCH('מזהם מקומי- חלקיקים'!$F$19,'הנחות עבודה'!$B$117:$B$121,0),FALSE)</f>
        <v>0</v>
      </c>
      <c r="L19" s="355">
        <f ca="1">HLOOKUP(L18,'הנחות עבודה'!$C$117:$N$121,MATCH('מזהם מקומי- חלקיקים'!$F$19,'הנחות עבודה'!$B$117:$B$121,0),FALSE)</f>
        <v>0</v>
      </c>
      <c r="M19" s="355">
        <f ca="1">HLOOKUP(M18,'הנחות עבודה'!$C$117:$N$121,MATCH('מזהם מקומי- חלקיקים'!$F$19,'הנחות עבודה'!$B$117:$B$121,0),FALSE)</f>
        <v>0.01</v>
      </c>
      <c r="N19" s="355">
        <f ca="1">HLOOKUP(N18,'הנחות עבודה'!$C$117:$N$121,MATCH('מזהם מקומי- חלקיקים'!$F$19,'הנחות עבודה'!$B$117:$B$121,0),FALSE)</f>
        <v>1.6E-2</v>
      </c>
      <c r="O19" s="355">
        <f ca="1">HLOOKUP(O18,'הנחות עבודה'!$C$117:$N$121,MATCH('מזהם מקומי- חלקיקים'!$F$19,'הנחות עבודה'!$B$117:$B$121,0),FALSE)</f>
        <v>0</v>
      </c>
      <c r="P19" s="355">
        <f ca="1">HLOOKUP(P18,'הנחות עבודה'!$C$117:$N$121,MATCH('מזהם מקומי- חלקיקים'!$F$19,'הנחות עבודה'!$B$117:$B$121,0),FALSE)</f>
        <v>0</v>
      </c>
      <c r="Q19" s="355">
        <f ca="1">HLOOKUP(Q18,'הנחות עבודה'!$C$117:$N$121,MATCH('מזהם מקומי- חלקיקים'!$F$19,'הנחות עבודה'!$B$117:$B$121,0),FALSE)</f>
        <v>1.4324999999999999E-2</v>
      </c>
      <c r="R19" s="355">
        <f ca="1">HLOOKUP(R18,'הנחות עבודה'!$C$117:$N$121,MATCH('מזהם מקומי- חלקיקים'!$F$19,'הנחות עבודה'!$B$117:$B$121,0),FALSE)</f>
        <v>0</v>
      </c>
    </row>
    <row r="20" spans="6:78" ht="15.75" thickBot="1">
      <c r="I20" s="244"/>
      <c r="J20" s="244"/>
      <c r="K20" s="244"/>
      <c r="L20" s="244"/>
      <c r="M20" s="244"/>
      <c r="N20" s="244"/>
      <c r="O20" s="244"/>
    </row>
    <row r="21" spans="6:78" ht="16.5" thickBot="1">
      <c r="G21" s="1243" t="s">
        <v>498</v>
      </c>
      <c r="H21" s="1244"/>
      <c r="I21" s="1244"/>
      <c r="J21" s="1244"/>
      <c r="K21" s="1244"/>
      <c r="L21" s="1244"/>
      <c r="M21" s="1244"/>
      <c r="N21" s="1244"/>
      <c r="O21" s="1244"/>
      <c r="P21" s="1244"/>
      <c r="Q21" s="1244"/>
      <c r="R21" s="1244"/>
      <c r="S21" s="1244"/>
      <c r="T21" s="1244"/>
      <c r="U21" s="1244"/>
      <c r="V21" s="1244"/>
      <c r="W21" s="1244"/>
      <c r="X21" s="1244"/>
      <c r="Y21" s="1244"/>
      <c r="Z21" s="1244"/>
      <c r="AA21" s="1244"/>
      <c r="AB21" s="1244"/>
      <c r="AC21" s="1244"/>
      <c r="AD21" s="1244"/>
      <c r="AE21" s="1244"/>
      <c r="AF21" s="1244"/>
      <c r="AG21" s="1244"/>
      <c r="AH21" s="1244"/>
      <c r="AI21" s="1244"/>
      <c r="AJ21" s="1244"/>
      <c r="AK21" s="1244"/>
      <c r="AL21" s="1244"/>
      <c r="AM21" s="1244"/>
      <c r="AN21" s="1244"/>
      <c r="AO21" s="1244"/>
      <c r="AP21" s="1244"/>
      <c r="AQ21" s="1244"/>
      <c r="AR21" s="1244"/>
      <c r="AS21" s="1244"/>
      <c r="AT21" s="1244"/>
      <c r="AU21" s="1244"/>
      <c r="AV21" s="1244"/>
      <c r="AW21" s="1244"/>
      <c r="AX21" s="1244"/>
      <c r="AY21" s="1244"/>
      <c r="AZ21" s="1244"/>
      <c r="BA21" s="1244"/>
      <c r="BB21" s="1244"/>
      <c r="BC21" s="1244"/>
      <c r="BD21" s="1244"/>
      <c r="BE21" s="1244"/>
      <c r="BF21" s="1244"/>
      <c r="BG21" s="1244"/>
      <c r="BH21" s="1244"/>
      <c r="BI21" s="1244"/>
      <c r="BJ21" s="1244"/>
      <c r="BK21" s="1244"/>
      <c r="BL21" s="1244"/>
      <c r="BM21" s="1244"/>
      <c r="BN21" s="1244"/>
      <c r="BO21" s="1244"/>
      <c r="BP21" s="1244"/>
      <c r="BQ21" s="1244"/>
      <c r="BR21" s="1244"/>
      <c r="BS21" s="1244"/>
      <c r="BT21" s="1244"/>
      <c r="BU21" s="1244"/>
      <c r="BV21" s="1244"/>
      <c r="BW21" s="1244"/>
      <c r="BX21" s="1244"/>
      <c r="BY21" s="1244"/>
      <c r="BZ21" s="1245"/>
    </row>
    <row r="22" spans="6:78" ht="16.5" thickBot="1">
      <c r="G22" s="1289" t="s">
        <v>46</v>
      </c>
      <c r="H22" s="1290"/>
      <c r="I22" s="1290"/>
      <c r="J22" s="1290"/>
      <c r="K22" s="1290"/>
      <c r="L22" s="1290"/>
      <c r="M22" s="1290"/>
      <c r="N22" s="1290"/>
      <c r="O22" s="1290"/>
      <c r="P22" s="1290"/>
      <c r="Q22" s="1290"/>
      <c r="R22" s="1296"/>
      <c r="S22" s="1291" t="s">
        <v>47</v>
      </c>
      <c r="T22" s="1292"/>
      <c r="U22" s="1292"/>
      <c r="V22" s="1292"/>
      <c r="W22" s="1292"/>
      <c r="X22" s="1292"/>
      <c r="Y22" s="1292"/>
      <c r="Z22" s="1292"/>
      <c r="AA22" s="1292"/>
      <c r="AB22" s="1292"/>
      <c r="AC22" s="1292"/>
      <c r="AD22" s="1293"/>
      <c r="AE22" s="1289" t="s">
        <v>342</v>
      </c>
      <c r="AF22" s="1290"/>
      <c r="AG22" s="1290"/>
      <c r="AH22" s="1290"/>
      <c r="AI22" s="1290"/>
      <c r="AJ22" s="1290"/>
      <c r="AK22" s="1290"/>
      <c r="AL22" s="1290"/>
      <c r="AM22" s="1290"/>
      <c r="AN22" s="1290"/>
      <c r="AO22" s="1290"/>
      <c r="AP22" s="1296"/>
      <c r="AQ22" s="1291" t="s">
        <v>343</v>
      </c>
      <c r="AR22" s="1292"/>
      <c r="AS22" s="1292"/>
      <c r="AT22" s="1292"/>
      <c r="AU22" s="1292"/>
      <c r="AV22" s="1292"/>
      <c r="AW22" s="1292"/>
      <c r="AX22" s="1292"/>
      <c r="AY22" s="1292"/>
      <c r="AZ22" s="1292"/>
      <c r="BA22" s="1292"/>
      <c r="BB22" s="1293"/>
      <c r="BC22" s="1289" t="s">
        <v>344</v>
      </c>
      <c r="BD22" s="1290"/>
      <c r="BE22" s="1290"/>
      <c r="BF22" s="1290"/>
      <c r="BG22" s="1290"/>
      <c r="BH22" s="1290"/>
      <c r="BI22" s="1290"/>
      <c r="BJ22" s="1290"/>
      <c r="BK22" s="1290"/>
      <c r="BL22" s="1290"/>
      <c r="BM22" s="1290"/>
      <c r="BN22" s="1296"/>
      <c r="BO22" s="1291" t="s">
        <v>345</v>
      </c>
      <c r="BP22" s="1292"/>
      <c r="BQ22" s="1292"/>
      <c r="BR22" s="1292"/>
      <c r="BS22" s="1292"/>
      <c r="BT22" s="1292"/>
      <c r="BU22" s="1292"/>
      <c r="BV22" s="1292"/>
      <c r="BW22" s="1292"/>
      <c r="BX22" s="1292"/>
      <c r="BY22" s="1292"/>
      <c r="BZ22" s="1293"/>
    </row>
    <row r="23" spans="6:78" ht="48" customHeight="1" thickBot="1">
      <c r="F23" s="7" t="s">
        <v>0</v>
      </c>
      <c r="G23" s="38" t="str">
        <f ca="1">'התפלגות ייצור וסל דלקים'!C62</f>
        <v>מוטה קרקע PV</v>
      </c>
      <c r="H23" s="38" t="str">
        <f ca="1">'התפלגות ייצור וסל דלקים'!D62</f>
        <v>מוטה דואלי PV</v>
      </c>
      <c r="I23" s="38" t="str">
        <f ca="1">'התפלגות ייצור וסל דלקים'!E62</f>
        <v>רוח</v>
      </c>
      <c r="J23" s="38" t="str">
        <f ca="1">'התפלגות ייצור וסל דלקים'!F62</f>
        <v>ביומסה/ביוגז</v>
      </c>
      <c r="K23" s="38" t="str">
        <f ca="1">'התפלגות ייצור וסל דלקים'!G62</f>
        <v>תרמו סולארי</v>
      </c>
      <c r="L23" s="38" t="str">
        <f>'התפלגות ייצור וסל דלקים'!H62</f>
        <v>אחר</v>
      </c>
      <c r="M23" s="38" t="str">
        <f ca="1">'התפלגות ייצור וסל דלקים'!I62</f>
        <v>גז פחמיות מוסבות</v>
      </c>
      <c r="N23" s="38" t="str">
        <f ca="1">'התפלגות ייצור וסל דלקים'!J62</f>
        <v>גז חח"י מחזמים ופקירים ויח"פים</v>
      </c>
      <c r="O23" s="38" t="str">
        <f ca="1">'התפלגות ייצור וסל דלקים'!K62</f>
        <v>אחר 1</v>
      </c>
      <c r="P23" s="38" t="str">
        <f ca="1">'התפלגות ייצור וסל דלקים'!L62</f>
        <v>אחר 2</v>
      </c>
      <c r="Q23" s="38" t="str">
        <f>'התפלגות ייצור וסל דלקים'!M62</f>
        <v>יחידה פחמית</v>
      </c>
      <c r="R23" s="38" t="str">
        <f>'התפלגות ייצור וסל דלקים'!N62</f>
        <v>סולר ופצלי שמן</v>
      </c>
      <c r="S23" s="48" t="str">
        <f t="shared" ref="S23:BZ23" ca="1" si="88">G23</f>
        <v>מוטה קרקע PV</v>
      </c>
      <c r="T23" s="48" t="str">
        <f t="shared" ca="1" si="88"/>
        <v>מוטה דואלי PV</v>
      </c>
      <c r="U23" s="48" t="str">
        <f t="shared" ca="1" si="88"/>
        <v>רוח</v>
      </c>
      <c r="V23" s="48" t="str">
        <f t="shared" ca="1" si="88"/>
        <v>ביומסה/ביוגז</v>
      </c>
      <c r="W23" s="48" t="str">
        <f t="shared" ca="1" si="88"/>
        <v>תרמו סולארי</v>
      </c>
      <c r="X23" s="48" t="str">
        <f t="shared" si="88"/>
        <v>אחר</v>
      </c>
      <c r="Y23" s="48" t="str">
        <f t="shared" ca="1" si="88"/>
        <v>גז פחמיות מוסבות</v>
      </c>
      <c r="Z23" s="48" t="str">
        <f t="shared" ca="1" si="88"/>
        <v>גז חח"י מחזמים ופקירים ויח"פים</v>
      </c>
      <c r="AA23" s="48" t="str">
        <f t="shared" ca="1" si="88"/>
        <v>אחר 1</v>
      </c>
      <c r="AB23" s="48" t="str">
        <f t="shared" ca="1" si="88"/>
        <v>אחר 2</v>
      </c>
      <c r="AC23" s="48" t="str">
        <f t="shared" si="88"/>
        <v>יחידה פחמית</v>
      </c>
      <c r="AD23" s="48" t="str">
        <f t="shared" si="88"/>
        <v>סולר ופצלי שמן</v>
      </c>
      <c r="AE23" s="38" t="str">
        <f t="shared" ref="AE23" ca="1" si="89">S23</f>
        <v>מוטה קרקע PV</v>
      </c>
      <c r="AF23" s="38" t="str">
        <f t="shared" ref="AF23" ca="1" si="90">T23</f>
        <v>מוטה דואלי PV</v>
      </c>
      <c r="AG23" s="38" t="str">
        <f t="shared" ref="AG23" ca="1" si="91">U23</f>
        <v>רוח</v>
      </c>
      <c r="AH23" s="38" t="str">
        <f t="shared" ref="AH23" ca="1" si="92">V23</f>
        <v>ביומסה/ביוגז</v>
      </c>
      <c r="AI23" s="38" t="str">
        <f t="shared" ref="AI23" ca="1" si="93">W23</f>
        <v>תרמו סולארי</v>
      </c>
      <c r="AJ23" s="38" t="str">
        <f t="shared" ref="AJ23" si="94">X23</f>
        <v>אחר</v>
      </c>
      <c r="AK23" s="38" t="str">
        <f t="shared" ref="AK23" ca="1" si="95">Y23</f>
        <v>גז פחמיות מוסבות</v>
      </c>
      <c r="AL23" s="38" t="str">
        <f t="shared" ref="AL23" ca="1" si="96">Z23</f>
        <v>גז חח"י מחזמים ופקירים ויח"פים</v>
      </c>
      <c r="AM23" s="38" t="str">
        <f t="shared" ref="AM23" ca="1" si="97">AA23</f>
        <v>אחר 1</v>
      </c>
      <c r="AN23" s="38" t="str">
        <f t="shared" ref="AN23" ca="1" si="98">AB23</f>
        <v>אחר 2</v>
      </c>
      <c r="AO23" s="38" t="str">
        <f t="shared" ref="AO23" si="99">AC23</f>
        <v>יחידה פחמית</v>
      </c>
      <c r="AP23" s="38" t="str">
        <f t="shared" ref="AP23" si="100">AD23</f>
        <v>סולר ופצלי שמן</v>
      </c>
      <c r="AQ23" s="48" t="str">
        <f t="shared" ref="AQ23" ca="1" si="101">AE23</f>
        <v>מוטה קרקע PV</v>
      </c>
      <c r="AR23" s="48" t="str">
        <f t="shared" ref="AR23" ca="1" si="102">AF23</f>
        <v>מוטה דואלי PV</v>
      </c>
      <c r="AS23" s="48" t="str">
        <f t="shared" ref="AS23" ca="1" si="103">AG23</f>
        <v>רוח</v>
      </c>
      <c r="AT23" s="48" t="str">
        <f t="shared" ref="AT23" ca="1" si="104">AH23</f>
        <v>ביומסה/ביוגז</v>
      </c>
      <c r="AU23" s="48" t="str">
        <f t="shared" ref="AU23" ca="1" si="105">AI23</f>
        <v>תרמו סולארי</v>
      </c>
      <c r="AV23" s="48" t="str">
        <f t="shared" ref="AV23" si="106">AJ23</f>
        <v>אחר</v>
      </c>
      <c r="AW23" s="48" t="str">
        <f t="shared" ref="AW23" ca="1" si="107">AK23</f>
        <v>גז פחמיות מוסבות</v>
      </c>
      <c r="AX23" s="48" t="str">
        <f t="shared" ref="AX23" ca="1" si="108">AL23</f>
        <v>גז חח"י מחזמים ופקירים ויח"פים</v>
      </c>
      <c r="AY23" s="48" t="str">
        <f t="shared" ref="AY23" ca="1" si="109">AM23</f>
        <v>אחר 1</v>
      </c>
      <c r="AZ23" s="48" t="str">
        <f t="shared" ref="AZ23" ca="1" si="110">AN23</f>
        <v>אחר 2</v>
      </c>
      <c r="BA23" s="48" t="str">
        <f t="shared" ref="BA23" si="111">AO23</f>
        <v>יחידה פחמית</v>
      </c>
      <c r="BB23" s="48" t="str">
        <f t="shared" ref="BB23" si="112">AP23</f>
        <v>סולר ופצלי שמן</v>
      </c>
      <c r="BC23" s="38" t="str">
        <f t="shared" ref="BC23:BN23" ca="1" si="113">S23</f>
        <v>מוטה קרקע PV</v>
      </c>
      <c r="BD23" s="38" t="str">
        <f t="shared" ca="1" si="113"/>
        <v>מוטה דואלי PV</v>
      </c>
      <c r="BE23" s="38" t="str">
        <f t="shared" ca="1" si="113"/>
        <v>רוח</v>
      </c>
      <c r="BF23" s="38" t="str">
        <f t="shared" ca="1" si="113"/>
        <v>ביומסה/ביוגז</v>
      </c>
      <c r="BG23" s="38" t="str">
        <f t="shared" ca="1" si="113"/>
        <v>תרמו סולארי</v>
      </c>
      <c r="BH23" s="38" t="str">
        <f t="shared" si="113"/>
        <v>אחר</v>
      </c>
      <c r="BI23" s="38" t="str">
        <f t="shared" ca="1" si="113"/>
        <v>גז פחמיות מוסבות</v>
      </c>
      <c r="BJ23" s="38" t="str">
        <f t="shared" ca="1" si="113"/>
        <v>גז חח"י מחזמים ופקירים ויח"פים</v>
      </c>
      <c r="BK23" s="38" t="str">
        <f t="shared" ca="1" si="113"/>
        <v>אחר 1</v>
      </c>
      <c r="BL23" s="38" t="str">
        <f t="shared" ca="1" si="113"/>
        <v>אחר 2</v>
      </c>
      <c r="BM23" s="38" t="str">
        <f t="shared" si="113"/>
        <v>יחידה פחמית</v>
      </c>
      <c r="BN23" s="38" t="str">
        <f t="shared" si="113"/>
        <v>סולר ופצלי שמן</v>
      </c>
      <c r="BO23" s="48" t="str">
        <f t="shared" ca="1" si="88"/>
        <v>מוטה קרקע PV</v>
      </c>
      <c r="BP23" s="48" t="str">
        <f t="shared" ca="1" si="88"/>
        <v>מוטה דואלי PV</v>
      </c>
      <c r="BQ23" s="48" t="str">
        <f t="shared" ca="1" si="88"/>
        <v>רוח</v>
      </c>
      <c r="BR23" s="48" t="str">
        <f t="shared" ca="1" si="88"/>
        <v>ביומסה/ביוגז</v>
      </c>
      <c r="BS23" s="48" t="str">
        <f t="shared" ca="1" si="88"/>
        <v>תרמו סולארי</v>
      </c>
      <c r="BT23" s="48" t="str">
        <f t="shared" si="88"/>
        <v>אחר</v>
      </c>
      <c r="BU23" s="48" t="str">
        <f t="shared" ca="1" si="88"/>
        <v>גז פחמיות מוסבות</v>
      </c>
      <c r="BV23" s="48" t="str">
        <f t="shared" ca="1" si="88"/>
        <v>גז חח"י מחזמים ופקירים ויח"פים</v>
      </c>
      <c r="BW23" s="48" t="str">
        <f t="shared" ca="1" si="88"/>
        <v>אחר 1</v>
      </c>
      <c r="BX23" s="48" t="str">
        <f t="shared" ca="1" si="88"/>
        <v>אחר 2</v>
      </c>
      <c r="BY23" s="48" t="str">
        <f t="shared" si="88"/>
        <v>יחידה פחמית</v>
      </c>
      <c r="BZ23" s="48" t="str">
        <f t="shared" si="88"/>
        <v>סולר ופצלי שמן</v>
      </c>
    </row>
    <row r="24" spans="6:78" ht="15.75">
      <c r="F24" s="8">
        <f>D4</f>
        <v>2020</v>
      </c>
      <c r="G24" s="39">
        <f ca="1">IF(OR($F24&gt;$D$5,$F24&gt;MAX('הנחות עבודה'!$B$69:$B$89)),0,(VLOOKUP($F24,'התפלגות ייצור וסל דלקים'!$B$64:$BV$84,G$2-$E$2,FALSE))*$D$9*$D$8*(HLOOKUP(G$23,$G$18:$R$19,2,FALSE)*(1-$D$12)^($F24-'הנחות עבודה'!$C$5)/$D$11)/$D$11)</f>
        <v>0</v>
      </c>
      <c r="H24" s="41">
        <f ca="1">IF(OR($F24&gt;$D$5,$F24&gt;MAX('הנחות עבודה'!$B$69:$B$89)),0,(VLOOKUP($F24,'התפלגות ייצור וסל דלקים'!$B$64:$BV$84,H$2-$E$2,FALSE))*$D$9*$D$8*(HLOOKUP(H$23,$G$18:$R$19,2,FALSE)*(1-$D$12)^($F24-'הנחות עבודה'!$C$5)/$D$11)/$D$11)</f>
        <v>0</v>
      </c>
      <c r="I24" s="41">
        <f ca="1">IF(OR($F24&gt;$D$5,$F24&gt;MAX('הנחות עבודה'!$B$69:$B$89)),0,(VLOOKUP($F24,'התפלגות ייצור וסל דלקים'!$B$64:$BV$84,I$2-$E$2,FALSE))*$D$9*$D$8*(HLOOKUP(I$23,$G$18:$R$19,2,FALSE)*(1-$D$12)^($F24-'הנחות עבודה'!$C$5)/$D$11)/$D$11)</f>
        <v>0</v>
      </c>
      <c r="J24" s="41">
        <f ca="1">IF(OR($F24&gt;$D$5,$F24&gt;MAX('הנחות עבודה'!$B$69:$B$89)),0,(VLOOKUP($F24,'התפלגות ייצור וסל דלקים'!$B$64:$BV$84,J$2-$E$2,FALSE))*$D$9*$D$8*(HLOOKUP(J$23,$G$18:$R$19,2,FALSE)*(1-$D$12)^($F24-'הנחות עבודה'!$C$5)/$D$11)/$D$11)</f>
        <v>0</v>
      </c>
      <c r="K24" s="41">
        <f ca="1">IF(OR($F24&gt;$D$5,$F24&gt;MAX('הנחות עבודה'!$B$69:$B$89)),0,(VLOOKUP($F24,'התפלגות ייצור וסל דלקים'!$B$64:$BV$84,K$2-$E$2,FALSE))*$D$9*$D$8*(HLOOKUP(K$23,$G$18:$R$19,2,FALSE)*(1-$D$12)^($F24-'הנחות עבודה'!$C$5)/$D$11)/$D$11)</f>
        <v>0</v>
      </c>
      <c r="L24" s="41">
        <f ca="1">IF(OR($F24&gt;$D$5,$F24&gt;MAX('הנחות עבודה'!$B$69:$B$89)),0,(VLOOKUP($F24,'התפלגות ייצור וסל דלקים'!$B$64:$BV$84,L$2-$E$2,FALSE))*$D$9*$D$8*(HLOOKUP(L$23,$G$18:$R$19,2,FALSE)*(1-$D$12)^($F24-'הנחות עבודה'!$C$5)/$D$11)/$D$11)</f>
        <v>0</v>
      </c>
      <c r="M24" s="39">
        <f ca="1">IF(OR($F24&gt;$D$5,$F24&gt;MAX('הנחות עבודה'!$B$69:$B$89)),0,(VLOOKUP($F24,'התפלגות ייצור וסל דלקים'!$B$64:$BV$84,M$2-$E$2,FALSE))*$D$9*$D$8*(HLOOKUP(M$23,$G$18:$R$19,2,FALSE)*(1-$D$12)^($F24-'הנחות עבודה'!$C$5)/$D$11)/$D$11)</f>
        <v>0</v>
      </c>
      <c r="N24" s="39">
        <f ca="1">IF(OR($F24&gt;$D$5,$F24&gt;MAX('הנחות עבודה'!$B$69:$B$89)),0,(VLOOKUP($F24,'התפלגות ייצור וסל דלקים'!$B$64:$BV$84,N$2-$E$2,FALSE))*$D$9*$D$8*(HLOOKUP(N$23,$G$18:$R$19,2,FALSE)*(1-$D$12)^($F24-'הנחות עבודה'!$C$5)/$D$11)/$D$11)</f>
        <v>7.7934708640000011E-4</v>
      </c>
      <c r="O24" s="39">
        <f ca="1">IF(OR($F24&gt;$D$5,$F24&gt;MAX('הנחות עבודה'!$B$69:$B$89)),0,(VLOOKUP($F24,'התפלגות ייצור וסל דלקים'!$B$64:$BV$84,O$2-$E$2,FALSE))*$D$9*$D$8*(HLOOKUP(O$23,$G$18:$R$19,2,FALSE)*(1-$D$12)^($F24-'הנחות עבודה'!$C$5)/$D$11)/$D$11)</f>
        <v>0</v>
      </c>
      <c r="P24" s="39">
        <f ca="1">IF(OR($F24&gt;$D$5,$F24&gt;MAX('הנחות עבודה'!$B$69:$B$89)),0,(VLOOKUP($F24,'התפלגות ייצור וסל דלקים'!$B$64:$BV$84,P$2-$E$2,FALSE))*$D$9*$D$8*(HLOOKUP(P$23,$G$18:$R$19,2,FALSE)*(1-$D$12)^($F24-'הנחות עבודה'!$C$5)/$D$11)/$D$11)</f>
        <v>0</v>
      </c>
      <c r="Q24" s="39">
        <f ca="1">IF(OR($F24&gt;$D$5,$F24&gt;MAX('הנחות עבודה'!$B$69:$B$89)),0,(VLOOKUP($F24,'התפלגות ייצור וסל דלקים'!$B$64:$BV$84,Q$2-$E$2,FALSE))*$D$9*$D$8*(HLOOKUP(Q$23,$G$18:$R$19,2,FALSE)*(1-$D$12)^($F24-'הנחות עבודה'!$C$5)/$D$11)/$D$11)</f>
        <v>2.5010991600000001E-4</v>
      </c>
      <c r="R24" s="39">
        <f ca="1">IF(OR($F24&gt;$D$5,$F24&gt;MAX('הנחות עבודה'!$B$69:$B$89)),0,(VLOOKUP($F24,'התפלגות ייצור וסל דלקים'!$B$64:$BV$84,R$2-$E$2,FALSE))*$D$9*$D$8*(HLOOKUP(R$23,$G$18:$R$19,2,FALSE)*(1-$D$12)^($F24-'הנחות עבודה'!$C$5)/$D$11)/$D$11)</f>
        <v>0</v>
      </c>
      <c r="S24" s="49">
        <f ca="1">IF(OR($F24&gt;$D$5,$F24&gt;MAX('הנחות עבודה'!$B$69:$B$89)),0,(VLOOKUP($F24,'התפלגות ייצור וסל דלקים'!$B$64:$BV$84,S$2-$E$2,FALSE))*$D$9*$D$8*(HLOOKUP(S$23,$G$18:$R$19,2,FALSE)*(1-$D$12)^($F24-'הנחות עבודה'!$C$5)/$D$11)/$D$11)</f>
        <v>0</v>
      </c>
      <c r="T24" s="126">
        <f ca="1">IF(OR($F24&gt;$D$5,$F24&gt;MAX('הנחות עבודה'!$B$69:$B$89)),0,(VLOOKUP($F24,'התפלגות ייצור וסל דלקים'!$B$64:$BV$84,T$2-$E$2,FALSE))*$D$9*$D$8*(HLOOKUP(T$23,$G$18:$R$19,2,FALSE)*(1-$D$12)^($F24-'הנחות עבודה'!$C$5)/$D$11)/$D$11)</f>
        <v>0</v>
      </c>
      <c r="U24" s="126">
        <f ca="1">IF(OR($F24&gt;$D$5,$F24&gt;MAX('הנחות עבודה'!$B$69:$B$89)),0,(VLOOKUP($F24,'התפלגות ייצור וסל דלקים'!$B$64:$BV$84,U$2-$E$2,FALSE))*$D$9*$D$8*(HLOOKUP(U$23,$G$18:$R$19,2,FALSE)*(1-$D$12)^($F24-'הנחות עבודה'!$C$5)/$D$11)/$D$11)</f>
        <v>0</v>
      </c>
      <c r="V24" s="126">
        <f ca="1">IF(OR($F24&gt;$D$5,$F24&gt;MAX('הנחות עבודה'!$B$69:$B$89)),0,(VLOOKUP($F24,'התפלגות ייצור וסל דלקים'!$B$64:$BV$84,V$2-$E$2,FALSE))*$D$9*$D$8*(HLOOKUP(V$23,$G$18:$R$19,2,FALSE)*(1-$D$12)^($F24-'הנחות עבודה'!$C$5)/$D$11)/$D$11)</f>
        <v>0</v>
      </c>
      <c r="W24" s="126">
        <f ca="1">IF(OR($F24&gt;$D$5,$F24&gt;MAX('הנחות עבודה'!$B$69:$B$89)),0,(VLOOKUP($F24,'התפלגות ייצור וסל דלקים'!$B$64:$BV$84,W$2-$E$2,FALSE))*$D$9*$D$8*(HLOOKUP(W$23,$G$18:$R$19,2,FALSE)*(1-$D$12)^($F24-'הנחות עבודה'!$C$5)/$D$11)/$D$11)</f>
        <v>0</v>
      </c>
      <c r="X24" s="126">
        <f ca="1">IF(OR($F24&gt;$D$5,$F24&gt;MAX('הנחות עבודה'!$B$69:$B$89)),0,(VLOOKUP($F24,'התפלגות ייצור וסל דלקים'!$B$64:$BV$84,X$2-$E$2,FALSE))*$D$9*$D$8*(HLOOKUP(X$23,$G$18:$R$19,2,FALSE)*(1-$D$12)^($F24-'הנחות עבודה'!$C$5)/$D$11)/$D$11)</f>
        <v>0</v>
      </c>
      <c r="Y24" s="49">
        <f ca="1">IF(OR($F24&gt;$D$5,$F24&gt;MAX('הנחות עבודה'!$B$69:$B$89)),0,(VLOOKUP($F24,'התפלגות ייצור וסל דלקים'!$B$64:$BV$84,Y$2-$E$2,FALSE))*$D$9*$D$8*(HLOOKUP(Y$23,$G$18:$R$19,2,FALSE)*(1-$D$12)^($F24-'הנחות עבודה'!$C$5)/$D$11)/$D$11)</f>
        <v>0</v>
      </c>
      <c r="Z24" s="49">
        <f ca="1">IF(OR($F24&gt;$D$5,$F24&gt;MAX('הנחות עבודה'!$B$69:$B$89)),0,(VLOOKUP($F24,'התפלגות ייצור וסל דלקים'!$B$64:$BV$84,Z$2-$E$2,FALSE))*$D$9*$D$8*(HLOOKUP(Z$23,$G$18:$R$19,2,FALSE)*(1-$D$12)^($F24-'הנחות עבודה'!$C$5)/$D$11)/$D$11)</f>
        <v>7.7934708640000011E-4</v>
      </c>
      <c r="AA24" s="49">
        <f ca="1">IF(OR($F24&gt;$D$5,$F24&gt;MAX('הנחות עבודה'!$B$69:$B$89)),0,(VLOOKUP($F24,'התפלגות ייצור וסל דלקים'!$B$64:$BV$84,AA$2-$E$2,FALSE))*$D$9*$D$8*(HLOOKUP(AA$23,$G$18:$R$19,2,FALSE)*(1-$D$12)^($F24-'הנחות עבודה'!$C$5)/$D$11)/$D$11)</f>
        <v>0</v>
      </c>
      <c r="AB24" s="49">
        <f ca="1">IF(OR($F24&gt;$D$5,$F24&gt;MAX('הנחות עבודה'!$B$69:$B$89)),0,(VLOOKUP($F24,'התפלגות ייצור וסל דלקים'!$B$64:$BV$84,AB$2-$E$2,FALSE))*$D$9*$D$8*(HLOOKUP(AB$23,$G$18:$R$19,2,FALSE)*(1-$D$12)^($F24-'הנחות עבודה'!$C$5)/$D$11)/$D$11)</f>
        <v>0</v>
      </c>
      <c r="AC24" s="49">
        <f ca="1">IF(OR($F24&gt;$D$5,$F24&gt;MAX('הנחות עבודה'!$B$69:$B$89)),0,(VLOOKUP($F24,'התפלגות ייצור וסל דלקים'!$B$64:$BV$84,AC$2-$E$2,FALSE))*$D$9*$D$8*(HLOOKUP(AC$23,$G$18:$R$19,2,FALSE)*(1-$D$12)^($F24-'הנחות עבודה'!$C$5)/$D$11)/$D$11)</f>
        <v>2.5010991600000001E-4</v>
      </c>
      <c r="AD24" s="49">
        <f ca="1">IF(OR($F24&gt;$D$5,$F24&gt;MAX('הנחות עבודה'!$B$69:$B$89)),0,(VLOOKUP($F24,'התפלגות ייצור וסל דלקים'!$B$64:$BV$84,AD$2-$E$2,FALSE))*$D$9*$D$8*(HLOOKUP(AD$23,$G$18:$R$19,2,FALSE)*(1-$D$12)^($F24-'הנחות עבודה'!$C$5)/$D$11)/$D$11)</f>
        <v>0</v>
      </c>
      <c r="AE24" s="39">
        <f ca="1">IF(OR($F24&gt;$D$5,$F24&gt;MAX('הנחות עבודה'!$B$69:$B$89)),0,(VLOOKUP($F24,'התפלגות ייצור וסל דלקים'!$B$64:$BV$84,AE$2-$E$2,FALSE))*$D$9*$D$8*(HLOOKUP(AE$23,$G$18:$R$19,2,FALSE)*(1-$D$12)^($F24-'הנחות עבודה'!$C$5)/$D$11)/$D$11)</f>
        <v>0</v>
      </c>
      <c r="AF24" s="41">
        <f ca="1">IF(OR($F24&gt;$D$5,$F24&gt;MAX('הנחות עבודה'!$B$69:$B$89)),0,(VLOOKUP($F24,'התפלגות ייצור וסל דלקים'!$B$64:$BV$84,AF$2-$E$2,FALSE))*$D$9*$D$8*(HLOOKUP(AF$23,$G$18:$R$19,2,FALSE)*(1-$D$12)^($F24-'הנחות עבודה'!$C$5)/$D$11)/$D$11)</f>
        <v>0</v>
      </c>
      <c r="AG24" s="41">
        <f ca="1">IF(OR($F24&gt;$D$5,$F24&gt;MAX('הנחות עבודה'!$B$69:$B$89)),0,(VLOOKUP($F24,'התפלגות ייצור וסל דלקים'!$B$64:$BV$84,AG$2-$E$2,FALSE))*$D$9*$D$8*(HLOOKUP(AG$23,$G$18:$R$19,2,FALSE)*(1-$D$12)^($F24-'הנחות עבודה'!$C$5)/$D$11)/$D$11)</f>
        <v>0</v>
      </c>
      <c r="AH24" s="41">
        <f ca="1">IF(OR($F24&gt;$D$5,$F24&gt;MAX('הנחות עבודה'!$B$69:$B$89)),0,(VLOOKUP($F24,'התפלגות ייצור וסל דלקים'!$B$64:$BV$84,AH$2-$E$2,FALSE))*$D$9*$D$8*(HLOOKUP(AH$23,$G$18:$R$19,2,FALSE)*(1-$D$12)^($F24-'הנחות עבודה'!$C$5)/$D$11)/$D$11)</f>
        <v>0</v>
      </c>
      <c r="AI24" s="41">
        <f ca="1">IF(OR($F24&gt;$D$5,$F24&gt;MAX('הנחות עבודה'!$B$69:$B$89)),0,(VLOOKUP($F24,'התפלגות ייצור וסל דלקים'!$B$64:$BV$84,AI$2-$E$2,FALSE))*$D$9*$D$8*(HLOOKUP(AI$23,$G$18:$R$19,2,FALSE)*(1-$D$12)^($F24-'הנחות עבודה'!$C$5)/$D$11)/$D$11)</f>
        <v>0</v>
      </c>
      <c r="AJ24" s="41">
        <f ca="1">IF(OR($F24&gt;$D$5,$F24&gt;MAX('הנחות עבודה'!$B$69:$B$89)),0,(VLOOKUP($F24,'התפלגות ייצור וסל דלקים'!$B$64:$BV$84,AJ$2-$E$2,FALSE))*$D$9*$D$8*(HLOOKUP(AJ$23,$G$18:$R$19,2,FALSE)*(1-$D$12)^($F24-'הנחות עבודה'!$C$5)/$D$11)/$D$11)</f>
        <v>0</v>
      </c>
      <c r="AK24" s="39">
        <f ca="1">IF(OR($F24&gt;$D$5,$F24&gt;MAX('הנחות עבודה'!$B$69:$B$89)),0,(VLOOKUP($F24,'התפלגות ייצור וסל דלקים'!$B$64:$BV$84,AK$2-$E$2,FALSE))*$D$9*$D$8*(HLOOKUP(AK$23,$G$18:$R$19,2,FALSE)*(1-$D$12)^($F24-'הנחות עבודה'!$C$5)/$D$11)/$D$11)</f>
        <v>0</v>
      </c>
      <c r="AL24" s="39">
        <f ca="1">IF(OR($F24&gt;$D$5,$F24&gt;MAX('הנחות עבודה'!$B$69:$B$89)),0,(VLOOKUP($F24,'התפלגות ייצור וסל דלקים'!$B$64:$BV$84,AL$2-$E$2,FALSE))*$D$9*$D$8*(HLOOKUP(AL$23,$G$18:$R$19,2,FALSE)*(1-$D$12)^($F24-'הנחות עבודה'!$C$5)/$D$11)/$D$11)</f>
        <v>7.7934708640000011E-4</v>
      </c>
      <c r="AM24" s="39">
        <f ca="1">IF(OR($F24&gt;$D$5,$F24&gt;MAX('הנחות עבודה'!$B$69:$B$89)),0,(VLOOKUP($F24,'התפלגות ייצור וסל דלקים'!$B$64:$BV$84,AM$2-$E$2,FALSE))*$D$9*$D$8*(HLOOKUP(AM$23,$G$18:$R$19,2,FALSE)*(1-$D$12)^($F24-'הנחות עבודה'!$C$5)/$D$11)/$D$11)</f>
        <v>0</v>
      </c>
      <c r="AN24" s="39">
        <f ca="1">IF(OR($F24&gt;$D$5,$F24&gt;MAX('הנחות עבודה'!$B$69:$B$89)),0,(VLOOKUP($F24,'התפלגות ייצור וסל דלקים'!$B$64:$BV$84,AN$2-$E$2,FALSE))*$D$9*$D$8*(HLOOKUP(AN$23,$G$18:$R$19,2,FALSE)*(1-$D$12)^($F24-'הנחות עבודה'!$C$5)/$D$11)/$D$11)</f>
        <v>0</v>
      </c>
      <c r="AO24" s="39">
        <f ca="1">IF(OR($F24&gt;$D$5,$F24&gt;MAX('הנחות עבודה'!$B$69:$B$89)),0,(VLOOKUP($F24,'התפלגות ייצור וסל דלקים'!$B$64:$BV$84,AO$2-$E$2,FALSE))*$D$9*$D$8*(HLOOKUP(AO$23,$G$18:$R$19,2,FALSE)*(1-$D$12)^($F24-'הנחות עבודה'!$C$5)/$D$11)/$D$11)</f>
        <v>2.5010991600000001E-4</v>
      </c>
      <c r="AP24" s="39">
        <f ca="1">IF(OR($F24&gt;$D$5,$F24&gt;MAX('הנחות עבודה'!$B$69:$B$89)),0,(VLOOKUP($F24,'התפלגות ייצור וסל דלקים'!$B$64:$BV$84,AP$2-$E$2,FALSE))*$D$9*$D$8*(HLOOKUP(AP$23,$G$18:$R$19,2,FALSE)*(1-$D$12)^($F24-'הנחות עבודה'!$C$5)/$D$11)/$D$11)</f>
        <v>0</v>
      </c>
      <c r="AQ24" s="49">
        <f ca="1">IF(OR($F24&gt;$D$5,$F24&gt;MAX('הנחות עבודה'!$B$69:$B$89)),0,(VLOOKUP($F24,'התפלגות ייצור וסל דלקים'!$B$64:$BV$84,AQ$2-$E$2,FALSE))*$D$9*$D$8*(HLOOKUP(AQ$23,$G$18:$R$19,2,FALSE)*(1-$D$12)^($F24-'הנחות עבודה'!$C$5)/$D$11)/$D$11)</f>
        <v>0</v>
      </c>
      <c r="AR24" s="126">
        <f ca="1">IF(OR($F24&gt;$D$5,$F24&gt;MAX('הנחות עבודה'!$B$69:$B$89)),0,(VLOOKUP($F24,'התפלגות ייצור וסל דלקים'!$B$64:$BV$84,AR$2-$E$2,FALSE))*$D$9*$D$8*(HLOOKUP(AR$23,$G$18:$R$19,2,FALSE)*(1-$D$12)^($F24-'הנחות עבודה'!$C$5)/$D$11)/$D$11)</f>
        <v>0</v>
      </c>
      <c r="AS24" s="126">
        <f ca="1">IF(OR($F24&gt;$D$5,$F24&gt;MAX('הנחות עבודה'!$B$69:$B$89)),0,(VLOOKUP($F24,'התפלגות ייצור וסל דלקים'!$B$64:$BV$84,AS$2-$E$2,FALSE))*$D$9*$D$8*(HLOOKUP(AS$23,$G$18:$R$19,2,FALSE)*(1-$D$12)^($F24-'הנחות עבודה'!$C$5)/$D$11)/$D$11)</f>
        <v>0</v>
      </c>
      <c r="AT24" s="126">
        <f ca="1">IF(OR($F24&gt;$D$5,$F24&gt;MAX('הנחות עבודה'!$B$69:$B$89)),0,(VLOOKUP($F24,'התפלגות ייצור וסל דלקים'!$B$64:$BV$84,AT$2-$E$2,FALSE))*$D$9*$D$8*(HLOOKUP(AT$23,$G$18:$R$19,2,FALSE)*(1-$D$12)^($F24-'הנחות עבודה'!$C$5)/$D$11)/$D$11)</f>
        <v>0</v>
      </c>
      <c r="AU24" s="126">
        <f ca="1">IF(OR($F24&gt;$D$5,$F24&gt;MAX('הנחות עבודה'!$B$69:$B$89)),0,(VLOOKUP($F24,'התפלגות ייצור וסל דלקים'!$B$64:$BV$84,AU$2-$E$2,FALSE))*$D$9*$D$8*(HLOOKUP(AU$23,$G$18:$R$19,2,FALSE)*(1-$D$12)^($F24-'הנחות עבודה'!$C$5)/$D$11)/$D$11)</f>
        <v>0</v>
      </c>
      <c r="AV24" s="126">
        <f ca="1">IF(OR($F24&gt;$D$5,$F24&gt;MAX('הנחות עבודה'!$B$69:$B$89)),0,(VLOOKUP($F24,'התפלגות ייצור וסל דלקים'!$B$64:$BV$84,AV$2-$E$2,FALSE))*$D$9*$D$8*(HLOOKUP(AV$23,$G$18:$R$19,2,FALSE)*(1-$D$12)^($F24-'הנחות עבודה'!$C$5)/$D$11)/$D$11)</f>
        <v>0</v>
      </c>
      <c r="AW24" s="49">
        <f ca="1">IF(OR($F24&gt;$D$5,$F24&gt;MAX('הנחות עבודה'!$B$69:$B$89)),0,(VLOOKUP($F24,'התפלגות ייצור וסל דלקים'!$B$64:$BV$84,AW$2-$E$2,FALSE))*$D$9*$D$8*(HLOOKUP(AW$23,$G$18:$R$19,2,FALSE)*(1-$D$12)^($F24-'הנחות עבודה'!$C$5)/$D$11)/$D$11)</f>
        <v>0</v>
      </c>
      <c r="AX24" s="49">
        <f ca="1">IF(OR($F24&gt;$D$5,$F24&gt;MAX('הנחות עבודה'!$B$69:$B$89)),0,(VLOOKUP($F24,'התפלגות ייצור וסל דלקים'!$B$64:$BV$84,AX$2-$E$2,FALSE))*$D$9*$D$8*(HLOOKUP(AX$23,$G$18:$R$19,2,FALSE)*(1-$D$12)^($F24-'הנחות עבודה'!$C$5)/$D$11)/$D$11)</f>
        <v>7.7934708640000011E-4</v>
      </c>
      <c r="AY24" s="49">
        <f ca="1">IF(OR($F24&gt;$D$5,$F24&gt;MAX('הנחות עבודה'!$B$69:$B$89)),0,(VLOOKUP($F24,'התפלגות ייצור וסל דלקים'!$B$64:$BV$84,AY$2-$E$2,FALSE))*$D$9*$D$8*(HLOOKUP(AY$23,$G$18:$R$19,2,FALSE)*(1-$D$12)^($F24-'הנחות עבודה'!$C$5)/$D$11)/$D$11)</f>
        <v>0</v>
      </c>
      <c r="AZ24" s="49">
        <f ca="1">IF(OR($F24&gt;$D$5,$F24&gt;MAX('הנחות עבודה'!$B$69:$B$89)),0,(VLOOKUP($F24,'התפלגות ייצור וסל דלקים'!$B$64:$BV$84,AZ$2-$E$2,FALSE))*$D$9*$D$8*(HLOOKUP(AZ$23,$G$18:$R$19,2,FALSE)*(1-$D$12)^($F24-'הנחות עבודה'!$C$5)/$D$11)/$D$11)</f>
        <v>0</v>
      </c>
      <c r="BA24" s="49">
        <f ca="1">IF(OR($F24&gt;$D$5,$F24&gt;MAX('הנחות עבודה'!$B$69:$B$89)),0,(VLOOKUP($F24,'התפלגות ייצור וסל דלקים'!$B$64:$BV$84,BA$2-$E$2,FALSE))*$D$9*$D$8*(HLOOKUP(BA$23,$G$18:$R$19,2,FALSE)*(1-$D$12)^($F24-'הנחות עבודה'!$C$5)/$D$11)/$D$11)</f>
        <v>2.5010991600000001E-4</v>
      </c>
      <c r="BB24" s="49">
        <f ca="1">IF(OR($F24&gt;$D$5,$F24&gt;MAX('הנחות עבודה'!$B$69:$B$89)),0,(VLOOKUP($F24,'התפלגות ייצור וסל דלקים'!$B$64:$BV$84,BB$2-$E$2,FALSE))*$D$9*$D$8*(HLOOKUP(BB$23,$G$18:$R$19,2,FALSE)*(1-$D$12)^($F24-'הנחות עבודה'!$C$5)/$D$11)/$D$11)</f>
        <v>0</v>
      </c>
      <c r="BC24" s="39">
        <f ca="1">IF(OR($F24&gt;$D$5,$F24&gt;MAX('הנחות עבודה'!$B$69:$B$89)),0,(VLOOKUP($F24,'התפלגות ייצור וסל דלקים'!$B$64:$BV$84,BC$2-$E$2,FALSE))*$D$9*$D$8*(HLOOKUP(BC$23,$G$18:$R$19,2,FALSE)*(1-$D$12)^($F24-'הנחות עבודה'!$C$5)/$D$11)/$D$11)</f>
        <v>0</v>
      </c>
      <c r="BD24" s="41">
        <f ca="1">IF(OR($F24&gt;$D$5,$F24&gt;MAX('הנחות עבודה'!$B$69:$B$89)),0,(VLOOKUP($F24,'התפלגות ייצור וסל דלקים'!$B$64:$BV$84,BD$2-$E$2,FALSE))*$D$9*$D$8*(HLOOKUP(BD$23,$G$18:$R$19,2,FALSE)*(1-$D$12)^($F24-'הנחות עבודה'!$C$5)/$D$11)/$D$11)</f>
        <v>0</v>
      </c>
      <c r="BE24" s="41">
        <f ca="1">IF(OR($F24&gt;$D$5,$F24&gt;MAX('הנחות עבודה'!$B$69:$B$89)),0,(VLOOKUP($F24,'התפלגות ייצור וסל דלקים'!$B$64:$BV$84,BE$2-$E$2,FALSE))*$D$9*$D$8*(HLOOKUP(BE$23,$G$18:$R$19,2,FALSE)*(1-$D$12)^($F24-'הנחות עבודה'!$C$5)/$D$11)/$D$11)</f>
        <v>0</v>
      </c>
      <c r="BF24" s="41">
        <f ca="1">IF(OR($F24&gt;$D$5,$F24&gt;MAX('הנחות עבודה'!$B$69:$B$89)),0,(VLOOKUP($F24,'התפלגות ייצור וסל דלקים'!$B$64:$BV$84,BF$2-$E$2,FALSE))*$D$9*$D$8*(HLOOKUP(BF$23,$G$18:$R$19,2,FALSE)*(1-$D$12)^($F24-'הנחות עבודה'!$C$5)/$D$11)/$D$11)</f>
        <v>0</v>
      </c>
      <c r="BG24" s="41">
        <f ca="1">IF(OR($F24&gt;$D$5,$F24&gt;MAX('הנחות עבודה'!$B$69:$B$89)),0,(VLOOKUP($F24,'התפלגות ייצור וסל דלקים'!$B$64:$BV$84,BG$2-$E$2,FALSE))*$D$9*$D$8*(HLOOKUP(BG$23,$G$18:$R$19,2,FALSE)*(1-$D$12)^($F24-'הנחות עבודה'!$C$5)/$D$11)/$D$11)</f>
        <v>0</v>
      </c>
      <c r="BH24" s="41">
        <f ca="1">IF(OR($F24&gt;$D$5,$F24&gt;MAX('הנחות עבודה'!$B$69:$B$89)),0,(VLOOKUP($F24,'התפלגות ייצור וסל דלקים'!$B$64:$BV$84,BH$2-$E$2,FALSE))*$D$9*$D$8*(HLOOKUP(BH$23,$G$18:$R$19,2,FALSE)*(1-$D$12)^($F24-'הנחות עבודה'!$C$5)/$D$11)/$D$11)</f>
        <v>0</v>
      </c>
      <c r="BI24" s="39">
        <f ca="1">IF(OR($F24&gt;$D$5,$F24&gt;MAX('הנחות עבודה'!$B$69:$B$89)),0,(VLOOKUP($F24,'התפלגות ייצור וסל דלקים'!$B$64:$BV$84,BI$2-$E$2,FALSE))*$D$9*$D$8*(HLOOKUP(BI$23,$G$18:$R$19,2,FALSE)*(1-$D$12)^($F24-'הנחות עבודה'!$C$5)/$D$11)/$D$11)</f>
        <v>0</v>
      </c>
      <c r="BJ24" s="39">
        <f ca="1">IF(OR($F24&gt;$D$5,$F24&gt;MAX('הנחות עבודה'!$B$69:$B$89)),0,(VLOOKUP($F24,'התפלגות ייצור וסל דלקים'!$B$64:$BV$84,BJ$2-$E$2,FALSE))*$D$9*$D$8*(HLOOKUP(BJ$23,$G$18:$R$19,2,FALSE)*(1-$D$12)^($F24-'הנחות עבודה'!$C$5)/$D$11)/$D$11)</f>
        <v>7.7934708640000011E-4</v>
      </c>
      <c r="BK24" s="39">
        <f ca="1">IF(OR($F24&gt;$D$5,$F24&gt;MAX('הנחות עבודה'!$B$69:$B$89)),0,(VLOOKUP($F24,'התפלגות ייצור וסל דלקים'!$B$64:$BV$84,BK$2-$E$2,FALSE))*$D$9*$D$8*(HLOOKUP(BK$23,$G$18:$R$19,2,FALSE)*(1-$D$12)^($F24-'הנחות עבודה'!$C$5)/$D$11)/$D$11)</f>
        <v>0</v>
      </c>
      <c r="BL24" s="39">
        <f ca="1">IF(OR($F24&gt;$D$5,$F24&gt;MAX('הנחות עבודה'!$B$69:$B$89)),0,(VLOOKUP($F24,'התפלגות ייצור וסל דלקים'!$B$64:$BV$84,BL$2-$E$2,FALSE))*$D$9*$D$8*(HLOOKUP(BL$23,$G$18:$R$19,2,FALSE)*(1-$D$12)^($F24-'הנחות עבודה'!$C$5)/$D$11)/$D$11)</f>
        <v>0</v>
      </c>
      <c r="BM24" s="39">
        <f ca="1">IF(OR($F24&gt;$D$5,$F24&gt;MAX('הנחות עבודה'!$B$69:$B$89)),0,(VLOOKUP($F24,'התפלגות ייצור וסל דלקים'!$B$64:$BV$84,BM$2-$E$2,FALSE))*$D$9*$D$8*(HLOOKUP(BM$23,$G$18:$R$19,2,FALSE)*(1-$D$12)^($F24-'הנחות עבודה'!$C$5)/$D$11)/$D$11)</f>
        <v>2.5010991600000001E-4</v>
      </c>
      <c r="BN24" s="39">
        <f ca="1">IF(OR($F24&gt;$D$5,$F24&gt;MAX('הנחות עבודה'!$B$69:$B$89)),0,(VLOOKUP($F24,'התפלגות ייצור וסל דלקים'!$B$64:$BV$84,BN$2-$E$2,FALSE))*$D$9*$D$8*(HLOOKUP(BN$23,$G$18:$R$19,2,FALSE)*(1-$D$12)^($F24-'הנחות עבודה'!$C$5)/$D$11)/$D$11)</f>
        <v>0</v>
      </c>
      <c r="BO24" s="49">
        <f ca="1">IF(OR($F24&gt;$D$5,$F24&gt;MAX('הנחות עבודה'!$B$69:$B$89)),0,(VLOOKUP($F24,'התפלגות ייצור וסל דלקים'!$B$64:$BV$84,BO$2-$E$2,FALSE))*$D$9*$D$8*(HLOOKUP(BO$23,$G$18:$R$19,2,FALSE)*(1-$D$12)^($F24-'הנחות עבודה'!$C$5)/$D$11)/$D$11)</f>
        <v>0</v>
      </c>
      <c r="BP24" s="126">
        <f ca="1">IF(OR($F24&gt;$D$5,$F24&gt;MAX('הנחות עבודה'!$B$69:$B$89)),0,(VLOOKUP($F24,'התפלגות ייצור וסל דלקים'!$B$64:$BV$84,BP$2-$E$2,FALSE))*$D$9*$D$8*(HLOOKUP(BP$23,$G$18:$R$19,2,FALSE)*(1-$D$12)^($F24-'הנחות עבודה'!$C$5)/$D$11)/$D$11)</f>
        <v>0</v>
      </c>
      <c r="BQ24" s="126">
        <f ca="1">IF(OR($F24&gt;$D$5,$F24&gt;MAX('הנחות עבודה'!$B$69:$B$89)),0,(VLOOKUP($F24,'התפלגות ייצור וסל דלקים'!$B$64:$BV$84,BQ$2-$E$2,FALSE))*$D$9*$D$8*(HLOOKUP(BQ$23,$G$18:$R$19,2,FALSE)*(1-$D$12)^($F24-'הנחות עבודה'!$C$5)/$D$11)/$D$11)</f>
        <v>0</v>
      </c>
      <c r="BR24" s="126">
        <f ca="1">IF(OR($F24&gt;$D$5,$F24&gt;MAX('הנחות עבודה'!$B$69:$B$89)),0,(VLOOKUP($F24,'התפלגות ייצור וסל דלקים'!$B$64:$BV$84,BR$2-$E$2,FALSE))*$D$9*$D$8*(HLOOKUP(BR$23,$G$18:$R$19,2,FALSE)*(1-$D$12)^($F24-'הנחות עבודה'!$C$5)/$D$11)/$D$11)</f>
        <v>0</v>
      </c>
      <c r="BS24" s="126">
        <f ca="1">IF(OR($F24&gt;$D$5,$F24&gt;MAX('הנחות עבודה'!$B$69:$B$89)),0,(VLOOKUP($F24,'התפלגות ייצור וסל דלקים'!$B$64:$BV$84,BS$2-$E$2,FALSE))*$D$9*$D$8*(HLOOKUP(BS$23,$G$18:$R$19,2,FALSE)*(1-$D$12)^($F24-'הנחות עבודה'!$C$5)/$D$11)/$D$11)</f>
        <v>0</v>
      </c>
      <c r="BT24" s="126">
        <f ca="1">IF(OR($F24&gt;$D$5,$F24&gt;MAX('הנחות עבודה'!$B$69:$B$89)),0,(VLOOKUP($F24,'התפלגות ייצור וסל דלקים'!$B$64:$BV$84,BT$2-$E$2,FALSE))*$D$9*$D$8*(HLOOKUP(BT$23,$G$18:$R$19,2,FALSE)*(1-$D$12)^($F24-'הנחות עבודה'!$C$5)/$D$11)/$D$11)</f>
        <v>0</v>
      </c>
      <c r="BU24" s="49">
        <f ca="1">IF(OR($F24&gt;$D$5,$F24&gt;MAX('הנחות עבודה'!$B$69:$B$89)),0,(VLOOKUP($F24,'התפלגות ייצור וסל דלקים'!$B$64:$BV$84,BU$2-$E$2,FALSE))*$D$9*$D$8*(HLOOKUP(BU$23,$G$18:$R$19,2,FALSE)*(1-$D$12)^($F24-'הנחות עבודה'!$C$5)/$D$11)/$D$11)</f>
        <v>0</v>
      </c>
      <c r="BV24" s="49">
        <f ca="1">IF(OR($F24&gt;$D$5,$F24&gt;MAX('הנחות עבודה'!$B$69:$B$89)),0,(VLOOKUP($F24,'התפלגות ייצור וסל דלקים'!$B$64:$BV$84,BV$2-$E$2,FALSE))*$D$9*$D$8*(HLOOKUP(BV$23,$G$18:$R$19,2,FALSE)*(1-$D$12)^($F24-'הנחות עבודה'!$C$5)/$D$11)/$D$11)</f>
        <v>7.7934708640000011E-4</v>
      </c>
      <c r="BW24" s="49">
        <f ca="1">IF(OR($F24&gt;$D$5,$F24&gt;MAX('הנחות עבודה'!$B$69:$B$89)),0,(VLOOKUP($F24,'התפלגות ייצור וסל דלקים'!$B$64:$BV$84,BW$2-$E$2,FALSE))*$D$9*$D$8*(HLOOKUP(BW$23,$G$18:$R$19,2,FALSE)*(1-$D$12)^($F24-'הנחות עבודה'!$C$5)/$D$11)/$D$11)</f>
        <v>0</v>
      </c>
      <c r="BX24" s="49">
        <f ca="1">IF(OR($F24&gt;$D$5,$F24&gt;MAX('הנחות עבודה'!$B$69:$B$89)),0,(VLOOKUP($F24,'התפלגות ייצור וסל דלקים'!$B$64:$BV$84,BX$2-$E$2,FALSE))*$D$9*$D$8*(HLOOKUP(BX$23,$G$18:$R$19,2,FALSE)*(1-$D$12)^($F24-'הנחות עבודה'!$C$5)/$D$11)/$D$11)</f>
        <v>0</v>
      </c>
      <c r="BY24" s="49">
        <f ca="1">IF(OR($F24&gt;$D$5,$F24&gt;MAX('הנחות עבודה'!$B$69:$B$89)),0,(VLOOKUP($F24,'התפלגות ייצור וסל דלקים'!$B$64:$BV$84,BY$2-$E$2,FALSE))*$D$9*$D$8*(HLOOKUP(BY$23,$G$18:$R$19,2,FALSE)*(1-$D$12)^($F24-'הנחות עבודה'!$C$5)/$D$11)/$D$11)</f>
        <v>2.5010991600000001E-4</v>
      </c>
      <c r="BZ24" s="49">
        <f ca="1">IF(OR($F24&gt;$D$5,$F24&gt;MAX('הנחות עבודה'!$B$69:$B$89)),0,(VLOOKUP($F24,'התפלגות ייצור וסל דלקים'!$B$64:$BV$84,BZ$2-$E$2,FALSE))*$D$9*$D$8*(HLOOKUP(BZ$23,$G$18:$R$19,2,FALSE)*(1-$D$12)^($F24-'הנחות עבודה'!$C$5)/$D$11)/$D$11)</f>
        <v>0</v>
      </c>
    </row>
    <row r="25" spans="6:78" ht="15.75">
      <c r="F25" s="10">
        <f>F24+1</f>
        <v>2021</v>
      </c>
      <c r="G25" s="42">
        <f ca="1">IF(OR($F25&gt;$D$5,$F25&gt;MAX('הנחות עבודה'!$B$69:$B$89)),0,(VLOOKUP($F25,'התפלגות ייצור וסל דלקים'!$B$64:$BV$84,G$2-$E$2,FALSE))*$D$9*$D$8*(HLOOKUP(G$23,$G$18:$R$19,2,FALSE)*(1-$D$12)^($F25-'הנחות עבודה'!$C$5)/$D$11)/$D$11)</f>
        <v>0</v>
      </c>
      <c r="H25" s="44">
        <f ca="1">IF(OR($F25&gt;$D$5,$F25&gt;MAX('הנחות עבודה'!$B$69:$B$89)),0,(VLOOKUP($F25,'התפלגות ייצור וסל דלקים'!$B$64:$BV$84,H$2-$E$2,FALSE))*$D$9*$D$8*(HLOOKUP(H$23,$G$18:$R$19,2,FALSE)*(1-$D$12)^($F25-'הנחות עבודה'!$C$5)/$D$11)/$D$11)</f>
        <v>0</v>
      </c>
      <c r="I25" s="44">
        <f ca="1">IF(OR($F25&gt;$D$5,$F25&gt;MAX('הנחות עבודה'!$B$69:$B$89)),0,(VLOOKUP($F25,'התפלגות ייצור וסל דלקים'!$B$64:$BV$84,I$2-$E$2,FALSE))*$D$9*$D$8*(HLOOKUP(I$23,$G$18:$R$19,2,FALSE)*(1-$D$12)^($F25-'הנחות עבודה'!$C$5)/$D$11)/$D$11)</f>
        <v>0</v>
      </c>
      <c r="J25" s="44">
        <f ca="1">IF(OR($F25&gt;$D$5,$F25&gt;MAX('הנחות עבודה'!$B$69:$B$89)),0,(VLOOKUP($F25,'התפלגות ייצור וסל דלקים'!$B$64:$BV$84,J$2-$E$2,FALSE))*$D$9*$D$8*(HLOOKUP(J$23,$G$18:$R$19,2,FALSE)*(1-$D$12)^($F25-'הנחות עבודה'!$C$5)/$D$11)/$D$11)</f>
        <v>0</v>
      </c>
      <c r="K25" s="44">
        <f ca="1">IF(OR($F25&gt;$D$5,$F25&gt;MAX('הנחות עבודה'!$B$69:$B$89)),0,(VLOOKUP($F25,'התפלגות ייצור וסל דלקים'!$B$64:$BV$84,K$2-$E$2,FALSE))*$D$9*$D$8*(HLOOKUP(K$23,$G$18:$R$19,2,FALSE)*(1-$D$12)^($F25-'הנחות עבודה'!$C$5)/$D$11)/$D$11)</f>
        <v>0</v>
      </c>
      <c r="L25" s="44">
        <f ca="1">IF(OR($F25&gt;$D$5,$F25&gt;MAX('הנחות עבודה'!$B$69:$B$89)),0,(VLOOKUP($F25,'התפלגות ייצור וסל דלקים'!$B$64:$BV$84,L$2-$E$2,FALSE))*$D$9*$D$8*(HLOOKUP(L$23,$G$18:$R$19,2,FALSE)*(1-$D$12)^($F25-'הנחות עבודה'!$C$5)/$D$11)/$D$11)</f>
        <v>0</v>
      </c>
      <c r="M25" s="42">
        <f ca="1">IF(OR($F25&gt;$D$5,$F25&gt;MAX('הנחות עבודה'!$B$69:$B$89)),0,(VLOOKUP($F25,'התפלגות ייצור וסל דלקים'!$B$64:$BV$84,M$2-$E$2,FALSE))*$D$9*$D$8*(HLOOKUP(M$23,$G$18:$R$19,2,FALSE)*(1-$D$12)^($F25-'הנחות עבודה'!$C$5)/$D$11)/$D$11)</f>
        <v>0</v>
      </c>
      <c r="N25" s="42">
        <f ca="1">IF(OR($F25&gt;$D$5,$F25&gt;MAX('הנחות עבודה'!$B$69:$B$89)),0,(VLOOKUP($F25,'התפלגות ייצור וסל דלקים'!$B$64:$BV$84,N$2-$E$2,FALSE))*$D$9*$D$8*(HLOOKUP(N$23,$G$18:$R$19,2,FALSE)*(1-$D$12)^($F25-'הנחות עבודה'!$C$5)/$D$11)/$D$11)</f>
        <v>8.0385618764800004E-4</v>
      </c>
      <c r="O25" s="42">
        <f ca="1">IF(OR($F25&gt;$D$5,$F25&gt;MAX('הנחות עבודה'!$B$69:$B$89)),0,(VLOOKUP($F25,'התפלגות ייצור וסל דלקים'!$B$64:$BV$84,O$2-$E$2,FALSE))*$D$9*$D$8*(HLOOKUP(O$23,$G$18:$R$19,2,FALSE)*(1-$D$12)^($F25-'הנחות עבודה'!$C$5)/$D$11)/$D$11)</f>
        <v>0</v>
      </c>
      <c r="P25" s="42">
        <f ca="1">IF(OR($F25&gt;$D$5,$F25&gt;MAX('הנחות עבודה'!$B$69:$B$89)),0,(VLOOKUP($F25,'התפלגות ייצור וסל דלקים'!$B$64:$BV$84,P$2-$E$2,FALSE))*$D$9*$D$8*(HLOOKUP(P$23,$G$18:$R$19,2,FALSE)*(1-$D$12)^($F25-'הנחות עבודה'!$C$5)/$D$11)/$D$11)</f>
        <v>0</v>
      </c>
      <c r="Q25" s="42">
        <f ca="1">IF(OR($F25&gt;$D$5,$F25&gt;MAX('הנחות עבודה'!$B$69:$B$89)),0,(VLOOKUP($F25,'התפלגות ייצור וסל דלקים'!$B$64:$BV$84,Q$2-$E$2,FALSE))*$D$9*$D$8*(HLOOKUP(Q$23,$G$18:$R$19,2,FALSE)*(1-$D$12)^($F25-'הנחות עבודה'!$C$5)/$D$11)/$D$11)</f>
        <v>2.5010991600000001E-4</v>
      </c>
      <c r="R25" s="42">
        <f ca="1">IF(OR($F25&gt;$D$5,$F25&gt;MAX('הנחות עבודה'!$B$69:$B$89)),0,(VLOOKUP($F25,'התפלגות ייצור וסל דלקים'!$B$64:$BV$84,R$2-$E$2,FALSE))*$D$9*$D$8*(HLOOKUP(R$23,$G$18:$R$19,2,FALSE)*(1-$D$12)^($F25-'הנחות עבודה'!$C$5)/$D$11)/$D$11)</f>
        <v>0</v>
      </c>
      <c r="S25" s="52">
        <f ca="1">IF(OR($F25&gt;$D$5,$F25&gt;MAX('הנחות עבודה'!$B$69:$B$89)),0,(VLOOKUP($F25,'התפלגות ייצור וסל דלקים'!$B$64:$BV$84,S$2-$E$2,FALSE))*$D$9*$D$8*(HLOOKUP(S$23,$G$18:$R$19,2,FALSE)*(1-$D$12)^($F25-'הנחות עבודה'!$C$5)/$D$11)/$D$11)</f>
        <v>0</v>
      </c>
      <c r="T25" s="127">
        <f ca="1">IF(OR($F25&gt;$D$5,$F25&gt;MAX('הנחות עבודה'!$B$69:$B$89)),0,(VLOOKUP($F25,'התפלגות ייצור וסל דלקים'!$B$64:$BV$84,T$2-$E$2,FALSE))*$D$9*$D$8*(HLOOKUP(T$23,$G$18:$R$19,2,FALSE)*(1-$D$12)^($F25-'הנחות עבודה'!$C$5)/$D$11)/$D$11)</f>
        <v>0</v>
      </c>
      <c r="U25" s="127">
        <f ca="1">IF(OR($F25&gt;$D$5,$F25&gt;MAX('הנחות עבודה'!$B$69:$B$89)),0,(VLOOKUP($F25,'התפלגות ייצור וסל דלקים'!$B$64:$BV$84,U$2-$E$2,FALSE))*$D$9*$D$8*(HLOOKUP(U$23,$G$18:$R$19,2,FALSE)*(1-$D$12)^($F25-'הנחות עבודה'!$C$5)/$D$11)/$D$11)</f>
        <v>0</v>
      </c>
      <c r="V25" s="127">
        <f ca="1">IF(OR($F25&gt;$D$5,$F25&gt;MAX('הנחות עבודה'!$B$69:$B$89)),0,(VLOOKUP($F25,'התפלגות ייצור וסל דלקים'!$B$64:$BV$84,V$2-$E$2,FALSE))*$D$9*$D$8*(HLOOKUP(V$23,$G$18:$R$19,2,FALSE)*(1-$D$12)^($F25-'הנחות עבודה'!$C$5)/$D$11)/$D$11)</f>
        <v>0</v>
      </c>
      <c r="W25" s="127">
        <f ca="1">IF(OR($F25&gt;$D$5,$F25&gt;MAX('הנחות עבודה'!$B$69:$B$89)),0,(VLOOKUP($F25,'התפלגות ייצור וסל דלקים'!$B$64:$BV$84,W$2-$E$2,FALSE))*$D$9*$D$8*(HLOOKUP(W$23,$G$18:$R$19,2,FALSE)*(1-$D$12)^($F25-'הנחות עבודה'!$C$5)/$D$11)/$D$11)</f>
        <v>0</v>
      </c>
      <c r="X25" s="127">
        <f ca="1">IF(OR($F25&gt;$D$5,$F25&gt;MAX('הנחות עבודה'!$B$69:$B$89)),0,(VLOOKUP($F25,'התפלגות ייצור וסל דלקים'!$B$64:$BV$84,X$2-$E$2,FALSE))*$D$9*$D$8*(HLOOKUP(X$23,$G$18:$R$19,2,FALSE)*(1-$D$12)^($F25-'הנחות עבודה'!$C$5)/$D$11)/$D$11)</f>
        <v>0</v>
      </c>
      <c r="Y25" s="52">
        <f ca="1">IF(OR($F25&gt;$D$5,$F25&gt;MAX('הנחות עבודה'!$B$69:$B$89)),0,(VLOOKUP($F25,'התפלגות ייצור וסל דלקים'!$B$64:$BV$84,Y$2-$E$2,FALSE))*$D$9*$D$8*(HLOOKUP(Y$23,$G$18:$R$19,2,FALSE)*(1-$D$12)^($F25-'הנחות עבודה'!$C$5)/$D$11)/$D$11)</f>
        <v>0</v>
      </c>
      <c r="Z25" s="52">
        <f ca="1">IF(OR($F25&gt;$D$5,$F25&gt;MAX('הנחות עבודה'!$B$69:$B$89)),0,(VLOOKUP($F25,'התפלגות ייצור וסל דלקים'!$B$64:$BV$84,Z$2-$E$2,FALSE))*$D$9*$D$8*(HLOOKUP(Z$23,$G$18:$R$19,2,FALSE)*(1-$D$12)^($F25-'הנחות עבודה'!$C$5)/$D$11)/$D$11)</f>
        <v>8.0385618764800004E-4</v>
      </c>
      <c r="AA25" s="52">
        <f ca="1">IF(OR($F25&gt;$D$5,$F25&gt;MAX('הנחות עבודה'!$B$69:$B$89)),0,(VLOOKUP($F25,'התפלגות ייצור וסל דלקים'!$B$64:$BV$84,AA$2-$E$2,FALSE))*$D$9*$D$8*(HLOOKUP(AA$23,$G$18:$R$19,2,FALSE)*(1-$D$12)^($F25-'הנחות עבודה'!$C$5)/$D$11)/$D$11)</f>
        <v>0</v>
      </c>
      <c r="AB25" s="52">
        <f ca="1">IF(OR($F25&gt;$D$5,$F25&gt;MAX('הנחות עבודה'!$B$69:$B$89)),0,(VLOOKUP($F25,'התפלגות ייצור וסל דלקים'!$B$64:$BV$84,AB$2-$E$2,FALSE))*$D$9*$D$8*(HLOOKUP(AB$23,$G$18:$R$19,2,FALSE)*(1-$D$12)^($F25-'הנחות עבודה'!$C$5)/$D$11)/$D$11)</f>
        <v>0</v>
      </c>
      <c r="AC25" s="52">
        <f ca="1">IF(OR($F25&gt;$D$5,$F25&gt;MAX('הנחות עבודה'!$B$69:$B$89)),0,(VLOOKUP($F25,'התפלגות ייצור וסל דלקים'!$B$64:$BV$84,AC$2-$E$2,FALSE))*$D$9*$D$8*(HLOOKUP(AC$23,$G$18:$R$19,2,FALSE)*(1-$D$12)^($F25-'הנחות עבודה'!$C$5)/$D$11)/$D$11)</f>
        <v>2.5010991600000001E-4</v>
      </c>
      <c r="AD25" s="52">
        <f ca="1">IF(OR($F25&gt;$D$5,$F25&gt;MAX('הנחות עבודה'!$B$69:$B$89)),0,(VLOOKUP($F25,'התפלגות ייצור וסל דלקים'!$B$64:$BV$84,AD$2-$E$2,FALSE))*$D$9*$D$8*(HLOOKUP(AD$23,$G$18:$R$19,2,FALSE)*(1-$D$12)^($F25-'הנחות עבודה'!$C$5)/$D$11)/$D$11)</f>
        <v>0</v>
      </c>
      <c r="AE25" s="42">
        <f ca="1">IF(OR($F25&gt;$D$5,$F25&gt;MAX('הנחות עבודה'!$B$69:$B$89)),0,(VLOOKUP($F25,'התפלגות ייצור וסל דלקים'!$B$64:$BV$84,AE$2-$E$2,FALSE))*$D$9*$D$8*(HLOOKUP(AE$23,$G$18:$R$19,2,FALSE)*(1-$D$12)^($F25-'הנחות עבודה'!$C$5)/$D$11)/$D$11)</f>
        <v>0</v>
      </c>
      <c r="AF25" s="44">
        <f ca="1">IF(OR($F25&gt;$D$5,$F25&gt;MAX('הנחות עבודה'!$B$69:$B$89)),0,(VLOOKUP($F25,'התפלגות ייצור וסל דלקים'!$B$64:$BV$84,AF$2-$E$2,FALSE))*$D$9*$D$8*(HLOOKUP(AF$23,$G$18:$R$19,2,FALSE)*(1-$D$12)^($F25-'הנחות עבודה'!$C$5)/$D$11)/$D$11)</f>
        <v>0</v>
      </c>
      <c r="AG25" s="44">
        <f ca="1">IF(OR($F25&gt;$D$5,$F25&gt;MAX('הנחות עבודה'!$B$69:$B$89)),0,(VLOOKUP($F25,'התפלגות ייצור וסל דלקים'!$B$64:$BV$84,AG$2-$E$2,FALSE))*$D$9*$D$8*(HLOOKUP(AG$23,$G$18:$R$19,2,FALSE)*(1-$D$12)^($F25-'הנחות עבודה'!$C$5)/$D$11)/$D$11)</f>
        <v>0</v>
      </c>
      <c r="AH25" s="44">
        <f ca="1">IF(OR($F25&gt;$D$5,$F25&gt;MAX('הנחות עבודה'!$B$69:$B$89)),0,(VLOOKUP($F25,'התפלגות ייצור וסל דלקים'!$B$64:$BV$84,AH$2-$E$2,FALSE))*$D$9*$D$8*(HLOOKUP(AH$23,$G$18:$R$19,2,FALSE)*(1-$D$12)^($F25-'הנחות עבודה'!$C$5)/$D$11)/$D$11)</f>
        <v>0</v>
      </c>
      <c r="AI25" s="44">
        <f ca="1">IF(OR($F25&gt;$D$5,$F25&gt;MAX('הנחות עבודה'!$B$69:$B$89)),0,(VLOOKUP($F25,'התפלגות ייצור וסל דלקים'!$B$64:$BV$84,AI$2-$E$2,FALSE))*$D$9*$D$8*(HLOOKUP(AI$23,$G$18:$R$19,2,FALSE)*(1-$D$12)^($F25-'הנחות עבודה'!$C$5)/$D$11)/$D$11)</f>
        <v>0</v>
      </c>
      <c r="AJ25" s="44">
        <f ca="1">IF(OR($F25&gt;$D$5,$F25&gt;MAX('הנחות עבודה'!$B$69:$B$89)),0,(VLOOKUP($F25,'התפלגות ייצור וסל דלקים'!$B$64:$BV$84,AJ$2-$E$2,FALSE))*$D$9*$D$8*(HLOOKUP(AJ$23,$G$18:$R$19,2,FALSE)*(1-$D$12)^($F25-'הנחות עבודה'!$C$5)/$D$11)/$D$11)</f>
        <v>0</v>
      </c>
      <c r="AK25" s="42">
        <f ca="1">IF(OR($F25&gt;$D$5,$F25&gt;MAX('הנחות עבודה'!$B$69:$B$89)),0,(VLOOKUP($F25,'התפלגות ייצור וסל דלקים'!$B$64:$BV$84,AK$2-$E$2,FALSE))*$D$9*$D$8*(HLOOKUP(AK$23,$G$18:$R$19,2,FALSE)*(1-$D$12)^($F25-'הנחות עבודה'!$C$5)/$D$11)/$D$11)</f>
        <v>0</v>
      </c>
      <c r="AL25" s="42">
        <f ca="1">IF(OR($F25&gt;$D$5,$F25&gt;MAX('הנחות עבודה'!$B$69:$B$89)),0,(VLOOKUP($F25,'התפלגות ייצור וסל דלקים'!$B$64:$BV$84,AL$2-$E$2,FALSE))*$D$9*$D$8*(HLOOKUP(AL$23,$G$18:$R$19,2,FALSE)*(1-$D$12)^($F25-'הנחות עבודה'!$C$5)/$D$11)/$D$11)</f>
        <v>7.9289612992000018E-4</v>
      </c>
      <c r="AM25" s="42">
        <f ca="1">IF(OR($F25&gt;$D$5,$F25&gt;MAX('הנחות עבודה'!$B$69:$B$89)),0,(VLOOKUP($F25,'התפלגות ייצור וסל דלקים'!$B$64:$BV$84,AM$2-$E$2,FALSE))*$D$9*$D$8*(HLOOKUP(AM$23,$G$18:$R$19,2,FALSE)*(1-$D$12)^($F25-'הנחות עבודה'!$C$5)/$D$11)/$D$11)</f>
        <v>0</v>
      </c>
      <c r="AN25" s="42">
        <f ca="1">IF(OR($F25&gt;$D$5,$F25&gt;MAX('הנחות עבודה'!$B$69:$B$89)),0,(VLOOKUP($F25,'התפלגות ייצור וסל דלקים'!$B$64:$BV$84,AN$2-$E$2,FALSE))*$D$9*$D$8*(HLOOKUP(AN$23,$G$18:$R$19,2,FALSE)*(1-$D$12)^($F25-'הנחות עבודה'!$C$5)/$D$11)/$D$11)</f>
        <v>0</v>
      </c>
      <c r="AO25" s="42">
        <f ca="1">IF(OR($F25&gt;$D$5,$F25&gt;MAX('הנחות עבודה'!$B$69:$B$89)),0,(VLOOKUP($F25,'התפלגות ייצור וסל דלקים'!$B$64:$BV$84,AO$2-$E$2,FALSE))*$D$9*$D$8*(HLOOKUP(AO$23,$G$18:$R$19,2,FALSE)*(1-$D$12)^($F25-'הנחות עבודה'!$C$5)/$D$11)/$D$11)</f>
        <v>2.5010991600000001E-4</v>
      </c>
      <c r="AP25" s="42">
        <f ca="1">IF(OR($F25&gt;$D$5,$F25&gt;MAX('הנחות עבודה'!$B$69:$B$89)),0,(VLOOKUP($F25,'התפלגות ייצור וסל דלקים'!$B$64:$BV$84,AP$2-$E$2,FALSE))*$D$9*$D$8*(HLOOKUP(AP$23,$G$18:$R$19,2,FALSE)*(1-$D$12)^($F25-'הנחות עבודה'!$C$5)/$D$11)/$D$11)</f>
        <v>0</v>
      </c>
      <c r="AQ25" s="52">
        <f ca="1">IF(OR($F25&gt;$D$5,$F25&gt;MAX('הנחות עבודה'!$B$69:$B$89)),0,(VLOOKUP($F25,'התפלגות ייצור וסל דלקים'!$B$64:$BV$84,AQ$2-$E$2,FALSE))*$D$9*$D$8*(HLOOKUP(AQ$23,$G$18:$R$19,2,FALSE)*(1-$D$12)^($F25-'הנחות עבודה'!$C$5)/$D$11)/$D$11)</f>
        <v>0</v>
      </c>
      <c r="AR25" s="127">
        <f ca="1">IF(OR($F25&gt;$D$5,$F25&gt;MAX('הנחות עבודה'!$B$69:$B$89)),0,(VLOOKUP($F25,'התפלגות ייצור וסל דלקים'!$B$64:$BV$84,AR$2-$E$2,FALSE))*$D$9*$D$8*(HLOOKUP(AR$23,$G$18:$R$19,2,FALSE)*(1-$D$12)^($F25-'הנחות עבודה'!$C$5)/$D$11)/$D$11)</f>
        <v>0</v>
      </c>
      <c r="AS25" s="127">
        <f ca="1">IF(OR($F25&gt;$D$5,$F25&gt;MAX('הנחות עבודה'!$B$69:$B$89)),0,(VLOOKUP($F25,'התפלגות ייצור וסל דלקים'!$B$64:$BV$84,AS$2-$E$2,FALSE))*$D$9*$D$8*(HLOOKUP(AS$23,$G$18:$R$19,2,FALSE)*(1-$D$12)^($F25-'הנחות עבודה'!$C$5)/$D$11)/$D$11)</f>
        <v>0</v>
      </c>
      <c r="AT25" s="127">
        <f ca="1">IF(OR($F25&gt;$D$5,$F25&gt;MAX('הנחות עבודה'!$B$69:$B$89)),0,(VLOOKUP($F25,'התפלגות ייצור וסל דלקים'!$B$64:$BV$84,AT$2-$E$2,FALSE))*$D$9*$D$8*(HLOOKUP(AT$23,$G$18:$R$19,2,FALSE)*(1-$D$12)^($F25-'הנחות עבודה'!$C$5)/$D$11)/$D$11)</f>
        <v>0</v>
      </c>
      <c r="AU25" s="127">
        <f ca="1">IF(OR($F25&gt;$D$5,$F25&gt;MAX('הנחות עבודה'!$B$69:$B$89)),0,(VLOOKUP($F25,'התפלגות ייצור וסל דלקים'!$B$64:$BV$84,AU$2-$E$2,FALSE))*$D$9*$D$8*(HLOOKUP(AU$23,$G$18:$R$19,2,FALSE)*(1-$D$12)^($F25-'הנחות עבודה'!$C$5)/$D$11)/$D$11)</f>
        <v>0</v>
      </c>
      <c r="AV25" s="127">
        <f ca="1">IF(OR($F25&gt;$D$5,$F25&gt;MAX('הנחות עבודה'!$B$69:$B$89)),0,(VLOOKUP($F25,'התפלגות ייצור וסל דלקים'!$B$64:$BV$84,AV$2-$E$2,FALSE))*$D$9*$D$8*(HLOOKUP(AV$23,$G$18:$R$19,2,FALSE)*(1-$D$12)^($F25-'הנחות עבודה'!$C$5)/$D$11)/$D$11)</f>
        <v>0</v>
      </c>
      <c r="AW25" s="52">
        <f ca="1">IF(OR($F25&gt;$D$5,$F25&gt;MAX('הנחות עבודה'!$B$69:$B$89)),0,(VLOOKUP($F25,'התפלגות ייצור וסל דלקים'!$B$64:$BV$84,AW$2-$E$2,FALSE))*$D$9*$D$8*(HLOOKUP(AW$23,$G$18:$R$19,2,FALSE)*(1-$D$12)^($F25-'הנחות עבודה'!$C$5)/$D$11)/$D$11)</f>
        <v>0</v>
      </c>
      <c r="AX25" s="52">
        <f ca="1">IF(OR($F25&gt;$D$5,$F25&gt;MAX('הנחות עבודה'!$B$69:$B$89)),0,(VLOOKUP($F25,'התפלגות ייצור וסל דלקים'!$B$64:$BV$84,AX$2-$E$2,FALSE))*$D$9*$D$8*(HLOOKUP(AX$23,$G$18:$R$19,2,FALSE)*(1-$D$12)^($F25-'הנחות עבודה'!$C$5)/$D$11)/$D$11)</f>
        <v>7.9289612992000018E-4</v>
      </c>
      <c r="AY25" s="52">
        <f ca="1">IF(OR($F25&gt;$D$5,$F25&gt;MAX('הנחות עבודה'!$B$69:$B$89)),0,(VLOOKUP($F25,'התפלגות ייצור וסל דלקים'!$B$64:$BV$84,AY$2-$E$2,FALSE))*$D$9*$D$8*(HLOOKUP(AY$23,$G$18:$R$19,2,FALSE)*(1-$D$12)^($F25-'הנחות עבודה'!$C$5)/$D$11)/$D$11)</f>
        <v>0</v>
      </c>
      <c r="AZ25" s="52">
        <f ca="1">IF(OR($F25&gt;$D$5,$F25&gt;MAX('הנחות עבודה'!$B$69:$B$89)),0,(VLOOKUP($F25,'התפלגות ייצור וסל דלקים'!$B$64:$BV$84,AZ$2-$E$2,FALSE))*$D$9*$D$8*(HLOOKUP(AZ$23,$G$18:$R$19,2,FALSE)*(1-$D$12)^($F25-'הנחות עבודה'!$C$5)/$D$11)/$D$11)</f>
        <v>0</v>
      </c>
      <c r="BA25" s="52">
        <f ca="1">IF(OR($F25&gt;$D$5,$F25&gt;MAX('הנחות עבודה'!$B$69:$B$89)),0,(VLOOKUP($F25,'התפלגות ייצור וסל דלקים'!$B$64:$BV$84,BA$2-$E$2,FALSE))*$D$9*$D$8*(HLOOKUP(BA$23,$G$18:$R$19,2,FALSE)*(1-$D$12)^($F25-'הנחות עבודה'!$C$5)/$D$11)/$D$11)</f>
        <v>2.5010991600000001E-4</v>
      </c>
      <c r="BB25" s="52">
        <f ca="1">IF(OR($F25&gt;$D$5,$F25&gt;MAX('הנחות עבודה'!$B$69:$B$89)),0,(VLOOKUP($F25,'התפלגות ייצור וסל דלקים'!$B$64:$BV$84,BB$2-$E$2,FALSE))*$D$9*$D$8*(HLOOKUP(BB$23,$G$18:$R$19,2,FALSE)*(1-$D$12)^($F25-'הנחות עבודה'!$C$5)/$D$11)/$D$11)</f>
        <v>0</v>
      </c>
      <c r="BC25" s="42">
        <f ca="1">IF(OR($F25&gt;$D$5,$F25&gt;MAX('הנחות עבודה'!$B$69:$B$89)),0,(VLOOKUP($F25,'התפלגות ייצור וסל דלקים'!$B$64:$BV$84,BC$2-$E$2,FALSE))*$D$9*$D$8*(HLOOKUP(BC$23,$G$18:$R$19,2,FALSE)*(1-$D$12)^($F25-'הנחות עבודה'!$C$5)/$D$11)/$D$11)</f>
        <v>0</v>
      </c>
      <c r="BD25" s="44">
        <f ca="1">IF(OR($F25&gt;$D$5,$F25&gt;MAX('הנחות עבודה'!$B$69:$B$89)),0,(VLOOKUP($F25,'התפלגות ייצור וסל דלקים'!$B$64:$BV$84,BD$2-$E$2,FALSE))*$D$9*$D$8*(HLOOKUP(BD$23,$G$18:$R$19,2,FALSE)*(1-$D$12)^($F25-'הנחות עבודה'!$C$5)/$D$11)/$D$11)</f>
        <v>0</v>
      </c>
      <c r="BE25" s="44">
        <f ca="1">IF(OR($F25&gt;$D$5,$F25&gt;MAX('הנחות עבודה'!$B$69:$B$89)),0,(VLOOKUP($F25,'התפלגות ייצור וסל דלקים'!$B$64:$BV$84,BE$2-$E$2,FALSE))*$D$9*$D$8*(HLOOKUP(BE$23,$G$18:$R$19,2,FALSE)*(1-$D$12)^($F25-'הנחות עבודה'!$C$5)/$D$11)/$D$11)</f>
        <v>0</v>
      </c>
      <c r="BF25" s="44">
        <f ca="1">IF(OR($F25&gt;$D$5,$F25&gt;MAX('הנחות עבודה'!$B$69:$B$89)),0,(VLOOKUP($F25,'התפלגות ייצור וסל דלקים'!$B$64:$BV$84,BF$2-$E$2,FALSE))*$D$9*$D$8*(HLOOKUP(BF$23,$G$18:$R$19,2,FALSE)*(1-$D$12)^($F25-'הנחות עבודה'!$C$5)/$D$11)/$D$11)</f>
        <v>0</v>
      </c>
      <c r="BG25" s="44">
        <f ca="1">IF(OR($F25&gt;$D$5,$F25&gt;MAX('הנחות עבודה'!$B$69:$B$89)),0,(VLOOKUP($F25,'התפלגות ייצור וסל דלקים'!$B$64:$BV$84,BG$2-$E$2,FALSE))*$D$9*$D$8*(HLOOKUP(BG$23,$G$18:$R$19,2,FALSE)*(1-$D$12)^($F25-'הנחות עבודה'!$C$5)/$D$11)/$D$11)</f>
        <v>0</v>
      </c>
      <c r="BH25" s="44">
        <f ca="1">IF(OR($F25&gt;$D$5,$F25&gt;MAX('הנחות עבודה'!$B$69:$B$89)),0,(VLOOKUP($F25,'התפלגות ייצור וסל דלקים'!$B$64:$BV$84,BH$2-$E$2,FALSE))*$D$9*$D$8*(HLOOKUP(BH$23,$G$18:$R$19,2,FALSE)*(1-$D$12)^($F25-'הנחות עבודה'!$C$5)/$D$11)/$D$11)</f>
        <v>0</v>
      </c>
      <c r="BI25" s="42">
        <f ca="1">IF(OR($F25&gt;$D$5,$F25&gt;MAX('הנחות עבודה'!$B$69:$B$89)),0,(VLOOKUP($F25,'התפלגות ייצור וסל דלקים'!$B$64:$BV$84,BI$2-$E$2,FALSE))*$D$9*$D$8*(HLOOKUP(BI$23,$G$18:$R$19,2,FALSE)*(1-$D$12)^($F25-'הנחות עבודה'!$C$5)/$D$11)/$D$11)</f>
        <v>0</v>
      </c>
      <c r="BJ25" s="42">
        <f ca="1">IF(OR($F25&gt;$D$5,$F25&gt;MAX('הנחות עבודה'!$B$69:$B$89)),0,(VLOOKUP($F25,'התפלגות ייצור וסל דלקים'!$B$64:$BV$84,BJ$2-$E$2,FALSE))*$D$9*$D$8*(HLOOKUP(BJ$23,$G$18:$R$19,2,FALSE)*(1-$D$12)^($F25-'הנחות עבודה'!$C$5)/$D$11)/$D$11)</f>
        <v>7.8975056895999954E-4</v>
      </c>
      <c r="BK25" s="42">
        <f ca="1">IF(OR($F25&gt;$D$5,$F25&gt;MAX('הנחות עבודה'!$B$69:$B$89)),0,(VLOOKUP($F25,'התפלגות ייצור וסל דלקים'!$B$64:$BV$84,BK$2-$E$2,FALSE))*$D$9*$D$8*(HLOOKUP(BK$23,$G$18:$R$19,2,FALSE)*(1-$D$12)^($F25-'הנחות עבודה'!$C$5)/$D$11)/$D$11)</f>
        <v>0</v>
      </c>
      <c r="BL25" s="42">
        <f ca="1">IF(OR($F25&gt;$D$5,$F25&gt;MAX('הנחות עבודה'!$B$69:$B$89)),0,(VLOOKUP($F25,'התפלגות ייצור וסל דלקים'!$B$64:$BV$84,BL$2-$E$2,FALSE))*$D$9*$D$8*(HLOOKUP(BL$23,$G$18:$R$19,2,FALSE)*(1-$D$12)^($F25-'הנחות עבודה'!$C$5)/$D$11)/$D$11)</f>
        <v>0</v>
      </c>
      <c r="BM25" s="42">
        <f ca="1">IF(OR($F25&gt;$D$5,$F25&gt;MAX('הנחות עבודה'!$B$69:$B$89)),0,(VLOOKUP($F25,'התפלגות ייצור וסל דלקים'!$B$64:$BV$84,BM$2-$E$2,FALSE))*$D$9*$D$8*(HLOOKUP(BM$23,$G$18:$R$19,2,FALSE)*(1-$D$12)^($F25-'הנחות עבודה'!$C$5)/$D$11)/$D$11)</f>
        <v>2.5010991600000001E-4</v>
      </c>
      <c r="BN25" s="42">
        <f ca="1">IF(OR($F25&gt;$D$5,$F25&gt;MAX('הנחות עבודה'!$B$69:$B$89)),0,(VLOOKUP($F25,'התפלגות ייצור וסל דלקים'!$B$64:$BV$84,BN$2-$E$2,FALSE))*$D$9*$D$8*(HLOOKUP(BN$23,$G$18:$R$19,2,FALSE)*(1-$D$12)^($F25-'הנחות עבודה'!$C$5)/$D$11)/$D$11)</f>
        <v>0</v>
      </c>
      <c r="BO25" s="52">
        <f ca="1">IF(OR($F25&gt;$D$5,$F25&gt;MAX('הנחות עבודה'!$B$69:$B$89)),0,(VLOOKUP($F25,'התפלגות ייצור וסל דלקים'!$B$64:$BV$84,BO$2-$E$2,FALSE))*$D$9*$D$8*(HLOOKUP(BO$23,$G$18:$R$19,2,FALSE)*(1-$D$12)^($F25-'הנחות עבודה'!$C$5)/$D$11)/$D$11)</f>
        <v>0</v>
      </c>
      <c r="BP25" s="127">
        <f ca="1">IF(OR($F25&gt;$D$5,$F25&gt;MAX('הנחות עבודה'!$B$69:$B$89)),0,(VLOOKUP($F25,'התפלגות ייצור וסל דלקים'!$B$64:$BV$84,BP$2-$E$2,FALSE))*$D$9*$D$8*(HLOOKUP(BP$23,$G$18:$R$19,2,FALSE)*(1-$D$12)^($F25-'הנחות עבודה'!$C$5)/$D$11)/$D$11)</f>
        <v>0</v>
      </c>
      <c r="BQ25" s="127">
        <f ca="1">IF(OR($F25&gt;$D$5,$F25&gt;MAX('הנחות עבודה'!$B$69:$B$89)),0,(VLOOKUP($F25,'התפלגות ייצור וסל דלקים'!$B$64:$BV$84,BQ$2-$E$2,FALSE))*$D$9*$D$8*(HLOOKUP(BQ$23,$G$18:$R$19,2,FALSE)*(1-$D$12)^($F25-'הנחות עבודה'!$C$5)/$D$11)/$D$11)</f>
        <v>0</v>
      </c>
      <c r="BR25" s="127">
        <f ca="1">IF(OR($F25&gt;$D$5,$F25&gt;MAX('הנחות עבודה'!$B$69:$B$89)),0,(VLOOKUP($F25,'התפלגות ייצור וסל דלקים'!$B$64:$BV$84,BR$2-$E$2,FALSE))*$D$9*$D$8*(HLOOKUP(BR$23,$G$18:$R$19,2,FALSE)*(1-$D$12)^($F25-'הנחות עבודה'!$C$5)/$D$11)/$D$11)</f>
        <v>0</v>
      </c>
      <c r="BS25" s="127">
        <f ca="1">IF(OR($F25&gt;$D$5,$F25&gt;MAX('הנחות עבודה'!$B$69:$B$89)),0,(VLOOKUP($F25,'התפלגות ייצור וסל דלקים'!$B$64:$BV$84,BS$2-$E$2,FALSE))*$D$9*$D$8*(HLOOKUP(BS$23,$G$18:$R$19,2,FALSE)*(1-$D$12)^($F25-'הנחות עבודה'!$C$5)/$D$11)/$D$11)</f>
        <v>0</v>
      </c>
      <c r="BT25" s="127">
        <f ca="1">IF(OR($F25&gt;$D$5,$F25&gt;MAX('הנחות עבודה'!$B$69:$B$89)),0,(VLOOKUP($F25,'התפלגות ייצור וסל דלקים'!$B$64:$BV$84,BT$2-$E$2,FALSE))*$D$9*$D$8*(HLOOKUP(BT$23,$G$18:$R$19,2,FALSE)*(1-$D$12)^($F25-'הנחות עבודה'!$C$5)/$D$11)/$D$11)</f>
        <v>0</v>
      </c>
      <c r="BU25" s="52">
        <f ca="1">IF(OR($F25&gt;$D$5,$F25&gt;MAX('הנחות עבודה'!$B$69:$B$89)),0,(VLOOKUP($F25,'התפלגות ייצור וסל דלקים'!$B$64:$BV$84,BU$2-$E$2,FALSE))*$D$9*$D$8*(HLOOKUP(BU$23,$G$18:$R$19,2,FALSE)*(1-$D$12)^($F25-'הנחות עבודה'!$C$5)/$D$11)/$D$11)</f>
        <v>0</v>
      </c>
      <c r="BV25" s="52">
        <f ca="1">IF(OR($F25&gt;$D$5,$F25&gt;MAX('הנחות עבודה'!$B$69:$B$89)),0,(VLOOKUP($F25,'התפלגות ייצור וסל דלקים'!$B$64:$BV$84,BV$2-$E$2,FALSE))*$D$9*$D$8*(HLOOKUP(BV$23,$G$18:$R$19,2,FALSE)*(1-$D$12)^($F25-'הנחות עבודה'!$C$5)/$D$11)/$D$11)</f>
        <v>7.8975056895999954E-4</v>
      </c>
      <c r="BW25" s="52">
        <f ca="1">IF(OR($F25&gt;$D$5,$F25&gt;MAX('הנחות עבודה'!$B$69:$B$89)),0,(VLOOKUP($F25,'התפלגות ייצור וסל דלקים'!$B$64:$BV$84,BW$2-$E$2,FALSE))*$D$9*$D$8*(HLOOKUP(BW$23,$G$18:$R$19,2,FALSE)*(1-$D$12)^($F25-'הנחות עבודה'!$C$5)/$D$11)/$D$11)</f>
        <v>0</v>
      </c>
      <c r="BX25" s="52">
        <f ca="1">IF(OR($F25&gt;$D$5,$F25&gt;MAX('הנחות עבודה'!$B$69:$B$89)),0,(VLOOKUP($F25,'התפלגות ייצור וסל דלקים'!$B$64:$BV$84,BX$2-$E$2,FALSE))*$D$9*$D$8*(HLOOKUP(BX$23,$G$18:$R$19,2,FALSE)*(1-$D$12)^($F25-'הנחות עבודה'!$C$5)/$D$11)/$D$11)</f>
        <v>0</v>
      </c>
      <c r="BY25" s="52">
        <f ca="1">IF(OR($F25&gt;$D$5,$F25&gt;MAX('הנחות עבודה'!$B$69:$B$89)),0,(VLOOKUP($F25,'התפלגות ייצור וסל דלקים'!$B$64:$BV$84,BY$2-$E$2,FALSE))*$D$9*$D$8*(HLOOKUP(BY$23,$G$18:$R$19,2,FALSE)*(1-$D$12)^($F25-'הנחות עבודה'!$C$5)/$D$11)/$D$11)</f>
        <v>2.5010991600000001E-4</v>
      </c>
      <c r="BZ25" s="52">
        <f ca="1">IF(OR($F25&gt;$D$5,$F25&gt;MAX('הנחות עבודה'!$B$69:$B$89)),0,(VLOOKUP($F25,'התפלגות ייצור וסל דלקים'!$B$64:$BV$84,BZ$2-$E$2,FALSE))*$D$9*$D$8*(HLOOKUP(BZ$23,$G$18:$R$19,2,FALSE)*(1-$D$12)^($F25-'הנחות עבודה'!$C$5)/$D$11)/$D$11)</f>
        <v>0</v>
      </c>
    </row>
    <row r="26" spans="6:78" ht="15.75">
      <c r="F26" s="10">
        <f t="shared" ref="F26:F44" si="114">F25+1</f>
        <v>2022</v>
      </c>
      <c r="G26" s="42">
        <f ca="1">IF(OR($F26&gt;$D$5,$F26&gt;MAX('הנחות עבודה'!$B$69:$B$89)),0,(VLOOKUP($F26,'התפלגות ייצור וסל דלקים'!$B$64:$BV$84,G$2-$E$2,FALSE))*$D$9*$D$8*(HLOOKUP(G$23,$G$18:$R$19,2,FALSE)*(1-$D$12)^($F26-'הנחות עבודה'!$C$5)/$D$11)/$D$11)</f>
        <v>0</v>
      </c>
      <c r="H26" s="44">
        <f ca="1">IF(OR($F26&gt;$D$5,$F26&gt;MAX('הנחות עבודה'!$B$69:$B$89)),0,(VLOOKUP($F26,'התפלגות ייצור וסל דלקים'!$B$64:$BV$84,H$2-$E$2,FALSE))*$D$9*$D$8*(HLOOKUP(H$23,$G$18:$R$19,2,FALSE)*(1-$D$12)^($F26-'הנחות עבודה'!$C$5)/$D$11)/$D$11)</f>
        <v>0</v>
      </c>
      <c r="I26" s="44">
        <f ca="1">IF(OR($F26&gt;$D$5,$F26&gt;MAX('הנחות עבודה'!$B$69:$B$89)),0,(VLOOKUP($F26,'התפלגות ייצור וסל דלקים'!$B$64:$BV$84,I$2-$E$2,FALSE))*$D$9*$D$8*(HLOOKUP(I$23,$G$18:$R$19,2,FALSE)*(1-$D$12)^($F26-'הנחות עבודה'!$C$5)/$D$11)/$D$11)</f>
        <v>0</v>
      </c>
      <c r="J26" s="44">
        <f ca="1">IF(OR($F26&gt;$D$5,$F26&gt;MAX('הנחות עבודה'!$B$69:$B$89)),0,(VLOOKUP($F26,'התפלגות ייצור וסל דלקים'!$B$64:$BV$84,J$2-$E$2,FALSE))*$D$9*$D$8*(HLOOKUP(J$23,$G$18:$R$19,2,FALSE)*(1-$D$12)^($F26-'הנחות עבודה'!$C$5)/$D$11)/$D$11)</f>
        <v>0</v>
      </c>
      <c r="K26" s="44">
        <f ca="1">IF(OR($F26&gt;$D$5,$F26&gt;MAX('הנחות עבודה'!$B$69:$B$89)),0,(VLOOKUP($F26,'התפלגות ייצור וסל דלקים'!$B$64:$BV$84,K$2-$E$2,FALSE))*$D$9*$D$8*(HLOOKUP(K$23,$G$18:$R$19,2,FALSE)*(1-$D$12)^($F26-'הנחות עבודה'!$C$5)/$D$11)/$D$11)</f>
        <v>0</v>
      </c>
      <c r="L26" s="44">
        <f ca="1">IF(OR($F26&gt;$D$5,$F26&gt;MAX('הנחות עבודה'!$B$69:$B$89)),0,(VLOOKUP($F26,'התפלגות ייצור וסל דלקים'!$B$64:$BV$84,L$2-$E$2,FALSE))*$D$9*$D$8*(HLOOKUP(L$23,$G$18:$R$19,2,FALSE)*(1-$D$12)^($F26-'הנחות עבודה'!$C$5)/$D$11)/$D$11)</f>
        <v>0</v>
      </c>
      <c r="M26" s="42">
        <f ca="1">IF(OR($F26&gt;$D$5,$F26&gt;MAX('הנחות עבודה'!$B$69:$B$89)),0,(VLOOKUP($F26,'התפלגות ייצור וסל דלקים'!$B$64:$BV$84,M$2-$E$2,FALSE))*$D$9*$D$8*(HLOOKUP(M$23,$G$18:$R$19,2,FALSE)*(1-$D$12)^($F26-'הנחות עבודה'!$C$5)/$D$11)/$D$11)</f>
        <v>1.30576E-5</v>
      </c>
      <c r="N26" s="42">
        <f ca="1">IF(OR($F26&gt;$D$5,$F26&gt;MAX('הנחות עבודה'!$B$69:$B$89)),0,(VLOOKUP($F26,'התפלגות ייצור וסל דלקים'!$B$64:$BV$84,N$2-$E$2,FALSE))*$D$9*$D$8*(HLOOKUP(N$23,$G$18:$R$19,2,FALSE)*(1-$D$12)^($F26-'הנחות עבודה'!$C$5)/$D$11)/$D$11)</f>
        <v>8.2537054169599987E-4</v>
      </c>
      <c r="O26" s="42">
        <f ca="1">IF(OR($F26&gt;$D$5,$F26&gt;MAX('הנחות עבודה'!$B$69:$B$89)),0,(VLOOKUP($F26,'התפלגות ייצור וסל דלקים'!$B$64:$BV$84,O$2-$E$2,FALSE))*$D$9*$D$8*(HLOOKUP(O$23,$G$18:$R$19,2,FALSE)*(1-$D$12)^($F26-'הנחות עבודה'!$C$5)/$D$11)/$D$11)</f>
        <v>0</v>
      </c>
      <c r="P26" s="42">
        <f ca="1">IF(OR($F26&gt;$D$5,$F26&gt;MAX('הנחות עבודה'!$B$69:$B$89)),0,(VLOOKUP($F26,'התפלגות ייצור וסל דלקים'!$B$64:$BV$84,P$2-$E$2,FALSE))*$D$9*$D$8*(HLOOKUP(P$23,$G$18:$R$19,2,FALSE)*(1-$D$12)^($F26-'הנחות עבודה'!$C$5)/$D$11)/$D$11)</f>
        <v>0</v>
      </c>
      <c r="Q26" s="42">
        <f ca="1">IF(OR($F26&gt;$D$5,$F26&gt;MAX('הנחות עבודה'!$B$69:$B$89)),0,(VLOOKUP($F26,'התפלגות ייצור וסל דלקים'!$B$64:$BV$84,Q$2-$E$2,FALSE))*$D$9*$D$8*(HLOOKUP(Q$23,$G$18:$R$19,2,FALSE)*(1-$D$12)^($F26-'הנחות עבודה'!$C$5)/$D$11)/$D$11)</f>
        <v>2.3210668574999999E-4</v>
      </c>
      <c r="R26" s="42">
        <f ca="1">IF(OR($F26&gt;$D$5,$F26&gt;MAX('הנחות עבודה'!$B$69:$B$89)),0,(VLOOKUP($F26,'התפלגות ייצור וסל דלקים'!$B$64:$BV$84,R$2-$E$2,FALSE))*$D$9*$D$8*(HLOOKUP(R$23,$G$18:$R$19,2,FALSE)*(1-$D$12)^($F26-'הנחות עבודה'!$C$5)/$D$11)/$D$11)</f>
        <v>0</v>
      </c>
      <c r="S26" s="52">
        <f ca="1">IF(OR($F26&gt;$D$5,$F26&gt;MAX('הנחות עבודה'!$B$69:$B$89)),0,(VLOOKUP($F26,'התפלגות ייצור וסל דלקים'!$B$64:$BV$84,S$2-$E$2,FALSE))*$D$9*$D$8*(HLOOKUP(S$23,$G$18:$R$19,2,FALSE)*(1-$D$12)^($F26-'הנחות עבודה'!$C$5)/$D$11)/$D$11)</f>
        <v>0</v>
      </c>
      <c r="T26" s="127">
        <f ca="1">IF(OR($F26&gt;$D$5,$F26&gt;MAX('הנחות עבודה'!$B$69:$B$89)),0,(VLOOKUP($F26,'התפלגות ייצור וסל דלקים'!$B$64:$BV$84,T$2-$E$2,FALSE))*$D$9*$D$8*(HLOOKUP(T$23,$G$18:$R$19,2,FALSE)*(1-$D$12)^($F26-'הנחות עבודה'!$C$5)/$D$11)/$D$11)</f>
        <v>0</v>
      </c>
      <c r="U26" s="127">
        <f ca="1">IF(OR($F26&gt;$D$5,$F26&gt;MAX('הנחות עבודה'!$B$69:$B$89)),0,(VLOOKUP($F26,'התפלגות ייצור וסל דלקים'!$B$64:$BV$84,U$2-$E$2,FALSE))*$D$9*$D$8*(HLOOKUP(U$23,$G$18:$R$19,2,FALSE)*(1-$D$12)^($F26-'הנחות עבודה'!$C$5)/$D$11)/$D$11)</f>
        <v>0</v>
      </c>
      <c r="V26" s="127">
        <f ca="1">IF(OR($F26&gt;$D$5,$F26&gt;MAX('הנחות עבודה'!$B$69:$B$89)),0,(VLOOKUP($F26,'התפלגות ייצור וסל דלקים'!$B$64:$BV$84,V$2-$E$2,FALSE))*$D$9*$D$8*(HLOOKUP(V$23,$G$18:$R$19,2,FALSE)*(1-$D$12)^($F26-'הנחות עבודה'!$C$5)/$D$11)/$D$11)</f>
        <v>0</v>
      </c>
      <c r="W26" s="127">
        <f ca="1">IF(OR($F26&gt;$D$5,$F26&gt;MAX('הנחות עבודה'!$B$69:$B$89)),0,(VLOOKUP($F26,'התפלגות ייצור וסל דלקים'!$B$64:$BV$84,W$2-$E$2,FALSE))*$D$9*$D$8*(HLOOKUP(W$23,$G$18:$R$19,2,FALSE)*(1-$D$12)^($F26-'הנחות עבודה'!$C$5)/$D$11)/$D$11)</f>
        <v>0</v>
      </c>
      <c r="X26" s="127">
        <f ca="1">IF(OR($F26&gt;$D$5,$F26&gt;MAX('הנחות עבודה'!$B$69:$B$89)),0,(VLOOKUP($F26,'התפלגות ייצור וסל דלקים'!$B$64:$BV$84,X$2-$E$2,FALSE))*$D$9*$D$8*(HLOOKUP(X$23,$G$18:$R$19,2,FALSE)*(1-$D$12)^($F26-'הנחות עבודה'!$C$5)/$D$11)/$D$11)</f>
        <v>0</v>
      </c>
      <c r="Y26" s="52">
        <f ca="1">IF(OR($F26&gt;$D$5,$F26&gt;MAX('הנחות עבודה'!$B$69:$B$89)),0,(VLOOKUP($F26,'התפלגות ייצור וסל דלקים'!$B$64:$BV$84,Y$2-$E$2,FALSE))*$D$9*$D$8*(HLOOKUP(Y$23,$G$18:$R$19,2,FALSE)*(1-$D$12)^($F26-'הנחות עבודה'!$C$5)/$D$11)/$D$11)</f>
        <v>1.30576E-5</v>
      </c>
      <c r="Z26" s="52">
        <f ca="1">IF(OR($F26&gt;$D$5,$F26&gt;MAX('הנחות עבודה'!$B$69:$B$89)),0,(VLOOKUP($F26,'התפלגות ייצור וסל דלקים'!$B$64:$BV$84,Z$2-$E$2,FALSE))*$D$9*$D$8*(HLOOKUP(Z$23,$G$18:$R$19,2,FALSE)*(1-$D$12)^($F26-'הנחות עבודה'!$C$5)/$D$11)/$D$11)</f>
        <v>8.2537054169599987E-4</v>
      </c>
      <c r="AA26" s="52">
        <f ca="1">IF(OR($F26&gt;$D$5,$F26&gt;MAX('הנחות עבודה'!$B$69:$B$89)),0,(VLOOKUP($F26,'התפלגות ייצור וסל דלקים'!$B$64:$BV$84,AA$2-$E$2,FALSE))*$D$9*$D$8*(HLOOKUP(AA$23,$G$18:$R$19,2,FALSE)*(1-$D$12)^($F26-'הנחות עבודה'!$C$5)/$D$11)/$D$11)</f>
        <v>0</v>
      </c>
      <c r="AB26" s="52">
        <f ca="1">IF(OR($F26&gt;$D$5,$F26&gt;MAX('הנחות עבודה'!$B$69:$B$89)),0,(VLOOKUP($F26,'התפלגות ייצור וסל דלקים'!$B$64:$BV$84,AB$2-$E$2,FALSE))*$D$9*$D$8*(HLOOKUP(AB$23,$G$18:$R$19,2,FALSE)*(1-$D$12)^($F26-'הנחות עבודה'!$C$5)/$D$11)/$D$11)</f>
        <v>0</v>
      </c>
      <c r="AC26" s="52">
        <f ca="1">IF(OR($F26&gt;$D$5,$F26&gt;MAX('הנחות עבודה'!$B$69:$B$89)),0,(VLOOKUP($F26,'התפלגות ייצור וסל דלקים'!$B$64:$BV$84,AC$2-$E$2,FALSE))*$D$9*$D$8*(HLOOKUP(AC$23,$G$18:$R$19,2,FALSE)*(1-$D$12)^($F26-'הנחות עבודה'!$C$5)/$D$11)/$D$11)</f>
        <v>2.3210668574999999E-4</v>
      </c>
      <c r="AD26" s="52">
        <f ca="1">IF(OR($F26&gt;$D$5,$F26&gt;MAX('הנחות עבודה'!$B$69:$B$89)),0,(VLOOKUP($F26,'התפלגות ייצור וסל דלקים'!$B$64:$BV$84,AD$2-$E$2,FALSE))*$D$9*$D$8*(HLOOKUP(AD$23,$G$18:$R$19,2,FALSE)*(1-$D$12)^($F26-'הנחות עבודה'!$C$5)/$D$11)/$D$11)</f>
        <v>0</v>
      </c>
      <c r="AE26" s="42">
        <f ca="1">IF(OR($F26&gt;$D$5,$F26&gt;MAX('הנחות עבודה'!$B$69:$B$89)),0,(VLOOKUP($F26,'התפלגות ייצור וסל דלקים'!$B$64:$BV$84,AE$2-$E$2,FALSE))*$D$9*$D$8*(HLOOKUP(AE$23,$G$18:$R$19,2,FALSE)*(1-$D$12)^($F26-'הנחות עבודה'!$C$5)/$D$11)/$D$11)</f>
        <v>0</v>
      </c>
      <c r="AF26" s="44">
        <f ca="1">IF(OR($F26&gt;$D$5,$F26&gt;MAX('הנחות עבודה'!$B$69:$B$89)),0,(VLOOKUP($F26,'התפלגות ייצור וסל דלקים'!$B$64:$BV$84,AF$2-$E$2,FALSE))*$D$9*$D$8*(HLOOKUP(AF$23,$G$18:$R$19,2,FALSE)*(1-$D$12)^($F26-'הנחות עבודה'!$C$5)/$D$11)/$D$11)</f>
        <v>0</v>
      </c>
      <c r="AG26" s="44">
        <f ca="1">IF(OR($F26&gt;$D$5,$F26&gt;MAX('הנחות עבודה'!$B$69:$B$89)),0,(VLOOKUP($F26,'התפלגות ייצור וסל דלקים'!$B$64:$BV$84,AG$2-$E$2,FALSE))*$D$9*$D$8*(HLOOKUP(AG$23,$G$18:$R$19,2,FALSE)*(1-$D$12)^($F26-'הנחות עבודה'!$C$5)/$D$11)/$D$11)</f>
        <v>0</v>
      </c>
      <c r="AH26" s="44">
        <f ca="1">IF(OR($F26&gt;$D$5,$F26&gt;MAX('הנחות עבודה'!$B$69:$B$89)),0,(VLOOKUP($F26,'התפלגות ייצור וסל דלקים'!$B$64:$BV$84,AH$2-$E$2,FALSE))*$D$9*$D$8*(HLOOKUP(AH$23,$G$18:$R$19,2,FALSE)*(1-$D$12)^($F26-'הנחות עבודה'!$C$5)/$D$11)/$D$11)</f>
        <v>0</v>
      </c>
      <c r="AI26" s="44">
        <f ca="1">IF(OR($F26&gt;$D$5,$F26&gt;MAX('הנחות עבודה'!$B$69:$B$89)),0,(VLOOKUP($F26,'התפלגות ייצור וסל דלקים'!$B$64:$BV$84,AI$2-$E$2,FALSE))*$D$9*$D$8*(HLOOKUP(AI$23,$G$18:$R$19,2,FALSE)*(1-$D$12)^($F26-'הנחות עבודה'!$C$5)/$D$11)/$D$11)</f>
        <v>0</v>
      </c>
      <c r="AJ26" s="44">
        <f ca="1">IF(OR($F26&gt;$D$5,$F26&gt;MAX('הנחות עבודה'!$B$69:$B$89)),0,(VLOOKUP($F26,'התפלגות ייצור וסל דלקים'!$B$64:$BV$84,AJ$2-$E$2,FALSE))*$D$9*$D$8*(HLOOKUP(AJ$23,$G$18:$R$19,2,FALSE)*(1-$D$12)^($F26-'הנחות עבודה'!$C$5)/$D$11)/$D$11)</f>
        <v>0</v>
      </c>
      <c r="AK26" s="42">
        <f ca="1">IF(OR($F26&gt;$D$5,$F26&gt;MAX('הנחות עבודה'!$B$69:$B$89)),0,(VLOOKUP($F26,'התפלגות ייצור וסל דלקים'!$B$64:$BV$84,AK$2-$E$2,FALSE))*$D$9*$D$8*(HLOOKUP(AK$23,$G$18:$R$19,2,FALSE)*(1-$D$12)^($F26-'הנחות עבודה'!$C$5)/$D$11)/$D$11)</f>
        <v>1.26959E-5</v>
      </c>
      <c r="AL26" s="42">
        <f ca="1">IF(OR($F26&gt;$D$5,$F26&gt;MAX('הנחות עבודה'!$B$69:$B$89)),0,(VLOOKUP($F26,'התפלגות ייצור וסל דלקים'!$B$64:$BV$84,AL$2-$E$2,FALSE))*$D$9*$D$8*(HLOOKUP(AL$23,$G$18:$R$19,2,FALSE)*(1-$D$12)^($F26-'הנחות עבודה'!$C$5)/$D$11)/$D$11)</f>
        <v>8.0342839504000008E-4</v>
      </c>
      <c r="AM26" s="42">
        <f ca="1">IF(OR($F26&gt;$D$5,$F26&gt;MAX('הנחות עבודה'!$B$69:$B$89)),0,(VLOOKUP($F26,'התפלגות ייצור וסל דלקים'!$B$64:$BV$84,AM$2-$E$2,FALSE))*$D$9*$D$8*(HLOOKUP(AM$23,$G$18:$R$19,2,FALSE)*(1-$D$12)^($F26-'הנחות עבודה'!$C$5)/$D$11)/$D$11)</f>
        <v>0</v>
      </c>
      <c r="AN26" s="42">
        <f ca="1">IF(OR($F26&gt;$D$5,$F26&gt;MAX('הנחות עבודה'!$B$69:$B$89)),0,(VLOOKUP($F26,'התפלגות ייצור וסל דלקים'!$B$64:$BV$84,AN$2-$E$2,FALSE))*$D$9*$D$8*(HLOOKUP(AN$23,$G$18:$R$19,2,FALSE)*(1-$D$12)^($F26-'הנחות עבודה'!$C$5)/$D$11)/$D$11)</f>
        <v>0</v>
      </c>
      <c r="AO26" s="42">
        <f ca="1">IF(OR($F26&gt;$D$5,$F26&gt;MAX('הנחות עבודה'!$B$69:$B$89)),0,(VLOOKUP($F26,'התפלגות ייצור וסל דלקים'!$B$64:$BV$84,AO$2-$E$2,FALSE))*$D$9*$D$8*(HLOOKUP(AO$23,$G$18:$R$19,2,FALSE)*(1-$D$12)^($F26-'הנחות עבודה'!$C$5)/$D$11)/$D$11)</f>
        <v>2.3211499424999996E-4</v>
      </c>
      <c r="AP26" s="42">
        <f ca="1">IF(OR($F26&gt;$D$5,$F26&gt;MAX('הנחות עבודה'!$B$69:$B$89)),0,(VLOOKUP($F26,'התפלגות ייצור וסל דלקים'!$B$64:$BV$84,AP$2-$E$2,FALSE))*$D$9*$D$8*(HLOOKUP(AP$23,$G$18:$R$19,2,FALSE)*(1-$D$12)^($F26-'הנחות עבודה'!$C$5)/$D$11)/$D$11)</f>
        <v>0</v>
      </c>
      <c r="AQ26" s="52">
        <f ca="1">IF(OR($F26&gt;$D$5,$F26&gt;MAX('הנחות עבודה'!$B$69:$B$89)),0,(VLOOKUP($F26,'התפלגות ייצור וסל דלקים'!$B$64:$BV$84,AQ$2-$E$2,FALSE))*$D$9*$D$8*(HLOOKUP(AQ$23,$G$18:$R$19,2,FALSE)*(1-$D$12)^($F26-'הנחות עבודה'!$C$5)/$D$11)/$D$11)</f>
        <v>0</v>
      </c>
      <c r="AR26" s="127">
        <f ca="1">IF(OR($F26&gt;$D$5,$F26&gt;MAX('הנחות עבודה'!$B$69:$B$89)),0,(VLOOKUP($F26,'התפלגות ייצור וסל דלקים'!$B$64:$BV$84,AR$2-$E$2,FALSE))*$D$9*$D$8*(HLOOKUP(AR$23,$G$18:$R$19,2,FALSE)*(1-$D$12)^($F26-'הנחות עבודה'!$C$5)/$D$11)/$D$11)</f>
        <v>0</v>
      </c>
      <c r="AS26" s="127">
        <f ca="1">IF(OR($F26&gt;$D$5,$F26&gt;MAX('הנחות עבודה'!$B$69:$B$89)),0,(VLOOKUP($F26,'התפלגות ייצור וסל דלקים'!$B$64:$BV$84,AS$2-$E$2,FALSE))*$D$9*$D$8*(HLOOKUP(AS$23,$G$18:$R$19,2,FALSE)*(1-$D$12)^($F26-'הנחות עבודה'!$C$5)/$D$11)/$D$11)</f>
        <v>0</v>
      </c>
      <c r="AT26" s="127">
        <f ca="1">IF(OR($F26&gt;$D$5,$F26&gt;MAX('הנחות עבודה'!$B$69:$B$89)),0,(VLOOKUP($F26,'התפלגות ייצור וסל דלקים'!$B$64:$BV$84,AT$2-$E$2,FALSE))*$D$9*$D$8*(HLOOKUP(AT$23,$G$18:$R$19,2,FALSE)*(1-$D$12)^($F26-'הנחות עבודה'!$C$5)/$D$11)/$D$11)</f>
        <v>0</v>
      </c>
      <c r="AU26" s="127">
        <f ca="1">IF(OR($F26&gt;$D$5,$F26&gt;MAX('הנחות עבודה'!$B$69:$B$89)),0,(VLOOKUP($F26,'התפלגות ייצור וסל דלקים'!$B$64:$BV$84,AU$2-$E$2,FALSE))*$D$9*$D$8*(HLOOKUP(AU$23,$G$18:$R$19,2,FALSE)*(1-$D$12)^($F26-'הנחות עבודה'!$C$5)/$D$11)/$D$11)</f>
        <v>0</v>
      </c>
      <c r="AV26" s="127">
        <f ca="1">IF(OR($F26&gt;$D$5,$F26&gt;MAX('הנחות עבודה'!$B$69:$B$89)),0,(VLOOKUP($F26,'התפלגות ייצור וסל דלקים'!$B$64:$BV$84,AV$2-$E$2,FALSE))*$D$9*$D$8*(HLOOKUP(AV$23,$G$18:$R$19,2,FALSE)*(1-$D$12)^($F26-'הנחות עבודה'!$C$5)/$D$11)/$D$11)</f>
        <v>0</v>
      </c>
      <c r="AW26" s="52">
        <f ca="1">IF(OR($F26&gt;$D$5,$F26&gt;MAX('הנחות עבודה'!$B$69:$B$89)),0,(VLOOKUP($F26,'התפלגות ייצור וסל דלקים'!$B$64:$BV$84,AW$2-$E$2,FALSE))*$D$9*$D$8*(HLOOKUP(AW$23,$G$18:$R$19,2,FALSE)*(1-$D$12)^($F26-'הנחות עבודה'!$C$5)/$D$11)/$D$11)</f>
        <v>1.26959E-5</v>
      </c>
      <c r="AX26" s="52">
        <f ca="1">IF(OR($F26&gt;$D$5,$F26&gt;MAX('הנחות עבודה'!$B$69:$B$89)),0,(VLOOKUP($F26,'התפלגות ייצור וסל דלקים'!$B$64:$BV$84,AX$2-$E$2,FALSE))*$D$9*$D$8*(HLOOKUP(AX$23,$G$18:$R$19,2,FALSE)*(1-$D$12)^($F26-'הנחות עבודה'!$C$5)/$D$11)/$D$11)</f>
        <v>8.0342839504000008E-4</v>
      </c>
      <c r="AY26" s="52">
        <f ca="1">IF(OR($F26&gt;$D$5,$F26&gt;MAX('הנחות עבודה'!$B$69:$B$89)),0,(VLOOKUP($F26,'התפלגות ייצור וסל דלקים'!$B$64:$BV$84,AY$2-$E$2,FALSE))*$D$9*$D$8*(HLOOKUP(AY$23,$G$18:$R$19,2,FALSE)*(1-$D$12)^($F26-'הנחות עבודה'!$C$5)/$D$11)/$D$11)</f>
        <v>0</v>
      </c>
      <c r="AZ26" s="52">
        <f ca="1">IF(OR($F26&gt;$D$5,$F26&gt;MAX('הנחות עבודה'!$B$69:$B$89)),0,(VLOOKUP($F26,'התפלגות ייצור וסל דלקים'!$B$64:$BV$84,AZ$2-$E$2,FALSE))*$D$9*$D$8*(HLOOKUP(AZ$23,$G$18:$R$19,2,FALSE)*(1-$D$12)^($F26-'הנחות עבודה'!$C$5)/$D$11)/$D$11)</f>
        <v>0</v>
      </c>
      <c r="BA26" s="52">
        <f ca="1">IF(OR($F26&gt;$D$5,$F26&gt;MAX('הנחות עבודה'!$B$69:$B$89)),0,(VLOOKUP($F26,'התפלגות ייצור וסל דלקים'!$B$64:$BV$84,BA$2-$E$2,FALSE))*$D$9*$D$8*(HLOOKUP(BA$23,$G$18:$R$19,2,FALSE)*(1-$D$12)^($F26-'הנחות עבודה'!$C$5)/$D$11)/$D$11)</f>
        <v>2.3211499424999996E-4</v>
      </c>
      <c r="BB26" s="52">
        <f ca="1">IF(OR($F26&gt;$D$5,$F26&gt;MAX('הנחות עבודה'!$B$69:$B$89)),0,(VLOOKUP($F26,'התפלגות ייצור וסל דלקים'!$B$64:$BV$84,BB$2-$E$2,FALSE))*$D$9*$D$8*(HLOOKUP(BB$23,$G$18:$R$19,2,FALSE)*(1-$D$12)^($F26-'הנחות עבודה'!$C$5)/$D$11)/$D$11)</f>
        <v>0</v>
      </c>
      <c r="BC26" s="42">
        <f ca="1">IF(OR($F26&gt;$D$5,$F26&gt;MAX('הנחות עבודה'!$B$69:$B$89)),0,(VLOOKUP($F26,'התפלגות ייצור וסל דלקים'!$B$64:$BV$84,BC$2-$E$2,FALSE))*$D$9*$D$8*(HLOOKUP(BC$23,$G$18:$R$19,2,FALSE)*(1-$D$12)^($F26-'הנחות עבודה'!$C$5)/$D$11)/$D$11)</f>
        <v>0</v>
      </c>
      <c r="BD26" s="44">
        <f ca="1">IF(OR($F26&gt;$D$5,$F26&gt;MAX('הנחות עבודה'!$B$69:$B$89)),0,(VLOOKUP($F26,'התפלגות ייצור וסל דלקים'!$B$64:$BV$84,BD$2-$E$2,FALSE))*$D$9*$D$8*(HLOOKUP(BD$23,$G$18:$R$19,2,FALSE)*(1-$D$12)^($F26-'הנחות עבודה'!$C$5)/$D$11)/$D$11)</f>
        <v>0</v>
      </c>
      <c r="BE26" s="44">
        <f ca="1">IF(OR($F26&gt;$D$5,$F26&gt;MAX('הנחות עבודה'!$B$69:$B$89)),0,(VLOOKUP($F26,'התפלגות ייצור וסל דלקים'!$B$64:$BV$84,BE$2-$E$2,FALSE))*$D$9*$D$8*(HLOOKUP(BE$23,$G$18:$R$19,2,FALSE)*(1-$D$12)^($F26-'הנחות עבודה'!$C$5)/$D$11)/$D$11)</f>
        <v>0</v>
      </c>
      <c r="BF26" s="44">
        <f ca="1">IF(OR($F26&gt;$D$5,$F26&gt;MAX('הנחות עבודה'!$B$69:$B$89)),0,(VLOOKUP($F26,'התפלגות ייצור וסל דלקים'!$B$64:$BV$84,BF$2-$E$2,FALSE))*$D$9*$D$8*(HLOOKUP(BF$23,$G$18:$R$19,2,FALSE)*(1-$D$12)^($F26-'הנחות עבודה'!$C$5)/$D$11)/$D$11)</f>
        <v>0</v>
      </c>
      <c r="BG26" s="44">
        <f ca="1">IF(OR($F26&gt;$D$5,$F26&gt;MAX('הנחות עבודה'!$B$69:$B$89)),0,(VLOOKUP($F26,'התפלגות ייצור וסל דלקים'!$B$64:$BV$84,BG$2-$E$2,FALSE))*$D$9*$D$8*(HLOOKUP(BG$23,$G$18:$R$19,2,FALSE)*(1-$D$12)^($F26-'הנחות עבודה'!$C$5)/$D$11)/$D$11)</f>
        <v>0</v>
      </c>
      <c r="BH26" s="44">
        <f ca="1">IF(OR($F26&gt;$D$5,$F26&gt;MAX('הנחות עבודה'!$B$69:$B$89)),0,(VLOOKUP($F26,'התפלגות ייצור וסל דלקים'!$B$64:$BV$84,BH$2-$E$2,FALSE))*$D$9*$D$8*(HLOOKUP(BH$23,$G$18:$R$19,2,FALSE)*(1-$D$12)^($F26-'הנחות עבודה'!$C$5)/$D$11)/$D$11)</f>
        <v>0</v>
      </c>
      <c r="BI26" s="42">
        <f ca="1">IF(OR($F26&gt;$D$5,$F26&gt;MAX('הנחות עבודה'!$B$69:$B$89)),0,(VLOOKUP($F26,'התפלגות ייצור וסל דלקים'!$B$64:$BV$84,BI$2-$E$2,FALSE))*$D$9*$D$8*(HLOOKUP(BI$23,$G$18:$R$19,2,FALSE)*(1-$D$12)^($F26-'הנחות עבודה'!$C$5)/$D$11)/$D$11)</f>
        <v>1.25679E-5</v>
      </c>
      <c r="BJ26" s="42">
        <f ca="1">IF(OR($F26&gt;$D$5,$F26&gt;MAX('הנחות עבודה'!$B$69:$B$89)),0,(VLOOKUP($F26,'התפלגות ייצור וסל דלקים'!$B$64:$BV$84,BJ$2-$E$2,FALSE))*$D$9*$D$8*(HLOOKUP(BJ$23,$G$18:$R$19,2,FALSE)*(1-$D$12)^($F26-'הנחות עבודה'!$C$5)/$D$11)/$D$11)</f>
        <v>7.9162170911999986E-4</v>
      </c>
      <c r="BK26" s="42">
        <f ca="1">IF(OR($F26&gt;$D$5,$F26&gt;MAX('הנחות עבודה'!$B$69:$B$89)),0,(VLOOKUP($F26,'התפלגות ייצור וסל דלקים'!$B$64:$BV$84,BK$2-$E$2,FALSE))*$D$9*$D$8*(HLOOKUP(BK$23,$G$18:$R$19,2,FALSE)*(1-$D$12)^($F26-'הנחות עבודה'!$C$5)/$D$11)/$D$11)</f>
        <v>0</v>
      </c>
      <c r="BL26" s="42">
        <f ca="1">IF(OR($F26&gt;$D$5,$F26&gt;MAX('הנחות עבודה'!$B$69:$B$89)),0,(VLOOKUP($F26,'התפלגות ייצור וסל דלקים'!$B$64:$BV$84,BL$2-$E$2,FALSE))*$D$9*$D$8*(HLOOKUP(BL$23,$G$18:$R$19,2,FALSE)*(1-$D$12)^($F26-'הנחות עבודה'!$C$5)/$D$11)/$D$11)</f>
        <v>0</v>
      </c>
      <c r="BM26" s="42">
        <f ca="1">IF(OR($F26&gt;$D$5,$F26&gt;MAX('הנחות עבודה'!$B$69:$B$89)),0,(VLOOKUP($F26,'התפלגות ייצור וסל דלקים'!$B$64:$BV$84,BM$2-$E$2,FALSE))*$D$9*$D$8*(HLOOKUP(BM$23,$G$18:$R$19,2,FALSE)*(1-$D$12)^($F26-'הנחות עבודה'!$C$5)/$D$11)/$D$11)</f>
        <v>2.3210639924999999E-4</v>
      </c>
      <c r="BN26" s="42">
        <f ca="1">IF(OR($F26&gt;$D$5,$F26&gt;MAX('הנחות עבודה'!$B$69:$B$89)),0,(VLOOKUP($F26,'התפלגות ייצור וסל דלקים'!$B$64:$BV$84,BN$2-$E$2,FALSE))*$D$9*$D$8*(HLOOKUP(BN$23,$G$18:$R$19,2,FALSE)*(1-$D$12)^($F26-'הנחות עבודה'!$C$5)/$D$11)/$D$11)</f>
        <v>0</v>
      </c>
      <c r="BO26" s="52">
        <f ca="1">IF(OR($F26&gt;$D$5,$F26&gt;MAX('הנחות עבודה'!$B$69:$B$89)),0,(VLOOKUP($F26,'התפלגות ייצור וסל דלקים'!$B$64:$BV$84,BO$2-$E$2,FALSE))*$D$9*$D$8*(HLOOKUP(BO$23,$G$18:$R$19,2,FALSE)*(1-$D$12)^($F26-'הנחות עבודה'!$C$5)/$D$11)/$D$11)</f>
        <v>0</v>
      </c>
      <c r="BP26" s="127">
        <f ca="1">IF(OR($F26&gt;$D$5,$F26&gt;MAX('הנחות עבודה'!$B$69:$B$89)),0,(VLOOKUP($F26,'התפלגות ייצור וסל דלקים'!$B$64:$BV$84,BP$2-$E$2,FALSE))*$D$9*$D$8*(HLOOKUP(BP$23,$G$18:$R$19,2,FALSE)*(1-$D$12)^($F26-'הנחות עבודה'!$C$5)/$D$11)/$D$11)</f>
        <v>0</v>
      </c>
      <c r="BQ26" s="127">
        <f ca="1">IF(OR($F26&gt;$D$5,$F26&gt;MAX('הנחות עבודה'!$B$69:$B$89)),0,(VLOOKUP($F26,'התפלגות ייצור וסל דלקים'!$B$64:$BV$84,BQ$2-$E$2,FALSE))*$D$9*$D$8*(HLOOKUP(BQ$23,$G$18:$R$19,2,FALSE)*(1-$D$12)^($F26-'הנחות עבודה'!$C$5)/$D$11)/$D$11)</f>
        <v>0</v>
      </c>
      <c r="BR26" s="127">
        <f ca="1">IF(OR($F26&gt;$D$5,$F26&gt;MAX('הנחות עבודה'!$B$69:$B$89)),0,(VLOOKUP($F26,'התפלגות ייצור וסל דלקים'!$B$64:$BV$84,BR$2-$E$2,FALSE))*$D$9*$D$8*(HLOOKUP(BR$23,$G$18:$R$19,2,FALSE)*(1-$D$12)^($F26-'הנחות עבודה'!$C$5)/$D$11)/$D$11)</f>
        <v>0</v>
      </c>
      <c r="BS26" s="127">
        <f ca="1">IF(OR($F26&gt;$D$5,$F26&gt;MAX('הנחות עבודה'!$B$69:$B$89)),0,(VLOOKUP($F26,'התפלגות ייצור וסל דלקים'!$B$64:$BV$84,BS$2-$E$2,FALSE))*$D$9*$D$8*(HLOOKUP(BS$23,$G$18:$R$19,2,FALSE)*(1-$D$12)^($F26-'הנחות עבודה'!$C$5)/$D$11)/$D$11)</f>
        <v>0</v>
      </c>
      <c r="BT26" s="127">
        <f ca="1">IF(OR($F26&gt;$D$5,$F26&gt;MAX('הנחות עבודה'!$B$69:$B$89)),0,(VLOOKUP($F26,'התפלגות ייצור וסל דלקים'!$B$64:$BV$84,BT$2-$E$2,FALSE))*$D$9*$D$8*(HLOOKUP(BT$23,$G$18:$R$19,2,FALSE)*(1-$D$12)^($F26-'הנחות עבודה'!$C$5)/$D$11)/$D$11)</f>
        <v>0</v>
      </c>
      <c r="BU26" s="52">
        <f ca="1">IF(OR($F26&gt;$D$5,$F26&gt;MAX('הנחות עבודה'!$B$69:$B$89)),0,(VLOOKUP($F26,'התפלגות ייצור וסל דלקים'!$B$64:$BV$84,BU$2-$E$2,FALSE))*$D$9*$D$8*(HLOOKUP(BU$23,$G$18:$R$19,2,FALSE)*(1-$D$12)^($F26-'הנחות עבודה'!$C$5)/$D$11)/$D$11)</f>
        <v>1.25679E-5</v>
      </c>
      <c r="BV26" s="52">
        <f ca="1">IF(OR($F26&gt;$D$5,$F26&gt;MAX('הנחות עבודה'!$B$69:$B$89)),0,(VLOOKUP($F26,'התפלגות ייצור וסל דלקים'!$B$64:$BV$84,BV$2-$E$2,FALSE))*$D$9*$D$8*(HLOOKUP(BV$23,$G$18:$R$19,2,FALSE)*(1-$D$12)^($F26-'הנחות עבודה'!$C$5)/$D$11)/$D$11)</f>
        <v>7.9162170911999986E-4</v>
      </c>
      <c r="BW26" s="52">
        <f ca="1">IF(OR($F26&gt;$D$5,$F26&gt;MAX('הנחות עבודה'!$B$69:$B$89)),0,(VLOOKUP($F26,'התפלגות ייצור וסל דלקים'!$B$64:$BV$84,BW$2-$E$2,FALSE))*$D$9*$D$8*(HLOOKUP(BW$23,$G$18:$R$19,2,FALSE)*(1-$D$12)^($F26-'הנחות עבודה'!$C$5)/$D$11)/$D$11)</f>
        <v>0</v>
      </c>
      <c r="BX26" s="52">
        <f ca="1">IF(OR($F26&gt;$D$5,$F26&gt;MAX('הנחות עבודה'!$B$69:$B$89)),0,(VLOOKUP($F26,'התפלגות ייצור וסל דלקים'!$B$64:$BV$84,BX$2-$E$2,FALSE))*$D$9*$D$8*(HLOOKUP(BX$23,$G$18:$R$19,2,FALSE)*(1-$D$12)^($F26-'הנחות עבודה'!$C$5)/$D$11)/$D$11)</f>
        <v>0</v>
      </c>
      <c r="BY26" s="52">
        <f ca="1">IF(OR($F26&gt;$D$5,$F26&gt;MAX('הנחות עבודה'!$B$69:$B$89)),0,(VLOOKUP($F26,'התפלגות ייצור וסל דלקים'!$B$64:$BV$84,BY$2-$E$2,FALSE))*$D$9*$D$8*(HLOOKUP(BY$23,$G$18:$R$19,2,FALSE)*(1-$D$12)^($F26-'הנחות עבודה'!$C$5)/$D$11)/$D$11)</f>
        <v>2.3210639924999999E-4</v>
      </c>
      <c r="BZ26" s="52">
        <f ca="1">IF(OR($F26&gt;$D$5,$F26&gt;MAX('הנחות עבודה'!$B$69:$B$89)),0,(VLOOKUP($F26,'התפלגות ייצור וסל דלקים'!$B$64:$BV$84,BZ$2-$E$2,FALSE))*$D$9*$D$8*(HLOOKUP(BZ$23,$G$18:$R$19,2,FALSE)*(1-$D$12)^($F26-'הנחות עבודה'!$C$5)/$D$11)/$D$11)</f>
        <v>0</v>
      </c>
    </row>
    <row r="27" spans="6:78" ht="15.75">
      <c r="F27" s="10">
        <f t="shared" si="114"/>
        <v>2023</v>
      </c>
      <c r="G27" s="42">
        <f ca="1">IF(OR($F27&gt;$D$5,$F27&gt;MAX('הנחות עבודה'!$B$69:$B$89)),0,(VLOOKUP($F27,'התפלגות ייצור וסל דלקים'!$B$64:$BV$84,G$2-$E$2,FALSE))*$D$9*$D$8*(HLOOKUP(G$23,$G$18:$R$19,2,FALSE)*(1-$D$12)^($F27-'הנחות עבודה'!$C$5)/$D$11)/$D$11)</f>
        <v>0</v>
      </c>
      <c r="H27" s="44">
        <f ca="1">IF(OR($F27&gt;$D$5,$F27&gt;MAX('הנחות עבודה'!$B$69:$B$89)),0,(VLOOKUP($F27,'התפלגות ייצור וסל דלקים'!$B$64:$BV$84,H$2-$E$2,FALSE))*$D$9*$D$8*(HLOOKUP(H$23,$G$18:$R$19,2,FALSE)*(1-$D$12)^($F27-'הנחות עבודה'!$C$5)/$D$11)/$D$11)</f>
        <v>0</v>
      </c>
      <c r="I27" s="44">
        <f ca="1">IF(OR($F27&gt;$D$5,$F27&gt;MAX('הנחות עבודה'!$B$69:$B$89)),0,(VLOOKUP($F27,'התפלגות ייצור וסל דלקים'!$B$64:$BV$84,I$2-$E$2,FALSE))*$D$9*$D$8*(HLOOKUP(I$23,$G$18:$R$19,2,FALSE)*(1-$D$12)^($F27-'הנחות עבודה'!$C$5)/$D$11)/$D$11)</f>
        <v>0</v>
      </c>
      <c r="J27" s="44">
        <f ca="1">IF(OR($F27&gt;$D$5,$F27&gt;MAX('הנחות עבודה'!$B$69:$B$89)),0,(VLOOKUP($F27,'התפלגות ייצור וסל דלקים'!$B$64:$BV$84,J$2-$E$2,FALSE))*$D$9*$D$8*(HLOOKUP(J$23,$G$18:$R$19,2,FALSE)*(1-$D$12)^($F27-'הנחות עבודה'!$C$5)/$D$11)/$D$11)</f>
        <v>0</v>
      </c>
      <c r="K27" s="44">
        <f ca="1">IF(OR($F27&gt;$D$5,$F27&gt;MAX('הנחות עבודה'!$B$69:$B$89)),0,(VLOOKUP($F27,'התפלגות ייצור וסל דלקים'!$B$64:$BV$84,K$2-$E$2,FALSE))*$D$9*$D$8*(HLOOKUP(K$23,$G$18:$R$19,2,FALSE)*(1-$D$12)^($F27-'הנחות עבודה'!$C$5)/$D$11)/$D$11)</f>
        <v>0</v>
      </c>
      <c r="L27" s="44">
        <f ca="1">IF(OR($F27&gt;$D$5,$F27&gt;MAX('הנחות עבודה'!$B$69:$B$89)),0,(VLOOKUP($F27,'התפלגות ייצור וסל דלקים'!$B$64:$BV$84,L$2-$E$2,FALSE))*$D$9*$D$8*(HLOOKUP(L$23,$G$18:$R$19,2,FALSE)*(1-$D$12)^($F27-'הנחות עבודה'!$C$5)/$D$11)/$D$11)</f>
        <v>0</v>
      </c>
      <c r="M27" s="42">
        <f ca="1">IF(OR($F27&gt;$D$5,$F27&gt;MAX('הנחות עבודה'!$B$69:$B$89)),0,(VLOOKUP($F27,'התפלגות ייצור וסל דלקים'!$B$64:$BV$84,M$2-$E$2,FALSE))*$D$9*$D$8*(HLOOKUP(M$23,$G$18:$R$19,2,FALSE)*(1-$D$12)^($F27-'הנחות עבודה'!$C$5)/$D$11)/$D$11)</f>
        <v>2.0048499999999996E-5</v>
      </c>
      <c r="N27" s="42">
        <f ca="1">IF(OR($F27&gt;$D$5,$F27&gt;MAX('הנחות עבודה'!$B$69:$B$89)),0,(VLOOKUP($F27,'התפלגות ייצור וסל דלקים'!$B$64:$BV$84,N$2-$E$2,FALSE))*$D$9*$D$8*(HLOOKUP(N$23,$G$18:$R$19,2,FALSE)*(1-$D$12)^($F27-'הנחות עבודה'!$C$5)/$D$11)/$D$11)</f>
        <v>9.1608128355199993E-4</v>
      </c>
      <c r="O27" s="42">
        <f ca="1">IF(OR($F27&gt;$D$5,$F27&gt;MAX('הנחות עבודה'!$B$69:$B$89)),0,(VLOOKUP($F27,'התפלגות ייצור וסל דלקים'!$B$64:$BV$84,O$2-$E$2,FALSE))*$D$9*$D$8*(HLOOKUP(O$23,$G$18:$R$19,2,FALSE)*(1-$D$12)^($F27-'הנחות עבודה'!$C$5)/$D$11)/$D$11)</f>
        <v>0</v>
      </c>
      <c r="P27" s="42">
        <f ca="1">IF(OR($F27&gt;$D$5,$F27&gt;MAX('הנחות עבודה'!$B$69:$B$89)),0,(VLOOKUP($F27,'התפלגות ייצור וסל דלקים'!$B$64:$BV$84,P$2-$E$2,FALSE))*$D$9*$D$8*(HLOOKUP(P$23,$G$18:$R$19,2,FALSE)*(1-$D$12)^($F27-'הנחות עבודה'!$C$5)/$D$11)/$D$11)</f>
        <v>0</v>
      </c>
      <c r="Q27" s="42">
        <f ca="1">IF(OR($F27&gt;$D$5,$F27&gt;MAX('הנחות עבודה'!$B$69:$B$89)),0,(VLOOKUP($F27,'התפלגות ייצור וסל דלקים'!$B$64:$BV$84,Q$2-$E$2,FALSE))*$D$9*$D$8*(HLOOKUP(Q$23,$G$18:$R$19,2,FALSE)*(1-$D$12)^($F27-'הנחות עבודה'!$C$5)/$D$11)/$D$11)</f>
        <v>1.6131010050000002E-4</v>
      </c>
      <c r="R27" s="42">
        <f ca="1">IF(OR($F27&gt;$D$5,$F27&gt;MAX('הנחות עבודה'!$B$69:$B$89)),0,(VLOOKUP($F27,'התפלגות ייצור וסל דלקים'!$B$64:$BV$84,R$2-$E$2,FALSE))*$D$9*$D$8*(HLOOKUP(R$23,$G$18:$R$19,2,FALSE)*(1-$D$12)^($F27-'הנחות עבודה'!$C$5)/$D$11)/$D$11)</f>
        <v>0</v>
      </c>
      <c r="S27" s="52">
        <f ca="1">IF(OR($F27&gt;$D$5,$F27&gt;MAX('הנחות עבודה'!$B$69:$B$89)),0,(VLOOKUP($F27,'התפלגות ייצור וסל דלקים'!$B$64:$BV$84,S$2-$E$2,FALSE))*$D$9*$D$8*(HLOOKUP(S$23,$G$18:$R$19,2,FALSE)*(1-$D$12)^($F27-'הנחות עבודה'!$C$5)/$D$11)/$D$11)</f>
        <v>0</v>
      </c>
      <c r="T27" s="127">
        <f ca="1">IF(OR($F27&gt;$D$5,$F27&gt;MAX('הנחות עבודה'!$B$69:$B$89)),0,(VLOOKUP($F27,'התפלגות ייצור וסל דלקים'!$B$64:$BV$84,T$2-$E$2,FALSE))*$D$9*$D$8*(HLOOKUP(T$23,$G$18:$R$19,2,FALSE)*(1-$D$12)^($F27-'הנחות עבודה'!$C$5)/$D$11)/$D$11)</f>
        <v>0</v>
      </c>
      <c r="U27" s="127">
        <f ca="1">IF(OR($F27&gt;$D$5,$F27&gt;MAX('הנחות עבודה'!$B$69:$B$89)),0,(VLOOKUP($F27,'התפלגות ייצור וסל דלקים'!$B$64:$BV$84,U$2-$E$2,FALSE))*$D$9*$D$8*(HLOOKUP(U$23,$G$18:$R$19,2,FALSE)*(1-$D$12)^($F27-'הנחות עבודה'!$C$5)/$D$11)/$D$11)</f>
        <v>0</v>
      </c>
      <c r="V27" s="127">
        <f ca="1">IF(OR($F27&gt;$D$5,$F27&gt;MAX('הנחות עבודה'!$B$69:$B$89)),0,(VLOOKUP($F27,'התפלגות ייצור וסל דלקים'!$B$64:$BV$84,V$2-$E$2,FALSE))*$D$9*$D$8*(HLOOKUP(V$23,$G$18:$R$19,2,FALSE)*(1-$D$12)^($F27-'הנחות עבודה'!$C$5)/$D$11)/$D$11)</f>
        <v>0</v>
      </c>
      <c r="W27" s="127">
        <f ca="1">IF(OR($F27&gt;$D$5,$F27&gt;MAX('הנחות עבודה'!$B$69:$B$89)),0,(VLOOKUP($F27,'התפלגות ייצור וסל דלקים'!$B$64:$BV$84,W$2-$E$2,FALSE))*$D$9*$D$8*(HLOOKUP(W$23,$G$18:$R$19,2,FALSE)*(1-$D$12)^($F27-'הנחות עבודה'!$C$5)/$D$11)/$D$11)</f>
        <v>0</v>
      </c>
      <c r="X27" s="127">
        <f ca="1">IF(OR($F27&gt;$D$5,$F27&gt;MAX('הנחות עבודה'!$B$69:$B$89)),0,(VLOOKUP($F27,'התפלגות ייצור וסל דלקים'!$B$64:$BV$84,X$2-$E$2,FALSE))*$D$9*$D$8*(HLOOKUP(X$23,$G$18:$R$19,2,FALSE)*(1-$D$12)^($F27-'הנחות עבודה'!$C$5)/$D$11)/$D$11)</f>
        <v>0</v>
      </c>
      <c r="Y27" s="52">
        <f ca="1">IF(OR($F27&gt;$D$5,$F27&gt;MAX('הנחות עבודה'!$B$69:$B$89)),0,(VLOOKUP($F27,'התפלגות ייצור וסל דלקים'!$B$64:$BV$84,Y$2-$E$2,FALSE))*$D$9*$D$8*(HLOOKUP(Y$23,$G$18:$R$19,2,FALSE)*(1-$D$12)^($F27-'הנחות עבודה'!$C$5)/$D$11)/$D$11)</f>
        <v>2.0048499999999996E-5</v>
      </c>
      <c r="Z27" s="52">
        <f ca="1">IF(OR($F27&gt;$D$5,$F27&gt;MAX('הנחות עבודה'!$B$69:$B$89)),0,(VLOOKUP($F27,'התפלגות ייצור וסל דלקים'!$B$64:$BV$84,Z$2-$E$2,FALSE))*$D$9*$D$8*(HLOOKUP(Z$23,$G$18:$R$19,2,FALSE)*(1-$D$12)^($F27-'הנחות עבודה'!$C$5)/$D$11)/$D$11)</f>
        <v>9.1608128355199993E-4</v>
      </c>
      <c r="AA27" s="52">
        <f ca="1">IF(OR($F27&gt;$D$5,$F27&gt;MAX('הנחות עבודה'!$B$69:$B$89)),0,(VLOOKUP($F27,'התפלגות ייצור וסל דלקים'!$B$64:$BV$84,AA$2-$E$2,FALSE))*$D$9*$D$8*(HLOOKUP(AA$23,$G$18:$R$19,2,FALSE)*(1-$D$12)^($F27-'הנחות עבודה'!$C$5)/$D$11)/$D$11)</f>
        <v>0</v>
      </c>
      <c r="AB27" s="52">
        <f ca="1">IF(OR($F27&gt;$D$5,$F27&gt;MAX('הנחות עבודה'!$B$69:$B$89)),0,(VLOOKUP($F27,'התפלגות ייצור וסל דלקים'!$B$64:$BV$84,AB$2-$E$2,FALSE))*$D$9*$D$8*(HLOOKUP(AB$23,$G$18:$R$19,2,FALSE)*(1-$D$12)^($F27-'הנחות עבודה'!$C$5)/$D$11)/$D$11)</f>
        <v>0</v>
      </c>
      <c r="AC27" s="52">
        <f ca="1">IF(OR($F27&gt;$D$5,$F27&gt;MAX('הנחות עבודה'!$B$69:$B$89)),0,(VLOOKUP($F27,'התפלגות ייצור וסל דלקים'!$B$64:$BV$84,AC$2-$E$2,FALSE))*$D$9*$D$8*(HLOOKUP(AC$23,$G$18:$R$19,2,FALSE)*(1-$D$12)^($F27-'הנחות עבודה'!$C$5)/$D$11)/$D$11)</f>
        <v>1.6131010050000002E-4</v>
      </c>
      <c r="AD27" s="52">
        <f ca="1">IF(OR($F27&gt;$D$5,$F27&gt;MAX('הנחות עבודה'!$B$69:$B$89)),0,(VLOOKUP($F27,'התפלגות ייצור וסל דלקים'!$B$64:$BV$84,AD$2-$E$2,FALSE))*$D$9*$D$8*(HLOOKUP(AD$23,$G$18:$R$19,2,FALSE)*(1-$D$12)^($F27-'הנחות עבודה'!$C$5)/$D$11)/$D$11)</f>
        <v>0</v>
      </c>
      <c r="AE27" s="42">
        <f ca="1">IF(OR($F27&gt;$D$5,$F27&gt;MAX('הנחות עבודה'!$B$69:$B$89)),0,(VLOOKUP($F27,'התפלגות ייצור וסל דלקים'!$B$64:$BV$84,AE$2-$E$2,FALSE))*$D$9*$D$8*(HLOOKUP(AE$23,$G$18:$R$19,2,FALSE)*(1-$D$12)^($F27-'הנחות עבודה'!$C$5)/$D$11)/$D$11)</f>
        <v>0</v>
      </c>
      <c r="AF27" s="44">
        <f ca="1">IF(OR($F27&gt;$D$5,$F27&gt;MAX('הנחות עבודה'!$B$69:$B$89)),0,(VLOOKUP($F27,'התפלגות ייצור וסל דלקים'!$B$64:$BV$84,AF$2-$E$2,FALSE))*$D$9*$D$8*(HLOOKUP(AF$23,$G$18:$R$19,2,FALSE)*(1-$D$12)^($F27-'הנחות עבודה'!$C$5)/$D$11)/$D$11)</f>
        <v>0</v>
      </c>
      <c r="AG27" s="44">
        <f ca="1">IF(OR($F27&gt;$D$5,$F27&gt;MAX('הנחות עבודה'!$B$69:$B$89)),0,(VLOOKUP($F27,'התפלגות ייצור וסל דלקים'!$B$64:$BV$84,AG$2-$E$2,FALSE))*$D$9*$D$8*(HLOOKUP(AG$23,$G$18:$R$19,2,FALSE)*(1-$D$12)^($F27-'הנחות עבודה'!$C$5)/$D$11)/$D$11)</f>
        <v>0</v>
      </c>
      <c r="AH27" s="44">
        <f ca="1">IF(OR($F27&gt;$D$5,$F27&gt;MAX('הנחות עבודה'!$B$69:$B$89)),0,(VLOOKUP($F27,'התפלגות ייצור וסל דלקים'!$B$64:$BV$84,AH$2-$E$2,FALSE))*$D$9*$D$8*(HLOOKUP(AH$23,$G$18:$R$19,2,FALSE)*(1-$D$12)^($F27-'הנחות עבודה'!$C$5)/$D$11)/$D$11)</f>
        <v>0</v>
      </c>
      <c r="AI27" s="44">
        <f ca="1">IF(OR($F27&gt;$D$5,$F27&gt;MAX('הנחות עבודה'!$B$69:$B$89)),0,(VLOOKUP($F27,'התפלגות ייצור וסל דלקים'!$B$64:$BV$84,AI$2-$E$2,FALSE))*$D$9*$D$8*(HLOOKUP(AI$23,$G$18:$R$19,2,FALSE)*(1-$D$12)^($F27-'הנחות עבודה'!$C$5)/$D$11)/$D$11)</f>
        <v>0</v>
      </c>
      <c r="AJ27" s="44">
        <f ca="1">IF(OR($F27&gt;$D$5,$F27&gt;MAX('הנחות עבודה'!$B$69:$B$89)),0,(VLOOKUP($F27,'התפלגות ייצור וסל דלקים'!$B$64:$BV$84,AJ$2-$E$2,FALSE))*$D$9*$D$8*(HLOOKUP(AJ$23,$G$18:$R$19,2,FALSE)*(1-$D$12)^($F27-'הנחות עבודה'!$C$5)/$D$11)/$D$11)</f>
        <v>0</v>
      </c>
      <c r="AK27" s="42">
        <f ca="1">IF(OR($F27&gt;$D$5,$F27&gt;MAX('הנחות עבודה'!$B$69:$B$89)),0,(VLOOKUP($F27,'התפלגות ייצור וסל דלקים'!$B$64:$BV$84,AK$2-$E$2,FALSE))*$D$9*$D$8*(HLOOKUP(AK$23,$G$18:$R$19,2,FALSE)*(1-$D$12)^($F27-'הנחות עבודה'!$C$5)/$D$11)/$D$11)</f>
        <v>1.9572199999999999E-5</v>
      </c>
      <c r="AL27" s="42">
        <f ca="1">IF(OR($F27&gt;$D$5,$F27&gt;MAX('הנחות עבודה'!$B$69:$B$89)),0,(VLOOKUP($F27,'התפלגות ייצור וסל דלקים'!$B$64:$BV$84,AL$2-$E$2,FALSE))*$D$9*$D$8*(HLOOKUP(AL$23,$G$18:$R$19,2,FALSE)*(1-$D$12)^($F27-'הנחות עבודה'!$C$5)/$D$11)/$D$11)</f>
        <v>8.8219199527999985E-4</v>
      </c>
      <c r="AM27" s="42">
        <f ca="1">IF(OR($F27&gt;$D$5,$F27&gt;MAX('הנחות עבודה'!$B$69:$B$89)),0,(VLOOKUP($F27,'התפלגות ייצור וסל דלקים'!$B$64:$BV$84,AM$2-$E$2,FALSE))*$D$9*$D$8*(HLOOKUP(AM$23,$G$18:$R$19,2,FALSE)*(1-$D$12)^($F27-'הנחות עבודה'!$C$5)/$D$11)/$D$11)</f>
        <v>0</v>
      </c>
      <c r="AN27" s="42">
        <f ca="1">IF(OR($F27&gt;$D$5,$F27&gt;MAX('הנחות עבודה'!$B$69:$B$89)),0,(VLOOKUP($F27,'התפלגות ייצור וסל דלקים'!$B$64:$BV$84,AN$2-$E$2,FALSE))*$D$9*$D$8*(HLOOKUP(AN$23,$G$18:$R$19,2,FALSE)*(1-$D$12)^($F27-'הנחות עבודה'!$C$5)/$D$11)/$D$11)</f>
        <v>0</v>
      </c>
      <c r="AO27" s="42">
        <f ca="1">IF(OR($F27&gt;$D$5,$F27&gt;MAX('הנחות עבודה'!$B$69:$B$89)),0,(VLOOKUP($F27,'התפלגות ייצור וסל דלקים'!$B$64:$BV$84,AO$2-$E$2,FALSE))*$D$9*$D$8*(HLOOKUP(AO$23,$G$18:$R$19,2,FALSE)*(1-$D$12)^($F27-'הנחות עבודה'!$C$5)/$D$11)/$D$11)</f>
        <v>1.6125595199999998E-4</v>
      </c>
      <c r="AP27" s="42">
        <f ca="1">IF(OR($F27&gt;$D$5,$F27&gt;MAX('הנחות עבודה'!$B$69:$B$89)),0,(VLOOKUP($F27,'התפלגות ייצור וסל דלקים'!$B$64:$BV$84,AP$2-$E$2,FALSE))*$D$9*$D$8*(HLOOKUP(AP$23,$G$18:$R$19,2,FALSE)*(1-$D$12)^($F27-'הנחות עבודה'!$C$5)/$D$11)/$D$11)</f>
        <v>0</v>
      </c>
      <c r="AQ27" s="52">
        <f ca="1">IF(OR($F27&gt;$D$5,$F27&gt;MAX('הנחות עבודה'!$B$69:$B$89)),0,(VLOOKUP($F27,'התפלגות ייצור וסל דלקים'!$B$64:$BV$84,AQ$2-$E$2,FALSE))*$D$9*$D$8*(HLOOKUP(AQ$23,$G$18:$R$19,2,FALSE)*(1-$D$12)^($F27-'הנחות עבודה'!$C$5)/$D$11)/$D$11)</f>
        <v>0</v>
      </c>
      <c r="AR27" s="127">
        <f ca="1">IF(OR($F27&gt;$D$5,$F27&gt;MAX('הנחות עבודה'!$B$69:$B$89)),0,(VLOOKUP($F27,'התפלגות ייצור וסל דלקים'!$B$64:$BV$84,AR$2-$E$2,FALSE))*$D$9*$D$8*(HLOOKUP(AR$23,$G$18:$R$19,2,FALSE)*(1-$D$12)^($F27-'הנחות עבודה'!$C$5)/$D$11)/$D$11)</f>
        <v>0</v>
      </c>
      <c r="AS27" s="127">
        <f ca="1">IF(OR($F27&gt;$D$5,$F27&gt;MAX('הנחות עבודה'!$B$69:$B$89)),0,(VLOOKUP($F27,'התפלגות ייצור וסל דלקים'!$B$64:$BV$84,AS$2-$E$2,FALSE))*$D$9*$D$8*(HLOOKUP(AS$23,$G$18:$R$19,2,FALSE)*(1-$D$12)^($F27-'הנחות עבודה'!$C$5)/$D$11)/$D$11)</f>
        <v>0</v>
      </c>
      <c r="AT27" s="127">
        <f ca="1">IF(OR($F27&gt;$D$5,$F27&gt;MAX('הנחות עבודה'!$B$69:$B$89)),0,(VLOOKUP($F27,'התפלגות ייצור וסל דלקים'!$B$64:$BV$84,AT$2-$E$2,FALSE))*$D$9*$D$8*(HLOOKUP(AT$23,$G$18:$R$19,2,FALSE)*(1-$D$12)^($F27-'הנחות עבודה'!$C$5)/$D$11)/$D$11)</f>
        <v>0</v>
      </c>
      <c r="AU27" s="127">
        <f ca="1">IF(OR($F27&gt;$D$5,$F27&gt;MAX('הנחות עבודה'!$B$69:$B$89)),0,(VLOOKUP($F27,'התפלגות ייצור וסל דלקים'!$B$64:$BV$84,AU$2-$E$2,FALSE))*$D$9*$D$8*(HLOOKUP(AU$23,$G$18:$R$19,2,FALSE)*(1-$D$12)^($F27-'הנחות עבודה'!$C$5)/$D$11)/$D$11)</f>
        <v>0</v>
      </c>
      <c r="AV27" s="127">
        <f ca="1">IF(OR($F27&gt;$D$5,$F27&gt;MAX('הנחות עבודה'!$B$69:$B$89)),0,(VLOOKUP($F27,'התפלגות ייצור וסל דלקים'!$B$64:$BV$84,AV$2-$E$2,FALSE))*$D$9*$D$8*(HLOOKUP(AV$23,$G$18:$R$19,2,FALSE)*(1-$D$12)^($F27-'הנחות עבודה'!$C$5)/$D$11)/$D$11)</f>
        <v>0</v>
      </c>
      <c r="AW27" s="52">
        <f ca="1">IF(OR($F27&gt;$D$5,$F27&gt;MAX('הנחות עבודה'!$B$69:$B$89)),0,(VLOOKUP($F27,'התפלגות ייצור וסל דלקים'!$B$64:$BV$84,AW$2-$E$2,FALSE))*$D$9*$D$8*(HLOOKUP(AW$23,$G$18:$R$19,2,FALSE)*(1-$D$12)^($F27-'הנחות עבודה'!$C$5)/$D$11)/$D$11)</f>
        <v>1.9572199999999999E-5</v>
      </c>
      <c r="AX27" s="52">
        <f ca="1">IF(OR($F27&gt;$D$5,$F27&gt;MAX('הנחות עבודה'!$B$69:$B$89)),0,(VLOOKUP($F27,'התפלגות ייצור וסל דלקים'!$B$64:$BV$84,AX$2-$E$2,FALSE))*$D$9*$D$8*(HLOOKUP(AX$23,$G$18:$R$19,2,FALSE)*(1-$D$12)^($F27-'הנחות עבודה'!$C$5)/$D$11)/$D$11)</f>
        <v>8.8219199527999985E-4</v>
      </c>
      <c r="AY27" s="52">
        <f ca="1">IF(OR($F27&gt;$D$5,$F27&gt;MAX('הנחות עבודה'!$B$69:$B$89)),0,(VLOOKUP($F27,'התפלגות ייצור וסל דלקים'!$B$64:$BV$84,AY$2-$E$2,FALSE))*$D$9*$D$8*(HLOOKUP(AY$23,$G$18:$R$19,2,FALSE)*(1-$D$12)^($F27-'הנחות עבודה'!$C$5)/$D$11)/$D$11)</f>
        <v>0</v>
      </c>
      <c r="AZ27" s="52">
        <f ca="1">IF(OR($F27&gt;$D$5,$F27&gt;MAX('הנחות עבודה'!$B$69:$B$89)),0,(VLOOKUP($F27,'התפלגות ייצור וסל דלקים'!$B$64:$BV$84,AZ$2-$E$2,FALSE))*$D$9*$D$8*(HLOOKUP(AZ$23,$G$18:$R$19,2,FALSE)*(1-$D$12)^($F27-'הנחות עבודה'!$C$5)/$D$11)/$D$11)</f>
        <v>0</v>
      </c>
      <c r="BA27" s="52">
        <f ca="1">IF(OR($F27&gt;$D$5,$F27&gt;MAX('הנחות עבודה'!$B$69:$B$89)),0,(VLOOKUP($F27,'התפלגות ייצור וסל דלקים'!$B$64:$BV$84,BA$2-$E$2,FALSE))*$D$9*$D$8*(HLOOKUP(BA$23,$G$18:$R$19,2,FALSE)*(1-$D$12)^($F27-'הנחות עבודה'!$C$5)/$D$11)/$D$11)</f>
        <v>1.6125595199999998E-4</v>
      </c>
      <c r="BB27" s="52">
        <f ca="1">IF(OR($F27&gt;$D$5,$F27&gt;MAX('הנחות עבודה'!$B$69:$B$89)),0,(VLOOKUP($F27,'התפלגות ייצור וסל דלקים'!$B$64:$BV$84,BB$2-$E$2,FALSE))*$D$9*$D$8*(HLOOKUP(BB$23,$G$18:$R$19,2,FALSE)*(1-$D$12)^($F27-'הנחות עבודה'!$C$5)/$D$11)/$D$11)</f>
        <v>0</v>
      </c>
      <c r="BC27" s="42">
        <f ca="1">IF(OR($F27&gt;$D$5,$F27&gt;MAX('הנחות עבודה'!$B$69:$B$89)),0,(VLOOKUP($F27,'התפלגות ייצור וסל דלקים'!$B$64:$BV$84,BC$2-$E$2,FALSE))*$D$9*$D$8*(HLOOKUP(BC$23,$G$18:$R$19,2,FALSE)*(1-$D$12)^($F27-'הנחות עבודה'!$C$5)/$D$11)/$D$11)</f>
        <v>0</v>
      </c>
      <c r="BD27" s="44">
        <f ca="1">IF(OR($F27&gt;$D$5,$F27&gt;MAX('הנחות עבודה'!$B$69:$B$89)),0,(VLOOKUP($F27,'התפלגות ייצור וסל דלקים'!$B$64:$BV$84,BD$2-$E$2,FALSE))*$D$9*$D$8*(HLOOKUP(BD$23,$G$18:$R$19,2,FALSE)*(1-$D$12)^($F27-'הנחות עבודה'!$C$5)/$D$11)/$D$11)</f>
        <v>0</v>
      </c>
      <c r="BE27" s="44">
        <f ca="1">IF(OR($F27&gt;$D$5,$F27&gt;MAX('הנחות עבודה'!$B$69:$B$89)),0,(VLOOKUP($F27,'התפלגות ייצור וסל דלקים'!$B$64:$BV$84,BE$2-$E$2,FALSE))*$D$9*$D$8*(HLOOKUP(BE$23,$G$18:$R$19,2,FALSE)*(1-$D$12)^($F27-'הנחות עבודה'!$C$5)/$D$11)/$D$11)</f>
        <v>0</v>
      </c>
      <c r="BF27" s="44">
        <f ca="1">IF(OR($F27&gt;$D$5,$F27&gt;MAX('הנחות עבודה'!$B$69:$B$89)),0,(VLOOKUP($F27,'התפלגות ייצור וסל דלקים'!$B$64:$BV$84,BF$2-$E$2,FALSE))*$D$9*$D$8*(HLOOKUP(BF$23,$G$18:$R$19,2,FALSE)*(1-$D$12)^($F27-'הנחות עבודה'!$C$5)/$D$11)/$D$11)</f>
        <v>0</v>
      </c>
      <c r="BG27" s="44">
        <f ca="1">IF(OR($F27&gt;$D$5,$F27&gt;MAX('הנחות עבודה'!$B$69:$B$89)),0,(VLOOKUP($F27,'התפלגות ייצור וסל דלקים'!$B$64:$BV$84,BG$2-$E$2,FALSE))*$D$9*$D$8*(HLOOKUP(BG$23,$G$18:$R$19,2,FALSE)*(1-$D$12)^($F27-'הנחות עבודה'!$C$5)/$D$11)/$D$11)</f>
        <v>0</v>
      </c>
      <c r="BH27" s="44">
        <f ca="1">IF(OR($F27&gt;$D$5,$F27&gt;MAX('הנחות עבודה'!$B$69:$B$89)),0,(VLOOKUP($F27,'התפלגות ייצור וסל דלקים'!$B$64:$BV$84,BH$2-$E$2,FALSE))*$D$9*$D$8*(HLOOKUP(BH$23,$G$18:$R$19,2,FALSE)*(1-$D$12)^($F27-'הנחות עבודה'!$C$5)/$D$11)/$D$11)</f>
        <v>0</v>
      </c>
      <c r="BI27" s="42">
        <f ca="1">IF(OR($F27&gt;$D$5,$F27&gt;MAX('הנחות עבודה'!$B$69:$B$89)),0,(VLOOKUP($F27,'התפלגות ייצור וסל דלקים'!$B$64:$BV$84,BI$2-$E$2,FALSE))*$D$9*$D$8*(HLOOKUP(BI$23,$G$18:$R$19,2,FALSE)*(1-$D$12)^($F27-'הנחות עבודה'!$C$5)/$D$11)/$D$11)</f>
        <v>1.9442300000000002E-5</v>
      </c>
      <c r="BJ27" s="42">
        <f ca="1">IF(OR($F27&gt;$D$5,$F27&gt;MAX('הנחות עבודה'!$B$69:$B$89)),0,(VLOOKUP($F27,'התפלגות ייצור וסל דלקים'!$B$64:$BV$84,BJ$2-$E$2,FALSE))*$D$9*$D$8*(HLOOKUP(BJ$23,$G$18:$R$19,2,FALSE)*(1-$D$12)^($F27-'הנחות עבודה'!$C$5)/$D$11)/$D$11)</f>
        <v>8.6360962623999984E-4</v>
      </c>
      <c r="BK27" s="42">
        <f ca="1">IF(OR($F27&gt;$D$5,$F27&gt;MAX('הנחות עבודה'!$B$69:$B$89)),0,(VLOOKUP($F27,'התפלגות ייצור וסל דלקים'!$B$64:$BV$84,BK$2-$E$2,FALSE))*$D$9*$D$8*(HLOOKUP(BK$23,$G$18:$R$19,2,FALSE)*(1-$D$12)^($F27-'הנחות עבודה'!$C$5)/$D$11)/$D$11)</f>
        <v>0</v>
      </c>
      <c r="BL27" s="42">
        <f ca="1">IF(OR($F27&gt;$D$5,$F27&gt;MAX('הנחות עבודה'!$B$69:$B$89)),0,(VLOOKUP($F27,'התפלגות ייצור וסל דלקים'!$B$64:$BV$84,BL$2-$E$2,FALSE))*$D$9*$D$8*(HLOOKUP(BL$23,$G$18:$R$19,2,FALSE)*(1-$D$12)^($F27-'הנחות עבודה'!$C$5)/$D$11)/$D$11)</f>
        <v>0</v>
      </c>
      <c r="BM27" s="42">
        <f ca="1">IF(OR($F27&gt;$D$5,$F27&gt;MAX('הנחות עבודה'!$B$69:$B$89)),0,(VLOOKUP($F27,'התפלגות ייצור וסל דלקים'!$B$64:$BV$84,BM$2-$E$2,FALSE))*$D$9*$D$8*(HLOOKUP(BM$23,$G$18:$R$19,2,FALSE)*(1-$D$12)^($F27-'הנחות עבודה'!$C$5)/$D$11)/$D$11)</f>
        <v>1.6125939000000004E-4</v>
      </c>
      <c r="BN27" s="42">
        <f ca="1">IF(OR($F27&gt;$D$5,$F27&gt;MAX('הנחות עבודה'!$B$69:$B$89)),0,(VLOOKUP($F27,'התפלגות ייצור וסל דלקים'!$B$64:$BV$84,BN$2-$E$2,FALSE))*$D$9*$D$8*(HLOOKUP(BN$23,$G$18:$R$19,2,FALSE)*(1-$D$12)^($F27-'הנחות עבודה'!$C$5)/$D$11)/$D$11)</f>
        <v>0</v>
      </c>
      <c r="BO27" s="52">
        <f ca="1">IF(OR($F27&gt;$D$5,$F27&gt;MAX('הנחות עבודה'!$B$69:$B$89)),0,(VLOOKUP($F27,'התפלגות ייצור וסל דלקים'!$B$64:$BV$84,BO$2-$E$2,FALSE))*$D$9*$D$8*(HLOOKUP(BO$23,$G$18:$R$19,2,FALSE)*(1-$D$12)^($F27-'הנחות עבודה'!$C$5)/$D$11)/$D$11)</f>
        <v>0</v>
      </c>
      <c r="BP27" s="127">
        <f ca="1">IF(OR($F27&gt;$D$5,$F27&gt;MAX('הנחות עבודה'!$B$69:$B$89)),0,(VLOOKUP($F27,'התפלגות ייצור וסל דלקים'!$B$64:$BV$84,BP$2-$E$2,FALSE))*$D$9*$D$8*(HLOOKUP(BP$23,$G$18:$R$19,2,FALSE)*(1-$D$12)^($F27-'הנחות עבודה'!$C$5)/$D$11)/$D$11)</f>
        <v>0</v>
      </c>
      <c r="BQ27" s="127">
        <f ca="1">IF(OR($F27&gt;$D$5,$F27&gt;MAX('הנחות עבודה'!$B$69:$B$89)),0,(VLOOKUP($F27,'התפלגות ייצור וסל דלקים'!$B$64:$BV$84,BQ$2-$E$2,FALSE))*$D$9*$D$8*(HLOOKUP(BQ$23,$G$18:$R$19,2,FALSE)*(1-$D$12)^($F27-'הנחות עבודה'!$C$5)/$D$11)/$D$11)</f>
        <v>0</v>
      </c>
      <c r="BR27" s="127">
        <f ca="1">IF(OR($F27&gt;$D$5,$F27&gt;MAX('הנחות עבודה'!$B$69:$B$89)),0,(VLOOKUP($F27,'התפלגות ייצור וסל דלקים'!$B$64:$BV$84,BR$2-$E$2,FALSE))*$D$9*$D$8*(HLOOKUP(BR$23,$G$18:$R$19,2,FALSE)*(1-$D$12)^($F27-'הנחות עבודה'!$C$5)/$D$11)/$D$11)</f>
        <v>0</v>
      </c>
      <c r="BS27" s="127">
        <f ca="1">IF(OR($F27&gt;$D$5,$F27&gt;MAX('הנחות עבודה'!$B$69:$B$89)),0,(VLOOKUP($F27,'התפלגות ייצור וסל דלקים'!$B$64:$BV$84,BS$2-$E$2,FALSE))*$D$9*$D$8*(HLOOKUP(BS$23,$G$18:$R$19,2,FALSE)*(1-$D$12)^($F27-'הנחות עבודה'!$C$5)/$D$11)/$D$11)</f>
        <v>0</v>
      </c>
      <c r="BT27" s="127">
        <f ca="1">IF(OR($F27&gt;$D$5,$F27&gt;MAX('הנחות עבודה'!$B$69:$B$89)),0,(VLOOKUP($F27,'התפלגות ייצור וסל דלקים'!$B$64:$BV$84,BT$2-$E$2,FALSE))*$D$9*$D$8*(HLOOKUP(BT$23,$G$18:$R$19,2,FALSE)*(1-$D$12)^($F27-'הנחות עבודה'!$C$5)/$D$11)/$D$11)</f>
        <v>0</v>
      </c>
      <c r="BU27" s="52">
        <f ca="1">IF(OR($F27&gt;$D$5,$F27&gt;MAX('הנחות עבודה'!$B$69:$B$89)),0,(VLOOKUP($F27,'התפלגות ייצור וסל דלקים'!$B$64:$BV$84,BU$2-$E$2,FALSE))*$D$9*$D$8*(HLOOKUP(BU$23,$G$18:$R$19,2,FALSE)*(1-$D$12)^($F27-'הנחות עבודה'!$C$5)/$D$11)/$D$11)</f>
        <v>1.9442300000000002E-5</v>
      </c>
      <c r="BV27" s="52">
        <f ca="1">IF(OR($F27&gt;$D$5,$F27&gt;MAX('הנחות עבודה'!$B$69:$B$89)),0,(VLOOKUP($F27,'התפלגות ייצור וסל דלקים'!$B$64:$BV$84,BV$2-$E$2,FALSE))*$D$9*$D$8*(HLOOKUP(BV$23,$G$18:$R$19,2,FALSE)*(1-$D$12)^($F27-'הנחות עבודה'!$C$5)/$D$11)/$D$11)</f>
        <v>8.6360962623999984E-4</v>
      </c>
      <c r="BW27" s="52">
        <f ca="1">IF(OR($F27&gt;$D$5,$F27&gt;MAX('הנחות עבודה'!$B$69:$B$89)),0,(VLOOKUP($F27,'התפלגות ייצור וסל דלקים'!$B$64:$BV$84,BW$2-$E$2,FALSE))*$D$9*$D$8*(HLOOKUP(BW$23,$G$18:$R$19,2,FALSE)*(1-$D$12)^($F27-'הנחות עבודה'!$C$5)/$D$11)/$D$11)</f>
        <v>0</v>
      </c>
      <c r="BX27" s="52">
        <f ca="1">IF(OR($F27&gt;$D$5,$F27&gt;MAX('הנחות עבודה'!$B$69:$B$89)),0,(VLOOKUP($F27,'התפלגות ייצור וסל דלקים'!$B$64:$BV$84,BX$2-$E$2,FALSE))*$D$9*$D$8*(HLOOKUP(BX$23,$G$18:$R$19,2,FALSE)*(1-$D$12)^($F27-'הנחות עבודה'!$C$5)/$D$11)/$D$11)</f>
        <v>0</v>
      </c>
      <c r="BY27" s="52">
        <f ca="1">IF(OR($F27&gt;$D$5,$F27&gt;MAX('הנחות עבודה'!$B$69:$B$89)),0,(VLOOKUP($F27,'התפלגות ייצור וסל דלקים'!$B$64:$BV$84,BY$2-$E$2,FALSE))*$D$9*$D$8*(HLOOKUP(BY$23,$G$18:$R$19,2,FALSE)*(1-$D$12)^($F27-'הנחות עבודה'!$C$5)/$D$11)/$D$11)</f>
        <v>1.6125939000000004E-4</v>
      </c>
      <c r="BZ27" s="52">
        <f ca="1">IF(OR($F27&gt;$D$5,$F27&gt;MAX('הנחות עבודה'!$B$69:$B$89)),0,(VLOOKUP($F27,'התפלגות ייצור וסל דלקים'!$B$64:$BV$84,BZ$2-$E$2,FALSE))*$D$9*$D$8*(HLOOKUP(BZ$23,$G$18:$R$19,2,FALSE)*(1-$D$12)^($F27-'הנחות עבודה'!$C$5)/$D$11)/$D$11)</f>
        <v>0</v>
      </c>
    </row>
    <row r="28" spans="6:78" ht="15.75">
      <c r="F28" s="10">
        <f t="shared" si="114"/>
        <v>2024</v>
      </c>
      <c r="G28" s="42">
        <f ca="1">IF(OR($F28&gt;$D$5,$F28&gt;MAX('הנחות עבודה'!$B$69:$B$89)),0,(VLOOKUP($F28,'התפלגות ייצור וסל דלקים'!$B$64:$BV$84,G$2-$E$2,FALSE))*$D$9*$D$8*(HLOOKUP(G$23,$G$18:$R$19,2,FALSE)*(1-$D$12)^($F28-'הנחות עבודה'!$C$5)/$D$11)/$D$11)</f>
        <v>0</v>
      </c>
      <c r="H28" s="44">
        <f ca="1">IF(OR($F28&gt;$D$5,$F28&gt;MAX('הנחות עבודה'!$B$69:$B$89)),0,(VLOOKUP($F28,'התפלגות ייצור וסל דלקים'!$B$64:$BV$84,H$2-$E$2,FALSE))*$D$9*$D$8*(HLOOKUP(H$23,$G$18:$R$19,2,FALSE)*(1-$D$12)^($F28-'הנחות עבודה'!$C$5)/$D$11)/$D$11)</f>
        <v>0</v>
      </c>
      <c r="I28" s="44">
        <f ca="1">IF(OR($F28&gt;$D$5,$F28&gt;MAX('הנחות עבודה'!$B$69:$B$89)),0,(VLOOKUP($F28,'התפלגות ייצור וסל דלקים'!$B$64:$BV$84,I$2-$E$2,FALSE))*$D$9*$D$8*(HLOOKUP(I$23,$G$18:$R$19,2,FALSE)*(1-$D$12)^($F28-'הנחות עבודה'!$C$5)/$D$11)/$D$11)</f>
        <v>0</v>
      </c>
      <c r="J28" s="44">
        <f ca="1">IF(OR($F28&gt;$D$5,$F28&gt;MAX('הנחות עבודה'!$B$69:$B$89)),0,(VLOOKUP($F28,'התפלגות ייצור וסל דלקים'!$B$64:$BV$84,J$2-$E$2,FALSE))*$D$9*$D$8*(HLOOKUP(J$23,$G$18:$R$19,2,FALSE)*(1-$D$12)^($F28-'הנחות עבודה'!$C$5)/$D$11)/$D$11)</f>
        <v>0</v>
      </c>
      <c r="K28" s="44">
        <f ca="1">IF(OR($F28&gt;$D$5,$F28&gt;MAX('הנחות עבודה'!$B$69:$B$89)),0,(VLOOKUP($F28,'התפלגות ייצור וסל דלקים'!$B$64:$BV$84,K$2-$E$2,FALSE))*$D$9*$D$8*(HLOOKUP(K$23,$G$18:$R$19,2,FALSE)*(1-$D$12)^($F28-'הנחות עבודה'!$C$5)/$D$11)/$D$11)</f>
        <v>0</v>
      </c>
      <c r="L28" s="44">
        <f ca="1">IF(OR($F28&gt;$D$5,$F28&gt;MAX('הנחות עבודה'!$B$69:$B$89)),0,(VLOOKUP($F28,'התפלגות ייצור וסל דלקים'!$B$64:$BV$84,L$2-$E$2,FALSE))*$D$9*$D$8*(HLOOKUP(L$23,$G$18:$R$19,2,FALSE)*(1-$D$12)^($F28-'הנחות עבודה'!$C$5)/$D$11)/$D$11)</f>
        <v>0</v>
      </c>
      <c r="M28" s="42">
        <f ca="1">IF(OR($F28&gt;$D$5,$F28&gt;MAX('הנחות עבודה'!$B$69:$B$89)),0,(VLOOKUP($F28,'התפלגות ייצור וסל דלקים'!$B$64:$BV$84,M$2-$E$2,FALSE))*$D$9*$D$8*(HLOOKUP(M$23,$G$18:$R$19,2,FALSE)*(1-$D$12)^($F28-'הנחות עבודה'!$C$5)/$D$11)/$D$11)</f>
        <v>2.6405900000000001E-5</v>
      </c>
      <c r="N28" s="42">
        <f ca="1">IF(OR($F28&gt;$D$5,$F28&gt;MAX('הנחות עבודה'!$B$69:$B$89)),0,(VLOOKUP($F28,'התפלגות ייצור וסל דלקים'!$B$64:$BV$84,N$2-$E$2,FALSE))*$D$9*$D$8*(HLOOKUP(N$23,$G$18:$R$19,2,FALSE)*(1-$D$12)^($F28-'הנחות עבודה'!$C$5)/$D$11)/$D$11)</f>
        <v>9.5326274406399994E-4</v>
      </c>
      <c r="O28" s="42">
        <f ca="1">IF(OR($F28&gt;$D$5,$F28&gt;MAX('הנחות עבודה'!$B$69:$B$89)),0,(VLOOKUP($F28,'התפלגות ייצור וסל דלקים'!$B$64:$BV$84,O$2-$E$2,FALSE))*$D$9*$D$8*(HLOOKUP(O$23,$G$18:$R$19,2,FALSE)*(1-$D$12)^($F28-'הנחות עבודה'!$C$5)/$D$11)/$D$11)</f>
        <v>0</v>
      </c>
      <c r="P28" s="42">
        <f ca="1">IF(OR($F28&gt;$D$5,$F28&gt;MAX('הנחות עבודה'!$B$69:$B$89)),0,(VLOOKUP($F28,'התפלגות ייצור וסל דלקים'!$B$64:$BV$84,P$2-$E$2,FALSE))*$D$9*$D$8*(HLOOKUP(P$23,$G$18:$R$19,2,FALSE)*(1-$D$12)^($F28-'הנחות עבודה'!$C$5)/$D$11)/$D$11)</f>
        <v>0</v>
      </c>
      <c r="Q28" s="42">
        <f ca="1">IF(OR($F28&gt;$D$5,$F28&gt;MAX('הנחות עבודה'!$B$69:$B$89)),0,(VLOOKUP($F28,'התפלגות ייצור וסל דלקים'!$B$64:$BV$84,Q$2-$E$2,FALSE))*$D$9*$D$8*(HLOOKUP(Q$23,$G$18:$R$19,2,FALSE)*(1-$D$12)^($F28-'הנחות עבודה'!$C$5)/$D$11)/$D$11)</f>
        <v>1.3687895625E-4</v>
      </c>
      <c r="R28" s="42">
        <f ca="1">IF(OR($F28&gt;$D$5,$F28&gt;MAX('הנחות עבודה'!$B$69:$B$89)),0,(VLOOKUP($F28,'התפלגות ייצור וסל דלקים'!$B$64:$BV$84,R$2-$E$2,FALSE))*$D$9*$D$8*(HLOOKUP(R$23,$G$18:$R$19,2,FALSE)*(1-$D$12)^($F28-'הנחות עבודה'!$C$5)/$D$11)/$D$11)</f>
        <v>0</v>
      </c>
      <c r="S28" s="52">
        <f ca="1">IF(OR($F28&gt;$D$5,$F28&gt;MAX('הנחות עבודה'!$B$69:$B$89)),0,(VLOOKUP($F28,'התפלגות ייצור וסל דלקים'!$B$64:$BV$84,S$2-$E$2,FALSE))*$D$9*$D$8*(HLOOKUP(S$23,$G$18:$R$19,2,FALSE)*(1-$D$12)^($F28-'הנחות עבודה'!$C$5)/$D$11)/$D$11)</f>
        <v>0</v>
      </c>
      <c r="T28" s="127">
        <f ca="1">IF(OR($F28&gt;$D$5,$F28&gt;MAX('הנחות עבודה'!$B$69:$B$89)),0,(VLOOKUP($F28,'התפלגות ייצור וסל דלקים'!$B$64:$BV$84,T$2-$E$2,FALSE))*$D$9*$D$8*(HLOOKUP(T$23,$G$18:$R$19,2,FALSE)*(1-$D$12)^($F28-'הנחות עבודה'!$C$5)/$D$11)/$D$11)</f>
        <v>0</v>
      </c>
      <c r="U28" s="127">
        <f ca="1">IF(OR($F28&gt;$D$5,$F28&gt;MAX('הנחות עבודה'!$B$69:$B$89)),0,(VLOOKUP($F28,'התפלגות ייצור וסל דלקים'!$B$64:$BV$84,U$2-$E$2,FALSE))*$D$9*$D$8*(HLOOKUP(U$23,$G$18:$R$19,2,FALSE)*(1-$D$12)^($F28-'הנחות עבודה'!$C$5)/$D$11)/$D$11)</f>
        <v>0</v>
      </c>
      <c r="V28" s="127">
        <f ca="1">IF(OR($F28&gt;$D$5,$F28&gt;MAX('הנחות עבודה'!$B$69:$B$89)),0,(VLOOKUP($F28,'התפלגות ייצור וסל דלקים'!$B$64:$BV$84,V$2-$E$2,FALSE))*$D$9*$D$8*(HLOOKUP(V$23,$G$18:$R$19,2,FALSE)*(1-$D$12)^($F28-'הנחות עבודה'!$C$5)/$D$11)/$D$11)</f>
        <v>0</v>
      </c>
      <c r="W28" s="127">
        <f ca="1">IF(OR($F28&gt;$D$5,$F28&gt;MAX('הנחות עבודה'!$B$69:$B$89)),0,(VLOOKUP($F28,'התפלגות ייצור וסל דלקים'!$B$64:$BV$84,W$2-$E$2,FALSE))*$D$9*$D$8*(HLOOKUP(W$23,$G$18:$R$19,2,FALSE)*(1-$D$12)^($F28-'הנחות עבודה'!$C$5)/$D$11)/$D$11)</f>
        <v>0</v>
      </c>
      <c r="X28" s="127">
        <f ca="1">IF(OR($F28&gt;$D$5,$F28&gt;MAX('הנחות עבודה'!$B$69:$B$89)),0,(VLOOKUP($F28,'התפלגות ייצור וסל דלקים'!$B$64:$BV$84,X$2-$E$2,FALSE))*$D$9*$D$8*(HLOOKUP(X$23,$G$18:$R$19,2,FALSE)*(1-$D$12)^($F28-'הנחות עבודה'!$C$5)/$D$11)/$D$11)</f>
        <v>0</v>
      </c>
      <c r="Y28" s="52">
        <f ca="1">IF(OR($F28&gt;$D$5,$F28&gt;MAX('הנחות עבודה'!$B$69:$B$89)),0,(VLOOKUP($F28,'התפלגות ייצור וסל דלקים'!$B$64:$BV$84,Y$2-$E$2,FALSE))*$D$9*$D$8*(HLOOKUP(Y$23,$G$18:$R$19,2,FALSE)*(1-$D$12)^($F28-'הנחות עבודה'!$C$5)/$D$11)/$D$11)</f>
        <v>2.6405900000000001E-5</v>
      </c>
      <c r="Z28" s="52">
        <f ca="1">IF(OR($F28&gt;$D$5,$F28&gt;MAX('הנחות עבודה'!$B$69:$B$89)),0,(VLOOKUP($F28,'התפלגות ייצור וסל דלקים'!$B$64:$BV$84,Z$2-$E$2,FALSE))*$D$9*$D$8*(HLOOKUP(Z$23,$G$18:$R$19,2,FALSE)*(1-$D$12)^($F28-'הנחות עבודה'!$C$5)/$D$11)/$D$11)</f>
        <v>9.5326274406399994E-4</v>
      </c>
      <c r="AA28" s="52">
        <f ca="1">IF(OR($F28&gt;$D$5,$F28&gt;MAX('הנחות עבודה'!$B$69:$B$89)),0,(VLOOKUP($F28,'התפלגות ייצור וסל דלקים'!$B$64:$BV$84,AA$2-$E$2,FALSE))*$D$9*$D$8*(HLOOKUP(AA$23,$G$18:$R$19,2,FALSE)*(1-$D$12)^($F28-'הנחות עבודה'!$C$5)/$D$11)/$D$11)</f>
        <v>0</v>
      </c>
      <c r="AB28" s="52">
        <f ca="1">IF(OR($F28&gt;$D$5,$F28&gt;MAX('הנחות עבודה'!$B$69:$B$89)),0,(VLOOKUP($F28,'התפלגות ייצור וסל דלקים'!$B$64:$BV$84,AB$2-$E$2,FALSE))*$D$9*$D$8*(HLOOKUP(AB$23,$G$18:$R$19,2,FALSE)*(1-$D$12)^($F28-'הנחות עבודה'!$C$5)/$D$11)/$D$11)</f>
        <v>0</v>
      </c>
      <c r="AC28" s="52">
        <f ca="1">IF(OR($F28&gt;$D$5,$F28&gt;MAX('הנחות עבודה'!$B$69:$B$89)),0,(VLOOKUP($F28,'התפלגות ייצור וסל דלקים'!$B$64:$BV$84,AC$2-$E$2,FALSE))*$D$9*$D$8*(HLOOKUP(AC$23,$G$18:$R$19,2,FALSE)*(1-$D$12)^($F28-'הנחות עבודה'!$C$5)/$D$11)/$D$11)</f>
        <v>1.3687895625E-4</v>
      </c>
      <c r="AD28" s="52">
        <f ca="1">IF(OR($F28&gt;$D$5,$F28&gt;MAX('הנחות עבודה'!$B$69:$B$89)),0,(VLOOKUP($F28,'התפלגות ייצור וסל דלקים'!$B$64:$BV$84,AD$2-$E$2,FALSE))*$D$9*$D$8*(HLOOKUP(AD$23,$G$18:$R$19,2,FALSE)*(1-$D$12)^($F28-'הנחות עבודה'!$C$5)/$D$11)/$D$11)</f>
        <v>0</v>
      </c>
      <c r="AE28" s="42">
        <f ca="1">IF(OR($F28&gt;$D$5,$F28&gt;MAX('הנחות עבודה'!$B$69:$B$89)),0,(VLOOKUP($F28,'התפלגות ייצור וסל דלקים'!$B$64:$BV$84,AE$2-$E$2,FALSE))*$D$9*$D$8*(HLOOKUP(AE$23,$G$18:$R$19,2,FALSE)*(1-$D$12)^($F28-'הנחות עבודה'!$C$5)/$D$11)/$D$11)</f>
        <v>0</v>
      </c>
      <c r="AF28" s="44">
        <f ca="1">IF(OR($F28&gt;$D$5,$F28&gt;MAX('הנחות עבודה'!$B$69:$B$89)),0,(VLOOKUP($F28,'התפלגות ייצור וסל דלקים'!$B$64:$BV$84,AF$2-$E$2,FALSE))*$D$9*$D$8*(HLOOKUP(AF$23,$G$18:$R$19,2,FALSE)*(1-$D$12)^($F28-'הנחות עבודה'!$C$5)/$D$11)/$D$11)</f>
        <v>0</v>
      </c>
      <c r="AG28" s="44">
        <f ca="1">IF(OR($F28&gt;$D$5,$F28&gt;MAX('הנחות עבודה'!$B$69:$B$89)),0,(VLOOKUP($F28,'התפלגות ייצור וסל דלקים'!$B$64:$BV$84,AG$2-$E$2,FALSE))*$D$9*$D$8*(HLOOKUP(AG$23,$G$18:$R$19,2,FALSE)*(1-$D$12)^($F28-'הנחות עבודה'!$C$5)/$D$11)/$D$11)</f>
        <v>0</v>
      </c>
      <c r="AH28" s="44">
        <f ca="1">IF(OR($F28&gt;$D$5,$F28&gt;MAX('הנחות עבודה'!$B$69:$B$89)),0,(VLOOKUP($F28,'התפלגות ייצור וסל דלקים'!$B$64:$BV$84,AH$2-$E$2,FALSE))*$D$9*$D$8*(HLOOKUP(AH$23,$G$18:$R$19,2,FALSE)*(1-$D$12)^($F28-'הנחות עבודה'!$C$5)/$D$11)/$D$11)</f>
        <v>0</v>
      </c>
      <c r="AI28" s="44">
        <f ca="1">IF(OR($F28&gt;$D$5,$F28&gt;MAX('הנחות עבודה'!$B$69:$B$89)),0,(VLOOKUP($F28,'התפלגות ייצור וסל דלקים'!$B$64:$BV$84,AI$2-$E$2,FALSE))*$D$9*$D$8*(HLOOKUP(AI$23,$G$18:$R$19,2,FALSE)*(1-$D$12)^($F28-'הנחות עבודה'!$C$5)/$D$11)/$D$11)</f>
        <v>0</v>
      </c>
      <c r="AJ28" s="44">
        <f ca="1">IF(OR($F28&gt;$D$5,$F28&gt;MAX('הנחות עבודה'!$B$69:$B$89)),0,(VLOOKUP($F28,'התפלגות ייצור וסל דלקים'!$B$64:$BV$84,AJ$2-$E$2,FALSE))*$D$9*$D$8*(HLOOKUP(AJ$23,$G$18:$R$19,2,FALSE)*(1-$D$12)^($F28-'הנחות עבודה'!$C$5)/$D$11)/$D$11)</f>
        <v>0</v>
      </c>
      <c r="AK28" s="42">
        <f ca="1">IF(OR($F28&gt;$D$5,$F28&gt;MAX('הנחות עבודה'!$B$69:$B$89)),0,(VLOOKUP($F28,'התפלגות ייצור וסל דלקים'!$B$64:$BV$84,AK$2-$E$2,FALSE))*$D$9*$D$8*(HLOOKUP(AK$23,$G$18:$R$19,2,FALSE)*(1-$D$12)^($F28-'הנחות עבודה'!$C$5)/$D$11)/$D$11)</f>
        <v>2.5776199999999999E-5</v>
      </c>
      <c r="AL28" s="42">
        <f ca="1">IF(OR($F28&gt;$D$5,$F28&gt;MAX('הנחות עבודה'!$B$69:$B$89)),0,(VLOOKUP($F28,'התפלגות ייצור וסל דלקים'!$B$64:$BV$84,AL$2-$E$2,FALSE))*$D$9*$D$8*(HLOOKUP(AL$23,$G$18:$R$19,2,FALSE)*(1-$D$12)^($F28-'הנחות עבודה'!$C$5)/$D$11)/$D$11)</f>
        <v>9.0721477376000024E-4</v>
      </c>
      <c r="AM28" s="42">
        <f ca="1">IF(OR($F28&gt;$D$5,$F28&gt;MAX('הנחות עבודה'!$B$69:$B$89)),0,(VLOOKUP($F28,'התפלגות ייצור וסל דלקים'!$B$64:$BV$84,AM$2-$E$2,FALSE))*$D$9*$D$8*(HLOOKUP(AM$23,$G$18:$R$19,2,FALSE)*(1-$D$12)^($F28-'הנחות עבודה'!$C$5)/$D$11)/$D$11)</f>
        <v>0</v>
      </c>
      <c r="AN28" s="42">
        <f ca="1">IF(OR($F28&gt;$D$5,$F28&gt;MAX('הנחות עבודה'!$B$69:$B$89)),0,(VLOOKUP($F28,'התפלגות ייצור וסל דלקים'!$B$64:$BV$84,AN$2-$E$2,FALSE))*$D$9*$D$8*(HLOOKUP(AN$23,$G$18:$R$19,2,FALSE)*(1-$D$12)^($F28-'הנחות עבודה'!$C$5)/$D$11)/$D$11)</f>
        <v>0</v>
      </c>
      <c r="AO28" s="42">
        <f ca="1">IF(OR($F28&gt;$D$5,$F28&gt;MAX('הנחות עבודה'!$B$69:$B$89)),0,(VLOOKUP($F28,'התפלגות ייצור וסל דלקים'!$B$64:$BV$84,AO$2-$E$2,FALSE))*$D$9*$D$8*(HLOOKUP(AO$23,$G$18:$R$19,2,FALSE)*(1-$D$12)^($F28-'הנחות עבודה'!$C$5)/$D$11)/$D$11)</f>
        <v>1.3655864925000001E-4</v>
      </c>
      <c r="AP28" s="42">
        <f ca="1">IF(OR($F28&gt;$D$5,$F28&gt;MAX('הנחות עבודה'!$B$69:$B$89)),0,(VLOOKUP($F28,'התפלגות ייצור וסל דלקים'!$B$64:$BV$84,AP$2-$E$2,FALSE))*$D$9*$D$8*(HLOOKUP(AP$23,$G$18:$R$19,2,FALSE)*(1-$D$12)^($F28-'הנחות עבודה'!$C$5)/$D$11)/$D$11)</f>
        <v>0</v>
      </c>
      <c r="AQ28" s="52">
        <f ca="1">IF(OR($F28&gt;$D$5,$F28&gt;MAX('הנחות עבודה'!$B$69:$B$89)),0,(VLOOKUP($F28,'התפלגות ייצור וסל דלקים'!$B$64:$BV$84,AQ$2-$E$2,FALSE))*$D$9*$D$8*(HLOOKUP(AQ$23,$G$18:$R$19,2,FALSE)*(1-$D$12)^($F28-'הנחות עבודה'!$C$5)/$D$11)/$D$11)</f>
        <v>0</v>
      </c>
      <c r="AR28" s="127">
        <f ca="1">IF(OR($F28&gt;$D$5,$F28&gt;MAX('הנחות עבודה'!$B$69:$B$89)),0,(VLOOKUP($F28,'התפלגות ייצור וסל דלקים'!$B$64:$BV$84,AR$2-$E$2,FALSE))*$D$9*$D$8*(HLOOKUP(AR$23,$G$18:$R$19,2,FALSE)*(1-$D$12)^($F28-'הנחות עבודה'!$C$5)/$D$11)/$D$11)</f>
        <v>0</v>
      </c>
      <c r="AS28" s="127">
        <f ca="1">IF(OR($F28&gt;$D$5,$F28&gt;MAX('הנחות עבודה'!$B$69:$B$89)),0,(VLOOKUP($F28,'התפלגות ייצור וסל דלקים'!$B$64:$BV$84,AS$2-$E$2,FALSE))*$D$9*$D$8*(HLOOKUP(AS$23,$G$18:$R$19,2,FALSE)*(1-$D$12)^($F28-'הנחות עבודה'!$C$5)/$D$11)/$D$11)</f>
        <v>0</v>
      </c>
      <c r="AT28" s="127">
        <f ca="1">IF(OR($F28&gt;$D$5,$F28&gt;MAX('הנחות עבודה'!$B$69:$B$89)),0,(VLOOKUP($F28,'התפלגות ייצור וסל דלקים'!$B$64:$BV$84,AT$2-$E$2,FALSE))*$D$9*$D$8*(HLOOKUP(AT$23,$G$18:$R$19,2,FALSE)*(1-$D$12)^($F28-'הנחות עבודה'!$C$5)/$D$11)/$D$11)</f>
        <v>0</v>
      </c>
      <c r="AU28" s="127">
        <f ca="1">IF(OR($F28&gt;$D$5,$F28&gt;MAX('הנחות עבודה'!$B$69:$B$89)),0,(VLOOKUP($F28,'התפלגות ייצור וסל דלקים'!$B$64:$BV$84,AU$2-$E$2,FALSE))*$D$9*$D$8*(HLOOKUP(AU$23,$G$18:$R$19,2,FALSE)*(1-$D$12)^($F28-'הנחות עבודה'!$C$5)/$D$11)/$D$11)</f>
        <v>0</v>
      </c>
      <c r="AV28" s="127">
        <f ca="1">IF(OR($F28&gt;$D$5,$F28&gt;MAX('הנחות עבודה'!$B$69:$B$89)),0,(VLOOKUP($F28,'התפלגות ייצור וסל דלקים'!$B$64:$BV$84,AV$2-$E$2,FALSE))*$D$9*$D$8*(HLOOKUP(AV$23,$G$18:$R$19,2,FALSE)*(1-$D$12)^($F28-'הנחות עבודה'!$C$5)/$D$11)/$D$11)</f>
        <v>0</v>
      </c>
      <c r="AW28" s="52">
        <f ca="1">IF(OR($F28&gt;$D$5,$F28&gt;MAX('הנחות עבודה'!$B$69:$B$89)),0,(VLOOKUP($F28,'התפלגות ייצור וסל דלקים'!$B$64:$BV$84,AW$2-$E$2,FALSE))*$D$9*$D$8*(HLOOKUP(AW$23,$G$18:$R$19,2,FALSE)*(1-$D$12)^($F28-'הנחות עבודה'!$C$5)/$D$11)/$D$11)</f>
        <v>2.5776199999999999E-5</v>
      </c>
      <c r="AX28" s="52">
        <f ca="1">IF(OR($F28&gt;$D$5,$F28&gt;MAX('הנחות עבודה'!$B$69:$B$89)),0,(VLOOKUP($F28,'התפלגות ייצור וסל דלקים'!$B$64:$BV$84,AX$2-$E$2,FALSE))*$D$9*$D$8*(HLOOKUP(AX$23,$G$18:$R$19,2,FALSE)*(1-$D$12)^($F28-'הנחות עבודה'!$C$5)/$D$11)/$D$11)</f>
        <v>9.0721477376000024E-4</v>
      </c>
      <c r="AY28" s="52">
        <f ca="1">IF(OR($F28&gt;$D$5,$F28&gt;MAX('הנחות עבודה'!$B$69:$B$89)),0,(VLOOKUP($F28,'התפלגות ייצור וסל דלקים'!$B$64:$BV$84,AY$2-$E$2,FALSE))*$D$9*$D$8*(HLOOKUP(AY$23,$G$18:$R$19,2,FALSE)*(1-$D$12)^($F28-'הנחות עבודה'!$C$5)/$D$11)/$D$11)</f>
        <v>0</v>
      </c>
      <c r="AZ28" s="52">
        <f ca="1">IF(OR($F28&gt;$D$5,$F28&gt;MAX('הנחות עבודה'!$B$69:$B$89)),0,(VLOOKUP($F28,'התפלגות ייצור וסל דלקים'!$B$64:$BV$84,AZ$2-$E$2,FALSE))*$D$9*$D$8*(HLOOKUP(AZ$23,$G$18:$R$19,2,FALSE)*(1-$D$12)^($F28-'הנחות עבודה'!$C$5)/$D$11)/$D$11)</f>
        <v>0</v>
      </c>
      <c r="BA28" s="52">
        <f ca="1">IF(OR($F28&gt;$D$5,$F28&gt;MAX('הנחות עבודה'!$B$69:$B$89)),0,(VLOOKUP($F28,'התפלגות ייצור וסל דלקים'!$B$64:$BV$84,BA$2-$E$2,FALSE))*$D$9*$D$8*(HLOOKUP(BA$23,$G$18:$R$19,2,FALSE)*(1-$D$12)^($F28-'הנחות עבודה'!$C$5)/$D$11)/$D$11)</f>
        <v>1.3655864925000001E-4</v>
      </c>
      <c r="BB28" s="52">
        <f ca="1">IF(OR($F28&gt;$D$5,$F28&gt;MAX('הנחות עבודה'!$B$69:$B$89)),0,(VLOOKUP($F28,'התפלגות ייצור וסל דלקים'!$B$64:$BV$84,BB$2-$E$2,FALSE))*$D$9*$D$8*(HLOOKUP(BB$23,$G$18:$R$19,2,FALSE)*(1-$D$12)^($F28-'הנחות עבודה'!$C$5)/$D$11)/$D$11)</f>
        <v>0</v>
      </c>
      <c r="BC28" s="42">
        <f ca="1">IF(OR($F28&gt;$D$5,$F28&gt;MAX('הנחות עבודה'!$B$69:$B$89)),0,(VLOOKUP($F28,'התפלגות ייצור וסל דלקים'!$B$64:$BV$84,BC$2-$E$2,FALSE))*$D$9*$D$8*(HLOOKUP(BC$23,$G$18:$R$19,2,FALSE)*(1-$D$12)^($F28-'הנחות עבודה'!$C$5)/$D$11)/$D$11)</f>
        <v>0</v>
      </c>
      <c r="BD28" s="44">
        <f ca="1">IF(OR($F28&gt;$D$5,$F28&gt;MAX('הנחות עבודה'!$B$69:$B$89)),0,(VLOOKUP($F28,'התפלגות ייצור וסל דלקים'!$B$64:$BV$84,BD$2-$E$2,FALSE))*$D$9*$D$8*(HLOOKUP(BD$23,$G$18:$R$19,2,FALSE)*(1-$D$12)^($F28-'הנחות עבודה'!$C$5)/$D$11)/$D$11)</f>
        <v>0</v>
      </c>
      <c r="BE28" s="44">
        <f ca="1">IF(OR($F28&gt;$D$5,$F28&gt;MAX('הנחות עבודה'!$B$69:$B$89)),0,(VLOOKUP($F28,'התפלגות ייצור וסל דלקים'!$B$64:$BV$84,BE$2-$E$2,FALSE))*$D$9*$D$8*(HLOOKUP(BE$23,$G$18:$R$19,2,FALSE)*(1-$D$12)^($F28-'הנחות עבודה'!$C$5)/$D$11)/$D$11)</f>
        <v>0</v>
      </c>
      <c r="BF28" s="44">
        <f ca="1">IF(OR($F28&gt;$D$5,$F28&gt;MAX('הנחות עבודה'!$B$69:$B$89)),0,(VLOOKUP($F28,'התפלגות ייצור וסל דלקים'!$B$64:$BV$84,BF$2-$E$2,FALSE))*$D$9*$D$8*(HLOOKUP(BF$23,$G$18:$R$19,2,FALSE)*(1-$D$12)^($F28-'הנחות עבודה'!$C$5)/$D$11)/$D$11)</f>
        <v>0</v>
      </c>
      <c r="BG28" s="44">
        <f ca="1">IF(OR($F28&gt;$D$5,$F28&gt;MAX('הנחות עבודה'!$B$69:$B$89)),0,(VLOOKUP($F28,'התפלגות ייצור וסל דלקים'!$B$64:$BV$84,BG$2-$E$2,FALSE))*$D$9*$D$8*(HLOOKUP(BG$23,$G$18:$R$19,2,FALSE)*(1-$D$12)^($F28-'הנחות עבודה'!$C$5)/$D$11)/$D$11)</f>
        <v>0</v>
      </c>
      <c r="BH28" s="44">
        <f ca="1">IF(OR($F28&gt;$D$5,$F28&gt;MAX('הנחות עבודה'!$B$69:$B$89)),0,(VLOOKUP($F28,'התפלגות ייצור וסל דלקים'!$B$64:$BV$84,BH$2-$E$2,FALSE))*$D$9*$D$8*(HLOOKUP(BH$23,$G$18:$R$19,2,FALSE)*(1-$D$12)^($F28-'הנחות עבודה'!$C$5)/$D$11)/$D$11)</f>
        <v>0</v>
      </c>
      <c r="BI28" s="42">
        <f ca="1">IF(OR($F28&gt;$D$5,$F28&gt;MAX('הנחות עבודה'!$B$69:$B$89)),0,(VLOOKUP($F28,'התפלגות ייצור וסל דלקים'!$B$64:$BV$84,BI$2-$E$2,FALSE))*$D$9*$D$8*(HLOOKUP(BI$23,$G$18:$R$19,2,FALSE)*(1-$D$12)^($F28-'הנחות עבודה'!$C$5)/$D$11)/$D$11)</f>
        <v>2.5639499999999994E-5</v>
      </c>
      <c r="BJ28" s="42">
        <f ca="1">IF(OR($F28&gt;$D$5,$F28&gt;MAX('הנחות עבודה'!$B$69:$B$89)),0,(VLOOKUP($F28,'התפלגות ייצור וסל דלקים'!$B$64:$BV$84,BJ$2-$E$2,FALSE))*$D$9*$D$8*(HLOOKUP(BJ$23,$G$18:$R$19,2,FALSE)*(1-$D$12)^($F28-'הנחות עבודה'!$C$5)/$D$11)/$D$11)</f>
        <v>8.816616524800001E-4</v>
      </c>
      <c r="BK28" s="42">
        <f ca="1">IF(OR($F28&gt;$D$5,$F28&gt;MAX('הנחות עבודה'!$B$69:$B$89)),0,(VLOOKUP($F28,'התפלגות ייצור וסל דלקים'!$B$64:$BV$84,BK$2-$E$2,FALSE))*$D$9*$D$8*(HLOOKUP(BK$23,$G$18:$R$19,2,FALSE)*(1-$D$12)^($F28-'הנחות עבודה'!$C$5)/$D$11)/$D$11)</f>
        <v>0</v>
      </c>
      <c r="BL28" s="42">
        <f ca="1">IF(OR($F28&gt;$D$5,$F28&gt;MAX('הנחות עבודה'!$B$69:$B$89)),0,(VLOOKUP($F28,'התפלגות ייצור וסל דלקים'!$B$64:$BV$84,BL$2-$E$2,FALSE))*$D$9*$D$8*(HLOOKUP(BL$23,$G$18:$R$19,2,FALSE)*(1-$D$12)^($F28-'הנחות עבודה'!$C$5)/$D$11)/$D$11)</f>
        <v>0</v>
      </c>
      <c r="BM28" s="42">
        <f ca="1">IF(OR($F28&gt;$D$5,$F28&gt;MAX('הנחות עבודה'!$B$69:$B$89)),0,(VLOOKUP($F28,'התפלגות ייצור וסל דלקים'!$B$64:$BV$84,BM$2-$E$2,FALSE))*$D$9*$D$8*(HLOOKUP(BM$23,$G$18:$R$19,2,FALSE)*(1-$D$12)^($F28-'הנחות עבודה'!$C$5)/$D$11)/$D$11)</f>
        <v>1.3648831350000001E-4</v>
      </c>
      <c r="BN28" s="42">
        <f ca="1">IF(OR($F28&gt;$D$5,$F28&gt;MAX('הנחות עבודה'!$B$69:$B$89)),0,(VLOOKUP($F28,'התפלגות ייצור וסל דלקים'!$B$64:$BV$84,BN$2-$E$2,FALSE))*$D$9*$D$8*(HLOOKUP(BN$23,$G$18:$R$19,2,FALSE)*(1-$D$12)^($F28-'הנחות עבודה'!$C$5)/$D$11)/$D$11)</f>
        <v>0</v>
      </c>
      <c r="BO28" s="52">
        <f ca="1">IF(OR($F28&gt;$D$5,$F28&gt;MAX('הנחות עבודה'!$B$69:$B$89)),0,(VLOOKUP($F28,'התפלגות ייצור וסל דלקים'!$B$64:$BV$84,BO$2-$E$2,FALSE))*$D$9*$D$8*(HLOOKUP(BO$23,$G$18:$R$19,2,FALSE)*(1-$D$12)^($F28-'הנחות עבודה'!$C$5)/$D$11)/$D$11)</f>
        <v>0</v>
      </c>
      <c r="BP28" s="127">
        <f ca="1">IF(OR($F28&gt;$D$5,$F28&gt;MAX('הנחות עבודה'!$B$69:$B$89)),0,(VLOOKUP($F28,'התפלגות ייצור וסל דלקים'!$B$64:$BV$84,BP$2-$E$2,FALSE))*$D$9*$D$8*(HLOOKUP(BP$23,$G$18:$R$19,2,FALSE)*(1-$D$12)^($F28-'הנחות עבודה'!$C$5)/$D$11)/$D$11)</f>
        <v>0</v>
      </c>
      <c r="BQ28" s="127">
        <f ca="1">IF(OR($F28&gt;$D$5,$F28&gt;MAX('הנחות עבודה'!$B$69:$B$89)),0,(VLOOKUP($F28,'התפלגות ייצור וסל דלקים'!$B$64:$BV$84,BQ$2-$E$2,FALSE))*$D$9*$D$8*(HLOOKUP(BQ$23,$G$18:$R$19,2,FALSE)*(1-$D$12)^($F28-'הנחות עבודה'!$C$5)/$D$11)/$D$11)</f>
        <v>0</v>
      </c>
      <c r="BR28" s="127">
        <f ca="1">IF(OR($F28&gt;$D$5,$F28&gt;MAX('הנחות עבודה'!$B$69:$B$89)),0,(VLOOKUP($F28,'התפלגות ייצור וסל דלקים'!$B$64:$BV$84,BR$2-$E$2,FALSE))*$D$9*$D$8*(HLOOKUP(BR$23,$G$18:$R$19,2,FALSE)*(1-$D$12)^($F28-'הנחות עבודה'!$C$5)/$D$11)/$D$11)</f>
        <v>0</v>
      </c>
      <c r="BS28" s="127">
        <f ca="1">IF(OR($F28&gt;$D$5,$F28&gt;MAX('הנחות עבודה'!$B$69:$B$89)),0,(VLOOKUP($F28,'התפלגות ייצור וסל דלקים'!$B$64:$BV$84,BS$2-$E$2,FALSE))*$D$9*$D$8*(HLOOKUP(BS$23,$G$18:$R$19,2,FALSE)*(1-$D$12)^($F28-'הנחות עבודה'!$C$5)/$D$11)/$D$11)</f>
        <v>0</v>
      </c>
      <c r="BT28" s="127">
        <f ca="1">IF(OR($F28&gt;$D$5,$F28&gt;MAX('הנחות עבודה'!$B$69:$B$89)),0,(VLOOKUP($F28,'התפלגות ייצור וסל דלקים'!$B$64:$BV$84,BT$2-$E$2,FALSE))*$D$9*$D$8*(HLOOKUP(BT$23,$G$18:$R$19,2,FALSE)*(1-$D$12)^($F28-'הנחות עבודה'!$C$5)/$D$11)/$D$11)</f>
        <v>0</v>
      </c>
      <c r="BU28" s="52">
        <f ca="1">IF(OR($F28&gt;$D$5,$F28&gt;MAX('הנחות עבודה'!$B$69:$B$89)),0,(VLOOKUP($F28,'התפלגות ייצור וסל דלקים'!$B$64:$BV$84,BU$2-$E$2,FALSE))*$D$9*$D$8*(HLOOKUP(BU$23,$G$18:$R$19,2,FALSE)*(1-$D$12)^($F28-'הנחות עבודה'!$C$5)/$D$11)/$D$11)</f>
        <v>2.5639499999999994E-5</v>
      </c>
      <c r="BV28" s="52">
        <f ca="1">IF(OR($F28&gt;$D$5,$F28&gt;MAX('הנחות עבודה'!$B$69:$B$89)),0,(VLOOKUP($F28,'התפלגות ייצור וסל דלקים'!$B$64:$BV$84,BV$2-$E$2,FALSE))*$D$9*$D$8*(HLOOKUP(BV$23,$G$18:$R$19,2,FALSE)*(1-$D$12)^($F28-'הנחות עבודה'!$C$5)/$D$11)/$D$11)</f>
        <v>8.816616524800001E-4</v>
      </c>
      <c r="BW28" s="52">
        <f ca="1">IF(OR($F28&gt;$D$5,$F28&gt;MAX('הנחות עבודה'!$B$69:$B$89)),0,(VLOOKUP($F28,'התפלגות ייצור וסל דלקים'!$B$64:$BV$84,BW$2-$E$2,FALSE))*$D$9*$D$8*(HLOOKUP(BW$23,$G$18:$R$19,2,FALSE)*(1-$D$12)^($F28-'הנחות עבודה'!$C$5)/$D$11)/$D$11)</f>
        <v>0</v>
      </c>
      <c r="BX28" s="52">
        <f ca="1">IF(OR($F28&gt;$D$5,$F28&gt;MAX('הנחות עבודה'!$B$69:$B$89)),0,(VLOOKUP($F28,'התפלגות ייצור וסל דלקים'!$B$64:$BV$84,BX$2-$E$2,FALSE))*$D$9*$D$8*(HLOOKUP(BX$23,$G$18:$R$19,2,FALSE)*(1-$D$12)^($F28-'הנחות עבודה'!$C$5)/$D$11)/$D$11)</f>
        <v>0</v>
      </c>
      <c r="BY28" s="52">
        <f ca="1">IF(OR($F28&gt;$D$5,$F28&gt;MAX('הנחות עבודה'!$B$69:$B$89)),0,(VLOOKUP($F28,'התפלגות ייצור וסל דלקים'!$B$64:$BV$84,BY$2-$E$2,FALSE))*$D$9*$D$8*(HLOOKUP(BY$23,$G$18:$R$19,2,FALSE)*(1-$D$12)^($F28-'הנחות עבודה'!$C$5)/$D$11)/$D$11)</f>
        <v>1.3648831350000001E-4</v>
      </c>
      <c r="BZ28" s="52">
        <f ca="1">IF(OR($F28&gt;$D$5,$F28&gt;MAX('הנחות עבודה'!$B$69:$B$89)),0,(VLOOKUP($F28,'התפלגות ייצור וסל דלקים'!$B$64:$BV$84,BZ$2-$E$2,FALSE))*$D$9*$D$8*(HLOOKUP(BZ$23,$G$18:$R$19,2,FALSE)*(1-$D$12)^($F28-'הנחות עבודה'!$C$5)/$D$11)/$D$11)</f>
        <v>0</v>
      </c>
    </row>
    <row r="29" spans="6:78" ht="15.75">
      <c r="F29" s="10">
        <f t="shared" si="114"/>
        <v>2025</v>
      </c>
      <c r="G29" s="42">
        <f ca="1">IF(OR($F29&gt;$D$5,$F29&gt;MAX('הנחות עבודה'!$B$69:$B$89)),0,(VLOOKUP($F29,'התפלגות ייצור וסל דלקים'!$B$64:$BV$84,G$2-$E$2,FALSE))*$D$9*$D$8*(HLOOKUP(G$23,$G$18:$R$19,2,FALSE)*(1-$D$12)^($F29-'הנחות עבודה'!$C$5)/$D$11)/$D$11)</f>
        <v>0</v>
      </c>
      <c r="H29" s="44">
        <f ca="1">IF(OR($F29&gt;$D$5,$F29&gt;MAX('הנחות עבודה'!$B$69:$B$89)),0,(VLOOKUP($F29,'התפלגות ייצור וסל דלקים'!$B$64:$BV$84,H$2-$E$2,FALSE))*$D$9*$D$8*(HLOOKUP(H$23,$G$18:$R$19,2,FALSE)*(1-$D$12)^($F29-'הנחות עבודה'!$C$5)/$D$11)/$D$11)</f>
        <v>0</v>
      </c>
      <c r="I29" s="44">
        <f ca="1">IF(OR($F29&gt;$D$5,$F29&gt;MAX('הנחות עבודה'!$B$69:$B$89)),0,(VLOOKUP($F29,'התפלגות ייצור וסל דלקים'!$B$64:$BV$84,I$2-$E$2,FALSE))*$D$9*$D$8*(HLOOKUP(I$23,$G$18:$R$19,2,FALSE)*(1-$D$12)^($F29-'הנחות עבודה'!$C$5)/$D$11)/$D$11)</f>
        <v>0</v>
      </c>
      <c r="J29" s="44">
        <f ca="1">IF(OR($F29&gt;$D$5,$F29&gt;MAX('הנחות עבודה'!$B$69:$B$89)),0,(VLOOKUP($F29,'התפלגות ייצור וסל דלקים'!$B$64:$BV$84,J$2-$E$2,FALSE))*$D$9*$D$8*(HLOOKUP(J$23,$G$18:$R$19,2,FALSE)*(1-$D$12)^($F29-'הנחות עבודה'!$C$5)/$D$11)/$D$11)</f>
        <v>0</v>
      </c>
      <c r="K29" s="44">
        <f ca="1">IF(OR($F29&gt;$D$5,$F29&gt;MAX('הנחות עבודה'!$B$69:$B$89)),0,(VLOOKUP($F29,'התפלגות ייצור וסל דלקים'!$B$64:$BV$84,K$2-$E$2,FALSE))*$D$9*$D$8*(HLOOKUP(K$23,$G$18:$R$19,2,FALSE)*(1-$D$12)^($F29-'הנחות עבודה'!$C$5)/$D$11)/$D$11)</f>
        <v>0</v>
      </c>
      <c r="L29" s="44">
        <f ca="1">IF(OR($F29&gt;$D$5,$F29&gt;MAX('הנחות עבודה'!$B$69:$B$89)),0,(VLOOKUP($F29,'התפלגות ייצור וסל דלקים'!$B$64:$BV$84,L$2-$E$2,FALSE))*$D$9*$D$8*(HLOOKUP(L$23,$G$18:$R$19,2,FALSE)*(1-$D$12)^($F29-'הנחות עבודה'!$C$5)/$D$11)/$D$11)</f>
        <v>0</v>
      </c>
      <c r="M29" s="42">
        <f ca="1">IF(OR($F29&gt;$D$5,$F29&gt;MAX('הנחות עבודה'!$B$69:$B$89)),0,(VLOOKUP($F29,'התפלגות ייצור וסל דלקים'!$B$64:$BV$84,M$2-$E$2,FALSE))*$D$9*$D$8*(HLOOKUP(M$23,$G$18:$R$19,2,FALSE)*(1-$D$12)^($F29-'הנחות עבודה'!$C$5)/$D$11)/$D$11)</f>
        <v>9.248990000000001E-5</v>
      </c>
      <c r="N29" s="42">
        <f ca="1">IF(OR($F29&gt;$D$5,$F29&gt;MAX('הנחות עבודה'!$B$69:$B$89)),0,(VLOOKUP($F29,'התפלגות ייצור וסל דלקים'!$B$64:$BV$84,N$2-$E$2,FALSE))*$D$9*$D$8*(HLOOKUP(N$23,$G$18:$R$19,2,FALSE)*(1-$D$12)^($F29-'הנחות עבודה'!$C$5)/$D$11)/$D$11)</f>
        <v>9.8271189376000008E-4</v>
      </c>
      <c r="O29" s="42">
        <f ca="1">IF(OR($F29&gt;$D$5,$F29&gt;MAX('הנחות עבודה'!$B$69:$B$89)),0,(VLOOKUP($F29,'התפלגות ייצור וסל דלקים'!$B$64:$BV$84,O$2-$E$2,FALSE))*$D$9*$D$8*(HLOOKUP(O$23,$G$18:$R$19,2,FALSE)*(1-$D$12)^($F29-'הנחות עבודה'!$C$5)/$D$11)/$D$11)</f>
        <v>0</v>
      </c>
      <c r="P29" s="42">
        <f ca="1">IF(OR($F29&gt;$D$5,$F29&gt;MAX('הנחות עבודה'!$B$69:$B$89)),0,(VLOOKUP($F29,'התפלגות ייצור וסל דלקים'!$B$64:$BV$84,P$2-$E$2,FALSE))*$D$9*$D$8*(HLOOKUP(P$23,$G$18:$R$19,2,FALSE)*(1-$D$12)^($F29-'הנחות עבודה'!$C$5)/$D$11)/$D$11)</f>
        <v>0</v>
      </c>
      <c r="Q29" s="42">
        <f ca="1">IF(OR($F29&gt;$D$5,$F29&gt;MAX('הנחות עבודה'!$B$69:$B$89)),0,(VLOOKUP($F29,'התפלגות ייצור וסל דלקים'!$B$64:$BV$84,Q$2-$E$2,FALSE))*$D$9*$D$8*(HLOOKUP(Q$23,$G$18:$R$19,2,FALSE)*(1-$D$12)^($F29-'הנחות עבודה'!$C$5)/$D$11)/$D$11)</f>
        <v>3.9680536499999997E-5</v>
      </c>
      <c r="R29" s="42">
        <f ca="1">IF(OR($F29&gt;$D$5,$F29&gt;MAX('הנחות עבודה'!$B$69:$B$89)),0,(VLOOKUP($F29,'התפלגות ייצור וסל דלקים'!$B$64:$BV$84,R$2-$E$2,FALSE))*$D$9*$D$8*(HLOOKUP(R$23,$G$18:$R$19,2,FALSE)*(1-$D$12)^($F29-'הנחות עבודה'!$C$5)/$D$11)/$D$11)</f>
        <v>0</v>
      </c>
      <c r="S29" s="52">
        <f ca="1">IF(OR($F29&gt;$D$5,$F29&gt;MAX('הנחות עבודה'!$B$69:$B$89)),0,(VLOOKUP($F29,'התפלגות ייצור וסל דלקים'!$B$64:$BV$84,S$2-$E$2,FALSE))*$D$9*$D$8*(HLOOKUP(S$23,$G$18:$R$19,2,FALSE)*(1-$D$12)^($F29-'הנחות עבודה'!$C$5)/$D$11)/$D$11)</f>
        <v>0</v>
      </c>
      <c r="T29" s="127">
        <f ca="1">IF(OR($F29&gt;$D$5,$F29&gt;MAX('הנחות עבודה'!$B$69:$B$89)),0,(VLOOKUP($F29,'התפלגות ייצור וסל דלקים'!$B$64:$BV$84,T$2-$E$2,FALSE))*$D$9*$D$8*(HLOOKUP(T$23,$G$18:$R$19,2,FALSE)*(1-$D$12)^($F29-'הנחות עבודה'!$C$5)/$D$11)/$D$11)</f>
        <v>0</v>
      </c>
      <c r="U29" s="127">
        <f ca="1">IF(OR($F29&gt;$D$5,$F29&gt;MAX('הנחות עבודה'!$B$69:$B$89)),0,(VLOOKUP($F29,'התפלגות ייצור וסל דלקים'!$B$64:$BV$84,U$2-$E$2,FALSE))*$D$9*$D$8*(HLOOKUP(U$23,$G$18:$R$19,2,FALSE)*(1-$D$12)^($F29-'הנחות עבודה'!$C$5)/$D$11)/$D$11)</f>
        <v>0</v>
      </c>
      <c r="V29" s="127">
        <f ca="1">IF(OR($F29&gt;$D$5,$F29&gt;MAX('הנחות עבודה'!$B$69:$B$89)),0,(VLOOKUP($F29,'התפלגות ייצור וסל דלקים'!$B$64:$BV$84,V$2-$E$2,FALSE))*$D$9*$D$8*(HLOOKUP(V$23,$G$18:$R$19,2,FALSE)*(1-$D$12)^($F29-'הנחות עבודה'!$C$5)/$D$11)/$D$11)</f>
        <v>0</v>
      </c>
      <c r="W29" s="127">
        <f ca="1">IF(OR($F29&gt;$D$5,$F29&gt;MAX('הנחות עבודה'!$B$69:$B$89)),0,(VLOOKUP($F29,'התפלגות ייצור וסל דלקים'!$B$64:$BV$84,W$2-$E$2,FALSE))*$D$9*$D$8*(HLOOKUP(W$23,$G$18:$R$19,2,FALSE)*(1-$D$12)^($F29-'הנחות עבודה'!$C$5)/$D$11)/$D$11)</f>
        <v>0</v>
      </c>
      <c r="X29" s="127">
        <f ca="1">IF(OR($F29&gt;$D$5,$F29&gt;MAX('הנחות עבודה'!$B$69:$B$89)),0,(VLOOKUP($F29,'התפלגות ייצור וסל דלקים'!$B$64:$BV$84,X$2-$E$2,FALSE))*$D$9*$D$8*(HLOOKUP(X$23,$G$18:$R$19,2,FALSE)*(1-$D$12)^($F29-'הנחות עבודה'!$C$5)/$D$11)/$D$11)</f>
        <v>0</v>
      </c>
      <c r="Y29" s="52">
        <f ca="1">IF(OR($F29&gt;$D$5,$F29&gt;MAX('הנחות עבודה'!$B$69:$B$89)),0,(VLOOKUP($F29,'התפלגות ייצור וסל דלקים'!$B$64:$BV$84,Y$2-$E$2,FALSE))*$D$9*$D$8*(HLOOKUP(Y$23,$G$18:$R$19,2,FALSE)*(1-$D$12)^($F29-'הנחות עבודה'!$C$5)/$D$11)/$D$11)</f>
        <v>9.248990000000001E-5</v>
      </c>
      <c r="Z29" s="52">
        <f ca="1">IF(OR($F29&gt;$D$5,$F29&gt;MAX('הנחות עבודה'!$B$69:$B$89)),0,(VLOOKUP($F29,'התפלגות ייצור וסל דלקים'!$B$64:$BV$84,Z$2-$E$2,FALSE))*$D$9*$D$8*(HLOOKUP(Z$23,$G$18:$R$19,2,FALSE)*(1-$D$12)^($F29-'הנחות עבודה'!$C$5)/$D$11)/$D$11)</f>
        <v>9.8271189376000008E-4</v>
      </c>
      <c r="AA29" s="52">
        <f ca="1">IF(OR($F29&gt;$D$5,$F29&gt;MAX('הנחות עבודה'!$B$69:$B$89)),0,(VLOOKUP($F29,'התפלגות ייצור וסל דלקים'!$B$64:$BV$84,AA$2-$E$2,FALSE))*$D$9*$D$8*(HLOOKUP(AA$23,$G$18:$R$19,2,FALSE)*(1-$D$12)^($F29-'הנחות עבודה'!$C$5)/$D$11)/$D$11)</f>
        <v>0</v>
      </c>
      <c r="AB29" s="52">
        <f ca="1">IF(OR($F29&gt;$D$5,$F29&gt;MAX('הנחות עבודה'!$B$69:$B$89)),0,(VLOOKUP($F29,'התפלגות ייצור וסל דלקים'!$B$64:$BV$84,AB$2-$E$2,FALSE))*$D$9*$D$8*(HLOOKUP(AB$23,$G$18:$R$19,2,FALSE)*(1-$D$12)^($F29-'הנחות עבודה'!$C$5)/$D$11)/$D$11)</f>
        <v>0</v>
      </c>
      <c r="AC29" s="52">
        <f ca="1">IF(OR($F29&gt;$D$5,$F29&gt;MAX('הנחות עבודה'!$B$69:$B$89)),0,(VLOOKUP($F29,'התפלגות ייצור וסל דלקים'!$B$64:$BV$84,AC$2-$E$2,FALSE))*$D$9*$D$8*(HLOOKUP(AC$23,$G$18:$R$19,2,FALSE)*(1-$D$12)^($F29-'הנחות עבודה'!$C$5)/$D$11)/$D$11)</f>
        <v>3.9680536499999997E-5</v>
      </c>
      <c r="AD29" s="52">
        <f ca="1">IF(OR($F29&gt;$D$5,$F29&gt;MAX('הנחות עבודה'!$B$69:$B$89)),0,(VLOOKUP($F29,'התפלגות ייצור וסל דלקים'!$B$64:$BV$84,AD$2-$E$2,FALSE))*$D$9*$D$8*(HLOOKUP(AD$23,$G$18:$R$19,2,FALSE)*(1-$D$12)^($F29-'הנחות עבודה'!$C$5)/$D$11)/$D$11)</f>
        <v>0</v>
      </c>
      <c r="AE29" s="42">
        <f ca="1">IF(OR($F29&gt;$D$5,$F29&gt;MAX('הנחות עבודה'!$B$69:$B$89)),0,(VLOOKUP($F29,'התפלגות ייצור וסל דלקים'!$B$64:$BV$84,AE$2-$E$2,FALSE))*$D$9*$D$8*(HLOOKUP(AE$23,$G$18:$R$19,2,FALSE)*(1-$D$12)^($F29-'הנחות עבודה'!$C$5)/$D$11)/$D$11)</f>
        <v>0</v>
      </c>
      <c r="AF29" s="44">
        <f ca="1">IF(OR($F29&gt;$D$5,$F29&gt;MAX('הנחות עבודה'!$B$69:$B$89)),0,(VLOOKUP($F29,'התפלגות ייצור וסל דלקים'!$B$64:$BV$84,AF$2-$E$2,FALSE))*$D$9*$D$8*(HLOOKUP(AF$23,$G$18:$R$19,2,FALSE)*(1-$D$12)^($F29-'הנחות עבודה'!$C$5)/$D$11)/$D$11)</f>
        <v>0</v>
      </c>
      <c r="AG29" s="44">
        <f ca="1">IF(OR($F29&gt;$D$5,$F29&gt;MAX('הנחות עבודה'!$B$69:$B$89)),0,(VLOOKUP($F29,'התפלגות ייצור וסל דלקים'!$B$64:$BV$84,AG$2-$E$2,FALSE))*$D$9*$D$8*(HLOOKUP(AG$23,$G$18:$R$19,2,FALSE)*(1-$D$12)^($F29-'הנחות עבודה'!$C$5)/$D$11)/$D$11)</f>
        <v>0</v>
      </c>
      <c r="AH29" s="44">
        <f ca="1">IF(OR($F29&gt;$D$5,$F29&gt;MAX('הנחות עבודה'!$B$69:$B$89)),0,(VLOOKUP($F29,'התפלגות ייצור וסל דלקים'!$B$64:$BV$84,AH$2-$E$2,FALSE))*$D$9*$D$8*(HLOOKUP(AH$23,$G$18:$R$19,2,FALSE)*(1-$D$12)^($F29-'הנחות עבודה'!$C$5)/$D$11)/$D$11)</f>
        <v>0</v>
      </c>
      <c r="AI29" s="44">
        <f ca="1">IF(OR($F29&gt;$D$5,$F29&gt;MAX('הנחות עבודה'!$B$69:$B$89)),0,(VLOOKUP($F29,'התפלגות ייצור וסל דלקים'!$B$64:$BV$84,AI$2-$E$2,FALSE))*$D$9*$D$8*(HLOOKUP(AI$23,$G$18:$R$19,2,FALSE)*(1-$D$12)^($F29-'הנחות עבודה'!$C$5)/$D$11)/$D$11)</f>
        <v>0</v>
      </c>
      <c r="AJ29" s="44">
        <f ca="1">IF(OR($F29&gt;$D$5,$F29&gt;MAX('הנחות עבודה'!$B$69:$B$89)),0,(VLOOKUP($F29,'התפלגות ייצור וסל דלקים'!$B$64:$BV$84,AJ$2-$E$2,FALSE))*$D$9*$D$8*(HLOOKUP(AJ$23,$G$18:$R$19,2,FALSE)*(1-$D$12)^($F29-'הנחות עבודה'!$C$5)/$D$11)/$D$11)</f>
        <v>0</v>
      </c>
      <c r="AK29" s="42">
        <f ca="1">IF(OR($F29&gt;$D$5,$F29&gt;MAX('הנחות עבודה'!$B$69:$B$89)),0,(VLOOKUP($F29,'התפלגות ייצור וסל דלקים'!$B$64:$BV$84,AK$2-$E$2,FALSE))*$D$9*$D$8*(HLOOKUP(AK$23,$G$18:$R$19,2,FALSE)*(1-$D$12)^($F29-'הנחות עבודה'!$C$5)/$D$11)/$D$11)</f>
        <v>8.913369999999997E-5</v>
      </c>
      <c r="AL29" s="42">
        <f ca="1">IF(OR($F29&gt;$D$5,$F29&gt;MAX('הנחות עבודה'!$B$69:$B$89)),0,(VLOOKUP($F29,'התפלגות ייצור וסל דלקים'!$B$64:$BV$84,AL$2-$E$2,FALSE))*$D$9*$D$8*(HLOOKUP(AL$23,$G$18:$R$19,2,FALSE)*(1-$D$12)^($F29-'הנחות עבודה'!$C$5)/$D$11)/$D$11)</f>
        <v>9.2712712960000036E-4</v>
      </c>
      <c r="AM29" s="42">
        <f ca="1">IF(OR($F29&gt;$D$5,$F29&gt;MAX('הנחות עבודה'!$B$69:$B$89)),0,(VLOOKUP($F29,'התפלגות ייצור וסל דלקים'!$B$64:$BV$84,AM$2-$E$2,FALSE))*$D$9*$D$8*(HLOOKUP(AM$23,$G$18:$R$19,2,FALSE)*(1-$D$12)^($F29-'הנחות עבודה'!$C$5)/$D$11)/$D$11)</f>
        <v>0</v>
      </c>
      <c r="AN29" s="42">
        <f ca="1">IF(OR($F29&gt;$D$5,$F29&gt;MAX('הנחות עבודה'!$B$69:$B$89)),0,(VLOOKUP($F29,'התפלגות ייצור וסל דלקים'!$B$64:$BV$84,AN$2-$E$2,FALSE))*$D$9*$D$8*(HLOOKUP(AN$23,$G$18:$R$19,2,FALSE)*(1-$D$12)^($F29-'הנחות עבודה'!$C$5)/$D$11)/$D$11)</f>
        <v>0</v>
      </c>
      <c r="AO29" s="42">
        <f ca="1">IF(OR($F29&gt;$D$5,$F29&gt;MAX('הנחות עבודה'!$B$69:$B$89)),0,(VLOOKUP($F29,'התפלגות ייצור וסל דלקים'!$B$64:$BV$84,AO$2-$E$2,FALSE))*$D$9*$D$8*(HLOOKUP(AO$23,$G$18:$R$19,2,FALSE)*(1-$D$12)^($F29-'הנחות עבודה'!$C$5)/$D$11)/$D$11)</f>
        <v>3.962051475E-5</v>
      </c>
      <c r="AP29" s="42">
        <f ca="1">IF(OR($F29&gt;$D$5,$F29&gt;MAX('הנחות עבודה'!$B$69:$B$89)),0,(VLOOKUP($F29,'התפלגות ייצור וסל דלקים'!$B$64:$BV$84,AP$2-$E$2,FALSE))*$D$9*$D$8*(HLOOKUP(AP$23,$G$18:$R$19,2,FALSE)*(1-$D$12)^($F29-'הנחות עבודה'!$C$5)/$D$11)/$D$11)</f>
        <v>0</v>
      </c>
      <c r="AQ29" s="52">
        <f ca="1">IF(OR($F29&gt;$D$5,$F29&gt;MAX('הנחות עבודה'!$B$69:$B$89)),0,(VLOOKUP($F29,'התפלגות ייצור וסל דלקים'!$B$64:$BV$84,AQ$2-$E$2,FALSE))*$D$9*$D$8*(HLOOKUP(AQ$23,$G$18:$R$19,2,FALSE)*(1-$D$12)^($F29-'הנחות עבודה'!$C$5)/$D$11)/$D$11)</f>
        <v>0</v>
      </c>
      <c r="AR29" s="127">
        <f ca="1">IF(OR($F29&gt;$D$5,$F29&gt;MAX('הנחות עבודה'!$B$69:$B$89)),0,(VLOOKUP($F29,'התפלגות ייצור וסל דלקים'!$B$64:$BV$84,AR$2-$E$2,FALSE))*$D$9*$D$8*(HLOOKUP(AR$23,$G$18:$R$19,2,FALSE)*(1-$D$12)^($F29-'הנחות עבודה'!$C$5)/$D$11)/$D$11)</f>
        <v>0</v>
      </c>
      <c r="AS29" s="127">
        <f ca="1">IF(OR($F29&gt;$D$5,$F29&gt;MAX('הנחות עבודה'!$B$69:$B$89)),0,(VLOOKUP($F29,'התפלגות ייצור וסל דלקים'!$B$64:$BV$84,AS$2-$E$2,FALSE))*$D$9*$D$8*(HLOOKUP(AS$23,$G$18:$R$19,2,FALSE)*(1-$D$12)^($F29-'הנחות עבודה'!$C$5)/$D$11)/$D$11)</f>
        <v>0</v>
      </c>
      <c r="AT29" s="127">
        <f ca="1">IF(OR($F29&gt;$D$5,$F29&gt;MAX('הנחות עבודה'!$B$69:$B$89)),0,(VLOOKUP($F29,'התפלגות ייצור וסל דלקים'!$B$64:$BV$84,AT$2-$E$2,FALSE))*$D$9*$D$8*(HLOOKUP(AT$23,$G$18:$R$19,2,FALSE)*(1-$D$12)^($F29-'הנחות עבודה'!$C$5)/$D$11)/$D$11)</f>
        <v>0</v>
      </c>
      <c r="AU29" s="127">
        <f ca="1">IF(OR($F29&gt;$D$5,$F29&gt;MAX('הנחות עבודה'!$B$69:$B$89)),0,(VLOOKUP($F29,'התפלגות ייצור וסל דלקים'!$B$64:$BV$84,AU$2-$E$2,FALSE))*$D$9*$D$8*(HLOOKUP(AU$23,$G$18:$R$19,2,FALSE)*(1-$D$12)^($F29-'הנחות עבודה'!$C$5)/$D$11)/$D$11)</f>
        <v>0</v>
      </c>
      <c r="AV29" s="127">
        <f ca="1">IF(OR($F29&gt;$D$5,$F29&gt;MAX('הנחות עבודה'!$B$69:$B$89)),0,(VLOOKUP($F29,'התפלגות ייצור וסל דלקים'!$B$64:$BV$84,AV$2-$E$2,FALSE))*$D$9*$D$8*(HLOOKUP(AV$23,$G$18:$R$19,2,FALSE)*(1-$D$12)^($F29-'הנחות עבודה'!$C$5)/$D$11)/$D$11)</f>
        <v>0</v>
      </c>
      <c r="AW29" s="52">
        <f ca="1">IF(OR($F29&gt;$D$5,$F29&gt;MAX('הנחות עבודה'!$B$69:$B$89)),0,(VLOOKUP($F29,'התפלגות ייצור וסל דלקים'!$B$64:$BV$84,AW$2-$E$2,FALSE))*$D$9*$D$8*(HLOOKUP(AW$23,$G$18:$R$19,2,FALSE)*(1-$D$12)^($F29-'הנחות עבודה'!$C$5)/$D$11)/$D$11)</f>
        <v>8.913369999999997E-5</v>
      </c>
      <c r="AX29" s="52">
        <f ca="1">IF(OR($F29&gt;$D$5,$F29&gt;MAX('הנחות עבודה'!$B$69:$B$89)),0,(VLOOKUP($F29,'התפלגות ייצור וסל דלקים'!$B$64:$BV$84,AX$2-$E$2,FALSE))*$D$9*$D$8*(HLOOKUP(AX$23,$G$18:$R$19,2,FALSE)*(1-$D$12)^($F29-'הנחות עבודה'!$C$5)/$D$11)/$D$11)</f>
        <v>9.2712712960000036E-4</v>
      </c>
      <c r="AY29" s="52">
        <f ca="1">IF(OR($F29&gt;$D$5,$F29&gt;MAX('הנחות עבודה'!$B$69:$B$89)),0,(VLOOKUP($F29,'התפלגות ייצור וסל דלקים'!$B$64:$BV$84,AY$2-$E$2,FALSE))*$D$9*$D$8*(HLOOKUP(AY$23,$G$18:$R$19,2,FALSE)*(1-$D$12)^($F29-'הנחות עבודה'!$C$5)/$D$11)/$D$11)</f>
        <v>0</v>
      </c>
      <c r="AZ29" s="52">
        <f ca="1">IF(OR($F29&gt;$D$5,$F29&gt;MAX('הנחות עבודה'!$B$69:$B$89)),0,(VLOOKUP($F29,'התפלגות ייצור וסל דלקים'!$B$64:$BV$84,AZ$2-$E$2,FALSE))*$D$9*$D$8*(HLOOKUP(AZ$23,$G$18:$R$19,2,FALSE)*(1-$D$12)^($F29-'הנחות עבודה'!$C$5)/$D$11)/$D$11)</f>
        <v>0</v>
      </c>
      <c r="BA29" s="52">
        <f ca="1">IF(OR($F29&gt;$D$5,$F29&gt;MAX('הנחות עבודה'!$B$69:$B$89)),0,(VLOOKUP($F29,'התפלגות ייצור וסל דלקים'!$B$64:$BV$84,BA$2-$E$2,FALSE))*$D$9*$D$8*(HLOOKUP(BA$23,$G$18:$R$19,2,FALSE)*(1-$D$12)^($F29-'הנחות עבודה'!$C$5)/$D$11)/$D$11)</f>
        <v>3.962051475E-5</v>
      </c>
      <c r="BB29" s="52">
        <f ca="1">IF(OR($F29&gt;$D$5,$F29&gt;MAX('הנחות עבודה'!$B$69:$B$89)),0,(VLOOKUP($F29,'התפלגות ייצור וסל דלקים'!$B$64:$BV$84,BB$2-$E$2,FALSE))*$D$9*$D$8*(HLOOKUP(BB$23,$G$18:$R$19,2,FALSE)*(1-$D$12)^($F29-'הנחות עבודה'!$C$5)/$D$11)/$D$11)</f>
        <v>0</v>
      </c>
      <c r="BC29" s="42">
        <f ca="1">IF(OR($F29&gt;$D$5,$F29&gt;MAX('הנחות עבודה'!$B$69:$B$89)),0,(VLOOKUP($F29,'התפלגות ייצור וסל דלקים'!$B$64:$BV$84,BC$2-$E$2,FALSE))*$D$9*$D$8*(HLOOKUP(BC$23,$G$18:$R$19,2,FALSE)*(1-$D$12)^($F29-'הנחות עבודה'!$C$5)/$D$11)/$D$11)</f>
        <v>0</v>
      </c>
      <c r="BD29" s="44">
        <f ca="1">IF(OR($F29&gt;$D$5,$F29&gt;MAX('הנחות עבודה'!$B$69:$B$89)),0,(VLOOKUP($F29,'התפלגות ייצור וסל דלקים'!$B$64:$BV$84,BD$2-$E$2,FALSE))*$D$9*$D$8*(HLOOKUP(BD$23,$G$18:$R$19,2,FALSE)*(1-$D$12)^($F29-'הנחות עבודה'!$C$5)/$D$11)/$D$11)</f>
        <v>0</v>
      </c>
      <c r="BE29" s="44">
        <f ca="1">IF(OR($F29&gt;$D$5,$F29&gt;MAX('הנחות עבודה'!$B$69:$B$89)),0,(VLOOKUP($F29,'התפלגות ייצור וסל דלקים'!$B$64:$BV$84,BE$2-$E$2,FALSE))*$D$9*$D$8*(HLOOKUP(BE$23,$G$18:$R$19,2,FALSE)*(1-$D$12)^($F29-'הנחות עבודה'!$C$5)/$D$11)/$D$11)</f>
        <v>0</v>
      </c>
      <c r="BF29" s="44">
        <f ca="1">IF(OR($F29&gt;$D$5,$F29&gt;MAX('הנחות עבודה'!$B$69:$B$89)),0,(VLOOKUP($F29,'התפלגות ייצור וסל דלקים'!$B$64:$BV$84,BF$2-$E$2,FALSE))*$D$9*$D$8*(HLOOKUP(BF$23,$G$18:$R$19,2,FALSE)*(1-$D$12)^($F29-'הנחות עבודה'!$C$5)/$D$11)/$D$11)</f>
        <v>0</v>
      </c>
      <c r="BG29" s="44">
        <f ca="1">IF(OR($F29&gt;$D$5,$F29&gt;MAX('הנחות עבודה'!$B$69:$B$89)),0,(VLOOKUP($F29,'התפלגות ייצור וסל דלקים'!$B$64:$BV$84,BG$2-$E$2,FALSE))*$D$9*$D$8*(HLOOKUP(BG$23,$G$18:$R$19,2,FALSE)*(1-$D$12)^($F29-'הנחות עבודה'!$C$5)/$D$11)/$D$11)</f>
        <v>0</v>
      </c>
      <c r="BH29" s="44">
        <f ca="1">IF(OR($F29&gt;$D$5,$F29&gt;MAX('הנחות עבודה'!$B$69:$B$89)),0,(VLOOKUP($F29,'התפלגות ייצור וסל דלקים'!$B$64:$BV$84,BH$2-$E$2,FALSE))*$D$9*$D$8*(HLOOKUP(BH$23,$G$18:$R$19,2,FALSE)*(1-$D$12)^($F29-'הנחות עבודה'!$C$5)/$D$11)/$D$11)</f>
        <v>0</v>
      </c>
      <c r="BI29" s="42">
        <f ca="1">IF(OR($F29&gt;$D$5,$F29&gt;MAX('הנחות עבודה'!$B$69:$B$89)),0,(VLOOKUP($F29,'התפלגות ייצור וסל דלקים'!$B$64:$BV$84,BI$2-$E$2,FALSE))*$D$9*$D$8*(HLOOKUP(BI$23,$G$18:$R$19,2,FALSE)*(1-$D$12)^($F29-'הנחות עבודה'!$C$5)/$D$11)/$D$11)</f>
        <v>8.9437399999999992E-5</v>
      </c>
      <c r="BJ29" s="42">
        <f ca="1">IF(OR($F29&gt;$D$5,$F29&gt;MAX('הנחות עבודה'!$B$69:$B$89)),0,(VLOOKUP($F29,'התפלגות ייצור וסל דלקים'!$B$64:$BV$84,BJ$2-$E$2,FALSE))*$D$9*$D$8*(HLOOKUP(BJ$23,$G$18:$R$19,2,FALSE)*(1-$D$12)^($F29-'הנחות עבודה'!$C$5)/$D$11)/$D$11)</f>
        <v>8.9329523840000005E-4</v>
      </c>
      <c r="BK29" s="42">
        <f ca="1">IF(OR($F29&gt;$D$5,$F29&gt;MAX('הנחות עבודה'!$B$69:$B$89)),0,(VLOOKUP($F29,'התפלגות ייצור וסל דלקים'!$B$64:$BV$84,BK$2-$E$2,FALSE))*$D$9*$D$8*(HLOOKUP(BK$23,$G$18:$R$19,2,FALSE)*(1-$D$12)^($F29-'הנחות עבודה'!$C$5)/$D$11)/$D$11)</f>
        <v>0</v>
      </c>
      <c r="BL29" s="42">
        <f ca="1">IF(OR($F29&gt;$D$5,$F29&gt;MAX('הנחות עבודה'!$B$69:$B$89)),0,(VLOOKUP($F29,'התפלגות ייצור וסל דלקים'!$B$64:$BV$84,BL$2-$E$2,FALSE))*$D$9*$D$8*(HLOOKUP(BL$23,$G$18:$R$19,2,FALSE)*(1-$D$12)^($F29-'הנחות עבודה'!$C$5)/$D$11)/$D$11)</f>
        <v>0</v>
      </c>
      <c r="BM29" s="42">
        <f ca="1">IF(OR($F29&gt;$D$5,$F29&gt;MAX('הנחות עבודה'!$B$69:$B$89)),0,(VLOOKUP($F29,'התפלגות ייצור וסל דלקים'!$B$64:$BV$84,BM$2-$E$2,FALSE))*$D$9*$D$8*(HLOOKUP(BM$23,$G$18:$R$19,2,FALSE)*(1-$D$12)^($F29-'הנחות עבודה'!$C$5)/$D$11)/$D$11)</f>
        <v>3.9549892500000002E-5</v>
      </c>
      <c r="BN29" s="42">
        <f ca="1">IF(OR($F29&gt;$D$5,$F29&gt;MAX('הנחות עבודה'!$B$69:$B$89)),0,(VLOOKUP($F29,'התפלגות ייצור וסל דלקים'!$B$64:$BV$84,BN$2-$E$2,FALSE))*$D$9*$D$8*(HLOOKUP(BN$23,$G$18:$R$19,2,FALSE)*(1-$D$12)^($F29-'הנחות עבודה'!$C$5)/$D$11)/$D$11)</f>
        <v>0</v>
      </c>
      <c r="BO29" s="52">
        <f ca="1">IF(OR($F29&gt;$D$5,$F29&gt;MAX('הנחות עבודה'!$B$69:$B$89)),0,(VLOOKUP($F29,'התפלגות ייצור וסל דלקים'!$B$64:$BV$84,BO$2-$E$2,FALSE))*$D$9*$D$8*(HLOOKUP(BO$23,$G$18:$R$19,2,FALSE)*(1-$D$12)^($F29-'הנחות עבודה'!$C$5)/$D$11)/$D$11)</f>
        <v>0</v>
      </c>
      <c r="BP29" s="127">
        <f ca="1">IF(OR($F29&gt;$D$5,$F29&gt;MAX('הנחות עבודה'!$B$69:$B$89)),0,(VLOOKUP($F29,'התפלגות ייצור וסל דלקים'!$B$64:$BV$84,BP$2-$E$2,FALSE))*$D$9*$D$8*(HLOOKUP(BP$23,$G$18:$R$19,2,FALSE)*(1-$D$12)^($F29-'הנחות עבודה'!$C$5)/$D$11)/$D$11)</f>
        <v>0</v>
      </c>
      <c r="BQ29" s="127">
        <f ca="1">IF(OR($F29&gt;$D$5,$F29&gt;MAX('הנחות עבודה'!$B$69:$B$89)),0,(VLOOKUP($F29,'התפלגות ייצור וסל דלקים'!$B$64:$BV$84,BQ$2-$E$2,FALSE))*$D$9*$D$8*(HLOOKUP(BQ$23,$G$18:$R$19,2,FALSE)*(1-$D$12)^($F29-'הנחות עבודה'!$C$5)/$D$11)/$D$11)</f>
        <v>0</v>
      </c>
      <c r="BR29" s="127">
        <f ca="1">IF(OR($F29&gt;$D$5,$F29&gt;MAX('הנחות עבודה'!$B$69:$B$89)),0,(VLOOKUP($F29,'התפלגות ייצור וסל דלקים'!$B$64:$BV$84,BR$2-$E$2,FALSE))*$D$9*$D$8*(HLOOKUP(BR$23,$G$18:$R$19,2,FALSE)*(1-$D$12)^($F29-'הנחות עבודה'!$C$5)/$D$11)/$D$11)</f>
        <v>0</v>
      </c>
      <c r="BS29" s="127">
        <f ca="1">IF(OR($F29&gt;$D$5,$F29&gt;MAX('הנחות עבודה'!$B$69:$B$89)),0,(VLOOKUP($F29,'התפלגות ייצור וסל דלקים'!$B$64:$BV$84,BS$2-$E$2,FALSE))*$D$9*$D$8*(HLOOKUP(BS$23,$G$18:$R$19,2,FALSE)*(1-$D$12)^($F29-'הנחות עבודה'!$C$5)/$D$11)/$D$11)</f>
        <v>0</v>
      </c>
      <c r="BT29" s="127">
        <f ca="1">IF(OR($F29&gt;$D$5,$F29&gt;MAX('הנחות עבודה'!$B$69:$B$89)),0,(VLOOKUP($F29,'התפלגות ייצור וסל דלקים'!$B$64:$BV$84,BT$2-$E$2,FALSE))*$D$9*$D$8*(HLOOKUP(BT$23,$G$18:$R$19,2,FALSE)*(1-$D$12)^($F29-'הנחות עבודה'!$C$5)/$D$11)/$D$11)</f>
        <v>0</v>
      </c>
      <c r="BU29" s="52">
        <f ca="1">IF(OR($F29&gt;$D$5,$F29&gt;MAX('הנחות עבודה'!$B$69:$B$89)),0,(VLOOKUP($F29,'התפלגות ייצור וסל דלקים'!$B$64:$BV$84,BU$2-$E$2,FALSE))*$D$9*$D$8*(HLOOKUP(BU$23,$G$18:$R$19,2,FALSE)*(1-$D$12)^($F29-'הנחות עבודה'!$C$5)/$D$11)/$D$11)</f>
        <v>8.9437399999999992E-5</v>
      </c>
      <c r="BV29" s="52">
        <f ca="1">IF(OR($F29&gt;$D$5,$F29&gt;MAX('הנחות עבודה'!$B$69:$B$89)),0,(VLOOKUP($F29,'התפלגות ייצור וסל דלקים'!$B$64:$BV$84,BV$2-$E$2,FALSE))*$D$9*$D$8*(HLOOKUP(BV$23,$G$18:$R$19,2,FALSE)*(1-$D$12)^($F29-'הנחות עבודה'!$C$5)/$D$11)/$D$11)</f>
        <v>8.9329523840000005E-4</v>
      </c>
      <c r="BW29" s="52">
        <f ca="1">IF(OR($F29&gt;$D$5,$F29&gt;MAX('הנחות עבודה'!$B$69:$B$89)),0,(VLOOKUP($F29,'התפלגות ייצור וסל דלקים'!$B$64:$BV$84,BW$2-$E$2,FALSE))*$D$9*$D$8*(HLOOKUP(BW$23,$G$18:$R$19,2,FALSE)*(1-$D$12)^($F29-'הנחות עבודה'!$C$5)/$D$11)/$D$11)</f>
        <v>0</v>
      </c>
      <c r="BX29" s="52">
        <f ca="1">IF(OR($F29&gt;$D$5,$F29&gt;MAX('הנחות עבודה'!$B$69:$B$89)),0,(VLOOKUP($F29,'התפלגות ייצור וסל דלקים'!$B$64:$BV$84,BX$2-$E$2,FALSE))*$D$9*$D$8*(HLOOKUP(BX$23,$G$18:$R$19,2,FALSE)*(1-$D$12)^($F29-'הנחות עבודה'!$C$5)/$D$11)/$D$11)</f>
        <v>0</v>
      </c>
      <c r="BY29" s="52">
        <f ca="1">IF(OR($F29&gt;$D$5,$F29&gt;MAX('הנחות עבודה'!$B$69:$B$89)),0,(VLOOKUP($F29,'התפלגות ייצור וסל דלקים'!$B$64:$BV$84,BY$2-$E$2,FALSE))*$D$9*$D$8*(HLOOKUP(BY$23,$G$18:$R$19,2,FALSE)*(1-$D$12)^($F29-'הנחות עבודה'!$C$5)/$D$11)/$D$11)</f>
        <v>3.9549892500000002E-5</v>
      </c>
      <c r="BZ29" s="52">
        <f ca="1">IF(OR($F29&gt;$D$5,$F29&gt;MAX('הנחות עבודה'!$B$69:$B$89)),0,(VLOOKUP($F29,'התפלגות ייצור וסל דלקים'!$B$64:$BV$84,BZ$2-$E$2,FALSE))*$D$9*$D$8*(HLOOKUP(BZ$23,$G$18:$R$19,2,FALSE)*(1-$D$12)^($F29-'הנחות עבודה'!$C$5)/$D$11)/$D$11)</f>
        <v>0</v>
      </c>
    </row>
    <row r="30" spans="6:78" ht="15.75">
      <c r="F30" s="10">
        <f t="shared" si="114"/>
        <v>2026</v>
      </c>
      <c r="G30" s="42">
        <f ca="1">IF(OR($F30&gt;$D$5,$F30&gt;MAX('הנחות עבודה'!$B$69:$B$89)),0,(VLOOKUP($F30,'התפלגות ייצור וסל דלקים'!$B$64:$BV$84,G$2-$E$2,FALSE))*$D$9*$D$8*(HLOOKUP(G$23,$G$18:$R$19,2,FALSE)*(1-$D$12)^($F30-'הנחות עבודה'!$C$5)/$D$11)/$D$11)</f>
        <v>0</v>
      </c>
      <c r="H30" s="44">
        <f ca="1">IF(OR($F30&gt;$D$5,$F30&gt;MAX('הנחות עבודה'!$B$69:$B$89)),0,(VLOOKUP($F30,'התפלגות ייצור וסל דלקים'!$B$64:$BV$84,H$2-$E$2,FALSE))*$D$9*$D$8*(HLOOKUP(H$23,$G$18:$R$19,2,FALSE)*(1-$D$12)^($F30-'הנחות עבודה'!$C$5)/$D$11)/$D$11)</f>
        <v>0</v>
      </c>
      <c r="I30" s="44">
        <f ca="1">IF(OR($F30&gt;$D$5,$F30&gt;MAX('הנחות עבודה'!$B$69:$B$89)),0,(VLOOKUP($F30,'התפלגות ייצור וסל דלקים'!$B$64:$BV$84,I$2-$E$2,FALSE))*$D$9*$D$8*(HLOOKUP(I$23,$G$18:$R$19,2,FALSE)*(1-$D$12)^($F30-'הנחות עבודה'!$C$5)/$D$11)/$D$11)</f>
        <v>0</v>
      </c>
      <c r="J30" s="44">
        <f ca="1">IF(OR($F30&gt;$D$5,$F30&gt;MAX('הנחות עבודה'!$B$69:$B$89)),0,(VLOOKUP($F30,'התפלגות ייצור וסל דלקים'!$B$64:$BV$84,J$2-$E$2,FALSE))*$D$9*$D$8*(HLOOKUP(J$23,$G$18:$R$19,2,FALSE)*(1-$D$12)^($F30-'הנחות עבודה'!$C$5)/$D$11)/$D$11)</f>
        <v>0</v>
      </c>
      <c r="K30" s="44">
        <f ca="1">IF(OR($F30&gt;$D$5,$F30&gt;MAX('הנחות עבודה'!$B$69:$B$89)),0,(VLOOKUP($F30,'התפלגות ייצור וסל דלקים'!$B$64:$BV$84,K$2-$E$2,FALSE))*$D$9*$D$8*(HLOOKUP(K$23,$G$18:$R$19,2,FALSE)*(1-$D$12)^($F30-'הנחות עבודה'!$C$5)/$D$11)/$D$11)</f>
        <v>0</v>
      </c>
      <c r="L30" s="44">
        <f ca="1">IF(OR($F30&gt;$D$5,$F30&gt;MAX('הנחות עבודה'!$B$69:$B$89)),0,(VLOOKUP($F30,'התפלגות ייצור וסל דלקים'!$B$64:$BV$84,L$2-$E$2,FALSE))*$D$9*$D$8*(HLOOKUP(L$23,$G$18:$R$19,2,FALSE)*(1-$D$12)^($F30-'הנחות עבודה'!$C$5)/$D$11)/$D$11)</f>
        <v>0</v>
      </c>
      <c r="M30" s="42">
        <f ca="1">IF(OR($F30&gt;$D$5,$F30&gt;MAX('הנחות עבודה'!$B$69:$B$89)),0,(VLOOKUP($F30,'התפלגות ייצור וסל דלקים'!$B$64:$BV$84,M$2-$E$2,FALSE))*$D$9*$D$8*(HLOOKUP(M$23,$G$18:$R$19,2,FALSE)*(1-$D$12)^($F30-'הנחות עבודה'!$C$5)/$D$11)/$D$11)</f>
        <v>1.5301380000000002E-4</v>
      </c>
      <c r="N30" s="42">
        <f ca="1">IF(OR($F30&gt;$D$5,$F30&gt;MAX('הנחות עבודה'!$B$69:$B$89)),0,(VLOOKUP($F30,'התפלגות ייצור וסל דלקים'!$B$64:$BV$84,N$2-$E$2,FALSE))*$D$9*$D$8*(HLOOKUP(N$23,$G$18:$R$19,2,FALSE)*(1-$D$12)^($F30-'הנחות עבודה'!$C$5)/$D$11)/$D$11)</f>
        <v>9.5162942208000003E-4</v>
      </c>
      <c r="O30" s="42">
        <f ca="1">IF(OR($F30&gt;$D$5,$F30&gt;MAX('הנחות עבודה'!$B$69:$B$89)),0,(VLOOKUP($F30,'התפלגות ייצור וסל דלקים'!$B$64:$BV$84,O$2-$E$2,FALSE))*$D$9*$D$8*(HLOOKUP(O$23,$G$18:$R$19,2,FALSE)*(1-$D$12)^($F30-'הנחות עבודה'!$C$5)/$D$11)/$D$11)</f>
        <v>0</v>
      </c>
      <c r="P30" s="42">
        <f ca="1">IF(OR($F30&gt;$D$5,$F30&gt;MAX('הנחות עבודה'!$B$69:$B$89)),0,(VLOOKUP($F30,'התפלגות ייצור וסל דלקים'!$B$64:$BV$84,P$2-$E$2,FALSE))*$D$9*$D$8*(HLOOKUP(P$23,$G$18:$R$19,2,FALSE)*(1-$D$12)^($F30-'הנחות עבודה'!$C$5)/$D$11)/$D$11)</f>
        <v>0</v>
      </c>
      <c r="Q30" s="42">
        <f ca="1">IF(OR($F30&gt;$D$5,$F30&gt;MAX('הנחות עבודה'!$B$69:$B$89)),0,(VLOOKUP($F30,'התפלגות ייצור וסל דלקים'!$B$64:$BV$84,Q$2-$E$2,FALSE))*$D$9*$D$8*(HLOOKUP(Q$23,$G$18:$R$19,2,FALSE)*(1-$D$12)^($F30-'הנחות עבודה'!$C$5)/$D$11)/$D$11)</f>
        <v>0</v>
      </c>
      <c r="R30" s="42">
        <f ca="1">IF(OR($F30&gt;$D$5,$F30&gt;MAX('הנחות עבודה'!$B$69:$B$89)),0,(VLOOKUP($F30,'התפלגות ייצור וסל דלקים'!$B$64:$BV$84,R$2-$E$2,FALSE))*$D$9*$D$8*(HLOOKUP(R$23,$G$18:$R$19,2,FALSE)*(1-$D$12)^($F30-'הנחות עבודה'!$C$5)/$D$11)/$D$11)</f>
        <v>0</v>
      </c>
      <c r="S30" s="52">
        <f ca="1">IF(OR($F30&gt;$D$5,$F30&gt;MAX('הנחות עבודה'!$B$69:$B$89)),0,(VLOOKUP($F30,'התפלגות ייצור וסל דלקים'!$B$64:$BV$84,S$2-$E$2,FALSE))*$D$9*$D$8*(HLOOKUP(S$23,$G$18:$R$19,2,FALSE)*(1-$D$12)^($F30-'הנחות עבודה'!$C$5)/$D$11)/$D$11)</f>
        <v>0</v>
      </c>
      <c r="T30" s="127">
        <f ca="1">IF(OR($F30&gt;$D$5,$F30&gt;MAX('הנחות עבודה'!$B$69:$B$89)),0,(VLOOKUP($F30,'התפלגות ייצור וסל דלקים'!$B$64:$BV$84,T$2-$E$2,FALSE))*$D$9*$D$8*(HLOOKUP(T$23,$G$18:$R$19,2,FALSE)*(1-$D$12)^($F30-'הנחות עבודה'!$C$5)/$D$11)/$D$11)</f>
        <v>0</v>
      </c>
      <c r="U30" s="127">
        <f ca="1">IF(OR($F30&gt;$D$5,$F30&gt;MAX('הנחות עבודה'!$B$69:$B$89)),0,(VLOOKUP($F30,'התפלגות ייצור וסל דלקים'!$B$64:$BV$84,U$2-$E$2,FALSE))*$D$9*$D$8*(HLOOKUP(U$23,$G$18:$R$19,2,FALSE)*(1-$D$12)^($F30-'הנחות עבודה'!$C$5)/$D$11)/$D$11)</f>
        <v>0</v>
      </c>
      <c r="V30" s="127">
        <f ca="1">IF(OR($F30&gt;$D$5,$F30&gt;MAX('הנחות עבודה'!$B$69:$B$89)),0,(VLOOKUP($F30,'התפלגות ייצור וסל דלקים'!$B$64:$BV$84,V$2-$E$2,FALSE))*$D$9*$D$8*(HLOOKUP(V$23,$G$18:$R$19,2,FALSE)*(1-$D$12)^($F30-'הנחות עבודה'!$C$5)/$D$11)/$D$11)</f>
        <v>0</v>
      </c>
      <c r="W30" s="127">
        <f ca="1">IF(OR($F30&gt;$D$5,$F30&gt;MAX('הנחות עבודה'!$B$69:$B$89)),0,(VLOOKUP($F30,'התפלגות ייצור וסל דלקים'!$B$64:$BV$84,W$2-$E$2,FALSE))*$D$9*$D$8*(HLOOKUP(W$23,$G$18:$R$19,2,FALSE)*(1-$D$12)^($F30-'הנחות עבודה'!$C$5)/$D$11)/$D$11)</f>
        <v>0</v>
      </c>
      <c r="X30" s="127">
        <f ca="1">IF(OR($F30&gt;$D$5,$F30&gt;MAX('הנחות עבודה'!$B$69:$B$89)),0,(VLOOKUP($F30,'התפלגות ייצור וסל דלקים'!$B$64:$BV$84,X$2-$E$2,FALSE))*$D$9*$D$8*(HLOOKUP(X$23,$G$18:$R$19,2,FALSE)*(1-$D$12)^($F30-'הנחות עבודה'!$C$5)/$D$11)/$D$11)</f>
        <v>0</v>
      </c>
      <c r="Y30" s="52">
        <f ca="1">IF(OR($F30&gt;$D$5,$F30&gt;MAX('הנחות עבודה'!$B$69:$B$89)),0,(VLOOKUP($F30,'התפלגות ייצור וסל דלקים'!$B$64:$BV$84,Y$2-$E$2,FALSE))*$D$9*$D$8*(HLOOKUP(Y$23,$G$18:$R$19,2,FALSE)*(1-$D$12)^($F30-'הנחות עבודה'!$C$5)/$D$11)/$D$11)</f>
        <v>1.5301380000000002E-4</v>
      </c>
      <c r="Z30" s="52">
        <f ca="1">IF(OR($F30&gt;$D$5,$F30&gt;MAX('הנחות עבודה'!$B$69:$B$89)),0,(VLOOKUP($F30,'התפלגות ייצור וסל דלקים'!$B$64:$BV$84,Z$2-$E$2,FALSE))*$D$9*$D$8*(HLOOKUP(Z$23,$G$18:$R$19,2,FALSE)*(1-$D$12)^($F30-'הנחות עבודה'!$C$5)/$D$11)/$D$11)</f>
        <v>9.5162942208000003E-4</v>
      </c>
      <c r="AA30" s="52">
        <f ca="1">IF(OR($F30&gt;$D$5,$F30&gt;MAX('הנחות עבודה'!$B$69:$B$89)),0,(VLOOKUP($F30,'התפלגות ייצור וסל דלקים'!$B$64:$BV$84,AA$2-$E$2,FALSE))*$D$9*$D$8*(HLOOKUP(AA$23,$G$18:$R$19,2,FALSE)*(1-$D$12)^($F30-'הנחות עבודה'!$C$5)/$D$11)/$D$11)</f>
        <v>0</v>
      </c>
      <c r="AB30" s="52">
        <f ca="1">IF(OR($F30&gt;$D$5,$F30&gt;MAX('הנחות עבודה'!$B$69:$B$89)),0,(VLOOKUP($F30,'התפלגות ייצור וסל דלקים'!$B$64:$BV$84,AB$2-$E$2,FALSE))*$D$9*$D$8*(HLOOKUP(AB$23,$G$18:$R$19,2,FALSE)*(1-$D$12)^($F30-'הנחות עבודה'!$C$5)/$D$11)/$D$11)</f>
        <v>0</v>
      </c>
      <c r="AC30" s="52">
        <f ca="1">IF(OR($F30&gt;$D$5,$F30&gt;MAX('הנחות עבודה'!$B$69:$B$89)),0,(VLOOKUP($F30,'התפלגות ייצור וסל דלקים'!$B$64:$BV$84,AC$2-$E$2,FALSE))*$D$9*$D$8*(HLOOKUP(AC$23,$G$18:$R$19,2,FALSE)*(1-$D$12)^($F30-'הנחות עבודה'!$C$5)/$D$11)/$D$11)</f>
        <v>0</v>
      </c>
      <c r="AD30" s="52">
        <f ca="1">IF(OR($F30&gt;$D$5,$F30&gt;MAX('הנחות עבודה'!$B$69:$B$89)),0,(VLOOKUP($F30,'התפלגות ייצור וסל דלקים'!$B$64:$BV$84,AD$2-$E$2,FALSE))*$D$9*$D$8*(HLOOKUP(AD$23,$G$18:$R$19,2,FALSE)*(1-$D$12)^($F30-'הנחות עבודה'!$C$5)/$D$11)/$D$11)</f>
        <v>0</v>
      </c>
      <c r="AE30" s="42">
        <f ca="1">IF(OR($F30&gt;$D$5,$F30&gt;MAX('הנחות עבודה'!$B$69:$B$89)),0,(VLOOKUP($F30,'התפלגות ייצור וסל דלקים'!$B$64:$BV$84,AE$2-$E$2,FALSE))*$D$9*$D$8*(HLOOKUP(AE$23,$G$18:$R$19,2,FALSE)*(1-$D$12)^($F30-'הנחות עבודה'!$C$5)/$D$11)/$D$11)</f>
        <v>0</v>
      </c>
      <c r="AF30" s="44">
        <f ca="1">IF(OR($F30&gt;$D$5,$F30&gt;MAX('הנחות עבודה'!$B$69:$B$89)),0,(VLOOKUP($F30,'התפלגות ייצור וסל דלקים'!$B$64:$BV$84,AF$2-$E$2,FALSE))*$D$9*$D$8*(HLOOKUP(AF$23,$G$18:$R$19,2,FALSE)*(1-$D$12)^($F30-'הנחות עבודה'!$C$5)/$D$11)/$D$11)</f>
        <v>0</v>
      </c>
      <c r="AG30" s="44">
        <f ca="1">IF(OR($F30&gt;$D$5,$F30&gt;MAX('הנחות עבודה'!$B$69:$B$89)),0,(VLOOKUP($F30,'התפלגות ייצור וסל דלקים'!$B$64:$BV$84,AG$2-$E$2,FALSE))*$D$9*$D$8*(HLOOKUP(AG$23,$G$18:$R$19,2,FALSE)*(1-$D$12)^($F30-'הנחות עבודה'!$C$5)/$D$11)/$D$11)</f>
        <v>0</v>
      </c>
      <c r="AH30" s="44">
        <f ca="1">IF(OR($F30&gt;$D$5,$F30&gt;MAX('הנחות עבודה'!$B$69:$B$89)),0,(VLOOKUP($F30,'התפלגות ייצור וסל דלקים'!$B$64:$BV$84,AH$2-$E$2,FALSE))*$D$9*$D$8*(HLOOKUP(AH$23,$G$18:$R$19,2,FALSE)*(1-$D$12)^($F30-'הנחות עבודה'!$C$5)/$D$11)/$D$11)</f>
        <v>0</v>
      </c>
      <c r="AI30" s="44">
        <f ca="1">IF(OR($F30&gt;$D$5,$F30&gt;MAX('הנחות עבודה'!$B$69:$B$89)),0,(VLOOKUP($F30,'התפלגות ייצור וסל דלקים'!$B$64:$BV$84,AI$2-$E$2,FALSE))*$D$9*$D$8*(HLOOKUP(AI$23,$G$18:$R$19,2,FALSE)*(1-$D$12)^($F30-'הנחות עבודה'!$C$5)/$D$11)/$D$11)</f>
        <v>0</v>
      </c>
      <c r="AJ30" s="44">
        <f ca="1">IF(OR($F30&gt;$D$5,$F30&gt;MAX('הנחות עבודה'!$B$69:$B$89)),0,(VLOOKUP($F30,'התפלגות ייצור וסל דלקים'!$B$64:$BV$84,AJ$2-$E$2,FALSE))*$D$9*$D$8*(HLOOKUP(AJ$23,$G$18:$R$19,2,FALSE)*(1-$D$12)^($F30-'הנחות עבודה'!$C$5)/$D$11)/$D$11)</f>
        <v>0</v>
      </c>
      <c r="AK30" s="42">
        <f ca="1">IF(OR($F30&gt;$D$5,$F30&gt;MAX('הנחות עבודה'!$B$69:$B$89)),0,(VLOOKUP($F30,'התפלגות ייצור וסל דלקים'!$B$64:$BV$84,AK$2-$E$2,FALSE))*$D$9*$D$8*(HLOOKUP(AK$23,$G$18:$R$19,2,FALSE)*(1-$D$12)^($F30-'הנחות עבודה'!$C$5)/$D$11)/$D$11)</f>
        <v>1.4962330000000004E-4</v>
      </c>
      <c r="AL30" s="42">
        <f ca="1">IF(OR($F30&gt;$D$5,$F30&gt;MAX('הנחות עבודה'!$B$69:$B$89)),0,(VLOOKUP($F30,'התפלגות ייצור וסל דלקים'!$B$64:$BV$84,AL$2-$E$2,FALSE))*$D$9*$D$8*(HLOOKUP(AL$23,$G$18:$R$19,2,FALSE)*(1-$D$12)^($F30-'הנחות עבודה'!$C$5)/$D$11)/$D$11)</f>
        <v>8.8458119040000008E-4</v>
      </c>
      <c r="AM30" s="42">
        <f ca="1">IF(OR($F30&gt;$D$5,$F30&gt;MAX('הנחות עבודה'!$B$69:$B$89)),0,(VLOOKUP($F30,'התפלגות ייצור וסל דלקים'!$B$64:$BV$84,AM$2-$E$2,FALSE))*$D$9*$D$8*(HLOOKUP(AM$23,$G$18:$R$19,2,FALSE)*(1-$D$12)^($F30-'הנחות עבודה'!$C$5)/$D$11)/$D$11)</f>
        <v>0</v>
      </c>
      <c r="AN30" s="42">
        <f ca="1">IF(OR($F30&gt;$D$5,$F30&gt;MAX('הנחות עבודה'!$B$69:$B$89)),0,(VLOOKUP($F30,'התפלגות ייצור וסל דלקים'!$B$64:$BV$84,AN$2-$E$2,FALSE))*$D$9*$D$8*(HLOOKUP(AN$23,$G$18:$R$19,2,FALSE)*(1-$D$12)^($F30-'הנחות עבודה'!$C$5)/$D$11)/$D$11)</f>
        <v>0</v>
      </c>
      <c r="AO30" s="42">
        <f ca="1">IF(OR($F30&gt;$D$5,$F30&gt;MAX('הנחות עבודה'!$B$69:$B$89)),0,(VLOOKUP($F30,'התפלגות ייצור וסל דלקים'!$B$64:$BV$84,AO$2-$E$2,FALSE))*$D$9*$D$8*(HLOOKUP(AO$23,$G$18:$R$19,2,FALSE)*(1-$D$12)^($F30-'הנחות עבודה'!$C$5)/$D$11)/$D$11)</f>
        <v>0</v>
      </c>
      <c r="AP30" s="42">
        <f ca="1">IF(OR($F30&gt;$D$5,$F30&gt;MAX('הנחות עבודה'!$B$69:$B$89)),0,(VLOOKUP($F30,'התפלגות ייצור וסל דלקים'!$B$64:$BV$84,AP$2-$E$2,FALSE))*$D$9*$D$8*(HLOOKUP(AP$23,$G$18:$R$19,2,FALSE)*(1-$D$12)^($F30-'הנחות עבודה'!$C$5)/$D$11)/$D$11)</f>
        <v>0</v>
      </c>
      <c r="AQ30" s="52">
        <f ca="1">IF(OR($F30&gt;$D$5,$F30&gt;MAX('הנחות עבודה'!$B$69:$B$89)),0,(VLOOKUP($F30,'התפלגות ייצור וסל דלקים'!$B$64:$BV$84,AQ$2-$E$2,FALSE))*$D$9*$D$8*(HLOOKUP(AQ$23,$G$18:$R$19,2,FALSE)*(1-$D$12)^($F30-'הנחות עבודה'!$C$5)/$D$11)/$D$11)</f>
        <v>0</v>
      </c>
      <c r="AR30" s="127">
        <f ca="1">IF(OR($F30&gt;$D$5,$F30&gt;MAX('הנחות עבודה'!$B$69:$B$89)),0,(VLOOKUP($F30,'התפלגות ייצור וסל דלקים'!$B$64:$BV$84,AR$2-$E$2,FALSE))*$D$9*$D$8*(HLOOKUP(AR$23,$G$18:$R$19,2,FALSE)*(1-$D$12)^($F30-'הנחות עבודה'!$C$5)/$D$11)/$D$11)</f>
        <v>0</v>
      </c>
      <c r="AS30" s="127">
        <f ca="1">IF(OR($F30&gt;$D$5,$F30&gt;MAX('הנחות עבודה'!$B$69:$B$89)),0,(VLOOKUP($F30,'התפלגות ייצור וסל דלקים'!$B$64:$BV$84,AS$2-$E$2,FALSE))*$D$9*$D$8*(HLOOKUP(AS$23,$G$18:$R$19,2,FALSE)*(1-$D$12)^($F30-'הנחות עבודה'!$C$5)/$D$11)/$D$11)</f>
        <v>0</v>
      </c>
      <c r="AT30" s="127">
        <f ca="1">IF(OR($F30&gt;$D$5,$F30&gt;MAX('הנחות עבודה'!$B$69:$B$89)),0,(VLOOKUP($F30,'התפלגות ייצור וסל דלקים'!$B$64:$BV$84,AT$2-$E$2,FALSE))*$D$9*$D$8*(HLOOKUP(AT$23,$G$18:$R$19,2,FALSE)*(1-$D$12)^($F30-'הנחות עבודה'!$C$5)/$D$11)/$D$11)</f>
        <v>0</v>
      </c>
      <c r="AU30" s="127">
        <f ca="1">IF(OR($F30&gt;$D$5,$F30&gt;MAX('הנחות עבודה'!$B$69:$B$89)),0,(VLOOKUP($F30,'התפלגות ייצור וסל דלקים'!$B$64:$BV$84,AU$2-$E$2,FALSE))*$D$9*$D$8*(HLOOKUP(AU$23,$G$18:$R$19,2,FALSE)*(1-$D$12)^($F30-'הנחות עבודה'!$C$5)/$D$11)/$D$11)</f>
        <v>0</v>
      </c>
      <c r="AV30" s="127">
        <f ca="1">IF(OR($F30&gt;$D$5,$F30&gt;MAX('הנחות עבודה'!$B$69:$B$89)),0,(VLOOKUP($F30,'התפלגות ייצור וסל דלקים'!$B$64:$BV$84,AV$2-$E$2,FALSE))*$D$9*$D$8*(HLOOKUP(AV$23,$G$18:$R$19,2,FALSE)*(1-$D$12)^($F30-'הנחות עבודה'!$C$5)/$D$11)/$D$11)</f>
        <v>0</v>
      </c>
      <c r="AW30" s="52">
        <f ca="1">IF(OR($F30&gt;$D$5,$F30&gt;MAX('הנחות עבודה'!$B$69:$B$89)),0,(VLOOKUP($F30,'התפלגות ייצור וסל דלקים'!$B$64:$BV$84,AW$2-$E$2,FALSE))*$D$9*$D$8*(HLOOKUP(AW$23,$G$18:$R$19,2,FALSE)*(1-$D$12)^($F30-'הנחות עבודה'!$C$5)/$D$11)/$D$11)</f>
        <v>1.4962330000000004E-4</v>
      </c>
      <c r="AX30" s="52">
        <f ca="1">IF(OR($F30&gt;$D$5,$F30&gt;MAX('הנחות עבודה'!$B$69:$B$89)),0,(VLOOKUP($F30,'התפלגות ייצור וסל דלקים'!$B$64:$BV$84,AX$2-$E$2,FALSE))*$D$9*$D$8*(HLOOKUP(AX$23,$G$18:$R$19,2,FALSE)*(1-$D$12)^($F30-'הנחות עבודה'!$C$5)/$D$11)/$D$11)</f>
        <v>8.8458119040000008E-4</v>
      </c>
      <c r="AY30" s="52">
        <f ca="1">IF(OR($F30&gt;$D$5,$F30&gt;MAX('הנחות עבודה'!$B$69:$B$89)),0,(VLOOKUP($F30,'התפלגות ייצור וסל דלקים'!$B$64:$BV$84,AY$2-$E$2,FALSE))*$D$9*$D$8*(HLOOKUP(AY$23,$G$18:$R$19,2,FALSE)*(1-$D$12)^($F30-'הנחות עבודה'!$C$5)/$D$11)/$D$11)</f>
        <v>0</v>
      </c>
      <c r="AZ30" s="52">
        <f ca="1">IF(OR($F30&gt;$D$5,$F30&gt;MAX('הנחות עבודה'!$B$69:$B$89)),0,(VLOOKUP($F30,'התפלגות ייצור וסל דלקים'!$B$64:$BV$84,AZ$2-$E$2,FALSE))*$D$9*$D$8*(HLOOKUP(AZ$23,$G$18:$R$19,2,FALSE)*(1-$D$12)^($F30-'הנחות עבודה'!$C$5)/$D$11)/$D$11)</f>
        <v>0</v>
      </c>
      <c r="BA30" s="52">
        <f ca="1">IF(OR($F30&gt;$D$5,$F30&gt;MAX('הנחות עבודה'!$B$69:$B$89)),0,(VLOOKUP($F30,'התפלגות ייצור וסל דלקים'!$B$64:$BV$84,BA$2-$E$2,FALSE))*$D$9*$D$8*(HLOOKUP(BA$23,$G$18:$R$19,2,FALSE)*(1-$D$12)^($F30-'הנחות עבודה'!$C$5)/$D$11)/$D$11)</f>
        <v>0</v>
      </c>
      <c r="BB30" s="52">
        <f ca="1">IF(OR($F30&gt;$D$5,$F30&gt;MAX('הנחות עבודה'!$B$69:$B$89)),0,(VLOOKUP($F30,'התפלגות ייצור וסל דלקים'!$B$64:$BV$84,BB$2-$E$2,FALSE))*$D$9*$D$8*(HLOOKUP(BB$23,$G$18:$R$19,2,FALSE)*(1-$D$12)^($F30-'הנחות עבודה'!$C$5)/$D$11)/$D$11)</f>
        <v>0</v>
      </c>
      <c r="BC30" s="42">
        <f ca="1">IF(OR($F30&gt;$D$5,$F30&gt;MAX('הנחות עבודה'!$B$69:$B$89)),0,(VLOOKUP($F30,'התפלגות ייצור וסל דלקים'!$B$64:$BV$84,BC$2-$E$2,FALSE))*$D$9*$D$8*(HLOOKUP(BC$23,$G$18:$R$19,2,FALSE)*(1-$D$12)^($F30-'הנחות עבודה'!$C$5)/$D$11)/$D$11)</f>
        <v>0</v>
      </c>
      <c r="BD30" s="44">
        <f ca="1">IF(OR($F30&gt;$D$5,$F30&gt;MAX('הנחות עבודה'!$B$69:$B$89)),0,(VLOOKUP($F30,'התפלגות ייצור וסל דלקים'!$B$64:$BV$84,BD$2-$E$2,FALSE))*$D$9*$D$8*(HLOOKUP(BD$23,$G$18:$R$19,2,FALSE)*(1-$D$12)^($F30-'הנחות עבודה'!$C$5)/$D$11)/$D$11)</f>
        <v>0</v>
      </c>
      <c r="BE30" s="44">
        <f ca="1">IF(OR($F30&gt;$D$5,$F30&gt;MAX('הנחות עבודה'!$B$69:$B$89)),0,(VLOOKUP($F30,'התפלגות ייצור וסל דלקים'!$B$64:$BV$84,BE$2-$E$2,FALSE))*$D$9*$D$8*(HLOOKUP(BE$23,$G$18:$R$19,2,FALSE)*(1-$D$12)^($F30-'הנחות עבודה'!$C$5)/$D$11)/$D$11)</f>
        <v>0</v>
      </c>
      <c r="BF30" s="44">
        <f ca="1">IF(OR($F30&gt;$D$5,$F30&gt;MAX('הנחות עבודה'!$B$69:$B$89)),0,(VLOOKUP($F30,'התפלגות ייצור וסל דלקים'!$B$64:$BV$84,BF$2-$E$2,FALSE))*$D$9*$D$8*(HLOOKUP(BF$23,$G$18:$R$19,2,FALSE)*(1-$D$12)^($F30-'הנחות עבודה'!$C$5)/$D$11)/$D$11)</f>
        <v>0</v>
      </c>
      <c r="BG30" s="44">
        <f ca="1">IF(OR($F30&gt;$D$5,$F30&gt;MAX('הנחות עבודה'!$B$69:$B$89)),0,(VLOOKUP($F30,'התפלגות ייצור וסל דלקים'!$B$64:$BV$84,BG$2-$E$2,FALSE))*$D$9*$D$8*(HLOOKUP(BG$23,$G$18:$R$19,2,FALSE)*(1-$D$12)^($F30-'הנחות עבודה'!$C$5)/$D$11)/$D$11)</f>
        <v>0</v>
      </c>
      <c r="BH30" s="44">
        <f ca="1">IF(OR($F30&gt;$D$5,$F30&gt;MAX('הנחות עבודה'!$B$69:$B$89)),0,(VLOOKUP($F30,'התפלגות ייצור וסל דלקים'!$B$64:$BV$84,BH$2-$E$2,FALSE))*$D$9*$D$8*(HLOOKUP(BH$23,$G$18:$R$19,2,FALSE)*(1-$D$12)^($F30-'הנחות עבודה'!$C$5)/$D$11)/$D$11)</f>
        <v>0</v>
      </c>
      <c r="BI30" s="42">
        <f ca="1">IF(OR($F30&gt;$D$5,$F30&gt;MAX('הנחות עבודה'!$B$69:$B$89)),0,(VLOOKUP($F30,'התפלגות ייצור וסל דלקים'!$B$64:$BV$84,BI$2-$E$2,FALSE))*$D$9*$D$8*(HLOOKUP(BI$23,$G$18:$R$19,2,FALSE)*(1-$D$12)^($F30-'הנחות עבודה'!$C$5)/$D$11)/$D$11)</f>
        <v>1.5082E-4</v>
      </c>
      <c r="BJ30" s="42">
        <f ca="1">IF(OR($F30&gt;$D$5,$F30&gt;MAX('הנחות עבודה'!$B$69:$B$89)),0,(VLOOKUP($F30,'התפלגות ייצור וסל דלקים'!$B$64:$BV$84,BJ$2-$E$2,FALSE))*$D$9*$D$8*(HLOOKUP(BJ$23,$G$18:$R$19,2,FALSE)*(1-$D$12)^($F30-'הנחות עבודה'!$C$5)/$D$11)/$D$11)</f>
        <v>8.4132843520000008E-4</v>
      </c>
      <c r="BK30" s="42">
        <f ca="1">IF(OR($F30&gt;$D$5,$F30&gt;MAX('הנחות עבודה'!$B$69:$B$89)),0,(VLOOKUP($F30,'התפלגות ייצור וסל דלקים'!$B$64:$BV$84,BK$2-$E$2,FALSE))*$D$9*$D$8*(HLOOKUP(BK$23,$G$18:$R$19,2,FALSE)*(1-$D$12)^($F30-'הנחות עבודה'!$C$5)/$D$11)/$D$11)</f>
        <v>0</v>
      </c>
      <c r="BL30" s="42">
        <f ca="1">IF(OR($F30&gt;$D$5,$F30&gt;MAX('הנחות עבודה'!$B$69:$B$89)),0,(VLOOKUP($F30,'התפלגות ייצור וסל דלקים'!$B$64:$BV$84,BL$2-$E$2,FALSE))*$D$9*$D$8*(HLOOKUP(BL$23,$G$18:$R$19,2,FALSE)*(1-$D$12)^($F30-'הנחות עבודה'!$C$5)/$D$11)/$D$11)</f>
        <v>0</v>
      </c>
      <c r="BM30" s="42">
        <f ca="1">IF(OR($F30&gt;$D$5,$F30&gt;MAX('הנחות עבודה'!$B$69:$B$89)),0,(VLOOKUP($F30,'התפלגות ייצור וסל דלקים'!$B$64:$BV$84,BM$2-$E$2,FALSE))*$D$9*$D$8*(HLOOKUP(BM$23,$G$18:$R$19,2,FALSE)*(1-$D$12)^($F30-'הנחות עבודה'!$C$5)/$D$11)/$D$11)</f>
        <v>0</v>
      </c>
      <c r="BN30" s="42">
        <f ca="1">IF(OR($F30&gt;$D$5,$F30&gt;MAX('הנחות עבודה'!$B$69:$B$89)),0,(VLOOKUP($F30,'התפלגות ייצור וסל דלקים'!$B$64:$BV$84,BN$2-$E$2,FALSE))*$D$9*$D$8*(HLOOKUP(BN$23,$G$18:$R$19,2,FALSE)*(1-$D$12)^($F30-'הנחות עבודה'!$C$5)/$D$11)/$D$11)</f>
        <v>0</v>
      </c>
      <c r="BO30" s="52">
        <f ca="1">IF(OR($F30&gt;$D$5,$F30&gt;MAX('הנחות עבודה'!$B$69:$B$89)),0,(VLOOKUP($F30,'התפלגות ייצור וסל דלקים'!$B$64:$BV$84,BO$2-$E$2,FALSE))*$D$9*$D$8*(HLOOKUP(BO$23,$G$18:$R$19,2,FALSE)*(1-$D$12)^($F30-'הנחות עבודה'!$C$5)/$D$11)/$D$11)</f>
        <v>0</v>
      </c>
      <c r="BP30" s="127">
        <f ca="1">IF(OR($F30&gt;$D$5,$F30&gt;MAX('הנחות עבודה'!$B$69:$B$89)),0,(VLOOKUP($F30,'התפלגות ייצור וסל דלקים'!$B$64:$BV$84,BP$2-$E$2,FALSE))*$D$9*$D$8*(HLOOKUP(BP$23,$G$18:$R$19,2,FALSE)*(1-$D$12)^($F30-'הנחות עבודה'!$C$5)/$D$11)/$D$11)</f>
        <v>0</v>
      </c>
      <c r="BQ30" s="127">
        <f ca="1">IF(OR($F30&gt;$D$5,$F30&gt;MAX('הנחות עבודה'!$B$69:$B$89)),0,(VLOOKUP($F30,'התפלגות ייצור וסל דלקים'!$B$64:$BV$84,BQ$2-$E$2,FALSE))*$D$9*$D$8*(HLOOKUP(BQ$23,$G$18:$R$19,2,FALSE)*(1-$D$12)^($F30-'הנחות עבודה'!$C$5)/$D$11)/$D$11)</f>
        <v>0</v>
      </c>
      <c r="BR30" s="127">
        <f ca="1">IF(OR($F30&gt;$D$5,$F30&gt;MAX('הנחות עבודה'!$B$69:$B$89)),0,(VLOOKUP($F30,'התפלגות ייצור וסל דלקים'!$B$64:$BV$84,BR$2-$E$2,FALSE))*$D$9*$D$8*(HLOOKUP(BR$23,$G$18:$R$19,2,FALSE)*(1-$D$12)^($F30-'הנחות עבודה'!$C$5)/$D$11)/$D$11)</f>
        <v>0</v>
      </c>
      <c r="BS30" s="127">
        <f ca="1">IF(OR($F30&gt;$D$5,$F30&gt;MAX('הנחות עבודה'!$B$69:$B$89)),0,(VLOOKUP($F30,'התפלגות ייצור וסל דלקים'!$B$64:$BV$84,BS$2-$E$2,FALSE))*$D$9*$D$8*(HLOOKUP(BS$23,$G$18:$R$19,2,FALSE)*(1-$D$12)^($F30-'הנחות עבודה'!$C$5)/$D$11)/$D$11)</f>
        <v>0</v>
      </c>
      <c r="BT30" s="127">
        <f ca="1">IF(OR($F30&gt;$D$5,$F30&gt;MAX('הנחות עבודה'!$B$69:$B$89)),0,(VLOOKUP($F30,'התפלגות ייצור וסל דלקים'!$B$64:$BV$84,BT$2-$E$2,FALSE))*$D$9*$D$8*(HLOOKUP(BT$23,$G$18:$R$19,2,FALSE)*(1-$D$12)^($F30-'הנחות עבודה'!$C$5)/$D$11)/$D$11)</f>
        <v>0</v>
      </c>
      <c r="BU30" s="52">
        <f ca="1">IF(OR($F30&gt;$D$5,$F30&gt;MAX('הנחות עבודה'!$B$69:$B$89)),0,(VLOOKUP($F30,'התפלגות ייצור וסל דלקים'!$B$64:$BV$84,BU$2-$E$2,FALSE))*$D$9*$D$8*(HLOOKUP(BU$23,$G$18:$R$19,2,FALSE)*(1-$D$12)^($F30-'הנחות עבודה'!$C$5)/$D$11)/$D$11)</f>
        <v>1.5082E-4</v>
      </c>
      <c r="BV30" s="52">
        <f ca="1">IF(OR($F30&gt;$D$5,$F30&gt;MAX('הנחות עבודה'!$B$69:$B$89)),0,(VLOOKUP($F30,'התפלגות ייצור וסל דלקים'!$B$64:$BV$84,BV$2-$E$2,FALSE))*$D$9*$D$8*(HLOOKUP(BV$23,$G$18:$R$19,2,FALSE)*(1-$D$12)^($F30-'הנחות עבודה'!$C$5)/$D$11)/$D$11)</f>
        <v>8.4132843520000008E-4</v>
      </c>
      <c r="BW30" s="52">
        <f ca="1">IF(OR($F30&gt;$D$5,$F30&gt;MAX('הנחות עבודה'!$B$69:$B$89)),0,(VLOOKUP($F30,'התפלגות ייצור וסל דלקים'!$B$64:$BV$84,BW$2-$E$2,FALSE))*$D$9*$D$8*(HLOOKUP(BW$23,$G$18:$R$19,2,FALSE)*(1-$D$12)^($F30-'הנחות עבודה'!$C$5)/$D$11)/$D$11)</f>
        <v>0</v>
      </c>
      <c r="BX30" s="52">
        <f ca="1">IF(OR($F30&gt;$D$5,$F30&gt;MAX('הנחות עבודה'!$B$69:$B$89)),0,(VLOOKUP($F30,'התפלגות ייצור וסל דלקים'!$B$64:$BV$84,BX$2-$E$2,FALSE))*$D$9*$D$8*(HLOOKUP(BX$23,$G$18:$R$19,2,FALSE)*(1-$D$12)^($F30-'הנחות עבודה'!$C$5)/$D$11)/$D$11)</f>
        <v>0</v>
      </c>
      <c r="BY30" s="52">
        <f ca="1">IF(OR($F30&gt;$D$5,$F30&gt;MAX('הנחות עבודה'!$B$69:$B$89)),0,(VLOOKUP($F30,'התפלגות ייצור וסל דלקים'!$B$64:$BV$84,BY$2-$E$2,FALSE))*$D$9*$D$8*(HLOOKUP(BY$23,$G$18:$R$19,2,FALSE)*(1-$D$12)^($F30-'הנחות עבודה'!$C$5)/$D$11)/$D$11)</f>
        <v>0</v>
      </c>
      <c r="BZ30" s="52">
        <f ca="1">IF(OR($F30&gt;$D$5,$F30&gt;MAX('הנחות עבודה'!$B$69:$B$89)),0,(VLOOKUP($F30,'התפלגות ייצור וסל דלקים'!$B$64:$BV$84,BZ$2-$E$2,FALSE))*$D$9*$D$8*(HLOOKUP(BZ$23,$G$18:$R$19,2,FALSE)*(1-$D$12)^($F30-'הנחות עבודה'!$C$5)/$D$11)/$D$11)</f>
        <v>0</v>
      </c>
    </row>
    <row r="31" spans="6:78" ht="15.75">
      <c r="F31" s="10">
        <f t="shared" si="114"/>
        <v>2027</v>
      </c>
      <c r="G31" s="42">
        <f ca="1">IF(OR($F31&gt;$D$5,$F31&gt;MAX('הנחות עבודה'!$B$69:$B$89)),0,(VLOOKUP($F31,'התפלגות ייצור וסל דלקים'!$B$64:$BV$84,G$2-$E$2,FALSE))*$D$9*$D$8*(HLOOKUP(G$23,$G$18:$R$19,2,FALSE)*(1-$D$12)^($F31-'הנחות עבודה'!$C$5)/$D$11)/$D$11)</f>
        <v>0</v>
      </c>
      <c r="H31" s="44">
        <f ca="1">IF(OR($F31&gt;$D$5,$F31&gt;MAX('הנחות עבודה'!$B$69:$B$89)),0,(VLOOKUP($F31,'התפלגות ייצור וסל דלקים'!$B$64:$BV$84,H$2-$E$2,FALSE))*$D$9*$D$8*(HLOOKUP(H$23,$G$18:$R$19,2,FALSE)*(1-$D$12)^($F31-'הנחות עבודה'!$C$5)/$D$11)/$D$11)</f>
        <v>0</v>
      </c>
      <c r="I31" s="44">
        <f ca="1">IF(OR($F31&gt;$D$5,$F31&gt;MAX('הנחות עבודה'!$B$69:$B$89)),0,(VLOOKUP($F31,'התפלגות ייצור וסל דלקים'!$B$64:$BV$84,I$2-$E$2,FALSE))*$D$9*$D$8*(HLOOKUP(I$23,$G$18:$R$19,2,FALSE)*(1-$D$12)^($F31-'הנחות עבודה'!$C$5)/$D$11)/$D$11)</f>
        <v>0</v>
      </c>
      <c r="J31" s="44">
        <f ca="1">IF(OR($F31&gt;$D$5,$F31&gt;MAX('הנחות עבודה'!$B$69:$B$89)),0,(VLOOKUP($F31,'התפלגות ייצור וסל דלקים'!$B$64:$BV$84,J$2-$E$2,FALSE))*$D$9*$D$8*(HLOOKUP(J$23,$G$18:$R$19,2,FALSE)*(1-$D$12)^($F31-'הנחות עבודה'!$C$5)/$D$11)/$D$11)</f>
        <v>0</v>
      </c>
      <c r="K31" s="44">
        <f ca="1">IF(OR($F31&gt;$D$5,$F31&gt;MAX('הנחות עבודה'!$B$69:$B$89)),0,(VLOOKUP($F31,'התפלגות ייצור וסל דלקים'!$B$64:$BV$84,K$2-$E$2,FALSE))*$D$9*$D$8*(HLOOKUP(K$23,$G$18:$R$19,2,FALSE)*(1-$D$12)^($F31-'הנחות עבודה'!$C$5)/$D$11)/$D$11)</f>
        <v>0</v>
      </c>
      <c r="L31" s="44">
        <f ca="1">IF(OR($F31&gt;$D$5,$F31&gt;MAX('הנחות עבודה'!$B$69:$B$89)),0,(VLOOKUP($F31,'התפלגות ייצור וסל דלקים'!$B$64:$BV$84,L$2-$E$2,FALSE))*$D$9*$D$8*(HLOOKUP(L$23,$G$18:$R$19,2,FALSE)*(1-$D$12)^($F31-'הנחות עבודה'!$C$5)/$D$11)/$D$11)</f>
        <v>0</v>
      </c>
      <c r="M31" s="42">
        <f ca="1">IF(OR($F31&gt;$D$5,$F31&gt;MAX('הנחות עבודה'!$B$69:$B$89)),0,(VLOOKUP($F31,'התפלגות ייצור וסל דלקים'!$B$64:$BV$84,M$2-$E$2,FALSE))*$D$9*$D$8*(HLOOKUP(M$23,$G$18:$R$19,2,FALSE)*(1-$D$12)^($F31-'הנחות עבודה'!$C$5)/$D$11)/$D$11)</f>
        <v>1.4945649999999997E-4</v>
      </c>
      <c r="N31" s="42">
        <f ca="1">IF(OR($F31&gt;$D$5,$F31&gt;MAX('הנחות עבודה'!$B$69:$B$89)),0,(VLOOKUP($F31,'התפלגות ייצור וסל דלקים'!$B$64:$BV$84,N$2-$E$2,FALSE))*$D$9*$D$8*(HLOOKUP(N$23,$G$18:$R$19,2,FALSE)*(1-$D$12)^($F31-'הנחות עבודה'!$C$5)/$D$11)/$D$11)</f>
        <v>9.7923241724800006E-4</v>
      </c>
      <c r="O31" s="42">
        <f ca="1">IF(OR($F31&gt;$D$5,$F31&gt;MAX('הנחות עבודה'!$B$69:$B$89)),0,(VLOOKUP($F31,'התפלגות ייצור וסל דלקים'!$B$64:$BV$84,O$2-$E$2,FALSE))*$D$9*$D$8*(HLOOKUP(O$23,$G$18:$R$19,2,FALSE)*(1-$D$12)^($F31-'הנחות עבודה'!$C$5)/$D$11)/$D$11)</f>
        <v>0</v>
      </c>
      <c r="P31" s="42">
        <f ca="1">IF(OR($F31&gt;$D$5,$F31&gt;MAX('הנחות עבודה'!$B$69:$B$89)),0,(VLOOKUP($F31,'התפלגות ייצור וסל דלקים'!$B$64:$BV$84,P$2-$E$2,FALSE))*$D$9*$D$8*(HLOOKUP(P$23,$G$18:$R$19,2,FALSE)*(1-$D$12)^($F31-'הנחות עבודה'!$C$5)/$D$11)/$D$11)</f>
        <v>0</v>
      </c>
      <c r="Q31" s="42">
        <f ca="1">IF(OR($F31&gt;$D$5,$F31&gt;MAX('הנחות עבודה'!$B$69:$B$89)),0,(VLOOKUP($F31,'התפלגות ייצור וסל דלקים'!$B$64:$BV$84,Q$2-$E$2,FALSE))*$D$9*$D$8*(HLOOKUP(Q$23,$G$18:$R$19,2,FALSE)*(1-$D$12)^($F31-'הנחות עבודה'!$C$5)/$D$11)/$D$11)</f>
        <v>0</v>
      </c>
      <c r="R31" s="42">
        <f ca="1">IF(OR($F31&gt;$D$5,$F31&gt;MAX('הנחות עבודה'!$B$69:$B$89)),0,(VLOOKUP($F31,'התפלגות ייצור וסל דלקים'!$B$64:$BV$84,R$2-$E$2,FALSE))*$D$9*$D$8*(HLOOKUP(R$23,$G$18:$R$19,2,FALSE)*(1-$D$12)^($F31-'הנחות עבודה'!$C$5)/$D$11)/$D$11)</f>
        <v>0</v>
      </c>
      <c r="S31" s="52">
        <f ca="1">IF(OR($F31&gt;$D$5,$F31&gt;MAX('הנחות עבודה'!$B$69:$B$89)),0,(VLOOKUP($F31,'התפלגות ייצור וסל דלקים'!$B$64:$BV$84,S$2-$E$2,FALSE))*$D$9*$D$8*(HLOOKUP(S$23,$G$18:$R$19,2,FALSE)*(1-$D$12)^($F31-'הנחות עבודה'!$C$5)/$D$11)/$D$11)</f>
        <v>0</v>
      </c>
      <c r="T31" s="127">
        <f ca="1">IF(OR($F31&gt;$D$5,$F31&gt;MAX('הנחות עבודה'!$B$69:$B$89)),0,(VLOOKUP($F31,'התפלגות ייצור וסל דלקים'!$B$64:$BV$84,T$2-$E$2,FALSE))*$D$9*$D$8*(HLOOKUP(T$23,$G$18:$R$19,2,FALSE)*(1-$D$12)^($F31-'הנחות עבודה'!$C$5)/$D$11)/$D$11)</f>
        <v>0</v>
      </c>
      <c r="U31" s="127">
        <f ca="1">IF(OR($F31&gt;$D$5,$F31&gt;MAX('הנחות עבודה'!$B$69:$B$89)),0,(VLOOKUP($F31,'התפלגות ייצור וסל דלקים'!$B$64:$BV$84,U$2-$E$2,FALSE))*$D$9*$D$8*(HLOOKUP(U$23,$G$18:$R$19,2,FALSE)*(1-$D$12)^($F31-'הנחות עבודה'!$C$5)/$D$11)/$D$11)</f>
        <v>0</v>
      </c>
      <c r="V31" s="127">
        <f ca="1">IF(OR($F31&gt;$D$5,$F31&gt;MAX('הנחות עבודה'!$B$69:$B$89)),0,(VLOOKUP($F31,'התפלגות ייצור וסל דלקים'!$B$64:$BV$84,V$2-$E$2,FALSE))*$D$9*$D$8*(HLOOKUP(V$23,$G$18:$R$19,2,FALSE)*(1-$D$12)^($F31-'הנחות עבודה'!$C$5)/$D$11)/$D$11)</f>
        <v>0</v>
      </c>
      <c r="W31" s="127">
        <f ca="1">IF(OR($F31&gt;$D$5,$F31&gt;MAX('הנחות עבודה'!$B$69:$B$89)),0,(VLOOKUP($F31,'התפלגות ייצור וסל דלקים'!$B$64:$BV$84,W$2-$E$2,FALSE))*$D$9*$D$8*(HLOOKUP(W$23,$G$18:$R$19,2,FALSE)*(1-$D$12)^($F31-'הנחות עבודה'!$C$5)/$D$11)/$D$11)</f>
        <v>0</v>
      </c>
      <c r="X31" s="127">
        <f ca="1">IF(OR($F31&gt;$D$5,$F31&gt;MAX('הנחות עבודה'!$B$69:$B$89)),0,(VLOOKUP($F31,'התפלגות ייצור וסל דלקים'!$B$64:$BV$84,X$2-$E$2,FALSE))*$D$9*$D$8*(HLOOKUP(X$23,$G$18:$R$19,2,FALSE)*(1-$D$12)^($F31-'הנחות עבודה'!$C$5)/$D$11)/$D$11)</f>
        <v>0</v>
      </c>
      <c r="Y31" s="52">
        <f ca="1">IF(OR($F31&gt;$D$5,$F31&gt;MAX('הנחות עבודה'!$B$69:$B$89)),0,(VLOOKUP($F31,'התפלגות ייצור וסל דלקים'!$B$64:$BV$84,Y$2-$E$2,FALSE))*$D$9*$D$8*(HLOOKUP(Y$23,$G$18:$R$19,2,FALSE)*(1-$D$12)^($F31-'הנחות עבודה'!$C$5)/$D$11)/$D$11)</f>
        <v>1.4945649999999997E-4</v>
      </c>
      <c r="Z31" s="52">
        <f ca="1">IF(OR($F31&gt;$D$5,$F31&gt;MAX('הנחות עבודה'!$B$69:$B$89)),0,(VLOOKUP($F31,'התפלגות ייצור וסל דלקים'!$B$64:$BV$84,Z$2-$E$2,FALSE))*$D$9*$D$8*(HLOOKUP(Z$23,$G$18:$R$19,2,FALSE)*(1-$D$12)^($F31-'הנחות עבודה'!$C$5)/$D$11)/$D$11)</f>
        <v>9.7923241724800006E-4</v>
      </c>
      <c r="AA31" s="52">
        <f ca="1">IF(OR($F31&gt;$D$5,$F31&gt;MAX('הנחות עבודה'!$B$69:$B$89)),0,(VLOOKUP($F31,'התפלגות ייצור וסל דלקים'!$B$64:$BV$84,AA$2-$E$2,FALSE))*$D$9*$D$8*(HLOOKUP(AA$23,$G$18:$R$19,2,FALSE)*(1-$D$12)^($F31-'הנחות עבודה'!$C$5)/$D$11)/$D$11)</f>
        <v>0</v>
      </c>
      <c r="AB31" s="52">
        <f ca="1">IF(OR($F31&gt;$D$5,$F31&gt;MAX('הנחות עבודה'!$B$69:$B$89)),0,(VLOOKUP($F31,'התפלגות ייצור וסל דלקים'!$B$64:$BV$84,AB$2-$E$2,FALSE))*$D$9*$D$8*(HLOOKUP(AB$23,$G$18:$R$19,2,FALSE)*(1-$D$12)^($F31-'הנחות עבודה'!$C$5)/$D$11)/$D$11)</f>
        <v>0</v>
      </c>
      <c r="AC31" s="52">
        <f ca="1">IF(OR($F31&gt;$D$5,$F31&gt;MAX('הנחות עבודה'!$B$69:$B$89)),0,(VLOOKUP($F31,'התפלגות ייצור וסל דלקים'!$B$64:$BV$84,AC$2-$E$2,FALSE))*$D$9*$D$8*(HLOOKUP(AC$23,$G$18:$R$19,2,FALSE)*(1-$D$12)^($F31-'הנחות עבודה'!$C$5)/$D$11)/$D$11)</f>
        <v>0</v>
      </c>
      <c r="AD31" s="52">
        <f ca="1">IF(OR($F31&gt;$D$5,$F31&gt;MAX('הנחות עבודה'!$B$69:$B$89)),0,(VLOOKUP($F31,'התפלגות ייצור וסל דלקים'!$B$64:$BV$84,AD$2-$E$2,FALSE))*$D$9*$D$8*(HLOOKUP(AD$23,$G$18:$R$19,2,FALSE)*(1-$D$12)^($F31-'הנחות עבודה'!$C$5)/$D$11)/$D$11)</f>
        <v>0</v>
      </c>
      <c r="AE31" s="42">
        <f ca="1">IF(OR($F31&gt;$D$5,$F31&gt;MAX('הנחות עבודה'!$B$69:$B$89)),0,(VLOOKUP($F31,'התפלגות ייצור וסל דלקים'!$B$64:$BV$84,AE$2-$E$2,FALSE))*$D$9*$D$8*(HLOOKUP(AE$23,$G$18:$R$19,2,FALSE)*(1-$D$12)^($F31-'הנחות עבודה'!$C$5)/$D$11)/$D$11)</f>
        <v>0</v>
      </c>
      <c r="AF31" s="44">
        <f ca="1">IF(OR($F31&gt;$D$5,$F31&gt;MAX('הנחות עבודה'!$B$69:$B$89)),0,(VLOOKUP($F31,'התפלגות ייצור וסל דלקים'!$B$64:$BV$84,AF$2-$E$2,FALSE))*$D$9*$D$8*(HLOOKUP(AF$23,$G$18:$R$19,2,FALSE)*(1-$D$12)^($F31-'הנחות עבודה'!$C$5)/$D$11)/$D$11)</f>
        <v>0</v>
      </c>
      <c r="AG31" s="44">
        <f ca="1">IF(OR($F31&gt;$D$5,$F31&gt;MAX('הנחות עבודה'!$B$69:$B$89)),0,(VLOOKUP($F31,'התפלגות ייצור וסל דלקים'!$B$64:$BV$84,AG$2-$E$2,FALSE))*$D$9*$D$8*(HLOOKUP(AG$23,$G$18:$R$19,2,FALSE)*(1-$D$12)^($F31-'הנחות עבודה'!$C$5)/$D$11)/$D$11)</f>
        <v>0</v>
      </c>
      <c r="AH31" s="44">
        <f ca="1">IF(OR($F31&gt;$D$5,$F31&gt;MAX('הנחות עבודה'!$B$69:$B$89)),0,(VLOOKUP($F31,'התפלגות ייצור וסל דלקים'!$B$64:$BV$84,AH$2-$E$2,FALSE))*$D$9*$D$8*(HLOOKUP(AH$23,$G$18:$R$19,2,FALSE)*(1-$D$12)^($F31-'הנחות עבודה'!$C$5)/$D$11)/$D$11)</f>
        <v>0</v>
      </c>
      <c r="AI31" s="44">
        <f ca="1">IF(OR($F31&gt;$D$5,$F31&gt;MAX('הנחות עבודה'!$B$69:$B$89)),0,(VLOOKUP($F31,'התפלגות ייצור וסל דלקים'!$B$64:$BV$84,AI$2-$E$2,FALSE))*$D$9*$D$8*(HLOOKUP(AI$23,$G$18:$R$19,2,FALSE)*(1-$D$12)^($F31-'הנחות עבודה'!$C$5)/$D$11)/$D$11)</f>
        <v>0</v>
      </c>
      <c r="AJ31" s="44">
        <f ca="1">IF(OR($F31&gt;$D$5,$F31&gt;MAX('הנחות עבודה'!$B$69:$B$89)),0,(VLOOKUP($F31,'התפלגות ייצור וסל דלקים'!$B$64:$BV$84,AJ$2-$E$2,FALSE))*$D$9*$D$8*(HLOOKUP(AJ$23,$G$18:$R$19,2,FALSE)*(1-$D$12)^($F31-'הנחות עבודה'!$C$5)/$D$11)/$D$11)</f>
        <v>0</v>
      </c>
      <c r="AK31" s="42">
        <f ca="1">IF(OR($F31&gt;$D$5,$F31&gt;MAX('הנחות עבודה'!$B$69:$B$89)),0,(VLOOKUP($F31,'התפלגות ייצור וסל דלקים'!$B$64:$BV$84,AK$2-$E$2,FALSE))*$D$9*$D$8*(HLOOKUP(AK$23,$G$18:$R$19,2,FALSE)*(1-$D$12)^($F31-'הנחות עבודה'!$C$5)/$D$11)/$D$11)</f>
        <v>1.4828890000000001E-4</v>
      </c>
      <c r="AL31" s="42">
        <f ca="1">IF(OR($F31&gt;$D$5,$F31&gt;MAX('הנחות עבודה'!$B$69:$B$89)),0,(VLOOKUP($F31,'התפלגות ייצור וסל דלקים'!$B$64:$BV$84,AL$2-$E$2,FALSE))*$D$9*$D$8*(HLOOKUP(AL$23,$G$18:$R$19,2,FALSE)*(1-$D$12)^($F31-'הנחות עבודה'!$C$5)/$D$11)/$D$11)</f>
        <v>8.9656199704000019E-4</v>
      </c>
      <c r="AM31" s="42">
        <f ca="1">IF(OR($F31&gt;$D$5,$F31&gt;MAX('הנחות עבודה'!$B$69:$B$89)),0,(VLOOKUP($F31,'התפלגות ייצור וסל דלקים'!$B$64:$BV$84,AM$2-$E$2,FALSE))*$D$9*$D$8*(HLOOKUP(AM$23,$G$18:$R$19,2,FALSE)*(1-$D$12)^($F31-'הנחות עבודה'!$C$5)/$D$11)/$D$11)</f>
        <v>0</v>
      </c>
      <c r="AN31" s="42">
        <f ca="1">IF(OR($F31&gt;$D$5,$F31&gt;MAX('הנחות עבודה'!$B$69:$B$89)),0,(VLOOKUP($F31,'התפלגות ייצור וסל דלקים'!$B$64:$BV$84,AN$2-$E$2,FALSE))*$D$9*$D$8*(HLOOKUP(AN$23,$G$18:$R$19,2,FALSE)*(1-$D$12)^($F31-'הנחות עבודה'!$C$5)/$D$11)/$D$11)</f>
        <v>0</v>
      </c>
      <c r="AO31" s="42">
        <f ca="1">IF(OR($F31&gt;$D$5,$F31&gt;MAX('הנחות עבודה'!$B$69:$B$89)),0,(VLOOKUP($F31,'התפלגות ייצור וסל דלקים'!$B$64:$BV$84,AO$2-$E$2,FALSE))*$D$9*$D$8*(HLOOKUP(AO$23,$G$18:$R$19,2,FALSE)*(1-$D$12)^($F31-'הנחות עבודה'!$C$5)/$D$11)/$D$11)</f>
        <v>0</v>
      </c>
      <c r="AP31" s="42">
        <f ca="1">IF(OR($F31&gt;$D$5,$F31&gt;MAX('הנחות עבודה'!$B$69:$B$89)),0,(VLOOKUP($F31,'התפלגות ייצור וסל דלקים'!$B$64:$BV$84,AP$2-$E$2,FALSE))*$D$9*$D$8*(HLOOKUP(AP$23,$G$18:$R$19,2,FALSE)*(1-$D$12)^($F31-'הנחות עבודה'!$C$5)/$D$11)/$D$11)</f>
        <v>0</v>
      </c>
      <c r="AQ31" s="52">
        <f ca="1">IF(OR($F31&gt;$D$5,$F31&gt;MAX('הנחות עבודה'!$B$69:$B$89)),0,(VLOOKUP($F31,'התפלגות ייצור וסל דלקים'!$B$64:$BV$84,AQ$2-$E$2,FALSE))*$D$9*$D$8*(HLOOKUP(AQ$23,$G$18:$R$19,2,FALSE)*(1-$D$12)^($F31-'הנחות עבודה'!$C$5)/$D$11)/$D$11)</f>
        <v>0</v>
      </c>
      <c r="AR31" s="127">
        <f ca="1">IF(OR($F31&gt;$D$5,$F31&gt;MAX('הנחות עבודה'!$B$69:$B$89)),0,(VLOOKUP($F31,'התפלגות ייצור וסל דלקים'!$B$64:$BV$84,AR$2-$E$2,FALSE))*$D$9*$D$8*(HLOOKUP(AR$23,$G$18:$R$19,2,FALSE)*(1-$D$12)^($F31-'הנחות עבודה'!$C$5)/$D$11)/$D$11)</f>
        <v>0</v>
      </c>
      <c r="AS31" s="127">
        <f ca="1">IF(OR($F31&gt;$D$5,$F31&gt;MAX('הנחות עבודה'!$B$69:$B$89)),0,(VLOOKUP($F31,'התפלגות ייצור וסל דלקים'!$B$64:$BV$84,AS$2-$E$2,FALSE))*$D$9*$D$8*(HLOOKUP(AS$23,$G$18:$R$19,2,FALSE)*(1-$D$12)^($F31-'הנחות עבודה'!$C$5)/$D$11)/$D$11)</f>
        <v>0</v>
      </c>
      <c r="AT31" s="127">
        <f ca="1">IF(OR($F31&gt;$D$5,$F31&gt;MAX('הנחות עבודה'!$B$69:$B$89)),0,(VLOOKUP($F31,'התפלגות ייצור וסל דלקים'!$B$64:$BV$84,AT$2-$E$2,FALSE))*$D$9*$D$8*(HLOOKUP(AT$23,$G$18:$R$19,2,FALSE)*(1-$D$12)^($F31-'הנחות עבודה'!$C$5)/$D$11)/$D$11)</f>
        <v>0</v>
      </c>
      <c r="AU31" s="127">
        <f ca="1">IF(OR($F31&gt;$D$5,$F31&gt;MAX('הנחות עבודה'!$B$69:$B$89)),0,(VLOOKUP($F31,'התפלגות ייצור וסל דלקים'!$B$64:$BV$84,AU$2-$E$2,FALSE))*$D$9*$D$8*(HLOOKUP(AU$23,$G$18:$R$19,2,FALSE)*(1-$D$12)^($F31-'הנחות עבודה'!$C$5)/$D$11)/$D$11)</f>
        <v>0</v>
      </c>
      <c r="AV31" s="127">
        <f ca="1">IF(OR($F31&gt;$D$5,$F31&gt;MAX('הנחות עבודה'!$B$69:$B$89)),0,(VLOOKUP($F31,'התפלגות ייצור וסל דלקים'!$B$64:$BV$84,AV$2-$E$2,FALSE))*$D$9*$D$8*(HLOOKUP(AV$23,$G$18:$R$19,2,FALSE)*(1-$D$12)^($F31-'הנחות עבודה'!$C$5)/$D$11)/$D$11)</f>
        <v>0</v>
      </c>
      <c r="AW31" s="52">
        <f ca="1">IF(OR($F31&gt;$D$5,$F31&gt;MAX('הנחות עבודה'!$B$69:$B$89)),0,(VLOOKUP($F31,'התפלגות ייצור וסל דלקים'!$B$64:$BV$84,AW$2-$E$2,FALSE))*$D$9*$D$8*(HLOOKUP(AW$23,$G$18:$R$19,2,FALSE)*(1-$D$12)^($F31-'הנחות עבודה'!$C$5)/$D$11)/$D$11)</f>
        <v>1.4828890000000001E-4</v>
      </c>
      <c r="AX31" s="52">
        <f ca="1">IF(OR($F31&gt;$D$5,$F31&gt;MAX('הנחות עבודה'!$B$69:$B$89)),0,(VLOOKUP($F31,'התפלגות ייצור וסל דלקים'!$B$64:$BV$84,AX$2-$E$2,FALSE))*$D$9*$D$8*(HLOOKUP(AX$23,$G$18:$R$19,2,FALSE)*(1-$D$12)^($F31-'הנחות עבודה'!$C$5)/$D$11)/$D$11)</f>
        <v>8.9656199704000019E-4</v>
      </c>
      <c r="AY31" s="52">
        <f ca="1">IF(OR($F31&gt;$D$5,$F31&gt;MAX('הנחות עבודה'!$B$69:$B$89)),0,(VLOOKUP($F31,'התפלגות ייצור וסל דלקים'!$B$64:$BV$84,AY$2-$E$2,FALSE))*$D$9*$D$8*(HLOOKUP(AY$23,$G$18:$R$19,2,FALSE)*(1-$D$12)^($F31-'הנחות עבודה'!$C$5)/$D$11)/$D$11)</f>
        <v>0</v>
      </c>
      <c r="AZ31" s="52">
        <f ca="1">IF(OR($F31&gt;$D$5,$F31&gt;MAX('הנחות עבודה'!$B$69:$B$89)),0,(VLOOKUP($F31,'התפלגות ייצור וסל דלקים'!$B$64:$BV$84,AZ$2-$E$2,FALSE))*$D$9*$D$8*(HLOOKUP(AZ$23,$G$18:$R$19,2,FALSE)*(1-$D$12)^($F31-'הנחות עבודה'!$C$5)/$D$11)/$D$11)</f>
        <v>0</v>
      </c>
      <c r="BA31" s="52">
        <f ca="1">IF(OR($F31&gt;$D$5,$F31&gt;MAX('הנחות עבודה'!$B$69:$B$89)),0,(VLOOKUP($F31,'התפלגות ייצור וסל דלקים'!$B$64:$BV$84,BA$2-$E$2,FALSE))*$D$9*$D$8*(HLOOKUP(BA$23,$G$18:$R$19,2,FALSE)*(1-$D$12)^($F31-'הנחות עבודה'!$C$5)/$D$11)/$D$11)</f>
        <v>0</v>
      </c>
      <c r="BB31" s="52">
        <f ca="1">IF(OR($F31&gt;$D$5,$F31&gt;MAX('הנחות עבודה'!$B$69:$B$89)),0,(VLOOKUP($F31,'התפלגות ייצור וסל דלקים'!$B$64:$BV$84,BB$2-$E$2,FALSE))*$D$9*$D$8*(HLOOKUP(BB$23,$G$18:$R$19,2,FALSE)*(1-$D$12)^($F31-'הנחות עבודה'!$C$5)/$D$11)/$D$11)</f>
        <v>0</v>
      </c>
      <c r="BC31" s="42">
        <f ca="1">IF(OR($F31&gt;$D$5,$F31&gt;MAX('הנחות עבודה'!$B$69:$B$89)),0,(VLOOKUP($F31,'התפלגות ייצור וסל דלקים'!$B$64:$BV$84,BC$2-$E$2,FALSE))*$D$9*$D$8*(HLOOKUP(BC$23,$G$18:$R$19,2,FALSE)*(1-$D$12)^($F31-'הנחות עבודה'!$C$5)/$D$11)/$D$11)</f>
        <v>0</v>
      </c>
      <c r="BD31" s="44">
        <f ca="1">IF(OR($F31&gt;$D$5,$F31&gt;MAX('הנחות עבודה'!$B$69:$B$89)),0,(VLOOKUP($F31,'התפלגות ייצור וסל דלקים'!$B$64:$BV$84,BD$2-$E$2,FALSE))*$D$9*$D$8*(HLOOKUP(BD$23,$G$18:$R$19,2,FALSE)*(1-$D$12)^($F31-'הנחות עבודה'!$C$5)/$D$11)/$D$11)</f>
        <v>0</v>
      </c>
      <c r="BE31" s="44">
        <f ca="1">IF(OR($F31&gt;$D$5,$F31&gt;MAX('הנחות עבודה'!$B$69:$B$89)),0,(VLOOKUP($F31,'התפלגות ייצור וסל דלקים'!$B$64:$BV$84,BE$2-$E$2,FALSE))*$D$9*$D$8*(HLOOKUP(BE$23,$G$18:$R$19,2,FALSE)*(1-$D$12)^($F31-'הנחות עבודה'!$C$5)/$D$11)/$D$11)</f>
        <v>0</v>
      </c>
      <c r="BF31" s="44">
        <f ca="1">IF(OR($F31&gt;$D$5,$F31&gt;MAX('הנחות עבודה'!$B$69:$B$89)),0,(VLOOKUP($F31,'התפלגות ייצור וסל דלקים'!$B$64:$BV$84,BF$2-$E$2,FALSE))*$D$9*$D$8*(HLOOKUP(BF$23,$G$18:$R$19,2,FALSE)*(1-$D$12)^($F31-'הנחות עבודה'!$C$5)/$D$11)/$D$11)</f>
        <v>0</v>
      </c>
      <c r="BG31" s="44">
        <f ca="1">IF(OR($F31&gt;$D$5,$F31&gt;MAX('הנחות עבודה'!$B$69:$B$89)),0,(VLOOKUP($F31,'התפלגות ייצור וסל דלקים'!$B$64:$BV$84,BG$2-$E$2,FALSE))*$D$9*$D$8*(HLOOKUP(BG$23,$G$18:$R$19,2,FALSE)*(1-$D$12)^($F31-'הנחות עבודה'!$C$5)/$D$11)/$D$11)</f>
        <v>0</v>
      </c>
      <c r="BH31" s="44">
        <f ca="1">IF(OR($F31&gt;$D$5,$F31&gt;MAX('הנחות עבודה'!$B$69:$B$89)),0,(VLOOKUP($F31,'התפלגות ייצור וסל דלקים'!$B$64:$BV$84,BH$2-$E$2,FALSE))*$D$9*$D$8*(HLOOKUP(BH$23,$G$18:$R$19,2,FALSE)*(1-$D$12)^($F31-'הנחות עבודה'!$C$5)/$D$11)/$D$11)</f>
        <v>0</v>
      </c>
      <c r="BI31" s="42">
        <f ca="1">IF(OR($F31&gt;$D$5,$F31&gt;MAX('הנחות עבודה'!$B$69:$B$89)),0,(VLOOKUP($F31,'התפלגות ייצור וסל דלקים'!$B$64:$BV$84,BI$2-$E$2,FALSE))*$D$9*$D$8*(HLOOKUP(BI$23,$G$18:$R$19,2,FALSE)*(1-$D$12)^($F31-'הנחות עבודה'!$C$5)/$D$11)/$D$11)</f>
        <v>1.5039E-4</v>
      </c>
      <c r="BJ31" s="42">
        <f ca="1">IF(OR($F31&gt;$D$5,$F31&gt;MAX('הנחות עבודה'!$B$69:$B$89)),0,(VLOOKUP($F31,'התפלגות ייצור וסל דלקים'!$B$64:$BV$84,BJ$2-$E$2,FALSE))*$D$9*$D$8*(HLOOKUP(BJ$23,$G$18:$R$19,2,FALSE)*(1-$D$12)^($F31-'הנחות עבודה'!$C$5)/$D$11)/$D$11)</f>
        <v>8.4353854912000024E-4</v>
      </c>
      <c r="BK31" s="42">
        <f ca="1">IF(OR($F31&gt;$D$5,$F31&gt;MAX('הנחות עבודה'!$B$69:$B$89)),0,(VLOOKUP($F31,'התפלגות ייצור וסל דלקים'!$B$64:$BV$84,BK$2-$E$2,FALSE))*$D$9*$D$8*(HLOOKUP(BK$23,$G$18:$R$19,2,FALSE)*(1-$D$12)^($F31-'הנחות עבודה'!$C$5)/$D$11)/$D$11)</f>
        <v>0</v>
      </c>
      <c r="BL31" s="42">
        <f ca="1">IF(OR($F31&gt;$D$5,$F31&gt;MAX('הנחות עבודה'!$B$69:$B$89)),0,(VLOOKUP($F31,'התפלגות ייצור וסל דלקים'!$B$64:$BV$84,BL$2-$E$2,FALSE))*$D$9*$D$8*(HLOOKUP(BL$23,$G$18:$R$19,2,FALSE)*(1-$D$12)^($F31-'הנחות עבודה'!$C$5)/$D$11)/$D$11)</f>
        <v>0</v>
      </c>
      <c r="BM31" s="42">
        <f ca="1">IF(OR($F31&gt;$D$5,$F31&gt;MAX('הנחות עבודה'!$B$69:$B$89)),0,(VLOOKUP($F31,'התפלגות ייצור וסל דלקים'!$B$64:$BV$84,BM$2-$E$2,FALSE))*$D$9*$D$8*(HLOOKUP(BM$23,$G$18:$R$19,2,FALSE)*(1-$D$12)^($F31-'הנחות עבודה'!$C$5)/$D$11)/$D$11)</f>
        <v>0</v>
      </c>
      <c r="BN31" s="42">
        <f ca="1">IF(OR($F31&gt;$D$5,$F31&gt;MAX('הנחות עבודה'!$B$69:$B$89)),0,(VLOOKUP($F31,'התפלגות ייצור וסל דלקים'!$B$64:$BV$84,BN$2-$E$2,FALSE))*$D$9*$D$8*(HLOOKUP(BN$23,$G$18:$R$19,2,FALSE)*(1-$D$12)^($F31-'הנחות עבודה'!$C$5)/$D$11)/$D$11)</f>
        <v>0</v>
      </c>
      <c r="BO31" s="52">
        <f ca="1">IF(OR($F31&gt;$D$5,$F31&gt;MAX('הנחות עבודה'!$B$69:$B$89)),0,(VLOOKUP($F31,'התפלגות ייצור וסל דלקים'!$B$64:$BV$84,BO$2-$E$2,FALSE))*$D$9*$D$8*(HLOOKUP(BO$23,$G$18:$R$19,2,FALSE)*(1-$D$12)^($F31-'הנחות עבודה'!$C$5)/$D$11)/$D$11)</f>
        <v>0</v>
      </c>
      <c r="BP31" s="127">
        <f ca="1">IF(OR($F31&gt;$D$5,$F31&gt;MAX('הנחות עבודה'!$B$69:$B$89)),0,(VLOOKUP($F31,'התפלגות ייצור וסל דלקים'!$B$64:$BV$84,BP$2-$E$2,FALSE))*$D$9*$D$8*(HLOOKUP(BP$23,$G$18:$R$19,2,FALSE)*(1-$D$12)^($F31-'הנחות עבודה'!$C$5)/$D$11)/$D$11)</f>
        <v>0</v>
      </c>
      <c r="BQ31" s="127">
        <f ca="1">IF(OR($F31&gt;$D$5,$F31&gt;MAX('הנחות עבודה'!$B$69:$B$89)),0,(VLOOKUP($F31,'התפלגות ייצור וסל דלקים'!$B$64:$BV$84,BQ$2-$E$2,FALSE))*$D$9*$D$8*(HLOOKUP(BQ$23,$G$18:$R$19,2,FALSE)*(1-$D$12)^($F31-'הנחות עבודה'!$C$5)/$D$11)/$D$11)</f>
        <v>0</v>
      </c>
      <c r="BR31" s="127">
        <f ca="1">IF(OR($F31&gt;$D$5,$F31&gt;MAX('הנחות עבודה'!$B$69:$B$89)),0,(VLOOKUP($F31,'התפלגות ייצור וסל דלקים'!$B$64:$BV$84,BR$2-$E$2,FALSE))*$D$9*$D$8*(HLOOKUP(BR$23,$G$18:$R$19,2,FALSE)*(1-$D$12)^($F31-'הנחות עבודה'!$C$5)/$D$11)/$D$11)</f>
        <v>0</v>
      </c>
      <c r="BS31" s="127">
        <f ca="1">IF(OR($F31&gt;$D$5,$F31&gt;MAX('הנחות עבודה'!$B$69:$B$89)),0,(VLOOKUP($F31,'התפלגות ייצור וסל דלקים'!$B$64:$BV$84,BS$2-$E$2,FALSE))*$D$9*$D$8*(HLOOKUP(BS$23,$G$18:$R$19,2,FALSE)*(1-$D$12)^($F31-'הנחות עבודה'!$C$5)/$D$11)/$D$11)</f>
        <v>0</v>
      </c>
      <c r="BT31" s="127">
        <f ca="1">IF(OR($F31&gt;$D$5,$F31&gt;MAX('הנחות עבודה'!$B$69:$B$89)),0,(VLOOKUP($F31,'התפלגות ייצור וסל דלקים'!$B$64:$BV$84,BT$2-$E$2,FALSE))*$D$9*$D$8*(HLOOKUP(BT$23,$G$18:$R$19,2,FALSE)*(1-$D$12)^($F31-'הנחות עבודה'!$C$5)/$D$11)/$D$11)</f>
        <v>0</v>
      </c>
      <c r="BU31" s="52">
        <f ca="1">IF(OR($F31&gt;$D$5,$F31&gt;MAX('הנחות עבודה'!$B$69:$B$89)),0,(VLOOKUP($F31,'התפלגות ייצור וסל דלקים'!$B$64:$BV$84,BU$2-$E$2,FALSE))*$D$9*$D$8*(HLOOKUP(BU$23,$G$18:$R$19,2,FALSE)*(1-$D$12)^($F31-'הנחות עבודה'!$C$5)/$D$11)/$D$11)</f>
        <v>1.5039E-4</v>
      </c>
      <c r="BV31" s="52">
        <f ca="1">IF(OR($F31&gt;$D$5,$F31&gt;MAX('הנחות עבודה'!$B$69:$B$89)),0,(VLOOKUP($F31,'התפלגות ייצור וסל דלקים'!$B$64:$BV$84,BV$2-$E$2,FALSE))*$D$9*$D$8*(HLOOKUP(BV$23,$G$18:$R$19,2,FALSE)*(1-$D$12)^($F31-'הנחות עבודה'!$C$5)/$D$11)/$D$11)</f>
        <v>8.4353854912000024E-4</v>
      </c>
      <c r="BW31" s="52">
        <f ca="1">IF(OR($F31&gt;$D$5,$F31&gt;MAX('הנחות עבודה'!$B$69:$B$89)),0,(VLOOKUP($F31,'התפלגות ייצור וסל דלקים'!$B$64:$BV$84,BW$2-$E$2,FALSE))*$D$9*$D$8*(HLOOKUP(BW$23,$G$18:$R$19,2,FALSE)*(1-$D$12)^($F31-'הנחות עבודה'!$C$5)/$D$11)/$D$11)</f>
        <v>0</v>
      </c>
      <c r="BX31" s="52">
        <f ca="1">IF(OR($F31&gt;$D$5,$F31&gt;MAX('הנחות עבודה'!$B$69:$B$89)),0,(VLOOKUP($F31,'התפלגות ייצור וסל דלקים'!$B$64:$BV$84,BX$2-$E$2,FALSE))*$D$9*$D$8*(HLOOKUP(BX$23,$G$18:$R$19,2,FALSE)*(1-$D$12)^($F31-'הנחות עבודה'!$C$5)/$D$11)/$D$11)</f>
        <v>0</v>
      </c>
      <c r="BY31" s="52">
        <f ca="1">IF(OR($F31&gt;$D$5,$F31&gt;MAX('הנחות עבודה'!$B$69:$B$89)),0,(VLOOKUP($F31,'התפלגות ייצור וסל דלקים'!$B$64:$BV$84,BY$2-$E$2,FALSE))*$D$9*$D$8*(HLOOKUP(BY$23,$G$18:$R$19,2,FALSE)*(1-$D$12)^($F31-'הנחות עבודה'!$C$5)/$D$11)/$D$11)</f>
        <v>0</v>
      </c>
      <c r="BZ31" s="52">
        <f ca="1">IF(OR($F31&gt;$D$5,$F31&gt;MAX('הנחות עבודה'!$B$69:$B$89)),0,(VLOOKUP($F31,'התפלגות ייצור וסל דלקים'!$B$64:$BV$84,BZ$2-$E$2,FALSE))*$D$9*$D$8*(HLOOKUP(BZ$23,$G$18:$R$19,2,FALSE)*(1-$D$12)^($F31-'הנחות עבודה'!$C$5)/$D$11)/$D$11)</f>
        <v>0</v>
      </c>
    </row>
    <row r="32" spans="6:78" ht="15.75">
      <c r="F32" s="10">
        <f t="shared" si="114"/>
        <v>2028</v>
      </c>
      <c r="G32" s="42">
        <f ca="1">IF(OR($F32&gt;$D$5,$F32&gt;MAX('הנחות עבודה'!$B$69:$B$89)),0,(VLOOKUP($F32,'התפלגות ייצור וסל דלקים'!$B$64:$BV$84,G$2-$E$2,FALSE))*$D$9*$D$8*(HLOOKUP(G$23,$G$18:$R$19,2,FALSE)*(1-$D$12)^($F32-'הנחות עבודה'!$C$5)/$D$11)/$D$11)</f>
        <v>0</v>
      </c>
      <c r="H32" s="44">
        <f ca="1">IF(OR($F32&gt;$D$5,$F32&gt;MAX('הנחות עבודה'!$B$69:$B$89)),0,(VLOOKUP($F32,'התפלגות ייצור וסל דלקים'!$B$64:$BV$84,H$2-$E$2,FALSE))*$D$9*$D$8*(HLOOKUP(H$23,$G$18:$R$19,2,FALSE)*(1-$D$12)^($F32-'הנחות עבודה'!$C$5)/$D$11)/$D$11)</f>
        <v>0</v>
      </c>
      <c r="I32" s="44">
        <f ca="1">IF(OR($F32&gt;$D$5,$F32&gt;MAX('הנחות עבודה'!$B$69:$B$89)),0,(VLOOKUP($F32,'התפלגות ייצור וסל דלקים'!$B$64:$BV$84,I$2-$E$2,FALSE))*$D$9*$D$8*(HLOOKUP(I$23,$G$18:$R$19,2,FALSE)*(1-$D$12)^($F32-'הנחות עבודה'!$C$5)/$D$11)/$D$11)</f>
        <v>0</v>
      </c>
      <c r="J32" s="44">
        <f ca="1">IF(OR($F32&gt;$D$5,$F32&gt;MAX('הנחות עבודה'!$B$69:$B$89)),0,(VLOOKUP($F32,'התפלגות ייצור וסל דלקים'!$B$64:$BV$84,J$2-$E$2,FALSE))*$D$9*$D$8*(HLOOKUP(J$23,$G$18:$R$19,2,FALSE)*(1-$D$12)^($F32-'הנחות עבודה'!$C$5)/$D$11)/$D$11)</f>
        <v>0</v>
      </c>
      <c r="K32" s="44">
        <f ca="1">IF(OR($F32&gt;$D$5,$F32&gt;MAX('הנחות עבודה'!$B$69:$B$89)),0,(VLOOKUP($F32,'התפלגות ייצור וסל דלקים'!$B$64:$BV$84,K$2-$E$2,FALSE))*$D$9*$D$8*(HLOOKUP(K$23,$G$18:$R$19,2,FALSE)*(1-$D$12)^($F32-'הנחות עבודה'!$C$5)/$D$11)/$D$11)</f>
        <v>0</v>
      </c>
      <c r="L32" s="44">
        <f ca="1">IF(OR($F32&gt;$D$5,$F32&gt;MAX('הנחות עבודה'!$B$69:$B$89)),0,(VLOOKUP($F32,'התפלגות ייצור וסל דלקים'!$B$64:$BV$84,L$2-$E$2,FALSE))*$D$9*$D$8*(HLOOKUP(L$23,$G$18:$R$19,2,FALSE)*(1-$D$12)^($F32-'הנחות עבודה'!$C$5)/$D$11)/$D$11)</f>
        <v>0</v>
      </c>
      <c r="M32" s="42">
        <f ca="1">IF(OR($F32&gt;$D$5,$F32&gt;MAX('הנחות עבודה'!$B$69:$B$89)),0,(VLOOKUP($F32,'התפלגות ייצור וסל דלקים'!$B$64:$BV$84,M$2-$E$2,FALSE))*$D$9*$D$8*(HLOOKUP(M$23,$G$18:$R$19,2,FALSE)*(1-$D$12)^($F32-'הנחות עבודה'!$C$5)/$D$11)/$D$11)</f>
        <v>1.463696E-4</v>
      </c>
      <c r="N32" s="42">
        <f ca="1">IF(OR($F32&gt;$D$5,$F32&gt;MAX('הנחות עבודה'!$B$69:$B$89)),0,(VLOOKUP($F32,'התפלגות ייצור וסל דלקים'!$B$64:$BV$84,N$2-$E$2,FALSE))*$D$9*$D$8*(HLOOKUP(N$23,$G$18:$R$19,2,FALSE)*(1-$D$12)^($F32-'הנחות עבודה'!$C$5)/$D$11)/$D$11)</f>
        <v>1.002940662496E-3</v>
      </c>
      <c r="O32" s="42">
        <f ca="1">IF(OR($F32&gt;$D$5,$F32&gt;MAX('הנחות עבודה'!$B$69:$B$89)),0,(VLOOKUP($F32,'התפלגות ייצור וסל דלקים'!$B$64:$BV$84,O$2-$E$2,FALSE))*$D$9*$D$8*(HLOOKUP(O$23,$G$18:$R$19,2,FALSE)*(1-$D$12)^($F32-'הנחות עבודה'!$C$5)/$D$11)/$D$11)</f>
        <v>0</v>
      </c>
      <c r="P32" s="42">
        <f ca="1">IF(OR($F32&gt;$D$5,$F32&gt;MAX('הנחות עבודה'!$B$69:$B$89)),0,(VLOOKUP($F32,'התפלגות ייצור וסל דלקים'!$B$64:$BV$84,P$2-$E$2,FALSE))*$D$9*$D$8*(HLOOKUP(P$23,$G$18:$R$19,2,FALSE)*(1-$D$12)^($F32-'הנחות עבודה'!$C$5)/$D$11)/$D$11)</f>
        <v>0</v>
      </c>
      <c r="Q32" s="42">
        <f ca="1">IF(OR($F32&gt;$D$5,$F32&gt;MAX('הנחות עבודה'!$B$69:$B$89)),0,(VLOOKUP($F32,'התפלגות ייצור וסל דלקים'!$B$64:$BV$84,Q$2-$E$2,FALSE))*$D$9*$D$8*(HLOOKUP(Q$23,$G$18:$R$19,2,FALSE)*(1-$D$12)^($F32-'הנחות עבודה'!$C$5)/$D$11)/$D$11)</f>
        <v>0</v>
      </c>
      <c r="R32" s="42">
        <f ca="1">IF(OR($F32&gt;$D$5,$F32&gt;MAX('הנחות עבודה'!$B$69:$B$89)),0,(VLOOKUP($F32,'התפלגות ייצור וסל דלקים'!$B$64:$BV$84,R$2-$E$2,FALSE))*$D$9*$D$8*(HLOOKUP(R$23,$G$18:$R$19,2,FALSE)*(1-$D$12)^($F32-'הנחות עבודה'!$C$5)/$D$11)/$D$11)</f>
        <v>0</v>
      </c>
      <c r="S32" s="52">
        <f ca="1">IF(OR($F32&gt;$D$5,$F32&gt;MAX('הנחות עבודה'!$B$69:$B$89)),0,(VLOOKUP($F32,'התפלגות ייצור וסל דלקים'!$B$64:$BV$84,S$2-$E$2,FALSE))*$D$9*$D$8*(HLOOKUP(S$23,$G$18:$R$19,2,FALSE)*(1-$D$12)^($F32-'הנחות עבודה'!$C$5)/$D$11)/$D$11)</f>
        <v>0</v>
      </c>
      <c r="T32" s="127">
        <f ca="1">IF(OR($F32&gt;$D$5,$F32&gt;MAX('הנחות עבודה'!$B$69:$B$89)),0,(VLOOKUP($F32,'התפלגות ייצור וסל דלקים'!$B$64:$BV$84,T$2-$E$2,FALSE))*$D$9*$D$8*(HLOOKUP(T$23,$G$18:$R$19,2,FALSE)*(1-$D$12)^($F32-'הנחות עבודה'!$C$5)/$D$11)/$D$11)</f>
        <v>0</v>
      </c>
      <c r="U32" s="127">
        <f ca="1">IF(OR($F32&gt;$D$5,$F32&gt;MAX('הנחות עבודה'!$B$69:$B$89)),0,(VLOOKUP($F32,'התפלגות ייצור וסל דלקים'!$B$64:$BV$84,U$2-$E$2,FALSE))*$D$9*$D$8*(HLOOKUP(U$23,$G$18:$R$19,2,FALSE)*(1-$D$12)^($F32-'הנחות עבודה'!$C$5)/$D$11)/$D$11)</f>
        <v>0</v>
      </c>
      <c r="V32" s="127">
        <f ca="1">IF(OR($F32&gt;$D$5,$F32&gt;MAX('הנחות עבודה'!$B$69:$B$89)),0,(VLOOKUP($F32,'התפלגות ייצור וסל דלקים'!$B$64:$BV$84,V$2-$E$2,FALSE))*$D$9*$D$8*(HLOOKUP(V$23,$G$18:$R$19,2,FALSE)*(1-$D$12)^($F32-'הנחות עבודה'!$C$5)/$D$11)/$D$11)</f>
        <v>0</v>
      </c>
      <c r="W32" s="127">
        <f ca="1">IF(OR($F32&gt;$D$5,$F32&gt;MAX('הנחות עבודה'!$B$69:$B$89)),0,(VLOOKUP($F32,'התפלגות ייצור וסל דלקים'!$B$64:$BV$84,W$2-$E$2,FALSE))*$D$9*$D$8*(HLOOKUP(W$23,$G$18:$R$19,2,FALSE)*(1-$D$12)^($F32-'הנחות עבודה'!$C$5)/$D$11)/$D$11)</f>
        <v>0</v>
      </c>
      <c r="X32" s="127">
        <f ca="1">IF(OR($F32&gt;$D$5,$F32&gt;MAX('הנחות עבודה'!$B$69:$B$89)),0,(VLOOKUP($F32,'התפלגות ייצור וסל דלקים'!$B$64:$BV$84,X$2-$E$2,FALSE))*$D$9*$D$8*(HLOOKUP(X$23,$G$18:$R$19,2,FALSE)*(1-$D$12)^($F32-'הנחות עבודה'!$C$5)/$D$11)/$D$11)</f>
        <v>0</v>
      </c>
      <c r="Y32" s="52">
        <f ca="1">IF(OR($F32&gt;$D$5,$F32&gt;MAX('הנחות עבודה'!$B$69:$B$89)),0,(VLOOKUP($F32,'התפלגות ייצור וסל דלקים'!$B$64:$BV$84,Y$2-$E$2,FALSE))*$D$9*$D$8*(HLOOKUP(Y$23,$G$18:$R$19,2,FALSE)*(1-$D$12)^($F32-'הנחות עבודה'!$C$5)/$D$11)/$D$11)</f>
        <v>1.463696E-4</v>
      </c>
      <c r="Z32" s="52">
        <f ca="1">IF(OR($F32&gt;$D$5,$F32&gt;MAX('הנחות עבודה'!$B$69:$B$89)),0,(VLOOKUP($F32,'התפלגות ייצור וסל דלקים'!$B$64:$BV$84,Z$2-$E$2,FALSE))*$D$9*$D$8*(HLOOKUP(Z$23,$G$18:$R$19,2,FALSE)*(1-$D$12)^($F32-'הנחות עבודה'!$C$5)/$D$11)/$D$11)</f>
        <v>1.002940662496E-3</v>
      </c>
      <c r="AA32" s="52">
        <f ca="1">IF(OR($F32&gt;$D$5,$F32&gt;MAX('הנחות עבודה'!$B$69:$B$89)),0,(VLOOKUP($F32,'התפלגות ייצור וסל דלקים'!$B$64:$BV$84,AA$2-$E$2,FALSE))*$D$9*$D$8*(HLOOKUP(AA$23,$G$18:$R$19,2,FALSE)*(1-$D$12)^($F32-'הנחות עבודה'!$C$5)/$D$11)/$D$11)</f>
        <v>0</v>
      </c>
      <c r="AB32" s="52">
        <f ca="1">IF(OR($F32&gt;$D$5,$F32&gt;MAX('הנחות עבודה'!$B$69:$B$89)),0,(VLOOKUP($F32,'התפלגות ייצור וסל דלקים'!$B$64:$BV$84,AB$2-$E$2,FALSE))*$D$9*$D$8*(HLOOKUP(AB$23,$G$18:$R$19,2,FALSE)*(1-$D$12)^($F32-'הנחות עבודה'!$C$5)/$D$11)/$D$11)</f>
        <v>0</v>
      </c>
      <c r="AC32" s="52">
        <f ca="1">IF(OR($F32&gt;$D$5,$F32&gt;MAX('הנחות עבודה'!$B$69:$B$89)),0,(VLOOKUP($F32,'התפלגות ייצור וסל דלקים'!$B$64:$BV$84,AC$2-$E$2,FALSE))*$D$9*$D$8*(HLOOKUP(AC$23,$G$18:$R$19,2,FALSE)*(1-$D$12)^($F32-'הנחות עבודה'!$C$5)/$D$11)/$D$11)</f>
        <v>0</v>
      </c>
      <c r="AD32" s="52">
        <f ca="1">IF(OR($F32&gt;$D$5,$F32&gt;MAX('הנחות עבודה'!$B$69:$B$89)),0,(VLOOKUP($F32,'התפלגות ייצור וסל דלקים'!$B$64:$BV$84,AD$2-$E$2,FALSE))*$D$9*$D$8*(HLOOKUP(AD$23,$G$18:$R$19,2,FALSE)*(1-$D$12)^($F32-'הנחות עבודה'!$C$5)/$D$11)/$D$11)</f>
        <v>0</v>
      </c>
      <c r="AE32" s="42">
        <f ca="1">IF(OR($F32&gt;$D$5,$F32&gt;MAX('הנחות עבודה'!$B$69:$B$89)),0,(VLOOKUP($F32,'התפלגות ייצור וסל דלקים'!$B$64:$BV$84,AE$2-$E$2,FALSE))*$D$9*$D$8*(HLOOKUP(AE$23,$G$18:$R$19,2,FALSE)*(1-$D$12)^($F32-'הנחות עבודה'!$C$5)/$D$11)/$D$11)</f>
        <v>0</v>
      </c>
      <c r="AF32" s="44">
        <f ca="1">IF(OR($F32&gt;$D$5,$F32&gt;MAX('הנחות עבודה'!$B$69:$B$89)),0,(VLOOKUP($F32,'התפלגות ייצור וסל דלקים'!$B$64:$BV$84,AF$2-$E$2,FALSE))*$D$9*$D$8*(HLOOKUP(AF$23,$G$18:$R$19,2,FALSE)*(1-$D$12)^($F32-'הנחות עבודה'!$C$5)/$D$11)/$D$11)</f>
        <v>0</v>
      </c>
      <c r="AG32" s="44">
        <f ca="1">IF(OR($F32&gt;$D$5,$F32&gt;MAX('הנחות עבודה'!$B$69:$B$89)),0,(VLOOKUP($F32,'התפלגות ייצור וסל דלקים'!$B$64:$BV$84,AG$2-$E$2,FALSE))*$D$9*$D$8*(HLOOKUP(AG$23,$G$18:$R$19,2,FALSE)*(1-$D$12)^($F32-'הנחות עבודה'!$C$5)/$D$11)/$D$11)</f>
        <v>0</v>
      </c>
      <c r="AH32" s="44">
        <f ca="1">IF(OR($F32&gt;$D$5,$F32&gt;MAX('הנחות עבודה'!$B$69:$B$89)),0,(VLOOKUP($F32,'התפלגות ייצור וסל דלקים'!$B$64:$BV$84,AH$2-$E$2,FALSE))*$D$9*$D$8*(HLOOKUP(AH$23,$G$18:$R$19,2,FALSE)*(1-$D$12)^($F32-'הנחות עבודה'!$C$5)/$D$11)/$D$11)</f>
        <v>0</v>
      </c>
      <c r="AI32" s="44">
        <f ca="1">IF(OR($F32&gt;$D$5,$F32&gt;MAX('הנחות עבודה'!$B$69:$B$89)),0,(VLOOKUP($F32,'התפלגות ייצור וסל דלקים'!$B$64:$BV$84,AI$2-$E$2,FALSE))*$D$9*$D$8*(HLOOKUP(AI$23,$G$18:$R$19,2,FALSE)*(1-$D$12)^($F32-'הנחות עבודה'!$C$5)/$D$11)/$D$11)</f>
        <v>0</v>
      </c>
      <c r="AJ32" s="44">
        <f ca="1">IF(OR($F32&gt;$D$5,$F32&gt;MAX('הנחות עבודה'!$B$69:$B$89)),0,(VLOOKUP($F32,'התפלגות ייצור וסל דלקים'!$B$64:$BV$84,AJ$2-$E$2,FALSE))*$D$9*$D$8*(HLOOKUP(AJ$23,$G$18:$R$19,2,FALSE)*(1-$D$12)^($F32-'הנחות עבודה'!$C$5)/$D$11)/$D$11)</f>
        <v>0</v>
      </c>
      <c r="AK32" s="42">
        <f ca="1">IF(OR($F32&gt;$D$5,$F32&gt;MAX('הנחות עבודה'!$B$69:$B$89)),0,(VLOOKUP($F32,'התפלגות ייצור וסל דלקים'!$B$64:$BV$84,AK$2-$E$2,FALSE))*$D$9*$D$8*(HLOOKUP(AK$23,$G$18:$R$19,2,FALSE)*(1-$D$12)^($F32-'הנחות עבודה'!$C$5)/$D$11)/$D$11)</f>
        <v>1.4951640000000001E-4</v>
      </c>
      <c r="AL32" s="42">
        <f ca="1">IF(OR($F32&gt;$D$5,$F32&gt;MAX('הנחות עבודה'!$B$69:$B$89)),0,(VLOOKUP($F32,'התפלגות ייצור וסל דלקים'!$B$64:$BV$84,AL$2-$E$2,FALSE))*$D$9*$D$8*(HLOOKUP(AL$23,$G$18:$R$19,2,FALSE)*(1-$D$12)^($F32-'הנחות עבודה'!$C$5)/$D$11)/$D$11)</f>
        <v>9.0092194528000006E-4</v>
      </c>
      <c r="AM32" s="42">
        <f ca="1">IF(OR($F32&gt;$D$5,$F32&gt;MAX('הנחות עבודה'!$B$69:$B$89)),0,(VLOOKUP($F32,'התפלגות ייצור וסל דלקים'!$B$64:$BV$84,AM$2-$E$2,FALSE))*$D$9*$D$8*(HLOOKUP(AM$23,$G$18:$R$19,2,FALSE)*(1-$D$12)^($F32-'הנחות עבודה'!$C$5)/$D$11)/$D$11)</f>
        <v>0</v>
      </c>
      <c r="AN32" s="42">
        <f ca="1">IF(OR($F32&gt;$D$5,$F32&gt;MAX('הנחות עבודה'!$B$69:$B$89)),0,(VLOOKUP($F32,'התפלגות ייצור וסל דלקים'!$B$64:$BV$84,AN$2-$E$2,FALSE))*$D$9*$D$8*(HLOOKUP(AN$23,$G$18:$R$19,2,FALSE)*(1-$D$12)^($F32-'הנחות עבודה'!$C$5)/$D$11)/$D$11)</f>
        <v>0</v>
      </c>
      <c r="AO32" s="42">
        <f ca="1">IF(OR($F32&gt;$D$5,$F32&gt;MAX('הנחות עבודה'!$B$69:$B$89)),0,(VLOOKUP($F32,'התפלגות ייצור וסל דלקים'!$B$64:$BV$84,AO$2-$E$2,FALSE))*$D$9*$D$8*(HLOOKUP(AO$23,$G$18:$R$19,2,FALSE)*(1-$D$12)^($F32-'הנחות עבודה'!$C$5)/$D$11)/$D$11)</f>
        <v>0</v>
      </c>
      <c r="AP32" s="42">
        <f ca="1">IF(OR($F32&gt;$D$5,$F32&gt;MAX('הנחות עבודה'!$B$69:$B$89)),0,(VLOOKUP($F32,'התפלגות ייצור וסל דלקים'!$B$64:$BV$84,AP$2-$E$2,FALSE))*$D$9*$D$8*(HLOOKUP(AP$23,$G$18:$R$19,2,FALSE)*(1-$D$12)^($F32-'הנחות עבודה'!$C$5)/$D$11)/$D$11)</f>
        <v>0</v>
      </c>
      <c r="AQ32" s="52">
        <f ca="1">IF(OR($F32&gt;$D$5,$F32&gt;MAX('הנחות עבודה'!$B$69:$B$89)),0,(VLOOKUP($F32,'התפלגות ייצור וסל דלקים'!$B$64:$BV$84,AQ$2-$E$2,FALSE))*$D$9*$D$8*(HLOOKUP(AQ$23,$G$18:$R$19,2,FALSE)*(1-$D$12)^($F32-'הנחות עבודה'!$C$5)/$D$11)/$D$11)</f>
        <v>0</v>
      </c>
      <c r="AR32" s="127">
        <f ca="1">IF(OR($F32&gt;$D$5,$F32&gt;MAX('הנחות עבודה'!$B$69:$B$89)),0,(VLOOKUP($F32,'התפלגות ייצור וסל דלקים'!$B$64:$BV$84,AR$2-$E$2,FALSE))*$D$9*$D$8*(HLOOKUP(AR$23,$G$18:$R$19,2,FALSE)*(1-$D$12)^($F32-'הנחות עבודה'!$C$5)/$D$11)/$D$11)</f>
        <v>0</v>
      </c>
      <c r="AS32" s="127">
        <f ca="1">IF(OR($F32&gt;$D$5,$F32&gt;MAX('הנחות עבודה'!$B$69:$B$89)),0,(VLOOKUP($F32,'התפלגות ייצור וסל דלקים'!$B$64:$BV$84,AS$2-$E$2,FALSE))*$D$9*$D$8*(HLOOKUP(AS$23,$G$18:$R$19,2,FALSE)*(1-$D$12)^($F32-'הנחות עבודה'!$C$5)/$D$11)/$D$11)</f>
        <v>0</v>
      </c>
      <c r="AT32" s="127">
        <f ca="1">IF(OR($F32&gt;$D$5,$F32&gt;MAX('הנחות עבודה'!$B$69:$B$89)),0,(VLOOKUP($F32,'התפלגות ייצור וסל דלקים'!$B$64:$BV$84,AT$2-$E$2,FALSE))*$D$9*$D$8*(HLOOKUP(AT$23,$G$18:$R$19,2,FALSE)*(1-$D$12)^($F32-'הנחות עבודה'!$C$5)/$D$11)/$D$11)</f>
        <v>0</v>
      </c>
      <c r="AU32" s="127">
        <f ca="1">IF(OR($F32&gt;$D$5,$F32&gt;MAX('הנחות עבודה'!$B$69:$B$89)),0,(VLOOKUP($F32,'התפלגות ייצור וסל דלקים'!$B$64:$BV$84,AU$2-$E$2,FALSE))*$D$9*$D$8*(HLOOKUP(AU$23,$G$18:$R$19,2,FALSE)*(1-$D$12)^($F32-'הנחות עבודה'!$C$5)/$D$11)/$D$11)</f>
        <v>0</v>
      </c>
      <c r="AV32" s="127">
        <f ca="1">IF(OR($F32&gt;$D$5,$F32&gt;MAX('הנחות עבודה'!$B$69:$B$89)),0,(VLOOKUP($F32,'התפלגות ייצור וסל דלקים'!$B$64:$BV$84,AV$2-$E$2,FALSE))*$D$9*$D$8*(HLOOKUP(AV$23,$G$18:$R$19,2,FALSE)*(1-$D$12)^($F32-'הנחות עבודה'!$C$5)/$D$11)/$D$11)</f>
        <v>0</v>
      </c>
      <c r="AW32" s="52">
        <f ca="1">IF(OR($F32&gt;$D$5,$F32&gt;MAX('הנחות עבודה'!$B$69:$B$89)),0,(VLOOKUP($F32,'התפלגות ייצור וסל דלקים'!$B$64:$BV$84,AW$2-$E$2,FALSE))*$D$9*$D$8*(HLOOKUP(AW$23,$G$18:$R$19,2,FALSE)*(1-$D$12)^($F32-'הנחות עבודה'!$C$5)/$D$11)/$D$11)</f>
        <v>1.4951640000000001E-4</v>
      </c>
      <c r="AX32" s="52">
        <f ca="1">IF(OR($F32&gt;$D$5,$F32&gt;MAX('הנחות עבודה'!$B$69:$B$89)),0,(VLOOKUP($F32,'התפלגות ייצור וסל דלקים'!$B$64:$BV$84,AX$2-$E$2,FALSE))*$D$9*$D$8*(HLOOKUP(AX$23,$G$18:$R$19,2,FALSE)*(1-$D$12)^($F32-'הנחות עבודה'!$C$5)/$D$11)/$D$11)</f>
        <v>9.0092194528000006E-4</v>
      </c>
      <c r="AY32" s="52">
        <f ca="1">IF(OR($F32&gt;$D$5,$F32&gt;MAX('הנחות עבודה'!$B$69:$B$89)),0,(VLOOKUP($F32,'התפלגות ייצור וסל דלקים'!$B$64:$BV$84,AY$2-$E$2,FALSE))*$D$9*$D$8*(HLOOKUP(AY$23,$G$18:$R$19,2,FALSE)*(1-$D$12)^($F32-'הנחות עבודה'!$C$5)/$D$11)/$D$11)</f>
        <v>0</v>
      </c>
      <c r="AZ32" s="52">
        <f ca="1">IF(OR($F32&gt;$D$5,$F32&gt;MAX('הנחות עבודה'!$B$69:$B$89)),0,(VLOOKUP($F32,'התפלגות ייצור וסל דלקים'!$B$64:$BV$84,AZ$2-$E$2,FALSE))*$D$9*$D$8*(HLOOKUP(AZ$23,$G$18:$R$19,2,FALSE)*(1-$D$12)^($F32-'הנחות עבודה'!$C$5)/$D$11)/$D$11)</f>
        <v>0</v>
      </c>
      <c r="BA32" s="52">
        <f ca="1">IF(OR($F32&gt;$D$5,$F32&gt;MAX('הנחות עבודה'!$B$69:$B$89)),0,(VLOOKUP($F32,'התפלגות ייצור וסל דלקים'!$B$64:$BV$84,BA$2-$E$2,FALSE))*$D$9*$D$8*(HLOOKUP(BA$23,$G$18:$R$19,2,FALSE)*(1-$D$12)^($F32-'הנחות עבודה'!$C$5)/$D$11)/$D$11)</f>
        <v>0</v>
      </c>
      <c r="BB32" s="52">
        <f ca="1">IF(OR($F32&gt;$D$5,$F32&gt;MAX('הנחות עבודה'!$B$69:$B$89)),0,(VLOOKUP($F32,'התפלגות ייצור וסל דלקים'!$B$64:$BV$84,BB$2-$E$2,FALSE))*$D$9*$D$8*(HLOOKUP(BB$23,$G$18:$R$19,2,FALSE)*(1-$D$12)^($F32-'הנחות עבודה'!$C$5)/$D$11)/$D$11)</f>
        <v>0</v>
      </c>
      <c r="BC32" s="42">
        <f ca="1">IF(OR($F32&gt;$D$5,$F32&gt;MAX('הנחות עבודה'!$B$69:$B$89)),0,(VLOOKUP($F32,'התפלגות ייצור וסל דלקים'!$B$64:$BV$84,BC$2-$E$2,FALSE))*$D$9*$D$8*(HLOOKUP(BC$23,$G$18:$R$19,2,FALSE)*(1-$D$12)^($F32-'הנחות עבודה'!$C$5)/$D$11)/$D$11)</f>
        <v>0</v>
      </c>
      <c r="BD32" s="44">
        <f ca="1">IF(OR($F32&gt;$D$5,$F32&gt;MAX('הנחות עבודה'!$B$69:$B$89)),0,(VLOOKUP($F32,'התפלגות ייצור וסל דלקים'!$B$64:$BV$84,BD$2-$E$2,FALSE))*$D$9*$D$8*(HLOOKUP(BD$23,$G$18:$R$19,2,FALSE)*(1-$D$12)^($F32-'הנחות עבודה'!$C$5)/$D$11)/$D$11)</f>
        <v>0</v>
      </c>
      <c r="BE32" s="44">
        <f ca="1">IF(OR($F32&gt;$D$5,$F32&gt;MAX('הנחות עבודה'!$B$69:$B$89)),0,(VLOOKUP($F32,'התפלגות ייצור וסל דלקים'!$B$64:$BV$84,BE$2-$E$2,FALSE))*$D$9*$D$8*(HLOOKUP(BE$23,$G$18:$R$19,2,FALSE)*(1-$D$12)^($F32-'הנחות עבודה'!$C$5)/$D$11)/$D$11)</f>
        <v>0</v>
      </c>
      <c r="BF32" s="44">
        <f ca="1">IF(OR($F32&gt;$D$5,$F32&gt;MAX('הנחות עבודה'!$B$69:$B$89)),0,(VLOOKUP($F32,'התפלגות ייצור וסל דלקים'!$B$64:$BV$84,BF$2-$E$2,FALSE))*$D$9*$D$8*(HLOOKUP(BF$23,$G$18:$R$19,2,FALSE)*(1-$D$12)^($F32-'הנחות עבודה'!$C$5)/$D$11)/$D$11)</f>
        <v>0</v>
      </c>
      <c r="BG32" s="44">
        <f ca="1">IF(OR($F32&gt;$D$5,$F32&gt;MAX('הנחות עבודה'!$B$69:$B$89)),0,(VLOOKUP($F32,'התפלגות ייצור וסל דלקים'!$B$64:$BV$84,BG$2-$E$2,FALSE))*$D$9*$D$8*(HLOOKUP(BG$23,$G$18:$R$19,2,FALSE)*(1-$D$12)^($F32-'הנחות עבודה'!$C$5)/$D$11)/$D$11)</f>
        <v>0</v>
      </c>
      <c r="BH32" s="44">
        <f ca="1">IF(OR($F32&gt;$D$5,$F32&gt;MAX('הנחות עבודה'!$B$69:$B$89)),0,(VLOOKUP($F32,'התפלגות ייצור וסל דלקים'!$B$64:$BV$84,BH$2-$E$2,FALSE))*$D$9*$D$8*(HLOOKUP(BH$23,$G$18:$R$19,2,FALSE)*(1-$D$12)^($F32-'הנחות עבודה'!$C$5)/$D$11)/$D$11)</f>
        <v>0</v>
      </c>
      <c r="BI32" s="42">
        <f ca="1">IF(OR($F32&gt;$D$5,$F32&gt;MAX('הנחות עבודה'!$B$69:$B$89)),0,(VLOOKUP($F32,'התפלגות ייצור וסל דלקים'!$B$64:$BV$84,BI$2-$E$2,FALSE))*$D$9*$D$8*(HLOOKUP(BI$23,$G$18:$R$19,2,FALSE)*(1-$D$12)^($F32-'הנחות עבודה'!$C$5)/$D$11)/$D$11)</f>
        <v>1.5287999999999999E-4</v>
      </c>
      <c r="BJ32" s="42">
        <f ca="1">IF(OR($F32&gt;$D$5,$F32&gt;MAX('הנחות עבודה'!$B$69:$B$89)),0,(VLOOKUP($F32,'התפלגות ייצור וסל דלקים'!$B$64:$BV$84,BJ$2-$E$2,FALSE))*$D$9*$D$8*(HLOOKUP(BJ$23,$G$18:$R$19,2,FALSE)*(1-$D$12)^($F32-'הנחות עבודה'!$C$5)/$D$11)/$D$11)</f>
        <v>8.3725867424E-4</v>
      </c>
      <c r="BK32" s="42">
        <f ca="1">IF(OR($F32&gt;$D$5,$F32&gt;MAX('הנחות עבודה'!$B$69:$B$89)),0,(VLOOKUP($F32,'התפלגות ייצור וסל דלקים'!$B$64:$BV$84,BK$2-$E$2,FALSE))*$D$9*$D$8*(HLOOKUP(BK$23,$G$18:$R$19,2,FALSE)*(1-$D$12)^($F32-'הנחות עבודה'!$C$5)/$D$11)/$D$11)</f>
        <v>0</v>
      </c>
      <c r="BL32" s="42">
        <f ca="1">IF(OR($F32&gt;$D$5,$F32&gt;MAX('הנחות עבודה'!$B$69:$B$89)),0,(VLOOKUP($F32,'התפלגות ייצור וסל דלקים'!$B$64:$BV$84,BL$2-$E$2,FALSE))*$D$9*$D$8*(HLOOKUP(BL$23,$G$18:$R$19,2,FALSE)*(1-$D$12)^($F32-'הנחות עבודה'!$C$5)/$D$11)/$D$11)</f>
        <v>0</v>
      </c>
      <c r="BM32" s="42">
        <f ca="1">IF(OR($F32&gt;$D$5,$F32&gt;MAX('הנחות עבודה'!$B$69:$B$89)),0,(VLOOKUP($F32,'התפלגות ייצור וסל דלקים'!$B$64:$BV$84,BM$2-$E$2,FALSE))*$D$9*$D$8*(HLOOKUP(BM$23,$G$18:$R$19,2,FALSE)*(1-$D$12)^($F32-'הנחות עבודה'!$C$5)/$D$11)/$D$11)</f>
        <v>0</v>
      </c>
      <c r="BN32" s="42">
        <f ca="1">IF(OR($F32&gt;$D$5,$F32&gt;MAX('הנחות עבודה'!$B$69:$B$89)),0,(VLOOKUP($F32,'התפלגות ייצור וסל דלקים'!$B$64:$BV$84,BN$2-$E$2,FALSE))*$D$9*$D$8*(HLOOKUP(BN$23,$G$18:$R$19,2,FALSE)*(1-$D$12)^($F32-'הנחות עבודה'!$C$5)/$D$11)/$D$11)</f>
        <v>0</v>
      </c>
      <c r="BO32" s="52">
        <f ca="1">IF(OR($F32&gt;$D$5,$F32&gt;MAX('הנחות עבודה'!$B$69:$B$89)),0,(VLOOKUP($F32,'התפלגות ייצור וסל דלקים'!$B$64:$BV$84,BO$2-$E$2,FALSE))*$D$9*$D$8*(HLOOKUP(BO$23,$G$18:$R$19,2,FALSE)*(1-$D$12)^($F32-'הנחות עבודה'!$C$5)/$D$11)/$D$11)</f>
        <v>0</v>
      </c>
      <c r="BP32" s="127">
        <f ca="1">IF(OR($F32&gt;$D$5,$F32&gt;MAX('הנחות עבודה'!$B$69:$B$89)),0,(VLOOKUP($F32,'התפלגות ייצור וסל דלקים'!$B$64:$BV$84,BP$2-$E$2,FALSE))*$D$9*$D$8*(HLOOKUP(BP$23,$G$18:$R$19,2,FALSE)*(1-$D$12)^($F32-'הנחות עבודה'!$C$5)/$D$11)/$D$11)</f>
        <v>0</v>
      </c>
      <c r="BQ32" s="127">
        <f ca="1">IF(OR($F32&gt;$D$5,$F32&gt;MAX('הנחות עבודה'!$B$69:$B$89)),0,(VLOOKUP($F32,'התפלגות ייצור וסל דלקים'!$B$64:$BV$84,BQ$2-$E$2,FALSE))*$D$9*$D$8*(HLOOKUP(BQ$23,$G$18:$R$19,2,FALSE)*(1-$D$12)^($F32-'הנחות עבודה'!$C$5)/$D$11)/$D$11)</f>
        <v>0</v>
      </c>
      <c r="BR32" s="127">
        <f ca="1">IF(OR($F32&gt;$D$5,$F32&gt;MAX('הנחות עבודה'!$B$69:$B$89)),0,(VLOOKUP($F32,'התפלגות ייצור וסל דלקים'!$B$64:$BV$84,BR$2-$E$2,FALSE))*$D$9*$D$8*(HLOOKUP(BR$23,$G$18:$R$19,2,FALSE)*(1-$D$12)^($F32-'הנחות עבודה'!$C$5)/$D$11)/$D$11)</f>
        <v>0</v>
      </c>
      <c r="BS32" s="127">
        <f ca="1">IF(OR($F32&gt;$D$5,$F32&gt;MAX('הנחות עבודה'!$B$69:$B$89)),0,(VLOOKUP($F32,'התפלגות ייצור וסל דלקים'!$B$64:$BV$84,BS$2-$E$2,FALSE))*$D$9*$D$8*(HLOOKUP(BS$23,$G$18:$R$19,2,FALSE)*(1-$D$12)^($F32-'הנחות עבודה'!$C$5)/$D$11)/$D$11)</f>
        <v>0</v>
      </c>
      <c r="BT32" s="127">
        <f ca="1">IF(OR($F32&gt;$D$5,$F32&gt;MAX('הנחות עבודה'!$B$69:$B$89)),0,(VLOOKUP($F32,'התפלגות ייצור וסל דלקים'!$B$64:$BV$84,BT$2-$E$2,FALSE))*$D$9*$D$8*(HLOOKUP(BT$23,$G$18:$R$19,2,FALSE)*(1-$D$12)^($F32-'הנחות עבודה'!$C$5)/$D$11)/$D$11)</f>
        <v>0</v>
      </c>
      <c r="BU32" s="52">
        <f ca="1">IF(OR($F32&gt;$D$5,$F32&gt;MAX('הנחות עבודה'!$B$69:$B$89)),0,(VLOOKUP($F32,'התפלגות ייצור וסל דלקים'!$B$64:$BV$84,BU$2-$E$2,FALSE))*$D$9*$D$8*(HLOOKUP(BU$23,$G$18:$R$19,2,FALSE)*(1-$D$12)^($F32-'הנחות עבודה'!$C$5)/$D$11)/$D$11)</f>
        <v>1.5287999999999999E-4</v>
      </c>
      <c r="BV32" s="52">
        <f ca="1">IF(OR($F32&gt;$D$5,$F32&gt;MAX('הנחות עבודה'!$B$69:$B$89)),0,(VLOOKUP($F32,'התפלגות ייצור וסל דלקים'!$B$64:$BV$84,BV$2-$E$2,FALSE))*$D$9*$D$8*(HLOOKUP(BV$23,$G$18:$R$19,2,FALSE)*(1-$D$12)^($F32-'הנחות עבודה'!$C$5)/$D$11)/$D$11)</f>
        <v>8.3725867424E-4</v>
      </c>
      <c r="BW32" s="52">
        <f ca="1">IF(OR($F32&gt;$D$5,$F32&gt;MAX('הנחות עבודה'!$B$69:$B$89)),0,(VLOOKUP($F32,'התפלגות ייצור וסל דלקים'!$B$64:$BV$84,BW$2-$E$2,FALSE))*$D$9*$D$8*(HLOOKUP(BW$23,$G$18:$R$19,2,FALSE)*(1-$D$12)^($F32-'הנחות עבודה'!$C$5)/$D$11)/$D$11)</f>
        <v>0</v>
      </c>
      <c r="BX32" s="52">
        <f ca="1">IF(OR($F32&gt;$D$5,$F32&gt;MAX('הנחות עבודה'!$B$69:$B$89)),0,(VLOOKUP($F32,'התפלגות ייצור וסל דלקים'!$B$64:$BV$84,BX$2-$E$2,FALSE))*$D$9*$D$8*(HLOOKUP(BX$23,$G$18:$R$19,2,FALSE)*(1-$D$12)^($F32-'הנחות עבודה'!$C$5)/$D$11)/$D$11)</f>
        <v>0</v>
      </c>
      <c r="BY32" s="52">
        <f ca="1">IF(OR($F32&gt;$D$5,$F32&gt;MAX('הנחות עבודה'!$B$69:$B$89)),0,(VLOOKUP($F32,'התפלגות ייצור וסל דלקים'!$B$64:$BV$84,BY$2-$E$2,FALSE))*$D$9*$D$8*(HLOOKUP(BY$23,$G$18:$R$19,2,FALSE)*(1-$D$12)^($F32-'הנחות עבודה'!$C$5)/$D$11)/$D$11)</f>
        <v>0</v>
      </c>
      <c r="BZ32" s="52">
        <f ca="1">IF(OR($F32&gt;$D$5,$F32&gt;MAX('הנחות עבודה'!$B$69:$B$89)),0,(VLOOKUP($F32,'התפלגות ייצור וסל דלקים'!$B$64:$BV$84,BZ$2-$E$2,FALSE))*$D$9*$D$8*(HLOOKUP(BZ$23,$G$18:$R$19,2,FALSE)*(1-$D$12)^($F32-'הנחות עבודה'!$C$5)/$D$11)/$D$11)</f>
        <v>0</v>
      </c>
    </row>
    <row r="33" spans="6:78" ht="15.75">
      <c r="F33" s="10">
        <f t="shared" si="114"/>
        <v>2029</v>
      </c>
      <c r="G33" s="42">
        <f ca="1">IF(OR($F33&gt;$D$5,$F33&gt;MAX('הנחות עבודה'!$B$69:$B$89)),0,(VLOOKUP($F33,'התפלגות ייצור וסל דלקים'!$B$64:$BV$84,G$2-$E$2,FALSE))*$D$9*$D$8*(HLOOKUP(G$23,$G$18:$R$19,2,FALSE)*(1-$D$12)^($F33-'הנחות עבודה'!$C$5)/$D$11)/$D$11)</f>
        <v>0</v>
      </c>
      <c r="H33" s="44">
        <f ca="1">IF(OR($F33&gt;$D$5,$F33&gt;MAX('הנחות עבודה'!$B$69:$B$89)),0,(VLOOKUP($F33,'התפלגות ייצור וסל דלקים'!$B$64:$BV$84,H$2-$E$2,FALSE))*$D$9*$D$8*(HLOOKUP(H$23,$G$18:$R$19,2,FALSE)*(1-$D$12)^($F33-'הנחות עבודה'!$C$5)/$D$11)/$D$11)</f>
        <v>0</v>
      </c>
      <c r="I33" s="44">
        <f ca="1">IF(OR($F33&gt;$D$5,$F33&gt;MAX('הנחות עבודה'!$B$69:$B$89)),0,(VLOOKUP($F33,'התפלגות ייצור וסל דלקים'!$B$64:$BV$84,I$2-$E$2,FALSE))*$D$9*$D$8*(HLOOKUP(I$23,$G$18:$R$19,2,FALSE)*(1-$D$12)^($F33-'הנחות עבודה'!$C$5)/$D$11)/$D$11)</f>
        <v>0</v>
      </c>
      <c r="J33" s="44">
        <f ca="1">IF(OR($F33&gt;$D$5,$F33&gt;MAX('הנחות עבודה'!$B$69:$B$89)),0,(VLOOKUP($F33,'התפלגות ייצור וסל דלקים'!$B$64:$BV$84,J$2-$E$2,FALSE))*$D$9*$D$8*(HLOOKUP(J$23,$G$18:$R$19,2,FALSE)*(1-$D$12)^($F33-'הנחות עבודה'!$C$5)/$D$11)/$D$11)</f>
        <v>0</v>
      </c>
      <c r="K33" s="44">
        <f ca="1">IF(OR($F33&gt;$D$5,$F33&gt;MAX('הנחות עבודה'!$B$69:$B$89)),0,(VLOOKUP($F33,'התפלגות ייצור וסל דלקים'!$B$64:$BV$84,K$2-$E$2,FALSE))*$D$9*$D$8*(HLOOKUP(K$23,$G$18:$R$19,2,FALSE)*(1-$D$12)^($F33-'הנחות עבודה'!$C$5)/$D$11)/$D$11)</f>
        <v>0</v>
      </c>
      <c r="L33" s="44">
        <f ca="1">IF(OR($F33&gt;$D$5,$F33&gt;MAX('הנחות עבודה'!$B$69:$B$89)),0,(VLOOKUP($F33,'התפלגות ייצור וסל דלקים'!$B$64:$BV$84,L$2-$E$2,FALSE))*$D$9*$D$8*(HLOOKUP(L$23,$G$18:$R$19,2,FALSE)*(1-$D$12)^($F33-'הנחות עבודה'!$C$5)/$D$11)/$D$11)</f>
        <v>0</v>
      </c>
      <c r="M33" s="42">
        <f ca="1">IF(OR($F33&gt;$D$5,$F33&gt;MAX('הנחות עבודה'!$B$69:$B$89)),0,(VLOOKUP($F33,'התפלגות ייצור וסל דלקים'!$B$64:$BV$84,M$2-$E$2,FALSE))*$D$9*$D$8*(HLOOKUP(M$23,$G$18:$R$19,2,FALSE)*(1-$D$12)^($F33-'הנחות עבודה'!$C$5)/$D$11)/$D$11)</f>
        <v>1.469609E-4</v>
      </c>
      <c r="N33" s="42">
        <f ca="1">IF(OR($F33&gt;$D$5,$F33&gt;MAX('הנחות עבודה'!$B$69:$B$89)),0,(VLOOKUP($F33,'התפלגות ייצור וסל דלקים'!$B$64:$BV$84,N$2-$E$2,FALSE))*$D$9*$D$8*(HLOOKUP(N$23,$G$18:$R$19,2,FALSE)*(1-$D$12)^($F33-'הנחות עבודה'!$C$5)/$D$11)/$D$11)</f>
        <v>1.0277928089599999E-3</v>
      </c>
      <c r="O33" s="42">
        <f ca="1">IF(OR($F33&gt;$D$5,$F33&gt;MAX('הנחות עבודה'!$B$69:$B$89)),0,(VLOOKUP($F33,'התפלגות ייצור וסל דלקים'!$B$64:$BV$84,O$2-$E$2,FALSE))*$D$9*$D$8*(HLOOKUP(O$23,$G$18:$R$19,2,FALSE)*(1-$D$12)^($F33-'הנחות עבודה'!$C$5)/$D$11)/$D$11)</f>
        <v>0</v>
      </c>
      <c r="P33" s="42">
        <f ca="1">IF(OR($F33&gt;$D$5,$F33&gt;MAX('הנחות עבודה'!$B$69:$B$89)),0,(VLOOKUP($F33,'התפלגות ייצור וסל דלקים'!$B$64:$BV$84,P$2-$E$2,FALSE))*$D$9*$D$8*(HLOOKUP(P$23,$G$18:$R$19,2,FALSE)*(1-$D$12)^($F33-'הנחות עבודה'!$C$5)/$D$11)/$D$11)</f>
        <v>0</v>
      </c>
      <c r="Q33" s="42">
        <f ca="1">IF(OR($F33&gt;$D$5,$F33&gt;MAX('הנחות עבודה'!$B$69:$B$89)),0,(VLOOKUP($F33,'התפלגות ייצור וסל דלקים'!$B$64:$BV$84,Q$2-$E$2,FALSE))*$D$9*$D$8*(HLOOKUP(Q$23,$G$18:$R$19,2,FALSE)*(1-$D$12)^($F33-'הנחות עבודה'!$C$5)/$D$11)/$D$11)</f>
        <v>0</v>
      </c>
      <c r="R33" s="42">
        <f ca="1">IF(OR($F33&gt;$D$5,$F33&gt;MAX('הנחות עבודה'!$B$69:$B$89)),0,(VLOOKUP($F33,'התפלגות ייצור וסל דלקים'!$B$64:$BV$84,R$2-$E$2,FALSE))*$D$9*$D$8*(HLOOKUP(R$23,$G$18:$R$19,2,FALSE)*(1-$D$12)^($F33-'הנחות עבודה'!$C$5)/$D$11)/$D$11)</f>
        <v>0</v>
      </c>
      <c r="S33" s="52">
        <f ca="1">IF(OR($F33&gt;$D$5,$F33&gt;MAX('הנחות עבודה'!$B$69:$B$89)),0,(VLOOKUP($F33,'התפלגות ייצור וסל דלקים'!$B$64:$BV$84,S$2-$E$2,FALSE))*$D$9*$D$8*(HLOOKUP(S$23,$G$18:$R$19,2,FALSE)*(1-$D$12)^($F33-'הנחות עבודה'!$C$5)/$D$11)/$D$11)</f>
        <v>0</v>
      </c>
      <c r="T33" s="127">
        <f ca="1">IF(OR($F33&gt;$D$5,$F33&gt;MAX('הנחות עבודה'!$B$69:$B$89)),0,(VLOOKUP($F33,'התפלגות ייצור וסל דלקים'!$B$64:$BV$84,T$2-$E$2,FALSE))*$D$9*$D$8*(HLOOKUP(T$23,$G$18:$R$19,2,FALSE)*(1-$D$12)^($F33-'הנחות עבודה'!$C$5)/$D$11)/$D$11)</f>
        <v>0</v>
      </c>
      <c r="U33" s="127">
        <f ca="1">IF(OR($F33&gt;$D$5,$F33&gt;MAX('הנחות עבודה'!$B$69:$B$89)),0,(VLOOKUP($F33,'התפלגות ייצור וסל דלקים'!$B$64:$BV$84,U$2-$E$2,FALSE))*$D$9*$D$8*(HLOOKUP(U$23,$G$18:$R$19,2,FALSE)*(1-$D$12)^($F33-'הנחות עבודה'!$C$5)/$D$11)/$D$11)</f>
        <v>0</v>
      </c>
      <c r="V33" s="127">
        <f ca="1">IF(OR($F33&gt;$D$5,$F33&gt;MAX('הנחות עבודה'!$B$69:$B$89)),0,(VLOOKUP($F33,'התפלגות ייצור וסל דלקים'!$B$64:$BV$84,V$2-$E$2,FALSE))*$D$9*$D$8*(HLOOKUP(V$23,$G$18:$R$19,2,FALSE)*(1-$D$12)^($F33-'הנחות עבודה'!$C$5)/$D$11)/$D$11)</f>
        <v>0</v>
      </c>
      <c r="W33" s="127">
        <f ca="1">IF(OR($F33&gt;$D$5,$F33&gt;MAX('הנחות עבודה'!$B$69:$B$89)),0,(VLOOKUP($F33,'התפלגות ייצור וסל דלקים'!$B$64:$BV$84,W$2-$E$2,FALSE))*$D$9*$D$8*(HLOOKUP(W$23,$G$18:$R$19,2,FALSE)*(1-$D$12)^($F33-'הנחות עבודה'!$C$5)/$D$11)/$D$11)</f>
        <v>0</v>
      </c>
      <c r="X33" s="127">
        <f ca="1">IF(OR($F33&gt;$D$5,$F33&gt;MAX('הנחות עבודה'!$B$69:$B$89)),0,(VLOOKUP($F33,'התפלגות ייצור וסל דלקים'!$B$64:$BV$84,X$2-$E$2,FALSE))*$D$9*$D$8*(HLOOKUP(X$23,$G$18:$R$19,2,FALSE)*(1-$D$12)^($F33-'הנחות עבודה'!$C$5)/$D$11)/$D$11)</f>
        <v>0</v>
      </c>
      <c r="Y33" s="52">
        <f ca="1">IF(OR($F33&gt;$D$5,$F33&gt;MAX('הנחות עבודה'!$B$69:$B$89)),0,(VLOOKUP($F33,'התפלגות ייצור וסל דלקים'!$B$64:$BV$84,Y$2-$E$2,FALSE))*$D$9*$D$8*(HLOOKUP(Y$23,$G$18:$R$19,2,FALSE)*(1-$D$12)^($F33-'הנחות עבודה'!$C$5)/$D$11)/$D$11)</f>
        <v>1.469609E-4</v>
      </c>
      <c r="Z33" s="52">
        <f ca="1">IF(OR($F33&gt;$D$5,$F33&gt;MAX('הנחות עבודה'!$B$69:$B$89)),0,(VLOOKUP($F33,'התפלגות ייצור וסל דלקים'!$B$64:$BV$84,Z$2-$E$2,FALSE))*$D$9*$D$8*(HLOOKUP(Z$23,$G$18:$R$19,2,FALSE)*(1-$D$12)^($F33-'הנחות עבודה'!$C$5)/$D$11)/$D$11)</f>
        <v>1.0277928089599999E-3</v>
      </c>
      <c r="AA33" s="52">
        <f ca="1">IF(OR($F33&gt;$D$5,$F33&gt;MAX('הנחות עבודה'!$B$69:$B$89)),0,(VLOOKUP($F33,'התפלגות ייצור וסל דלקים'!$B$64:$BV$84,AA$2-$E$2,FALSE))*$D$9*$D$8*(HLOOKUP(AA$23,$G$18:$R$19,2,FALSE)*(1-$D$12)^($F33-'הנחות עבודה'!$C$5)/$D$11)/$D$11)</f>
        <v>0</v>
      </c>
      <c r="AB33" s="52">
        <f ca="1">IF(OR($F33&gt;$D$5,$F33&gt;MAX('הנחות עבודה'!$B$69:$B$89)),0,(VLOOKUP($F33,'התפלגות ייצור וסל דלקים'!$B$64:$BV$84,AB$2-$E$2,FALSE))*$D$9*$D$8*(HLOOKUP(AB$23,$G$18:$R$19,2,FALSE)*(1-$D$12)^($F33-'הנחות עבודה'!$C$5)/$D$11)/$D$11)</f>
        <v>0</v>
      </c>
      <c r="AC33" s="52">
        <f ca="1">IF(OR($F33&gt;$D$5,$F33&gt;MAX('הנחות עבודה'!$B$69:$B$89)),0,(VLOOKUP($F33,'התפלגות ייצור וסל דלקים'!$B$64:$BV$84,AC$2-$E$2,FALSE))*$D$9*$D$8*(HLOOKUP(AC$23,$G$18:$R$19,2,FALSE)*(1-$D$12)^($F33-'הנחות עבודה'!$C$5)/$D$11)/$D$11)</f>
        <v>0</v>
      </c>
      <c r="AD33" s="52">
        <f ca="1">IF(OR($F33&gt;$D$5,$F33&gt;MAX('הנחות עבודה'!$B$69:$B$89)),0,(VLOOKUP($F33,'התפלגות ייצור וסל דלקים'!$B$64:$BV$84,AD$2-$E$2,FALSE))*$D$9*$D$8*(HLOOKUP(AD$23,$G$18:$R$19,2,FALSE)*(1-$D$12)^($F33-'הנחות עבודה'!$C$5)/$D$11)/$D$11)</f>
        <v>0</v>
      </c>
      <c r="AE33" s="42">
        <f ca="1">IF(OR($F33&gt;$D$5,$F33&gt;MAX('הנחות עבודה'!$B$69:$B$89)),0,(VLOOKUP($F33,'התפלגות ייצור וסל דלקים'!$B$64:$BV$84,AE$2-$E$2,FALSE))*$D$9*$D$8*(HLOOKUP(AE$23,$G$18:$R$19,2,FALSE)*(1-$D$12)^($F33-'הנחות עבודה'!$C$5)/$D$11)/$D$11)</f>
        <v>0</v>
      </c>
      <c r="AF33" s="44">
        <f ca="1">IF(OR($F33&gt;$D$5,$F33&gt;MAX('הנחות עבודה'!$B$69:$B$89)),0,(VLOOKUP($F33,'התפלגות ייצור וסל דלקים'!$B$64:$BV$84,AF$2-$E$2,FALSE))*$D$9*$D$8*(HLOOKUP(AF$23,$G$18:$R$19,2,FALSE)*(1-$D$12)^($F33-'הנחות עבודה'!$C$5)/$D$11)/$D$11)</f>
        <v>0</v>
      </c>
      <c r="AG33" s="44">
        <f ca="1">IF(OR($F33&gt;$D$5,$F33&gt;MAX('הנחות עבודה'!$B$69:$B$89)),0,(VLOOKUP($F33,'התפלגות ייצור וסל דלקים'!$B$64:$BV$84,AG$2-$E$2,FALSE))*$D$9*$D$8*(HLOOKUP(AG$23,$G$18:$R$19,2,FALSE)*(1-$D$12)^($F33-'הנחות עבודה'!$C$5)/$D$11)/$D$11)</f>
        <v>0</v>
      </c>
      <c r="AH33" s="44">
        <f ca="1">IF(OR($F33&gt;$D$5,$F33&gt;MAX('הנחות עבודה'!$B$69:$B$89)),0,(VLOOKUP($F33,'התפלגות ייצור וסל דלקים'!$B$64:$BV$84,AH$2-$E$2,FALSE))*$D$9*$D$8*(HLOOKUP(AH$23,$G$18:$R$19,2,FALSE)*(1-$D$12)^($F33-'הנחות עבודה'!$C$5)/$D$11)/$D$11)</f>
        <v>0</v>
      </c>
      <c r="AI33" s="44">
        <f ca="1">IF(OR($F33&gt;$D$5,$F33&gt;MAX('הנחות עבודה'!$B$69:$B$89)),0,(VLOOKUP($F33,'התפלגות ייצור וסל דלקים'!$B$64:$BV$84,AI$2-$E$2,FALSE))*$D$9*$D$8*(HLOOKUP(AI$23,$G$18:$R$19,2,FALSE)*(1-$D$12)^($F33-'הנחות עבודה'!$C$5)/$D$11)/$D$11)</f>
        <v>0</v>
      </c>
      <c r="AJ33" s="44">
        <f ca="1">IF(OR($F33&gt;$D$5,$F33&gt;MAX('הנחות עבודה'!$B$69:$B$89)),0,(VLOOKUP($F33,'התפלגות ייצור וסל דלקים'!$B$64:$BV$84,AJ$2-$E$2,FALSE))*$D$9*$D$8*(HLOOKUP(AJ$23,$G$18:$R$19,2,FALSE)*(1-$D$12)^($F33-'הנחות עבודה'!$C$5)/$D$11)/$D$11)</f>
        <v>0</v>
      </c>
      <c r="AK33" s="42">
        <f ca="1">IF(OR($F33&gt;$D$5,$F33&gt;MAX('הנחות עבודה'!$B$69:$B$89)),0,(VLOOKUP($F33,'התפלגות ייצור וסל דלקים'!$B$64:$BV$84,AK$2-$E$2,FALSE))*$D$9*$D$8*(HLOOKUP(AK$23,$G$18:$R$19,2,FALSE)*(1-$D$12)^($F33-'הנחות עבודה'!$C$5)/$D$11)/$D$11)</f>
        <v>1.5215110000000001E-4</v>
      </c>
      <c r="AL33" s="42">
        <f ca="1">IF(OR($F33&gt;$D$5,$F33&gt;MAX('הנחות עבודה'!$B$69:$B$89)),0,(VLOOKUP($F33,'התפלגות ייצור וסל דלקים'!$B$64:$BV$84,AL$2-$E$2,FALSE))*$D$9*$D$8*(HLOOKUP(AL$23,$G$18:$R$19,2,FALSE)*(1-$D$12)^($F33-'הנחות עבודה'!$C$5)/$D$11)/$D$11)</f>
        <v>9.0895426880000007E-4</v>
      </c>
      <c r="AM33" s="42">
        <f ca="1">IF(OR($F33&gt;$D$5,$F33&gt;MAX('הנחות עבודה'!$B$69:$B$89)),0,(VLOOKUP($F33,'התפלגות ייצור וסל דלקים'!$B$64:$BV$84,AM$2-$E$2,FALSE))*$D$9*$D$8*(HLOOKUP(AM$23,$G$18:$R$19,2,FALSE)*(1-$D$12)^($F33-'הנחות עבודה'!$C$5)/$D$11)/$D$11)</f>
        <v>0</v>
      </c>
      <c r="AN33" s="42">
        <f ca="1">IF(OR($F33&gt;$D$5,$F33&gt;MAX('הנחות עבודה'!$B$69:$B$89)),0,(VLOOKUP($F33,'התפלגות ייצור וסל דלקים'!$B$64:$BV$84,AN$2-$E$2,FALSE))*$D$9*$D$8*(HLOOKUP(AN$23,$G$18:$R$19,2,FALSE)*(1-$D$12)^($F33-'הנחות עבודה'!$C$5)/$D$11)/$D$11)</f>
        <v>0</v>
      </c>
      <c r="AO33" s="42">
        <f ca="1">IF(OR($F33&gt;$D$5,$F33&gt;MAX('הנחות עבודה'!$B$69:$B$89)),0,(VLOOKUP($F33,'התפלגות ייצור וסל דלקים'!$B$64:$BV$84,AO$2-$E$2,FALSE))*$D$9*$D$8*(HLOOKUP(AO$23,$G$18:$R$19,2,FALSE)*(1-$D$12)^($F33-'הנחות עבודה'!$C$5)/$D$11)/$D$11)</f>
        <v>0</v>
      </c>
      <c r="AP33" s="42">
        <f ca="1">IF(OR($F33&gt;$D$5,$F33&gt;MAX('הנחות עבודה'!$B$69:$B$89)),0,(VLOOKUP($F33,'התפלגות ייצור וסל דלקים'!$B$64:$BV$84,AP$2-$E$2,FALSE))*$D$9*$D$8*(HLOOKUP(AP$23,$G$18:$R$19,2,FALSE)*(1-$D$12)^($F33-'הנחות עבודה'!$C$5)/$D$11)/$D$11)</f>
        <v>0</v>
      </c>
      <c r="AQ33" s="52">
        <f ca="1">IF(OR($F33&gt;$D$5,$F33&gt;MAX('הנחות עבודה'!$B$69:$B$89)),0,(VLOOKUP($F33,'התפלגות ייצור וסל דלקים'!$B$64:$BV$84,AQ$2-$E$2,FALSE))*$D$9*$D$8*(HLOOKUP(AQ$23,$G$18:$R$19,2,FALSE)*(1-$D$12)^($F33-'הנחות עבודה'!$C$5)/$D$11)/$D$11)</f>
        <v>0</v>
      </c>
      <c r="AR33" s="127">
        <f ca="1">IF(OR($F33&gt;$D$5,$F33&gt;MAX('הנחות עבודה'!$B$69:$B$89)),0,(VLOOKUP($F33,'התפלגות ייצור וסל דלקים'!$B$64:$BV$84,AR$2-$E$2,FALSE))*$D$9*$D$8*(HLOOKUP(AR$23,$G$18:$R$19,2,FALSE)*(1-$D$12)^($F33-'הנחות עבודה'!$C$5)/$D$11)/$D$11)</f>
        <v>0</v>
      </c>
      <c r="AS33" s="127">
        <f ca="1">IF(OR($F33&gt;$D$5,$F33&gt;MAX('הנחות עבודה'!$B$69:$B$89)),0,(VLOOKUP($F33,'התפלגות ייצור וסל דלקים'!$B$64:$BV$84,AS$2-$E$2,FALSE))*$D$9*$D$8*(HLOOKUP(AS$23,$G$18:$R$19,2,FALSE)*(1-$D$12)^($F33-'הנחות עבודה'!$C$5)/$D$11)/$D$11)</f>
        <v>0</v>
      </c>
      <c r="AT33" s="127">
        <f ca="1">IF(OR($F33&gt;$D$5,$F33&gt;MAX('הנחות עבודה'!$B$69:$B$89)),0,(VLOOKUP($F33,'התפלגות ייצור וסל דלקים'!$B$64:$BV$84,AT$2-$E$2,FALSE))*$D$9*$D$8*(HLOOKUP(AT$23,$G$18:$R$19,2,FALSE)*(1-$D$12)^($F33-'הנחות עבודה'!$C$5)/$D$11)/$D$11)</f>
        <v>0</v>
      </c>
      <c r="AU33" s="127">
        <f ca="1">IF(OR($F33&gt;$D$5,$F33&gt;MAX('הנחות עבודה'!$B$69:$B$89)),0,(VLOOKUP($F33,'התפלגות ייצור וסל דלקים'!$B$64:$BV$84,AU$2-$E$2,FALSE))*$D$9*$D$8*(HLOOKUP(AU$23,$G$18:$R$19,2,FALSE)*(1-$D$12)^($F33-'הנחות עבודה'!$C$5)/$D$11)/$D$11)</f>
        <v>0</v>
      </c>
      <c r="AV33" s="127">
        <f ca="1">IF(OR($F33&gt;$D$5,$F33&gt;MAX('הנחות עבודה'!$B$69:$B$89)),0,(VLOOKUP($F33,'התפלגות ייצור וסל דלקים'!$B$64:$BV$84,AV$2-$E$2,FALSE))*$D$9*$D$8*(HLOOKUP(AV$23,$G$18:$R$19,2,FALSE)*(1-$D$12)^($F33-'הנחות עבודה'!$C$5)/$D$11)/$D$11)</f>
        <v>0</v>
      </c>
      <c r="AW33" s="52">
        <f ca="1">IF(OR($F33&gt;$D$5,$F33&gt;MAX('הנחות עבודה'!$B$69:$B$89)),0,(VLOOKUP($F33,'התפלגות ייצור וסל דלקים'!$B$64:$BV$84,AW$2-$E$2,FALSE))*$D$9*$D$8*(HLOOKUP(AW$23,$G$18:$R$19,2,FALSE)*(1-$D$12)^($F33-'הנחות עבודה'!$C$5)/$D$11)/$D$11)</f>
        <v>1.5215110000000001E-4</v>
      </c>
      <c r="AX33" s="52">
        <f ca="1">IF(OR($F33&gt;$D$5,$F33&gt;MAX('הנחות עבודה'!$B$69:$B$89)),0,(VLOOKUP($F33,'התפלגות ייצור וסל דלקים'!$B$64:$BV$84,AX$2-$E$2,FALSE))*$D$9*$D$8*(HLOOKUP(AX$23,$G$18:$R$19,2,FALSE)*(1-$D$12)^($F33-'הנחות עבודה'!$C$5)/$D$11)/$D$11)</f>
        <v>9.0895426880000007E-4</v>
      </c>
      <c r="AY33" s="52">
        <f ca="1">IF(OR($F33&gt;$D$5,$F33&gt;MAX('הנחות עבודה'!$B$69:$B$89)),0,(VLOOKUP($F33,'התפלגות ייצור וסל דלקים'!$B$64:$BV$84,AY$2-$E$2,FALSE))*$D$9*$D$8*(HLOOKUP(AY$23,$G$18:$R$19,2,FALSE)*(1-$D$12)^($F33-'הנחות עבודה'!$C$5)/$D$11)/$D$11)</f>
        <v>0</v>
      </c>
      <c r="AZ33" s="52">
        <f ca="1">IF(OR($F33&gt;$D$5,$F33&gt;MAX('הנחות עבודה'!$B$69:$B$89)),0,(VLOOKUP($F33,'התפלגות ייצור וסל דלקים'!$B$64:$BV$84,AZ$2-$E$2,FALSE))*$D$9*$D$8*(HLOOKUP(AZ$23,$G$18:$R$19,2,FALSE)*(1-$D$12)^($F33-'הנחות עבודה'!$C$5)/$D$11)/$D$11)</f>
        <v>0</v>
      </c>
      <c r="BA33" s="52">
        <f ca="1">IF(OR($F33&gt;$D$5,$F33&gt;MAX('הנחות עבודה'!$B$69:$B$89)),0,(VLOOKUP($F33,'התפלגות ייצור וסל דלקים'!$B$64:$BV$84,BA$2-$E$2,FALSE))*$D$9*$D$8*(HLOOKUP(BA$23,$G$18:$R$19,2,FALSE)*(1-$D$12)^($F33-'הנחות עבודה'!$C$5)/$D$11)/$D$11)</f>
        <v>0</v>
      </c>
      <c r="BB33" s="52">
        <f ca="1">IF(OR($F33&gt;$D$5,$F33&gt;MAX('הנחות עבודה'!$B$69:$B$89)),0,(VLOOKUP($F33,'התפלגות ייצור וסל דלקים'!$B$64:$BV$84,BB$2-$E$2,FALSE))*$D$9*$D$8*(HLOOKUP(BB$23,$G$18:$R$19,2,FALSE)*(1-$D$12)^($F33-'הנחות עבודה'!$C$5)/$D$11)/$D$11)</f>
        <v>0</v>
      </c>
      <c r="BC33" s="42">
        <f ca="1">IF(OR($F33&gt;$D$5,$F33&gt;MAX('הנחות עבודה'!$B$69:$B$89)),0,(VLOOKUP($F33,'התפלגות ייצור וסל דלקים'!$B$64:$BV$84,BC$2-$E$2,FALSE))*$D$9*$D$8*(HLOOKUP(BC$23,$G$18:$R$19,2,FALSE)*(1-$D$12)^($F33-'הנחות עבודה'!$C$5)/$D$11)/$D$11)</f>
        <v>0</v>
      </c>
      <c r="BD33" s="44">
        <f ca="1">IF(OR($F33&gt;$D$5,$F33&gt;MAX('הנחות עבודה'!$B$69:$B$89)),0,(VLOOKUP($F33,'התפלגות ייצור וסל דלקים'!$B$64:$BV$84,BD$2-$E$2,FALSE))*$D$9*$D$8*(HLOOKUP(BD$23,$G$18:$R$19,2,FALSE)*(1-$D$12)^($F33-'הנחות עבודה'!$C$5)/$D$11)/$D$11)</f>
        <v>0</v>
      </c>
      <c r="BE33" s="44">
        <f ca="1">IF(OR($F33&gt;$D$5,$F33&gt;MAX('הנחות עבודה'!$B$69:$B$89)),0,(VLOOKUP($F33,'התפלגות ייצור וסל דלקים'!$B$64:$BV$84,BE$2-$E$2,FALSE))*$D$9*$D$8*(HLOOKUP(BE$23,$G$18:$R$19,2,FALSE)*(1-$D$12)^($F33-'הנחות עבודה'!$C$5)/$D$11)/$D$11)</f>
        <v>0</v>
      </c>
      <c r="BF33" s="44">
        <f ca="1">IF(OR($F33&gt;$D$5,$F33&gt;MAX('הנחות עבודה'!$B$69:$B$89)),0,(VLOOKUP($F33,'התפלגות ייצור וסל דלקים'!$B$64:$BV$84,BF$2-$E$2,FALSE))*$D$9*$D$8*(HLOOKUP(BF$23,$G$18:$R$19,2,FALSE)*(1-$D$12)^($F33-'הנחות עבודה'!$C$5)/$D$11)/$D$11)</f>
        <v>0</v>
      </c>
      <c r="BG33" s="44">
        <f ca="1">IF(OR($F33&gt;$D$5,$F33&gt;MAX('הנחות עבודה'!$B$69:$B$89)),0,(VLOOKUP($F33,'התפלגות ייצור וסל דלקים'!$B$64:$BV$84,BG$2-$E$2,FALSE))*$D$9*$D$8*(HLOOKUP(BG$23,$G$18:$R$19,2,FALSE)*(1-$D$12)^($F33-'הנחות עבודה'!$C$5)/$D$11)/$D$11)</f>
        <v>0</v>
      </c>
      <c r="BH33" s="44">
        <f ca="1">IF(OR($F33&gt;$D$5,$F33&gt;MAX('הנחות עבודה'!$B$69:$B$89)),0,(VLOOKUP($F33,'התפלגות ייצור וסל דלקים'!$B$64:$BV$84,BH$2-$E$2,FALSE))*$D$9*$D$8*(HLOOKUP(BH$23,$G$18:$R$19,2,FALSE)*(1-$D$12)^($F33-'הנחות עבודה'!$C$5)/$D$11)/$D$11)</f>
        <v>0</v>
      </c>
      <c r="BI33" s="42">
        <f ca="1">IF(OR($F33&gt;$D$5,$F33&gt;MAX('הנחות עבודה'!$B$69:$B$89)),0,(VLOOKUP($F33,'התפלגות ייצור וסל דלקים'!$B$64:$BV$84,BI$2-$E$2,FALSE))*$D$9*$D$8*(HLOOKUP(BI$23,$G$18:$R$19,2,FALSE)*(1-$D$12)^($F33-'הנחות עבודה'!$C$5)/$D$11)/$D$11)</f>
        <v>1.5605E-4</v>
      </c>
      <c r="BJ33" s="42">
        <f ca="1">IF(OR($F33&gt;$D$5,$F33&gt;MAX('הנחות עבודה'!$B$69:$B$89)),0,(VLOOKUP($F33,'התפלגות ייצור וסל דלקים'!$B$64:$BV$84,BJ$2-$E$2,FALSE))*$D$9*$D$8*(HLOOKUP(BJ$23,$G$18:$R$19,2,FALSE)*(1-$D$12)^($F33-'הנחות עבודה'!$C$5)/$D$11)/$D$11)</f>
        <v>8.3500234240000012E-4</v>
      </c>
      <c r="BK33" s="42">
        <f ca="1">IF(OR($F33&gt;$D$5,$F33&gt;MAX('הנחות עבודה'!$B$69:$B$89)),0,(VLOOKUP($F33,'התפלגות ייצור וסל דלקים'!$B$64:$BV$84,BK$2-$E$2,FALSE))*$D$9*$D$8*(HLOOKUP(BK$23,$G$18:$R$19,2,FALSE)*(1-$D$12)^($F33-'הנחות עבודה'!$C$5)/$D$11)/$D$11)</f>
        <v>0</v>
      </c>
      <c r="BL33" s="42">
        <f ca="1">IF(OR($F33&gt;$D$5,$F33&gt;MAX('הנחות עבודה'!$B$69:$B$89)),0,(VLOOKUP($F33,'התפלגות ייצור וסל דלקים'!$B$64:$BV$84,BL$2-$E$2,FALSE))*$D$9*$D$8*(HLOOKUP(BL$23,$G$18:$R$19,2,FALSE)*(1-$D$12)^($F33-'הנחות עבודה'!$C$5)/$D$11)/$D$11)</f>
        <v>0</v>
      </c>
      <c r="BM33" s="42">
        <f ca="1">IF(OR($F33&gt;$D$5,$F33&gt;MAX('הנחות עבודה'!$B$69:$B$89)),0,(VLOOKUP($F33,'התפלגות ייצור וסל דלקים'!$B$64:$BV$84,BM$2-$E$2,FALSE))*$D$9*$D$8*(HLOOKUP(BM$23,$G$18:$R$19,2,FALSE)*(1-$D$12)^($F33-'הנחות עבודה'!$C$5)/$D$11)/$D$11)</f>
        <v>0</v>
      </c>
      <c r="BN33" s="42">
        <f ca="1">IF(OR($F33&gt;$D$5,$F33&gt;MAX('הנחות עבודה'!$B$69:$B$89)),0,(VLOOKUP($F33,'התפלגות ייצור וסל דלקים'!$B$64:$BV$84,BN$2-$E$2,FALSE))*$D$9*$D$8*(HLOOKUP(BN$23,$G$18:$R$19,2,FALSE)*(1-$D$12)^($F33-'הנחות עבודה'!$C$5)/$D$11)/$D$11)</f>
        <v>0</v>
      </c>
      <c r="BO33" s="52">
        <f ca="1">IF(OR($F33&gt;$D$5,$F33&gt;MAX('הנחות עבודה'!$B$69:$B$89)),0,(VLOOKUP($F33,'התפלגות ייצור וסל דלקים'!$B$64:$BV$84,BO$2-$E$2,FALSE))*$D$9*$D$8*(HLOOKUP(BO$23,$G$18:$R$19,2,FALSE)*(1-$D$12)^($F33-'הנחות עבודה'!$C$5)/$D$11)/$D$11)</f>
        <v>0</v>
      </c>
      <c r="BP33" s="127">
        <f ca="1">IF(OR($F33&gt;$D$5,$F33&gt;MAX('הנחות עבודה'!$B$69:$B$89)),0,(VLOOKUP($F33,'התפלגות ייצור וסל דלקים'!$B$64:$BV$84,BP$2-$E$2,FALSE))*$D$9*$D$8*(HLOOKUP(BP$23,$G$18:$R$19,2,FALSE)*(1-$D$12)^($F33-'הנחות עבודה'!$C$5)/$D$11)/$D$11)</f>
        <v>0</v>
      </c>
      <c r="BQ33" s="127">
        <f ca="1">IF(OR($F33&gt;$D$5,$F33&gt;MAX('הנחות עבודה'!$B$69:$B$89)),0,(VLOOKUP($F33,'התפלגות ייצור וסל דלקים'!$B$64:$BV$84,BQ$2-$E$2,FALSE))*$D$9*$D$8*(HLOOKUP(BQ$23,$G$18:$R$19,2,FALSE)*(1-$D$12)^($F33-'הנחות עבודה'!$C$5)/$D$11)/$D$11)</f>
        <v>0</v>
      </c>
      <c r="BR33" s="127">
        <f ca="1">IF(OR($F33&gt;$D$5,$F33&gt;MAX('הנחות עבודה'!$B$69:$B$89)),0,(VLOOKUP($F33,'התפלגות ייצור וסל דלקים'!$B$64:$BV$84,BR$2-$E$2,FALSE))*$D$9*$D$8*(HLOOKUP(BR$23,$G$18:$R$19,2,FALSE)*(1-$D$12)^($F33-'הנחות עבודה'!$C$5)/$D$11)/$D$11)</f>
        <v>0</v>
      </c>
      <c r="BS33" s="127">
        <f ca="1">IF(OR($F33&gt;$D$5,$F33&gt;MAX('הנחות עבודה'!$B$69:$B$89)),0,(VLOOKUP($F33,'התפלגות ייצור וסל דלקים'!$B$64:$BV$84,BS$2-$E$2,FALSE))*$D$9*$D$8*(HLOOKUP(BS$23,$G$18:$R$19,2,FALSE)*(1-$D$12)^($F33-'הנחות עבודה'!$C$5)/$D$11)/$D$11)</f>
        <v>0</v>
      </c>
      <c r="BT33" s="127">
        <f ca="1">IF(OR($F33&gt;$D$5,$F33&gt;MAX('הנחות עבודה'!$B$69:$B$89)),0,(VLOOKUP($F33,'התפלגות ייצור וסל דלקים'!$B$64:$BV$84,BT$2-$E$2,FALSE))*$D$9*$D$8*(HLOOKUP(BT$23,$G$18:$R$19,2,FALSE)*(1-$D$12)^($F33-'הנחות עבודה'!$C$5)/$D$11)/$D$11)</f>
        <v>0</v>
      </c>
      <c r="BU33" s="52">
        <f ca="1">IF(OR($F33&gt;$D$5,$F33&gt;MAX('הנחות עבודה'!$B$69:$B$89)),0,(VLOOKUP($F33,'התפלגות ייצור וסל דלקים'!$B$64:$BV$84,BU$2-$E$2,FALSE))*$D$9*$D$8*(HLOOKUP(BU$23,$G$18:$R$19,2,FALSE)*(1-$D$12)^($F33-'הנחות עבודה'!$C$5)/$D$11)/$D$11)</f>
        <v>1.5605E-4</v>
      </c>
      <c r="BV33" s="52">
        <f ca="1">IF(OR($F33&gt;$D$5,$F33&gt;MAX('הנחות עבודה'!$B$69:$B$89)),0,(VLOOKUP($F33,'התפלגות ייצור וסל דלקים'!$B$64:$BV$84,BV$2-$E$2,FALSE))*$D$9*$D$8*(HLOOKUP(BV$23,$G$18:$R$19,2,FALSE)*(1-$D$12)^($F33-'הנחות עבודה'!$C$5)/$D$11)/$D$11)</f>
        <v>8.3500234240000012E-4</v>
      </c>
      <c r="BW33" s="52">
        <f ca="1">IF(OR($F33&gt;$D$5,$F33&gt;MAX('הנחות עבודה'!$B$69:$B$89)),0,(VLOOKUP($F33,'התפלגות ייצור וסל דלקים'!$B$64:$BV$84,BW$2-$E$2,FALSE))*$D$9*$D$8*(HLOOKUP(BW$23,$G$18:$R$19,2,FALSE)*(1-$D$12)^($F33-'הנחות עבודה'!$C$5)/$D$11)/$D$11)</f>
        <v>0</v>
      </c>
      <c r="BX33" s="52">
        <f ca="1">IF(OR($F33&gt;$D$5,$F33&gt;MAX('הנחות עבודה'!$B$69:$B$89)),0,(VLOOKUP($F33,'התפלגות ייצור וסל דלקים'!$B$64:$BV$84,BX$2-$E$2,FALSE))*$D$9*$D$8*(HLOOKUP(BX$23,$G$18:$R$19,2,FALSE)*(1-$D$12)^($F33-'הנחות עבודה'!$C$5)/$D$11)/$D$11)</f>
        <v>0</v>
      </c>
      <c r="BY33" s="52">
        <f ca="1">IF(OR($F33&gt;$D$5,$F33&gt;MAX('הנחות עבודה'!$B$69:$B$89)),0,(VLOOKUP($F33,'התפלגות ייצור וסל דלקים'!$B$64:$BV$84,BY$2-$E$2,FALSE))*$D$9*$D$8*(HLOOKUP(BY$23,$G$18:$R$19,2,FALSE)*(1-$D$12)^($F33-'הנחות עבודה'!$C$5)/$D$11)/$D$11)</f>
        <v>0</v>
      </c>
      <c r="BZ33" s="52">
        <f ca="1">IF(OR($F33&gt;$D$5,$F33&gt;MAX('הנחות עבודה'!$B$69:$B$89)),0,(VLOOKUP($F33,'התפלגות ייצור וסל דלקים'!$B$64:$BV$84,BZ$2-$E$2,FALSE))*$D$9*$D$8*(HLOOKUP(BZ$23,$G$18:$R$19,2,FALSE)*(1-$D$12)^($F33-'הנחות עבודה'!$C$5)/$D$11)/$D$11)</f>
        <v>0</v>
      </c>
    </row>
    <row r="34" spans="6:78" ht="15.75">
      <c r="F34" s="10">
        <f t="shared" si="114"/>
        <v>2030</v>
      </c>
      <c r="G34" s="42">
        <f ca="1">IF(OR($F34&gt;$D$5,$F34&gt;MAX('הנחות עבודה'!$B$69:$B$89)),0,(VLOOKUP($F34,'התפלגות ייצור וסל דלקים'!$B$64:$BV$84,G$2-$E$2,FALSE))*$D$9*$D$8*(HLOOKUP(G$23,$G$18:$R$19,2,FALSE)*(1-$D$12)^($F34-'הנחות עבודה'!$C$5)/$D$11)/$D$11)</f>
        <v>0</v>
      </c>
      <c r="H34" s="44">
        <f ca="1">IF(OR($F34&gt;$D$5,$F34&gt;MAX('הנחות עבודה'!$B$69:$B$89)),0,(VLOOKUP($F34,'התפלגות ייצור וסל דלקים'!$B$64:$BV$84,H$2-$E$2,FALSE))*$D$9*$D$8*(HLOOKUP(H$23,$G$18:$R$19,2,FALSE)*(1-$D$12)^($F34-'הנחות עבודה'!$C$5)/$D$11)/$D$11)</f>
        <v>0</v>
      </c>
      <c r="I34" s="44">
        <f ca="1">IF(OR($F34&gt;$D$5,$F34&gt;MAX('הנחות עבודה'!$B$69:$B$89)),0,(VLOOKUP($F34,'התפלגות ייצור וסל דלקים'!$B$64:$BV$84,I$2-$E$2,FALSE))*$D$9*$D$8*(HLOOKUP(I$23,$G$18:$R$19,2,FALSE)*(1-$D$12)^($F34-'הנחות עבודה'!$C$5)/$D$11)/$D$11)</f>
        <v>0</v>
      </c>
      <c r="J34" s="44">
        <f ca="1">IF(OR($F34&gt;$D$5,$F34&gt;MAX('הנחות עבודה'!$B$69:$B$89)),0,(VLOOKUP($F34,'התפלגות ייצור וסל דלקים'!$B$64:$BV$84,J$2-$E$2,FALSE))*$D$9*$D$8*(HLOOKUP(J$23,$G$18:$R$19,2,FALSE)*(1-$D$12)^($F34-'הנחות עבודה'!$C$5)/$D$11)/$D$11)</f>
        <v>0</v>
      </c>
      <c r="K34" s="44">
        <f ca="1">IF(OR($F34&gt;$D$5,$F34&gt;MAX('הנחות עבודה'!$B$69:$B$89)),0,(VLOOKUP($F34,'התפלגות ייצור וסל דלקים'!$B$64:$BV$84,K$2-$E$2,FALSE))*$D$9*$D$8*(HLOOKUP(K$23,$G$18:$R$19,2,FALSE)*(1-$D$12)^($F34-'הנחות עבודה'!$C$5)/$D$11)/$D$11)</f>
        <v>0</v>
      </c>
      <c r="L34" s="44">
        <f ca="1">IF(OR($F34&gt;$D$5,$F34&gt;MAX('הנחות עבודה'!$B$69:$B$89)),0,(VLOOKUP($F34,'התפלגות ייצור וסל דלקים'!$B$64:$BV$84,L$2-$E$2,FALSE))*$D$9*$D$8*(HLOOKUP(L$23,$G$18:$R$19,2,FALSE)*(1-$D$12)^($F34-'הנחות עבודה'!$C$5)/$D$11)/$D$11)</f>
        <v>0</v>
      </c>
      <c r="M34" s="42">
        <f ca="1">IF(OR($F34&gt;$D$5,$F34&gt;MAX('הנחות עבודה'!$B$69:$B$89)),0,(VLOOKUP($F34,'התפלגות ייצור וסל דלקים'!$B$64:$BV$84,M$2-$E$2,FALSE))*$D$9*$D$8*(HLOOKUP(M$23,$G$18:$R$19,2,FALSE)*(1-$D$12)^($F34-'הנחות עבודה'!$C$5)/$D$11)/$D$11)</f>
        <v>1.4550709999999997E-4</v>
      </c>
      <c r="N34" s="42">
        <f ca="1">IF(OR($F34&gt;$D$5,$F34&gt;MAX('הנחות עבודה'!$B$69:$B$89)),0,(VLOOKUP($F34,'התפלגות ייצור וסל דלקים'!$B$64:$BV$84,N$2-$E$2,FALSE))*$D$9*$D$8*(HLOOKUP(N$23,$G$18:$R$19,2,FALSE)*(1-$D$12)^($F34-'הנחות עבודה'!$C$5)/$D$11)/$D$11)</f>
        <v>1.05309122768E-3</v>
      </c>
      <c r="O34" s="42">
        <f ca="1">IF(OR($F34&gt;$D$5,$F34&gt;MAX('הנחות עבודה'!$B$69:$B$89)),0,(VLOOKUP($F34,'התפלגות ייצור וסל דלקים'!$B$64:$BV$84,O$2-$E$2,FALSE))*$D$9*$D$8*(HLOOKUP(O$23,$G$18:$R$19,2,FALSE)*(1-$D$12)^($F34-'הנחות עבודה'!$C$5)/$D$11)/$D$11)</f>
        <v>0</v>
      </c>
      <c r="P34" s="42">
        <f ca="1">IF(OR($F34&gt;$D$5,$F34&gt;MAX('הנחות עבודה'!$B$69:$B$89)),0,(VLOOKUP($F34,'התפלגות ייצור וסל דלקים'!$B$64:$BV$84,P$2-$E$2,FALSE))*$D$9*$D$8*(HLOOKUP(P$23,$G$18:$R$19,2,FALSE)*(1-$D$12)^($F34-'הנחות עבודה'!$C$5)/$D$11)/$D$11)</f>
        <v>0</v>
      </c>
      <c r="Q34" s="42">
        <f ca="1">IF(OR($F34&gt;$D$5,$F34&gt;MAX('הנחות עבודה'!$B$69:$B$89)),0,(VLOOKUP($F34,'התפלגות ייצור וסל דלקים'!$B$64:$BV$84,Q$2-$E$2,FALSE))*$D$9*$D$8*(HLOOKUP(Q$23,$G$18:$R$19,2,FALSE)*(1-$D$12)^($F34-'הנחות עבודה'!$C$5)/$D$11)/$D$11)</f>
        <v>0</v>
      </c>
      <c r="R34" s="42">
        <f ca="1">IF(OR($F34&gt;$D$5,$F34&gt;MAX('הנחות עבודה'!$B$69:$B$89)),0,(VLOOKUP($F34,'התפלגות ייצור וסל דלקים'!$B$64:$BV$84,R$2-$E$2,FALSE))*$D$9*$D$8*(HLOOKUP(R$23,$G$18:$R$19,2,FALSE)*(1-$D$12)^($F34-'הנחות עבודה'!$C$5)/$D$11)/$D$11)</f>
        <v>0</v>
      </c>
      <c r="S34" s="52">
        <f ca="1">IF(OR($F34&gt;$D$5,$F34&gt;MAX('הנחות עבודה'!$B$69:$B$89)),0,(VLOOKUP($F34,'התפלגות ייצור וסל דלקים'!$B$64:$BV$84,S$2-$E$2,FALSE))*$D$9*$D$8*(HLOOKUP(S$23,$G$18:$R$19,2,FALSE)*(1-$D$12)^($F34-'הנחות עבודה'!$C$5)/$D$11)/$D$11)</f>
        <v>0</v>
      </c>
      <c r="T34" s="127">
        <f ca="1">IF(OR($F34&gt;$D$5,$F34&gt;MAX('הנחות עבודה'!$B$69:$B$89)),0,(VLOOKUP($F34,'התפלגות ייצור וסל דלקים'!$B$64:$BV$84,T$2-$E$2,FALSE))*$D$9*$D$8*(HLOOKUP(T$23,$G$18:$R$19,2,FALSE)*(1-$D$12)^($F34-'הנחות עבודה'!$C$5)/$D$11)/$D$11)</f>
        <v>0</v>
      </c>
      <c r="U34" s="127">
        <f ca="1">IF(OR($F34&gt;$D$5,$F34&gt;MAX('הנחות עבודה'!$B$69:$B$89)),0,(VLOOKUP($F34,'התפלגות ייצור וסל דלקים'!$B$64:$BV$84,U$2-$E$2,FALSE))*$D$9*$D$8*(HLOOKUP(U$23,$G$18:$R$19,2,FALSE)*(1-$D$12)^($F34-'הנחות עבודה'!$C$5)/$D$11)/$D$11)</f>
        <v>0</v>
      </c>
      <c r="V34" s="127">
        <f ca="1">IF(OR($F34&gt;$D$5,$F34&gt;MAX('הנחות עבודה'!$B$69:$B$89)),0,(VLOOKUP($F34,'התפלגות ייצור וסל דלקים'!$B$64:$BV$84,V$2-$E$2,FALSE))*$D$9*$D$8*(HLOOKUP(V$23,$G$18:$R$19,2,FALSE)*(1-$D$12)^($F34-'הנחות עבודה'!$C$5)/$D$11)/$D$11)</f>
        <v>0</v>
      </c>
      <c r="W34" s="127">
        <f ca="1">IF(OR($F34&gt;$D$5,$F34&gt;MAX('הנחות עבודה'!$B$69:$B$89)),0,(VLOOKUP($F34,'התפלגות ייצור וסל דלקים'!$B$64:$BV$84,W$2-$E$2,FALSE))*$D$9*$D$8*(HLOOKUP(W$23,$G$18:$R$19,2,FALSE)*(1-$D$12)^($F34-'הנחות עבודה'!$C$5)/$D$11)/$D$11)</f>
        <v>0</v>
      </c>
      <c r="X34" s="127">
        <f ca="1">IF(OR($F34&gt;$D$5,$F34&gt;MAX('הנחות עבודה'!$B$69:$B$89)),0,(VLOOKUP($F34,'התפלגות ייצור וסל דלקים'!$B$64:$BV$84,X$2-$E$2,FALSE))*$D$9*$D$8*(HLOOKUP(X$23,$G$18:$R$19,2,FALSE)*(1-$D$12)^($F34-'הנחות עבודה'!$C$5)/$D$11)/$D$11)</f>
        <v>0</v>
      </c>
      <c r="Y34" s="52">
        <f ca="1">IF(OR($F34&gt;$D$5,$F34&gt;MAX('הנחות עבודה'!$B$69:$B$89)),0,(VLOOKUP($F34,'התפלגות ייצור וסל דלקים'!$B$64:$BV$84,Y$2-$E$2,FALSE))*$D$9*$D$8*(HLOOKUP(Y$23,$G$18:$R$19,2,FALSE)*(1-$D$12)^($F34-'הנחות עבודה'!$C$5)/$D$11)/$D$11)</f>
        <v>1.4550709999999997E-4</v>
      </c>
      <c r="Z34" s="52">
        <f ca="1">IF(OR($F34&gt;$D$5,$F34&gt;MAX('הנחות עבודה'!$B$69:$B$89)),0,(VLOOKUP($F34,'התפלגות ייצור וסל דלקים'!$B$64:$BV$84,Z$2-$E$2,FALSE))*$D$9*$D$8*(HLOOKUP(Z$23,$G$18:$R$19,2,FALSE)*(1-$D$12)^($F34-'הנחות עבודה'!$C$5)/$D$11)/$D$11)</f>
        <v>1.05309122768E-3</v>
      </c>
      <c r="AA34" s="52">
        <f ca="1">IF(OR($F34&gt;$D$5,$F34&gt;MAX('הנחות עבודה'!$B$69:$B$89)),0,(VLOOKUP($F34,'התפלגות ייצור וסל דלקים'!$B$64:$BV$84,AA$2-$E$2,FALSE))*$D$9*$D$8*(HLOOKUP(AA$23,$G$18:$R$19,2,FALSE)*(1-$D$12)^($F34-'הנחות עבודה'!$C$5)/$D$11)/$D$11)</f>
        <v>0</v>
      </c>
      <c r="AB34" s="52">
        <f ca="1">IF(OR($F34&gt;$D$5,$F34&gt;MAX('הנחות עבודה'!$B$69:$B$89)),0,(VLOOKUP($F34,'התפלגות ייצור וסל דלקים'!$B$64:$BV$84,AB$2-$E$2,FALSE))*$D$9*$D$8*(HLOOKUP(AB$23,$G$18:$R$19,2,FALSE)*(1-$D$12)^($F34-'הנחות עבודה'!$C$5)/$D$11)/$D$11)</f>
        <v>0</v>
      </c>
      <c r="AC34" s="52">
        <f ca="1">IF(OR($F34&gt;$D$5,$F34&gt;MAX('הנחות עבודה'!$B$69:$B$89)),0,(VLOOKUP($F34,'התפלגות ייצור וסל דלקים'!$B$64:$BV$84,AC$2-$E$2,FALSE))*$D$9*$D$8*(HLOOKUP(AC$23,$G$18:$R$19,2,FALSE)*(1-$D$12)^($F34-'הנחות עבודה'!$C$5)/$D$11)/$D$11)</f>
        <v>0</v>
      </c>
      <c r="AD34" s="52">
        <f ca="1">IF(OR($F34&gt;$D$5,$F34&gt;MAX('הנחות עבודה'!$B$69:$B$89)),0,(VLOOKUP($F34,'התפלגות ייצור וסל דלקים'!$B$64:$BV$84,AD$2-$E$2,FALSE))*$D$9*$D$8*(HLOOKUP(AD$23,$G$18:$R$19,2,FALSE)*(1-$D$12)^($F34-'הנחות עבודה'!$C$5)/$D$11)/$D$11)</f>
        <v>0</v>
      </c>
      <c r="AE34" s="42">
        <f ca="1">IF(OR($F34&gt;$D$5,$F34&gt;MAX('הנחות עבודה'!$B$69:$B$89)),0,(VLOOKUP($F34,'התפלגות ייצור וסל דלקים'!$B$64:$BV$84,AE$2-$E$2,FALSE))*$D$9*$D$8*(HLOOKUP(AE$23,$G$18:$R$19,2,FALSE)*(1-$D$12)^($F34-'הנחות עבודה'!$C$5)/$D$11)/$D$11)</f>
        <v>0</v>
      </c>
      <c r="AF34" s="44">
        <f ca="1">IF(OR($F34&gt;$D$5,$F34&gt;MAX('הנחות עבודה'!$B$69:$B$89)),0,(VLOOKUP($F34,'התפלגות ייצור וסל דלקים'!$B$64:$BV$84,AF$2-$E$2,FALSE))*$D$9*$D$8*(HLOOKUP(AF$23,$G$18:$R$19,2,FALSE)*(1-$D$12)^($F34-'הנחות עבודה'!$C$5)/$D$11)/$D$11)</f>
        <v>0</v>
      </c>
      <c r="AG34" s="44">
        <f ca="1">IF(OR($F34&gt;$D$5,$F34&gt;MAX('הנחות עבודה'!$B$69:$B$89)),0,(VLOOKUP($F34,'התפלגות ייצור וסל דלקים'!$B$64:$BV$84,AG$2-$E$2,FALSE))*$D$9*$D$8*(HLOOKUP(AG$23,$G$18:$R$19,2,FALSE)*(1-$D$12)^($F34-'הנחות עבודה'!$C$5)/$D$11)/$D$11)</f>
        <v>0</v>
      </c>
      <c r="AH34" s="44">
        <f ca="1">IF(OR($F34&gt;$D$5,$F34&gt;MAX('הנחות עבודה'!$B$69:$B$89)),0,(VLOOKUP($F34,'התפלגות ייצור וסל דלקים'!$B$64:$BV$84,AH$2-$E$2,FALSE))*$D$9*$D$8*(HLOOKUP(AH$23,$G$18:$R$19,2,FALSE)*(1-$D$12)^($F34-'הנחות עבודה'!$C$5)/$D$11)/$D$11)</f>
        <v>0</v>
      </c>
      <c r="AI34" s="44">
        <f ca="1">IF(OR($F34&gt;$D$5,$F34&gt;MAX('הנחות עבודה'!$B$69:$B$89)),0,(VLOOKUP($F34,'התפלגות ייצור וסל דלקים'!$B$64:$BV$84,AI$2-$E$2,FALSE))*$D$9*$D$8*(HLOOKUP(AI$23,$G$18:$R$19,2,FALSE)*(1-$D$12)^($F34-'הנחות עבודה'!$C$5)/$D$11)/$D$11)</f>
        <v>0</v>
      </c>
      <c r="AJ34" s="44">
        <f ca="1">IF(OR($F34&gt;$D$5,$F34&gt;MAX('הנחות עבודה'!$B$69:$B$89)),0,(VLOOKUP($F34,'התפלגות ייצור וסל דלקים'!$B$64:$BV$84,AJ$2-$E$2,FALSE))*$D$9*$D$8*(HLOOKUP(AJ$23,$G$18:$R$19,2,FALSE)*(1-$D$12)^($F34-'הנחות עבודה'!$C$5)/$D$11)/$D$11)</f>
        <v>0</v>
      </c>
      <c r="AK34" s="42">
        <f ca="1">IF(OR($F34&gt;$D$5,$F34&gt;MAX('הנחות עבודה'!$B$69:$B$89)),0,(VLOOKUP($F34,'התפלגות ייצור וסל דלקים'!$B$64:$BV$84,AK$2-$E$2,FALSE))*$D$9*$D$8*(HLOOKUP(AK$23,$G$18:$R$19,2,FALSE)*(1-$D$12)^($F34-'הנחות עבודה'!$C$5)/$D$11)/$D$11)</f>
        <v>1.5414509999999999E-4</v>
      </c>
      <c r="AL34" s="42">
        <f ca="1">IF(OR($F34&gt;$D$5,$F34&gt;MAX('הנחות עבודה'!$B$69:$B$89)),0,(VLOOKUP($F34,'התפלגות ייצור וסל דלקים'!$B$64:$BV$84,AL$2-$E$2,FALSE))*$D$9*$D$8*(HLOOKUP(AL$23,$G$18:$R$19,2,FALSE)*(1-$D$12)^($F34-'הנחות עבודה'!$C$5)/$D$11)/$D$11)</f>
        <v>9.1471733200000009E-4</v>
      </c>
      <c r="AM34" s="42">
        <f ca="1">IF(OR($F34&gt;$D$5,$F34&gt;MAX('הנחות עבודה'!$B$69:$B$89)),0,(VLOOKUP($F34,'התפלגות ייצור וסל דלקים'!$B$64:$BV$84,AM$2-$E$2,FALSE))*$D$9*$D$8*(HLOOKUP(AM$23,$G$18:$R$19,2,FALSE)*(1-$D$12)^($F34-'הנחות עבודה'!$C$5)/$D$11)/$D$11)</f>
        <v>0</v>
      </c>
      <c r="AN34" s="42">
        <f ca="1">IF(OR($F34&gt;$D$5,$F34&gt;MAX('הנחות עבודה'!$B$69:$B$89)),0,(VLOOKUP($F34,'התפלגות ייצור וסל דלקים'!$B$64:$BV$84,AN$2-$E$2,FALSE))*$D$9*$D$8*(HLOOKUP(AN$23,$G$18:$R$19,2,FALSE)*(1-$D$12)^($F34-'הנחות עבודה'!$C$5)/$D$11)/$D$11)</f>
        <v>0</v>
      </c>
      <c r="AO34" s="42">
        <f ca="1">IF(OR($F34&gt;$D$5,$F34&gt;MAX('הנחות עבודה'!$B$69:$B$89)),0,(VLOOKUP($F34,'התפלגות ייצור וסל דלקים'!$B$64:$BV$84,AO$2-$E$2,FALSE))*$D$9*$D$8*(HLOOKUP(AO$23,$G$18:$R$19,2,FALSE)*(1-$D$12)^($F34-'הנחות עבודה'!$C$5)/$D$11)/$D$11)</f>
        <v>0</v>
      </c>
      <c r="AP34" s="42">
        <f ca="1">IF(OR($F34&gt;$D$5,$F34&gt;MAX('הנחות עבודה'!$B$69:$B$89)),0,(VLOOKUP($F34,'התפלגות ייצור וסל דלקים'!$B$64:$BV$84,AP$2-$E$2,FALSE))*$D$9*$D$8*(HLOOKUP(AP$23,$G$18:$R$19,2,FALSE)*(1-$D$12)^($F34-'הנחות עבודה'!$C$5)/$D$11)/$D$11)</f>
        <v>0</v>
      </c>
      <c r="AQ34" s="52">
        <f ca="1">IF(OR($F34&gt;$D$5,$F34&gt;MAX('הנחות עבודה'!$B$69:$B$89)),0,(VLOOKUP($F34,'התפלגות ייצור וסל דלקים'!$B$64:$BV$84,AQ$2-$E$2,FALSE))*$D$9*$D$8*(HLOOKUP(AQ$23,$G$18:$R$19,2,FALSE)*(1-$D$12)^($F34-'הנחות עבודה'!$C$5)/$D$11)/$D$11)</f>
        <v>0</v>
      </c>
      <c r="AR34" s="127">
        <f ca="1">IF(OR($F34&gt;$D$5,$F34&gt;MAX('הנחות עבודה'!$B$69:$B$89)),0,(VLOOKUP($F34,'התפלגות ייצור וסל דלקים'!$B$64:$BV$84,AR$2-$E$2,FALSE))*$D$9*$D$8*(HLOOKUP(AR$23,$G$18:$R$19,2,FALSE)*(1-$D$12)^($F34-'הנחות עבודה'!$C$5)/$D$11)/$D$11)</f>
        <v>0</v>
      </c>
      <c r="AS34" s="127">
        <f ca="1">IF(OR($F34&gt;$D$5,$F34&gt;MAX('הנחות עבודה'!$B$69:$B$89)),0,(VLOOKUP($F34,'התפלגות ייצור וסל דלקים'!$B$64:$BV$84,AS$2-$E$2,FALSE))*$D$9*$D$8*(HLOOKUP(AS$23,$G$18:$R$19,2,FALSE)*(1-$D$12)^($F34-'הנחות עבודה'!$C$5)/$D$11)/$D$11)</f>
        <v>0</v>
      </c>
      <c r="AT34" s="127">
        <f ca="1">IF(OR($F34&gt;$D$5,$F34&gt;MAX('הנחות עבודה'!$B$69:$B$89)),0,(VLOOKUP($F34,'התפלגות ייצור וסל דלקים'!$B$64:$BV$84,AT$2-$E$2,FALSE))*$D$9*$D$8*(HLOOKUP(AT$23,$G$18:$R$19,2,FALSE)*(1-$D$12)^($F34-'הנחות עבודה'!$C$5)/$D$11)/$D$11)</f>
        <v>0</v>
      </c>
      <c r="AU34" s="127">
        <f ca="1">IF(OR($F34&gt;$D$5,$F34&gt;MAX('הנחות עבודה'!$B$69:$B$89)),0,(VLOOKUP($F34,'התפלגות ייצור וסל דלקים'!$B$64:$BV$84,AU$2-$E$2,FALSE))*$D$9*$D$8*(HLOOKUP(AU$23,$G$18:$R$19,2,FALSE)*(1-$D$12)^($F34-'הנחות עבודה'!$C$5)/$D$11)/$D$11)</f>
        <v>0</v>
      </c>
      <c r="AV34" s="127">
        <f ca="1">IF(OR($F34&gt;$D$5,$F34&gt;MAX('הנחות עבודה'!$B$69:$B$89)),0,(VLOOKUP($F34,'התפלגות ייצור וסל דלקים'!$B$64:$BV$84,AV$2-$E$2,FALSE))*$D$9*$D$8*(HLOOKUP(AV$23,$G$18:$R$19,2,FALSE)*(1-$D$12)^($F34-'הנחות עבודה'!$C$5)/$D$11)/$D$11)</f>
        <v>0</v>
      </c>
      <c r="AW34" s="52">
        <f ca="1">IF(OR($F34&gt;$D$5,$F34&gt;MAX('הנחות עבודה'!$B$69:$B$89)),0,(VLOOKUP($F34,'התפלגות ייצור וסל דלקים'!$B$64:$BV$84,AW$2-$E$2,FALSE))*$D$9*$D$8*(HLOOKUP(AW$23,$G$18:$R$19,2,FALSE)*(1-$D$12)^($F34-'הנחות עבודה'!$C$5)/$D$11)/$D$11)</f>
        <v>1.5414509999999999E-4</v>
      </c>
      <c r="AX34" s="52">
        <f ca="1">IF(OR($F34&gt;$D$5,$F34&gt;MAX('הנחות עבודה'!$B$69:$B$89)),0,(VLOOKUP($F34,'התפלגות ייצור וסל דלקים'!$B$64:$BV$84,AX$2-$E$2,FALSE))*$D$9*$D$8*(HLOOKUP(AX$23,$G$18:$R$19,2,FALSE)*(1-$D$12)^($F34-'הנחות עבודה'!$C$5)/$D$11)/$D$11)</f>
        <v>9.1471733200000009E-4</v>
      </c>
      <c r="AY34" s="52">
        <f ca="1">IF(OR($F34&gt;$D$5,$F34&gt;MAX('הנחות עבודה'!$B$69:$B$89)),0,(VLOOKUP($F34,'התפלגות ייצור וסל דלקים'!$B$64:$BV$84,AY$2-$E$2,FALSE))*$D$9*$D$8*(HLOOKUP(AY$23,$G$18:$R$19,2,FALSE)*(1-$D$12)^($F34-'הנחות עבודה'!$C$5)/$D$11)/$D$11)</f>
        <v>0</v>
      </c>
      <c r="AZ34" s="52">
        <f ca="1">IF(OR($F34&gt;$D$5,$F34&gt;MAX('הנחות עבודה'!$B$69:$B$89)),0,(VLOOKUP($F34,'התפלגות ייצור וסל דלקים'!$B$64:$BV$84,AZ$2-$E$2,FALSE))*$D$9*$D$8*(HLOOKUP(AZ$23,$G$18:$R$19,2,FALSE)*(1-$D$12)^($F34-'הנחות עבודה'!$C$5)/$D$11)/$D$11)</f>
        <v>0</v>
      </c>
      <c r="BA34" s="52">
        <f ca="1">IF(OR($F34&gt;$D$5,$F34&gt;MAX('הנחות עבודה'!$B$69:$B$89)),0,(VLOOKUP($F34,'התפלגות ייצור וסל דלקים'!$B$64:$BV$84,BA$2-$E$2,FALSE))*$D$9*$D$8*(HLOOKUP(BA$23,$G$18:$R$19,2,FALSE)*(1-$D$12)^($F34-'הנחות עבודה'!$C$5)/$D$11)/$D$11)</f>
        <v>0</v>
      </c>
      <c r="BB34" s="52">
        <f ca="1">IF(OR($F34&gt;$D$5,$F34&gt;MAX('הנחות עבודה'!$B$69:$B$89)),0,(VLOOKUP($F34,'התפלגות ייצור וסל דלקים'!$B$64:$BV$84,BB$2-$E$2,FALSE))*$D$9*$D$8*(HLOOKUP(BB$23,$G$18:$R$19,2,FALSE)*(1-$D$12)^($F34-'הנחות עבודה'!$C$5)/$D$11)/$D$11)</f>
        <v>0</v>
      </c>
      <c r="BC34" s="42">
        <f ca="1">IF(OR($F34&gt;$D$5,$F34&gt;MAX('הנחות עבודה'!$B$69:$B$89)),0,(VLOOKUP($F34,'התפלגות ייצור וסל דלקים'!$B$64:$BV$84,BC$2-$E$2,FALSE))*$D$9*$D$8*(HLOOKUP(BC$23,$G$18:$R$19,2,FALSE)*(1-$D$12)^($F34-'הנחות עבודה'!$C$5)/$D$11)/$D$11)</f>
        <v>0</v>
      </c>
      <c r="BD34" s="44">
        <f ca="1">IF(OR($F34&gt;$D$5,$F34&gt;MAX('הנחות עבודה'!$B$69:$B$89)),0,(VLOOKUP($F34,'התפלגות ייצור וסל דלקים'!$B$64:$BV$84,BD$2-$E$2,FALSE))*$D$9*$D$8*(HLOOKUP(BD$23,$G$18:$R$19,2,FALSE)*(1-$D$12)^($F34-'הנחות עבודה'!$C$5)/$D$11)/$D$11)</f>
        <v>0</v>
      </c>
      <c r="BE34" s="44">
        <f ca="1">IF(OR($F34&gt;$D$5,$F34&gt;MAX('הנחות עבודה'!$B$69:$B$89)),0,(VLOOKUP($F34,'התפלגות ייצור וסל דלקים'!$B$64:$BV$84,BE$2-$E$2,FALSE))*$D$9*$D$8*(HLOOKUP(BE$23,$G$18:$R$19,2,FALSE)*(1-$D$12)^($F34-'הנחות עבודה'!$C$5)/$D$11)/$D$11)</f>
        <v>0</v>
      </c>
      <c r="BF34" s="44">
        <f ca="1">IF(OR($F34&gt;$D$5,$F34&gt;MAX('הנחות עבודה'!$B$69:$B$89)),0,(VLOOKUP($F34,'התפלגות ייצור וסל דלקים'!$B$64:$BV$84,BF$2-$E$2,FALSE))*$D$9*$D$8*(HLOOKUP(BF$23,$G$18:$R$19,2,FALSE)*(1-$D$12)^($F34-'הנחות עבודה'!$C$5)/$D$11)/$D$11)</f>
        <v>0</v>
      </c>
      <c r="BG34" s="44">
        <f ca="1">IF(OR($F34&gt;$D$5,$F34&gt;MAX('הנחות עבודה'!$B$69:$B$89)),0,(VLOOKUP($F34,'התפלגות ייצור וסל דלקים'!$B$64:$BV$84,BG$2-$E$2,FALSE))*$D$9*$D$8*(HLOOKUP(BG$23,$G$18:$R$19,2,FALSE)*(1-$D$12)^($F34-'הנחות עבודה'!$C$5)/$D$11)/$D$11)</f>
        <v>0</v>
      </c>
      <c r="BH34" s="44">
        <f ca="1">IF(OR($F34&gt;$D$5,$F34&gt;MAX('הנחות עבודה'!$B$69:$B$89)),0,(VLOOKUP($F34,'התפלגות ייצור וסל דלקים'!$B$64:$BV$84,BH$2-$E$2,FALSE))*$D$9*$D$8*(HLOOKUP(BH$23,$G$18:$R$19,2,FALSE)*(1-$D$12)^($F34-'הנחות עבודה'!$C$5)/$D$11)/$D$11)</f>
        <v>0</v>
      </c>
      <c r="BI34" s="42">
        <f ca="1">IF(OR($F34&gt;$D$5,$F34&gt;MAX('הנחות עבודה'!$B$69:$B$89)),0,(VLOOKUP($F34,'התפלגות ייצור וסל דלקים'!$B$64:$BV$84,BI$2-$E$2,FALSE))*$D$9*$D$8*(HLOOKUP(BI$23,$G$18:$R$19,2,FALSE)*(1-$D$12)^($F34-'הנחות עבודה'!$C$5)/$D$11)/$D$11)</f>
        <v>1.5702000000000001E-4</v>
      </c>
      <c r="BJ34" s="42">
        <f ca="1">IF(OR($F34&gt;$D$5,$F34&gt;MAX('הנחות עבודה'!$B$69:$B$89)),0,(VLOOKUP($F34,'התפלגות ייצור וסל דלקים'!$B$64:$BV$84,BJ$2-$E$2,FALSE))*$D$9*$D$8*(HLOOKUP(BJ$23,$G$18:$R$19,2,FALSE)*(1-$D$12)^($F34-'הנחות עבודה'!$C$5)/$D$11)/$D$11)</f>
        <v>8.3281954719999977E-4</v>
      </c>
      <c r="BK34" s="42">
        <f ca="1">IF(OR($F34&gt;$D$5,$F34&gt;MAX('הנחות עבודה'!$B$69:$B$89)),0,(VLOOKUP($F34,'התפלגות ייצור וסל דלקים'!$B$64:$BV$84,BK$2-$E$2,FALSE))*$D$9*$D$8*(HLOOKUP(BK$23,$G$18:$R$19,2,FALSE)*(1-$D$12)^($F34-'הנחות עבודה'!$C$5)/$D$11)/$D$11)</f>
        <v>0</v>
      </c>
      <c r="BL34" s="42">
        <f ca="1">IF(OR($F34&gt;$D$5,$F34&gt;MAX('הנחות עבודה'!$B$69:$B$89)),0,(VLOOKUP($F34,'התפלגות ייצור וסל דלקים'!$B$64:$BV$84,BL$2-$E$2,FALSE))*$D$9*$D$8*(HLOOKUP(BL$23,$G$18:$R$19,2,FALSE)*(1-$D$12)^($F34-'הנחות עבודה'!$C$5)/$D$11)/$D$11)</f>
        <v>0</v>
      </c>
      <c r="BM34" s="42">
        <f ca="1">IF(OR($F34&gt;$D$5,$F34&gt;MAX('הנחות עבודה'!$B$69:$B$89)),0,(VLOOKUP($F34,'התפלגות ייצור וסל דלקים'!$B$64:$BV$84,BM$2-$E$2,FALSE))*$D$9*$D$8*(HLOOKUP(BM$23,$G$18:$R$19,2,FALSE)*(1-$D$12)^($F34-'הנחות עבודה'!$C$5)/$D$11)/$D$11)</f>
        <v>0</v>
      </c>
      <c r="BN34" s="42">
        <f ca="1">IF(OR($F34&gt;$D$5,$F34&gt;MAX('הנחות עבודה'!$B$69:$B$89)),0,(VLOOKUP($F34,'התפלגות ייצור וסל דלקים'!$B$64:$BV$84,BN$2-$E$2,FALSE))*$D$9*$D$8*(HLOOKUP(BN$23,$G$18:$R$19,2,FALSE)*(1-$D$12)^($F34-'הנחות עבודה'!$C$5)/$D$11)/$D$11)</f>
        <v>0</v>
      </c>
      <c r="BO34" s="52">
        <f ca="1">IF(OR($F34&gt;$D$5,$F34&gt;MAX('הנחות עבודה'!$B$69:$B$89)),0,(VLOOKUP($F34,'התפלגות ייצור וסל דלקים'!$B$64:$BV$84,BO$2-$E$2,FALSE))*$D$9*$D$8*(HLOOKUP(BO$23,$G$18:$R$19,2,FALSE)*(1-$D$12)^($F34-'הנחות עבודה'!$C$5)/$D$11)/$D$11)</f>
        <v>0</v>
      </c>
      <c r="BP34" s="127">
        <f ca="1">IF(OR($F34&gt;$D$5,$F34&gt;MAX('הנחות עבודה'!$B$69:$B$89)),0,(VLOOKUP($F34,'התפלגות ייצור וסל דלקים'!$B$64:$BV$84,BP$2-$E$2,FALSE))*$D$9*$D$8*(HLOOKUP(BP$23,$G$18:$R$19,2,FALSE)*(1-$D$12)^($F34-'הנחות עבודה'!$C$5)/$D$11)/$D$11)</f>
        <v>0</v>
      </c>
      <c r="BQ34" s="127">
        <f ca="1">IF(OR($F34&gt;$D$5,$F34&gt;MAX('הנחות עבודה'!$B$69:$B$89)),0,(VLOOKUP($F34,'התפלגות ייצור וסל דלקים'!$B$64:$BV$84,BQ$2-$E$2,FALSE))*$D$9*$D$8*(HLOOKUP(BQ$23,$G$18:$R$19,2,FALSE)*(1-$D$12)^($F34-'הנחות עבודה'!$C$5)/$D$11)/$D$11)</f>
        <v>0</v>
      </c>
      <c r="BR34" s="127">
        <f ca="1">IF(OR($F34&gt;$D$5,$F34&gt;MAX('הנחות עבודה'!$B$69:$B$89)),0,(VLOOKUP($F34,'התפלגות ייצור וסל דלקים'!$B$64:$BV$84,BR$2-$E$2,FALSE))*$D$9*$D$8*(HLOOKUP(BR$23,$G$18:$R$19,2,FALSE)*(1-$D$12)^($F34-'הנחות עבודה'!$C$5)/$D$11)/$D$11)</f>
        <v>0</v>
      </c>
      <c r="BS34" s="127">
        <f ca="1">IF(OR($F34&gt;$D$5,$F34&gt;MAX('הנחות עבודה'!$B$69:$B$89)),0,(VLOOKUP($F34,'התפלגות ייצור וסל דלקים'!$B$64:$BV$84,BS$2-$E$2,FALSE))*$D$9*$D$8*(HLOOKUP(BS$23,$G$18:$R$19,2,FALSE)*(1-$D$12)^($F34-'הנחות עבודה'!$C$5)/$D$11)/$D$11)</f>
        <v>0</v>
      </c>
      <c r="BT34" s="127">
        <f ca="1">IF(OR($F34&gt;$D$5,$F34&gt;MAX('הנחות עבודה'!$B$69:$B$89)),0,(VLOOKUP($F34,'התפלגות ייצור וסל דלקים'!$B$64:$BV$84,BT$2-$E$2,FALSE))*$D$9*$D$8*(HLOOKUP(BT$23,$G$18:$R$19,2,FALSE)*(1-$D$12)^($F34-'הנחות עבודה'!$C$5)/$D$11)/$D$11)</f>
        <v>0</v>
      </c>
      <c r="BU34" s="52">
        <f ca="1">IF(OR($F34&gt;$D$5,$F34&gt;MAX('הנחות עבודה'!$B$69:$B$89)),0,(VLOOKUP($F34,'התפלגות ייצור וסל דלקים'!$B$64:$BV$84,BU$2-$E$2,FALSE))*$D$9*$D$8*(HLOOKUP(BU$23,$G$18:$R$19,2,FALSE)*(1-$D$12)^($F34-'הנחות עבודה'!$C$5)/$D$11)/$D$11)</f>
        <v>1.5702000000000001E-4</v>
      </c>
      <c r="BV34" s="52">
        <f ca="1">IF(OR($F34&gt;$D$5,$F34&gt;MAX('הנחות עבודה'!$B$69:$B$89)),0,(VLOOKUP($F34,'התפלגות ייצור וסל דלקים'!$B$64:$BV$84,BV$2-$E$2,FALSE))*$D$9*$D$8*(HLOOKUP(BV$23,$G$18:$R$19,2,FALSE)*(1-$D$12)^($F34-'הנחות עבודה'!$C$5)/$D$11)/$D$11)</f>
        <v>8.3281954719999977E-4</v>
      </c>
      <c r="BW34" s="52">
        <f ca="1">IF(OR($F34&gt;$D$5,$F34&gt;MAX('הנחות עבודה'!$B$69:$B$89)),0,(VLOOKUP($F34,'התפלגות ייצור וסל דלקים'!$B$64:$BV$84,BW$2-$E$2,FALSE))*$D$9*$D$8*(HLOOKUP(BW$23,$G$18:$R$19,2,FALSE)*(1-$D$12)^($F34-'הנחות עבודה'!$C$5)/$D$11)/$D$11)</f>
        <v>0</v>
      </c>
      <c r="BX34" s="52">
        <f ca="1">IF(OR($F34&gt;$D$5,$F34&gt;MAX('הנחות עבודה'!$B$69:$B$89)),0,(VLOOKUP($F34,'התפלגות ייצור וסל דלקים'!$B$64:$BV$84,BX$2-$E$2,FALSE))*$D$9*$D$8*(HLOOKUP(BX$23,$G$18:$R$19,2,FALSE)*(1-$D$12)^($F34-'הנחות עבודה'!$C$5)/$D$11)/$D$11)</f>
        <v>0</v>
      </c>
      <c r="BY34" s="52">
        <f ca="1">IF(OR($F34&gt;$D$5,$F34&gt;MAX('הנחות עבודה'!$B$69:$B$89)),0,(VLOOKUP($F34,'התפלגות ייצור וסל דלקים'!$B$64:$BV$84,BY$2-$E$2,FALSE))*$D$9*$D$8*(HLOOKUP(BY$23,$G$18:$R$19,2,FALSE)*(1-$D$12)^($F34-'הנחות עבודה'!$C$5)/$D$11)/$D$11)</f>
        <v>0</v>
      </c>
      <c r="BZ34" s="52">
        <f ca="1">IF(OR($F34&gt;$D$5,$F34&gt;MAX('הנחות עבודה'!$B$69:$B$89)),0,(VLOOKUP($F34,'התפלגות ייצור וסל דלקים'!$B$64:$BV$84,BZ$2-$E$2,FALSE))*$D$9*$D$8*(HLOOKUP(BZ$23,$G$18:$R$19,2,FALSE)*(1-$D$12)^($F34-'הנחות עבודה'!$C$5)/$D$11)/$D$11)</f>
        <v>0</v>
      </c>
    </row>
    <row r="35" spans="6:78" ht="15.75">
      <c r="F35" s="10">
        <f t="shared" si="114"/>
        <v>2031</v>
      </c>
      <c r="G35" s="42">
        <f ca="1">IF(OR($F35&gt;$D$5,$F35&gt;MAX('הנחות עבודה'!$B$69:$B$89)),0,(VLOOKUP($F35,'התפלגות ייצור וסל דלקים'!$B$64:$BV$84,G$2-$E$2,FALSE))*$D$9*$D$8*(HLOOKUP(G$23,$G$18:$R$19,2,FALSE)*(1-$D$12)^($F35-'הנחות עבודה'!$C$5)/$D$11)/$D$11)</f>
        <v>0</v>
      </c>
      <c r="H35" s="44">
        <f ca="1">IF(OR($F35&gt;$D$5,$F35&gt;MAX('הנחות עבודה'!$B$69:$B$89)),0,(VLOOKUP($F35,'התפלגות ייצור וסל דלקים'!$B$64:$BV$84,H$2-$E$2,FALSE))*$D$9*$D$8*(HLOOKUP(H$23,$G$18:$R$19,2,FALSE)*(1-$D$12)^($F35-'הנחות עבודה'!$C$5)/$D$11)/$D$11)</f>
        <v>0</v>
      </c>
      <c r="I35" s="44">
        <f ca="1">IF(OR($F35&gt;$D$5,$F35&gt;MAX('הנחות עבודה'!$B$69:$B$89)),0,(VLOOKUP($F35,'התפלגות ייצור וסל דלקים'!$B$64:$BV$84,I$2-$E$2,FALSE))*$D$9*$D$8*(HLOOKUP(I$23,$G$18:$R$19,2,FALSE)*(1-$D$12)^($F35-'הנחות עבודה'!$C$5)/$D$11)/$D$11)</f>
        <v>0</v>
      </c>
      <c r="J35" s="44">
        <f ca="1">IF(OR($F35&gt;$D$5,$F35&gt;MAX('הנחות עבודה'!$B$69:$B$89)),0,(VLOOKUP($F35,'התפלגות ייצור וסל דלקים'!$B$64:$BV$84,J$2-$E$2,FALSE))*$D$9*$D$8*(HLOOKUP(J$23,$G$18:$R$19,2,FALSE)*(1-$D$12)^($F35-'הנחות עבודה'!$C$5)/$D$11)/$D$11)</f>
        <v>0</v>
      </c>
      <c r="K35" s="44">
        <f ca="1">IF(OR($F35&gt;$D$5,$F35&gt;MAX('הנחות עבודה'!$B$69:$B$89)),0,(VLOOKUP($F35,'התפלגות ייצור וסל דלקים'!$B$64:$BV$84,K$2-$E$2,FALSE))*$D$9*$D$8*(HLOOKUP(K$23,$G$18:$R$19,2,FALSE)*(1-$D$12)^($F35-'הנחות עבודה'!$C$5)/$D$11)/$D$11)</f>
        <v>0</v>
      </c>
      <c r="L35" s="44">
        <f ca="1">IF(OR($F35&gt;$D$5,$F35&gt;MAX('הנחות עבודה'!$B$69:$B$89)),0,(VLOOKUP($F35,'התפלגות ייצור וסל דלקים'!$B$64:$BV$84,L$2-$E$2,FALSE))*$D$9*$D$8*(HLOOKUP(L$23,$G$18:$R$19,2,FALSE)*(1-$D$12)^($F35-'הנחות עבודה'!$C$5)/$D$11)/$D$11)</f>
        <v>0</v>
      </c>
      <c r="M35" s="42">
        <f ca="1">IF(OR($F35&gt;$D$5,$F35&gt;MAX('הנחות עבודה'!$B$69:$B$89)),0,(VLOOKUP($F35,'התפלגות ייצור וסל דלקים'!$B$64:$BV$84,M$2-$E$2,FALSE))*$D$9*$D$8*(HLOOKUP(M$23,$G$18:$R$19,2,FALSE)*(1-$D$12)^($F35-'הנחות עבודה'!$C$5)/$D$11)/$D$11)</f>
        <v>1.4496929999999999E-4</v>
      </c>
      <c r="N35" s="42">
        <f ca="1">IF(OR($F35&gt;$D$5,$F35&gt;MAX('הנחות עבודה'!$B$69:$B$89)),0,(VLOOKUP($F35,'התפלגות ייצור וסל דלקים'!$B$64:$BV$84,N$2-$E$2,FALSE))*$D$9*$D$8*(HLOOKUP(N$23,$G$18:$R$19,2,FALSE)*(1-$D$12)^($F35-'הנחות עבודה'!$C$5)/$D$11)/$D$11)</f>
        <v>1.1019538384166401E-3</v>
      </c>
      <c r="O35" s="42">
        <f ca="1">IF(OR($F35&gt;$D$5,$F35&gt;MAX('הנחות עבודה'!$B$69:$B$89)),0,(VLOOKUP($F35,'התפלגות ייצור וסל דלקים'!$B$64:$BV$84,O$2-$E$2,FALSE))*$D$9*$D$8*(HLOOKUP(O$23,$G$18:$R$19,2,FALSE)*(1-$D$12)^($F35-'הנחות עבודה'!$C$5)/$D$11)/$D$11)</f>
        <v>0</v>
      </c>
      <c r="P35" s="42">
        <f ca="1">IF(OR($F35&gt;$D$5,$F35&gt;MAX('הנחות עבודה'!$B$69:$B$89)),0,(VLOOKUP($F35,'התפלגות ייצור וסל דלקים'!$B$64:$BV$84,P$2-$E$2,FALSE))*$D$9*$D$8*(HLOOKUP(P$23,$G$18:$R$19,2,FALSE)*(1-$D$12)^($F35-'הנחות עבודה'!$C$5)/$D$11)/$D$11)</f>
        <v>0</v>
      </c>
      <c r="Q35" s="42">
        <f ca="1">IF(OR($F35&gt;$D$5,$F35&gt;MAX('הנחות עבודה'!$B$69:$B$89)),0,(VLOOKUP($F35,'התפלגות ייצור וסל דלקים'!$B$64:$BV$84,Q$2-$E$2,FALSE))*$D$9*$D$8*(HLOOKUP(Q$23,$G$18:$R$19,2,FALSE)*(1-$D$12)^($F35-'הנחות עבודה'!$C$5)/$D$11)/$D$11)</f>
        <v>0</v>
      </c>
      <c r="R35" s="42">
        <f ca="1">IF(OR($F35&gt;$D$5,$F35&gt;MAX('הנחות עבודה'!$B$69:$B$89)),0,(VLOOKUP($F35,'התפלגות ייצור וסל דלקים'!$B$64:$BV$84,R$2-$E$2,FALSE))*$D$9*$D$8*(HLOOKUP(R$23,$G$18:$R$19,2,FALSE)*(1-$D$12)^($F35-'הנחות עבודה'!$C$5)/$D$11)/$D$11)</f>
        <v>0</v>
      </c>
      <c r="S35" s="52">
        <f ca="1">IF(OR($F35&gt;$D$5,$F35&gt;MAX('הנחות עבודה'!$B$69:$B$89)),0,(VLOOKUP($F35,'התפלגות ייצור וסל דלקים'!$B$64:$BV$84,S$2-$E$2,FALSE))*$D$9*$D$8*(HLOOKUP(S$23,$G$18:$R$19,2,FALSE)*(1-$D$12)^($F35-'הנחות עבודה'!$C$5)/$D$11)/$D$11)</f>
        <v>0</v>
      </c>
      <c r="T35" s="127">
        <f ca="1">IF(OR($F35&gt;$D$5,$F35&gt;MAX('הנחות עבודה'!$B$69:$B$89)),0,(VLOOKUP($F35,'התפלגות ייצור וסל דלקים'!$B$64:$BV$84,T$2-$E$2,FALSE))*$D$9*$D$8*(HLOOKUP(T$23,$G$18:$R$19,2,FALSE)*(1-$D$12)^($F35-'הנחות עבודה'!$C$5)/$D$11)/$D$11)</f>
        <v>0</v>
      </c>
      <c r="U35" s="127">
        <f ca="1">IF(OR($F35&gt;$D$5,$F35&gt;MAX('הנחות עבודה'!$B$69:$B$89)),0,(VLOOKUP($F35,'התפלגות ייצור וסל דלקים'!$B$64:$BV$84,U$2-$E$2,FALSE))*$D$9*$D$8*(HLOOKUP(U$23,$G$18:$R$19,2,FALSE)*(1-$D$12)^($F35-'הנחות עבודה'!$C$5)/$D$11)/$D$11)</f>
        <v>0</v>
      </c>
      <c r="V35" s="127">
        <f ca="1">IF(OR($F35&gt;$D$5,$F35&gt;MAX('הנחות עבודה'!$B$69:$B$89)),0,(VLOOKUP($F35,'התפלגות ייצור וסל דלקים'!$B$64:$BV$84,V$2-$E$2,FALSE))*$D$9*$D$8*(HLOOKUP(V$23,$G$18:$R$19,2,FALSE)*(1-$D$12)^($F35-'הנחות עבודה'!$C$5)/$D$11)/$D$11)</f>
        <v>0</v>
      </c>
      <c r="W35" s="127">
        <f ca="1">IF(OR($F35&gt;$D$5,$F35&gt;MAX('הנחות עבודה'!$B$69:$B$89)),0,(VLOOKUP($F35,'התפלגות ייצור וסל דלקים'!$B$64:$BV$84,W$2-$E$2,FALSE))*$D$9*$D$8*(HLOOKUP(W$23,$G$18:$R$19,2,FALSE)*(1-$D$12)^($F35-'הנחות עבודה'!$C$5)/$D$11)/$D$11)</f>
        <v>0</v>
      </c>
      <c r="X35" s="127">
        <f ca="1">IF(OR($F35&gt;$D$5,$F35&gt;MAX('הנחות עבודה'!$B$69:$B$89)),0,(VLOOKUP($F35,'התפלגות ייצור וסל דלקים'!$B$64:$BV$84,X$2-$E$2,FALSE))*$D$9*$D$8*(HLOOKUP(X$23,$G$18:$R$19,2,FALSE)*(1-$D$12)^($F35-'הנחות עבודה'!$C$5)/$D$11)/$D$11)</f>
        <v>0</v>
      </c>
      <c r="Y35" s="52">
        <f ca="1">IF(OR($F35&gt;$D$5,$F35&gt;MAX('הנחות עבודה'!$B$69:$B$89)),0,(VLOOKUP($F35,'התפלגות ייצור וסל דלקים'!$B$64:$BV$84,Y$2-$E$2,FALSE))*$D$9*$D$8*(HLOOKUP(Y$23,$G$18:$R$19,2,FALSE)*(1-$D$12)^($F35-'הנחות עבודה'!$C$5)/$D$11)/$D$11)</f>
        <v>1.4496929999999999E-4</v>
      </c>
      <c r="Z35" s="52">
        <f ca="1">IF(OR($F35&gt;$D$5,$F35&gt;MAX('הנחות עבודה'!$B$69:$B$89)),0,(VLOOKUP($F35,'התפלגות ייצור וסל דלקים'!$B$64:$BV$84,Z$2-$E$2,FALSE))*$D$9*$D$8*(HLOOKUP(Z$23,$G$18:$R$19,2,FALSE)*(1-$D$12)^($F35-'הנחות עבודה'!$C$5)/$D$11)/$D$11)</f>
        <v>1.1019538384166401E-3</v>
      </c>
      <c r="AA35" s="52">
        <f ca="1">IF(OR($F35&gt;$D$5,$F35&gt;MAX('הנחות עבודה'!$B$69:$B$89)),0,(VLOOKUP($F35,'התפלגות ייצור וסל דלקים'!$B$64:$BV$84,AA$2-$E$2,FALSE))*$D$9*$D$8*(HLOOKUP(AA$23,$G$18:$R$19,2,FALSE)*(1-$D$12)^($F35-'הנחות עבודה'!$C$5)/$D$11)/$D$11)</f>
        <v>0</v>
      </c>
      <c r="AB35" s="52">
        <f ca="1">IF(OR($F35&gt;$D$5,$F35&gt;MAX('הנחות עבודה'!$B$69:$B$89)),0,(VLOOKUP($F35,'התפלגות ייצור וסל דלקים'!$B$64:$BV$84,AB$2-$E$2,FALSE))*$D$9*$D$8*(HLOOKUP(AB$23,$G$18:$R$19,2,FALSE)*(1-$D$12)^($F35-'הנחות עבודה'!$C$5)/$D$11)/$D$11)</f>
        <v>0</v>
      </c>
      <c r="AC35" s="52">
        <f ca="1">IF(OR($F35&gt;$D$5,$F35&gt;MAX('הנחות עבודה'!$B$69:$B$89)),0,(VLOOKUP($F35,'התפלגות ייצור וסל דלקים'!$B$64:$BV$84,AC$2-$E$2,FALSE))*$D$9*$D$8*(HLOOKUP(AC$23,$G$18:$R$19,2,FALSE)*(1-$D$12)^($F35-'הנחות עבודה'!$C$5)/$D$11)/$D$11)</f>
        <v>0</v>
      </c>
      <c r="AD35" s="52">
        <f ca="1">IF(OR($F35&gt;$D$5,$F35&gt;MAX('הנחות עבודה'!$B$69:$B$89)),0,(VLOOKUP($F35,'התפלגות ייצור וסל דלקים'!$B$64:$BV$84,AD$2-$E$2,FALSE))*$D$9*$D$8*(HLOOKUP(AD$23,$G$18:$R$19,2,FALSE)*(1-$D$12)^($F35-'הנחות עבודה'!$C$5)/$D$11)/$D$11)</f>
        <v>0</v>
      </c>
      <c r="AE35" s="42">
        <f ca="1">IF(OR($F35&gt;$D$5,$F35&gt;MAX('הנחות עבודה'!$B$69:$B$89)),0,(VLOOKUP($F35,'התפלגות ייצור וסל דלקים'!$B$64:$BV$84,AE$2-$E$2,FALSE))*$D$9*$D$8*(HLOOKUP(AE$23,$G$18:$R$19,2,FALSE)*(1-$D$12)^($F35-'הנחות עבודה'!$C$5)/$D$11)/$D$11)</f>
        <v>0</v>
      </c>
      <c r="AF35" s="44">
        <f ca="1">IF(OR($F35&gt;$D$5,$F35&gt;MAX('הנחות עבודה'!$B$69:$B$89)),0,(VLOOKUP($F35,'התפלגות ייצור וסל דלקים'!$B$64:$BV$84,AF$2-$E$2,FALSE))*$D$9*$D$8*(HLOOKUP(AF$23,$G$18:$R$19,2,FALSE)*(1-$D$12)^($F35-'הנחות עבודה'!$C$5)/$D$11)/$D$11)</f>
        <v>0</v>
      </c>
      <c r="AG35" s="44">
        <f ca="1">IF(OR($F35&gt;$D$5,$F35&gt;MAX('הנחות עבודה'!$B$69:$B$89)),0,(VLOOKUP($F35,'התפלגות ייצור וסל דלקים'!$B$64:$BV$84,AG$2-$E$2,FALSE))*$D$9*$D$8*(HLOOKUP(AG$23,$G$18:$R$19,2,FALSE)*(1-$D$12)^($F35-'הנחות עבודה'!$C$5)/$D$11)/$D$11)</f>
        <v>0</v>
      </c>
      <c r="AH35" s="44">
        <f ca="1">IF(OR($F35&gt;$D$5,$F35&gt;MAX('הנחות עבודה'!$B$69:$B$89)),0,(VLOOKUP($F35,'התפלגות ייצור וסל דלקים'!$B$64:$BV$84,AH$2-$E$2,FALSE))*$D$9*$D$8*(HLOOKUP(AH$23,$G$18:$R$19,2,FALSE)*(1-$D$12)^($F35-'הנחות עבודה'!$C$5)/$D$11)/$D$11)</f>
        <v>0</v>
      </c>
      <c r="AI35" s="44">
        <f ca="1">IF(OR($F35&gt;$D$5,$F35&gt;MAX('הנחות עבודה'!$B$69:$B$89)),0,(VLOOKUP($F35,'התפלגות ייצור וסל דלקים'!$B$64:$BV$84,AI$2-$E$2,FALSE))*$D$9*$D$8*(HLOOKUP(AI$23,$G$18:$R$19,2,FALSE)*(1-$D$12)^($F35-'הנחות עבודה'!$C$5)/$D$11)/$D$11)</f>
        <v>0</v>
      </c>
      <c r="AJ35" s="44">
        <f ca="1">IF(OR($F35&gt;$D$5,$F35&gt;MAX('הנחות עבודה'!$B$69:$B$89)),0,(VLOOKUP($F35,'התפלגות ייצור וסל דלקים'!$B$64:$BV$84,AJ$2-$E$2,FALSE))*$D$9*$D$8*(HLOOKUP(AJ$23,$G$18:$R$19,2,FALSE)*(1-$D$12)^($F35-'הנחות עבודה'!$C$5)/$D$11)/$D$11)</f>
        <v>0</v>
      </c>
      <c r="AK35" s="42">
        <f ca="1">IF(OR($F35&gt;$D$5,$F35&gt;MAX('הנחות עבודה'!$B$69:$B$89)),0,(VLOOKUP($F35,'התפלגות ייצור וסל דלקים'!$B$64:$BV$84,AK$2-$E$2,FALSE))*$D$9*$D$8*(HLOOKUP(AK$23,$G$18:$R$19,2,FALSE)*(1-$D$12)^($F35-'הנחות עבודה'!$C$5)/$D$11)/$D$11)</f>
        <v>1.5399500000000001E-4</v>
      </c>
      <c r="AL35" s="42">
        <f ca="1">IF(OR($F35&gt;$D$5,$F35&gt;MAX('הנחות עבודה'!$B$69:$B$89)),0,(VLOOKUP($F35,'התפלגות ייצור וסל דלקים'!$B$64:$BV$84,AL$2-$E$2,FALSE))*$D$9*$D$8*(HLOOKUP(AL$23,$G$18:$R$19,2,FALSE)*(1-$D$12)^($F35-'הנחות עבודה'!$C$5)/$D$11)/$D$11)</f>
        <v>9.6377599059072007E-4</v>
      </c>
      <c r="AM35" s="42">
        <f ca="1">IF(OR($F35&gt;$D$5,$F35&gt;MAX('הנחות עבודה'!$B$69:$B$89)),0,(VLOOKUP($F35,'התפלגות ייצור וסל דלקים'!$B$64:$BV$84,AM$2-$E$2,FALSE))*$D$9*$D$8*(HLOOKUP(AM$23,$G$18:$R$19,2,FALSE)*(1-$D$12)^($F35-'הנחות עבודה'!$C$5)/$D$11)/$D$11)</f>
        <v>0</v>
      </c>
      <c r="AN35" s="42">
        <f ca="1">IF(OR($F35&gt;$D$5,$F35&gt;MAX('הנחות עבודה'!$B$69:$B$89)),0,(VLOOKUP($F35,'התפלגות ייצור וסל דלקים'!$B$64:$BV$84,AN$2-$E$2,FALSE))*$D$9*$D$8*(HLOOKUP(AN$23,$G$18:$R$19,2,FALSE)*(1-$D$12)^($F35-'הנחות עבודה'!$C$5)/$D$11)/$D$11)</f>
        <v>0</v>
      </c>
      <c r="AO35" s="42">
        <f ca="1">IF(OR($F35&gt;$D$5,$F35&gt;MAX('הנחות עבודה'!$B$69:$B$89)),0,(VLOOKUP($F35,'התפלגות ייצור וסל דלקים'!$B$64:$BV$84,AO$2-$E$2,FALSE))*$D$9*$D$8*(HLOOKUP(AO$23,$G$18:$R$19,2,FALSE)*(1-$D$12)^($F35-'הנחות עבודה'!$C$5)/$D$11)/$D$11)</f>
        <v>0</v>
      </c>
      <c r="AP35" s="42">
        <f ca="1">IF(OR($F35&gt;$D$5,$F35&gt;MAX('הנחות עבודה'!$B$69:$B$89)),0,(VLOOKUP($F35,'התפלגות ייצור וסל דלקים'!$B$64:$BV$84,AP$2-$E$2,FALSE))*$D$9*$D$8*(HLOOKUP(AP$23,$G$18:$R$19,2,FALSE)*(1-$D$12)^($F35-'הנחות עבודה'!$C$5)/$D$11)/$D$11)</f>
        <v>0</v>
      </c>
      <c r="AQ35" s="52">
        <f ca="1">IF(OR($F35&gt;$D$5,$F35&gt;MAX('הנחות עבודה'!$B$69:$B$89)),0,(VLOOKUP($F35,'התפלגות ייצור וסל דלקים'!$B$64:$BV$84,AQ$2-$E$2,FALSE))*$D$9*$D$8*(HLOOKUP(AQ$23,$G$18:$R$19,2,FALSE)*(1-$D$12)^($F35-'הנחות עבודה'!$C$5)/$D$11)/$D$11)</f>
        <v>0</v>
      </c>
      <c r="AR35" s="127">
        <f ca="1">IF(OR($F35&gt;$D$5,$F35&gt;MAX('הנחות עבודה'!$B$69:$B$89)),0,(VLOOKUP($F35,'התפלגות ייצור וסל דלקים'!$B$64:$BV$84,AR$2-$E$2,FALSE))*$D$9*$D$8*(HLOOKUP(AR$23,$G$18:$R$19,2,FALSE)*(1-$D$12)^($F35-'הנחות עבודה'!$C$5)/$D$11)/$D$11)</f>
        <v>0</v>
      </c>
      <c r="AS35" s="127">
        <f ca="1">IF(OR($F35&gt;$D$5,$F35&gt;MAX('הנחות עבודה'!$B$69:$B$89)),0,(VLOOKUP($F35,'התפלגות ייצור וסל דלקים'!$B$64:$BV$84,AS$2-$E$2,FALSE))*$D$9*$D$8*(HLOOKUP(AS$23,$G$18:$R$19,2,FALSE)*(1-$D$12)^($F35-'הנחות עבודה'!$C$5)/$D$11)/$D$11)</f>
        <v>0</v>
      </c>
      <c r="AT35" s="127">
        <f ca="1">IF(OR($F35&gt;$D$5,$F35&gt;MAX('הנחות עבודה'!$B$69:$B$89)),0,(VLOOKUP($F35,'התפלגות ייצור וסל דלקים'!$B$64:$BV$84,AT$2-$E$2,FALSE))*$D$9*$D$8*(HLOOKUP(AT$23,$G$18:$R$19,2,FALSE)*(1-$D$12)^($F35-'הנחות עבודה'!$C$5)/$D$11)/$D$11)</f>
        <v>0</v>
      </c>
      <c r="AU35" s="127">
        <f ca="1">IF(OR($F35&gt;$D$5,$F35&gt;MAX('הנחות עבודה'!$B$69:$B$89)),0,(VLOOKUP($F35,'התפלגות ייצור וסל דלקים'!$B$64:$BV$84,AU$2-$E$2,FALSE))*$D$9*$D$8*(HLOOKUP(AU$23,$G$18:$R$19,2,FALSE)*(1-$D$12)^($F35-'הנחות עבודה'!$C$5)/$D$11)/$D$11)</f>
        <v>0</v>
      </c>
      <c r="AV35" s="127">
        <f ca="1">IF(OR($F35&gt;$D$5,$F35&gt;MAX('הנחות עבודה'!$B$69:$B$89)),0,(VLOOKUP($F35,'התפלגות ייצור וסל דלקים'!$B$64:$BV$84,AV$2-$E$2,FALSE))*$D$9*$D$8*(HLOOKUP(AV$23,$G$18:$R$19,2,FALSE)*(1-$D$12)^($F35-'הנחות עבודה'!$C$5)/$D$11)/$D$11)</f>
        <v>0</v>
      </c>
      <c r="AW35" s="52">
        <f ca="1">IF(OR($F35&gt;$D$5,$F35&gt;MAX('הנחות עבודה'!$B$69:$B$89)),0,(VLOOKUP($F35,'התפלגות ייצור וסל דלקים'!$B$64:$BV$84,AW$2-$E$2,FALSE))*$D$9*$D$8*(HLOOKUP(AW$23,$G$18:$R$19,2,FALSE)*(1-$D$12)^($F35-'הנחות עבודה'!$C$5)/$D$11)/$D$11)</f>
        <v>1.5399500000000001E-4</v>
      </c>
      <c r="AX35" s="52">
        <f ca="1">IF(OR($F35&gt;$D$5,$F35&gt;MAX('הנחות עבודה'!$B$69:$B$89)),0,(VLOOKUP($F35,'התפלגות ייצור וסל דלקים'!$B$64:$BV$84,AX$2-$E$2,FALSE))*$D$9*$D$8*(HLOOKUP(AX$23,$G$18:$R$19,2,FALSE)*(1-$D$12)^($F35-'הנחות עבודה'!$C$5)/$D$11)/$D$11)</f>
        <v>9.6377599059072007E-4</v>
      </c>
      <c r="AY35" s="52">
        <f ca="1">IF(OR($F35&gt;$D$5,$F35&gt;MAX('הנחות עבודה'!$B$69:$B$89)),0,(VLOOKUP($F35,'התפלגות ייצור וסל דלקים'!$B$64:$BV$84,AY$2-$E$2,FALSE))*$D$9*$D$8*(HLOOKUP(AY$23,$G$18:$R$19,2,FALSE)*(1-$D$12)^($F35-'הנחות עבודה'!$C$5)/$D$11)/$D$11)</f>
        <v>0</v>
      </c>
      <c r="AZ35" s="52">
        <f ca="1">IF(OR($F35&gt;$D$5,$F35&gt;MAX('הנחות עבודה'!$B$69:$B$89)),0,(VLOOKUP($F35,'התפלגות ייצור וסל דלקים'!$B$64:$BV$84,AZ$2-$E$2,FALSE))*$D$9*$D$8*(HLOOKUP(AZ$23,$G$18:$R$19,2,FALSE)*(1-$D$12)^($F35-'הנחות עבודה'!$C$5)/$D$11)/$D$11)</f>
        <v>0</v>
      </c>
      <c r="BA35" s="52">
        <f ca="1">IF(OR($F35&gt;$D$5,$F35&gt;MAX('הנחות עבודה'!$B$69:$B$89)),0,(VLOOKUP($F35,'התפלגות ייצור וסל דלקים'!$B$64:$BV$84,BA$2-$E$2,FALSE))*$D$9*$D$8*(HLOOKUP(BA$23,$G$18:$R$19,2,FALSE)*(1-$D$12)^($F35-'הנחות עבודה'!$C$5)/$D$11)/$D$11)</f>
        <v>0</v>
      </c>
      <c r="BB35" s="52">
        <f ca="1">IF(OR($F35&gt;$D$5,$F35&gt;MAX('הנחות עבודה'!$B$69:$B$89)),0,(VLOOKUP($F35,'התפלגות ייצור וסל דלקים'!$B$64:$BV$84,BB$2-$E$2,FALSE))*$D$9*$D$8*(HLOOKUP(BB$23,$G$18:$R$19,2,FALSE)*(1-$D$12)^($F35-'הנחות עבודה'!$C$5)/$D$11)/$D$11)</f>
        <v>0</v>
      </c>
      <c r="BC35" s="42">
        <f ca="1">IF(OR($F35&gt;$D$5,$F35&gt;MAX('הנחות עבודה'!$B$69:$B$89)),0,(VLOOKUP($F35,'התפלגות ייצור וסל דלקים'!$B$64:$BV$84,BC$2-$E$2,FALSE))*$D$9*$D$8*(HLOOKUP(BC$23,$G$18:$R$19,2,FALSE)*(1-$D$12)^($F35-'הנחות עבודה'!$C$5)/$D$11)/$D$11)</f>
        <v>0</v>
      </c>
      <c r="BD35" s="44">
        <f ca="1">IF(OR($F35&gt;$D$5,$F35&gt;MAX('הנחות עבודה'!$B$69:$B$89)),0,(VLOOKUP($F35,'התפלגות ייצור וסל דלקים'!$B$64:$BV$84,BD$2-$E$2,FALSE))*$D$9*$D$8*(HLOOKUP(BD$23,$G$18:$R$19,2,FALSE)*(1-$D$12)^($F35-'הנחות עבודה'!$C$5)/$D$11)/$D$11)</f>
        <v>0</v>
      </c>
      <c r="BE35" s="44">
        <f ca="1">IF(OR($F35&gt;$D$5,$F35&gt;MAX('הנחות עבודה'!$B$69:$B$89)),0,(VLOOKUP($F35,'התפלגות ייצור וסל דלקים'!$B$64:$BV$84,BE$2-$E$2,FALSE))*$D$9*$D$8*(HLOOKUP(BE$23,$G$18:$R$19,2,FALSE)*(1-$D$12)^($F35-'הנחות עבודה'!$C$5)/$D$11)/$D$11)</f>
        <v>0</v>
      </c>
      <c r="BF35" s="44">
        <f ca="1">IF(OR($F35&gt;$D$5,$F35&gt;MAX('הנחות עבודה'!$B$69:$B$89)),0,(VLOOKUP($F35,'התפלגות ייצור וסל דלקים'!$B$64:$BV$84,BF$2-$E$2,FALSE))*$D$9*$D$8*(HLOOKUP(BF$23,$G$18:$R$19,2,FALSE)*(1-$D$12)^($F35-'הנחות עבודה'!$C$5)/$D$11)/$D$11)</f>
        <v>0</v>
      </c>
      <c r="BG35" s="44">
        <f ca="1">IF(OR($F35&gt;$D$5,$F35&gt;MAX('הנחות עבודה'!$B$69:$B$89)),0,(VLOOKUP($F35,'התפלגות ייצור וסל דלקים'!$B$64:$BV$84,BG$2-$E$2,FALSE))*$D$9*$D$8*(HLOOKUP(BG$23,$G$18:$R$19,2,FALSE)*(1-$D$12)^($F35-'הנחות עבודה'!$C$5)/$D$11)/$D$11)</f>
        <v>0</v>
      </c>
      <c r="BH35" s="44">
        <f ca="1">IF(OR($F35&gt;$D$5,$F35&gt;MAX('הנחות עבודה'!$B$69:$B$89)),0,(VLOOKUP($F35,'התפלגות ייצור וסל דלקים'!$B$64:$BV$84,BH$2-$E$2,FALSE))*$D$9*$D$8*(HLOOKUP(BH$23,$G$18:$R$19,2,FALSE)*(1-$D$12)^($F35-'הנחות עבודה'!$C$5)/$D$11)/$D$11)</f>
        <v>0</v>
      </c>
      <c r="BI35" s="42">
        <f ca="1">IF(OR($F35&gt;$D$5,$F35&gt;MAX('הנחות עבודה'!$B$69:$B$89)),0,(VLOOKUP($F35,'התפלגות ייצור וסל דלקים'!$B$64:$BV$84,BI$2-$E$2,FALSE))*$D$9*$D$8*(HLOOKUP(BI$23,$G$18:$R$19,2,FALSE)*(1-$D$12)^($F35-'הנחות עבודה'!$C$5)/$D$11)/$D$11)</f>
        <v>1.5718000000000001E-4</v>
      </c>
      <c r="BJ35" s="42">
        <f ca="1">IF(OR($F35&gt;$D$5,$F35&gt;MAX('הנחות עבודה'!$B$69:$B$89)),0,(VLOOKUP($F35,'התפלגות ייצור וסל דלקים'!$B$64:$BV$84,BJ$2-$E$2,FALSE))*$D$9*$D$8*(HLOOKUP(BJ$23,$G$18:$R$19,2,FALSE)*(1-$D$12)^($F35-'הנחות עבודה'!$C$5)/$D$11)/$D$11)</f>
        <v>8.8138407569952003E-4</v>
      </c>
      <c r="BK35" s="42">
        <f ca="1">IF(OR($F35&gt;$D$5,$F35&gt;MAX('הנחות עבודה'!$B$69:$B$89)),0,(VLOOKUP($F35,'התפלגות ייצור וסל דלקים'!$B$64:$BV$84,BK$2-$E$2,FALSE))*$D$9*$D$8*(HLOOKUP(BK$23,$G$18:$R$19,2,FALSE)*(1-$D$12)^($F35-'הנחות עבודה'!$C$5)/$D$11)/$D$11)</f>
        <v>0</v>
      </c>
      <c r="BL35" s="42">
        <f ca="1">IF(OR($F35&gt;$D$5,$F35&gt;MAX('הנחות עבודה'!$B$69:$B$89)),0,(VLOOKUP($F35,'התפלגות ייצור וסל דלקים'!$B$64:$BV$84,BL$2-$E$2,FALSE))*$D$9*$D$8*(HLOOKUP(BL$23,$G$18:$R$19,2,FALSE)*(1-$D$12)^($F35-'הנחות עבודה'!$C$5)/$D$11)/$D$11)</f>
        <v>0</v>
      </c>
      <c r="BM35" s="42">
        <f ca="1">IF(OR($F35&gt;$D$5,$F35&gt;MAX('הנחות עבודה'!$B$69:$B$89)),0,(VLOOKUP($F35,'התפלגות ייצור וסל דלקים'!$B$64:$BV$84,BM$2-$E$2,FALSE))*$D$9*$D$8*(HLOOKUP(BM$23,$G$18:$R$19,2,FALSE)*(1-$D$12)^($F35-'הנחות עבודה'!$C$5)/$D$11)/$D$11)</f>
        <v>0</v>
      </c>
      <c r="BN35" s="42">
        <f ca="1">IF(OR($F35&gt;$D$5,$F35&gt;MAX('הנחות עבודה'!$B$69:$B$89)),0,(VLOOKUP($F35,'התפלגות ייצור וסל דלקים'!$B$64:$BV$84,BN$2-$E$2,FALSE))*$D$9*$D$8*(HLOOKUP(BN$23,$G$18:$R$19,2,FALSE)*(1-$D$12)^($F35-'הנחות עבודה'!$C$5)/$D$11)/$D$11)</f>
        <v>0</v>
      </c>
      <c r="BO35" s="52">
        <f ca="1">IF(OR($F35&gt;$D$5,$F35&gt;MAX('הנחות עבודה'!$B$69:$B$89)),0,(VLOOKUP($F35,'התפלגות ייצור וסל דלקים'!$B$64:$BV$84,BO$2-$E$2,FALSE))*$D$9*$D$8*(HLOOKUP(BO$23,$G$18:$R$19,2,FALSE)*(1-$D$12)^($F35-'הנחות עבודה'!$C$5)/$D$11)/$D$11)</f>
        <v>0</v>
      </c>
      <c r="BP35" s="127">
        <f ca="1">IF(OR($F35&gt;$D$5,$F35&gt;MAX('הנחות עבודה'!$B$69:$B$89)),0,(VLOOKUP($F35,'התפלגות ייצור וסל דלקים'!$B$64:$BV$84,BP$2-$E$2,FALSE))*$D$9*$D$8*(HLOOKUP(BP$23,$G$18:$R$19,2,FALSE)*(1-$D$12)^($F35-'הנחות עבודה'!$C$5)/$D$11)/$D$11)</f>
        <v>0</v>
      </c>
      <c r="BQ35" s="127">
        <f ca="1">IF(OR($F35&gt;$D$5,$F35&gt;MAX('הנחות עבודה'!$B$69:$B$89)),0,(VLOOKUP($F35,'התפלגות ייצור וסל דלקים'!$B$64:$BV$84,BQ$2-$E$2,FALSE))*$D$9*$D$8*(HLOOKUP(BQ$23,$G$18:$R$19,2,FALSE)*(1-$D$12)^($F35-'הנחות עבודה'!$C$5)/$D$11)/$D$11)</f>
        <v>0</v>
      </c>
      <c r="BR35" s="127">
        <f ca="1">IF(OR($F35&gt;$D$5,$F35&gt;MAX('הנחות עבודה'!$B$69:$B$89)),0,(VLOOKUP($F35,'התפלגות ייצור וסל דלקים'!$B$64:$BV$84,BR$2-$E$2,FALSE))*$D$9*$D$8*(HLOOKUP(BR$23,$G$18:$R$19,2,FALSE)*(1-$D$12)^($F35-'הנחות עבודה'!$C$5)/$D$11)/$D$11)</f>
        <v>0</v>
      </c>
      <c r="BS35" s="127">
        <f ca="1">IF(OR($F35&gt;$D$5,$F35&gt;MAX('הנחות עבודה'!$B$69:$B$89)),0,(VLOOKUP($F35,'התפלגות ייצור וסל דלקים'!$B$64:$BV$84,BS$2-$E$2,FALSE))*$D$9*$D$8*(HLOOKUP(BS$23,$G$18:$R$19,2,FALSE)*(1-$D$12)^($F35-'הנחות עבודה'!$C$5)/$D$11)/$D$11)</f>
        <v>0</v>
      </c>
      <c r="BT35" s="127">
        <f ca="1">IF(OR($F35&gt;$D$5,$F35&gt;MAX('הנחות עבודה'!$B$69:$B$89)),0,(VLOOKUP($F35,'התפלגות ייצור וסל דלקים'!$B$64:$BV$84,BT$2-$E$2,FALSE))*$D$9*$D$8*(HLOOKUP(BT$23,$G$18:$R$19,2,FALSE)*(1-$D$12)^($F35-'הנחות עבודה'!$C$5)/$D$11)/$D$11)</f>
        <v>0</v>
      </c>
      <c r="BU35" s="52">
        <f ca="1">IF(OR($F35&gt;$D$5,$F35&gt;MAX('הנחות עבודה'!$B$69:$B$89)),0,(VLOOKUP($F35,'התפלגות ייצור וסל דלקים'!$B$64:$BV$84,BU$2-$E$2,FALSE))*$D$9*$D$8*(HLOOKUP(BU$23,$G$18:$R$19,2,FALSE)*(1-$D$12)^($F35-'הנחות עבודה'!$C$5)/$D$11)/$D$11)</f>
        <v>1.5718000000000001E-4</v>
      </c>
      <c r="BV35" s="52">
        <f ca="1">IF(OR($F35&gt;$D$5,$F35&gt;MAX('הנחות עבודה'!$B$69:$B$89)),0,(VLOOKUP($F35,'התפלגות ייצור וסל דלקים'!$B$64:$BV$84,BV$2-$E$2,FALSE))*$D$9*$D$8*(HLOOKUP(BV$23,$G$18:$R$19,2,FALSE)*(1-$D$12)^($F35-'הנחות עבודה'!$C$5)/$D$11)/$D$11)</f>
        <v>8.8138407569952003E-4</v>
      </c>
      <c r="BW35" s="52">
        <f ca="1">IF(OR($F35&gt;$D$5,$F35&gt;MAX('הנחות עבודה'!$B$69:$B$89)),0,(VLOOKUP($F35,'התפלגות ייצור וסל דלקים'!$B$64:$BV$84,BW$2-$E$2,FALSE))*$D$9*$D$8*(HLOOKUP(BW$23,$G$18:$R$19,2,FALSE)*(1-$D$12)^($F35-'הנחות עבודה'!$C$5)/$D$11)/$D$11)</f>
        <v>0</v>
      </c>
      <c r="BX35" s="52">
        <f ca="1">IF(OR($F35&gt;$D$5,$F35&gt;MAX('הנחות עבודה'!$B$69:$B$89)),0,(VLOOKUP($F35,'התפלגות ייצור וסל דלקים'!$B$64:$BV$84,BX$2-$E$2,FALSE))*$D$9*$D$8*(HLOOKUP(BX$23,$G$18:$R$19,2,FALSE)*(1-$D$12)^($F35-'הנחות עבודה'!$C$5)/$D$11)/$D$11)</f>
        <v>0</v>
      </c>
      <c r="BY35" s="52">
        <f ca="1">IF(OR($F35&gt;$D$5,$F35&gt;MAX('הנחות עבודה'!$B$69:$B$89)),0,(VLOOKUP($F35,'התפלגות ייצור וסל דלקים'!$B$64:$BV$84,BY$2-$E$2,FALSE))*$D$9*$D$8*(HLOOKUP(BY$23,$G$18:$R$19,2,FALSE)*(1-$D$12)^($F35-'הנחות עבודה'!$C$5)/$D$11)/$D$11)</f>
        <v>0</v>
      </c>
      <c r="BZ35" s="52">
        <f ca="1">IF(OR($F35&gt;$D$5,$F35&gt;MAX('הנחות עבודה'!$B$69:$B$89)),0,(VLOOKUP($F35,'התפלגות ייצור וסל דלקים'!$B$64:$BV$84,BZ$2-$E$2,FALSE))*$D$9*$D$8*(HLOOKUP(BZ$23,$G$18:$R$19,2,FALSE)*(1-$D$12)^($F35-'הנחות עבודה'!$C$5)/$D$11)/$D$11)</f>
        <v>0</v>
      </c>
    </row>
    <row r="36" spans="6:78" ht="15.75">
      <c r="F36" s="10">
        <f t="shared" si="114"/>
        <v>2032</v>
      </c>
      <c r="G36" s="42">
        <f ca="1">IF(OR($F36&gt;$D$5,$F36&gt;MAX('הנחות עבודה'!$B$69:$B$89)),0,(VLOOKUP($F36,'התפלגות ייצור וסל דלקים'!$B$64:$BV$84,G$2-$E$2,FALSE))*$D$9*$D$8*(HLOOKUP(G$23,$G$18:$R$19,2,FALSE)*(1-$D$12)^($F36-'הנחות עבודה'!$C$5)/$D$11)/$D$11)</f>
        <v>0</v>
      </c>
      <c r="H36" s="44">
        <f ca="1">IF(OR($F36&gt;$D$5,$F36&gt;MAX('הנחות עבודה'!$B$69:$B$89)),0,(VLOOKUP($F36,'התפלגות ייצור וסל דלקים'!$B$64:$BV$84,H$2-$E$2,FALSE))*$D$9*$D$8*(HLOOKUP(H$23,$G$18:$R$19,2,FALSE)*(1-$D$12)^($F36-'הנחות עבודה'!$C$5)/$D$11)/$D$11)</f>
        <v>0</v>
      </c>
      <c r="I36" s="44">
        <f ca="1">IF(OR($F36&gt;$D$5,$F36&gt;MAX('הנחות עבודה'!$B$69:$B$89)),0,(VLOOKUP($F36,'התפלגות ייצור וסל דלקים'!$B$64:$BV$84,I$2-$E$2,FALSE))*$D$9*$D$8*(HLOOKUP(I$23,$G$18:$R$19,2,FALSE)*(1-$D$12)^($F36-'הנחות עבודה'!$C$5)/$D$11)/$D$11)</f>
        <v>0</v>
      </c>
      <c r="J36" s="44">
        <f ca="1">IF(OR($F36&gt;$D$5,$F36&gt;MAX('הנחות עבודה'!$B$69:$B$89)),0,(VLOOKUP($F36,'התפלגות ייצור וסל דלקים'!$B$64:$BV$84,J$2-$E$2,FALSE))*$D$9*$D$8*(HLOOKUP(J$23,$G$18:$R$19,2,FALSE)*(1-$D$12)^($F36-'הנחות עבודה'!$C$5)/$D$11)/$D$11)</f>
        <v>0</v>
      </c>
      <c r="K36" s="44">
        <f ca="1">IF(OR($F36&gt;$D$5,$F36&gt;MAX('הנחות עבודה'!$B$69:$B$89)),0,(VLOOKUP($F36,'התפלגות ייצור וסל דלקים'!$B$64:$BV$84,K$2-$E$2,FALSE))*$D$9*$D$8*(HLOOKUP(K$23,$G$18:$R$19,2,FALSE)*(1-$D$12)^($F36-'הנחות עבודה'!$C$5)/$D$11)/$D$11)</f>
        <v>0</v>
      </c>
      <c r="L36" s="44">
        <f ca="1">IF(OR($F36&gt;$D$5,$F36&gt;MAX('הנחות עבודה'!$B$69:$B$89)),0,(VLOOKUP($F36,'התפלגות ייצור וסל דלקים'!$B$64:$BV$84,L$2-$E$2,FALSE))*$D$9*$D$8*(HLOOKUP(L$23,$G$18:$R$19,2,FALSE)*(1-$D$12)^($F36-'הנחות עבודה'!$C$5)/$D$11)/$D$11)</f>
        <v>0</v>
      </c>
      <c r="M36" s="42">
        <f ca="1">IF(OR($F36&gt;$D$5,$F36&gt;MAX('הנחות עבודה'!$B$69:$B$89)),0,(VLOOKUP($F36,'התפלגות ייצור וסל דלקים'!$B$64:$BV$84,M$2-$E$2,FALSE))*$D$9*$D$8*(HLOOKUP(M$23,$G$18:$R$19,2,FALSE)*(1-$D$12)^($F36-'הנחות עבודה'!$C$5)/$D$11)/$D$11)</f>
        <v>1.4490209999999998E-4</v>
      </c>
      <c r="N36" s="42">
        <f ca="1">IF(OR($F36&gt;$D$5,$F36&gt;MAX('הנחות עבודה'!$B$69:$B$89)),0,(VLOOKUP($F36,'התפלגות ייצור וסל דלקים'!$B$64:$BV$84,N$2-$E$2,FALSE))*$D$9*$D$8*(HLOOKUP(N$23,$G$18:$R$19,2,FALSE)*(1-$D$12)^($F36-'הנחות עבודה'!$C$5)/$D$11)/$D$11)</f>
        <v>1.1514493008405405E-3</v>
      </c>
      <c r="O36" s="42">
        <f ca="1">IF(OR($F36&gt;$D$5,$F36&gt;MAX('הנחות עבודה'!$B$69:$B$89)),0,(VLOOKUP($F36,'התפלגות ייצור וסל דלקים'!$B$64:$BV$84,O$2-$E$2,FALSE))*$D$9*$D$8*(HLOOKUP(O$23,$G$18:$R$19,2,FALSE)*(1-$D$12)^($F36-'הנחות עבודה'!$C$5)/$D$11)/$D$11)</f>
        <v>0</v>
      </c>
      <c r="P36" s="42">
        <f ca="1">IF(OR($F36&gt;$D$5,$F36&gt;MAX('הנחות עבודה'!$B$69:$B$89)),0,(VLOOKUP($F36,'התפלגות ייצור וסל דלקים'!$B$64:$BV$84,P$2-$E$2,FALSE))*$D$9*$D$8*(HLOOKUP(P$23,$G$18:$R$19,2,FALSE)*(1-$D$12)^($F36-'הנחות עבודה'!$C$5)/$D$11)/$D$11)</f>
        <v>0</v>
      </c>
      <c r="Q36" s="42">
        <f ca="1">IF(OR($F36&gt;$D$5,$F36&gt;MAX('הנחות עבודה'!$B$69:$B$89)),0,(VLOOKUP($F36,'התפלגות ייצור וסל דלקים'!$B$64:$BV$84,Q$2-$E$2,FALSE))*$D$9*$D$8*(HLOOKUP(Q$23,$G$18:$R$19,2,FALSE)*(1-$D$12)^($F36-'הנחות עבודה'!$C$5)/$D$11)/$D$11)</f>
        <v>0</v>
      </c>
      <c r="R36" s="42">
        <f ca="1">IF(OR($F36&gt;$D$5,$F36&gt;MAX('הנחות עבודה'!$B$69:$B$89)),0,(VLOOKUP($F36,'התפלגות ייצור וסל דלקים'!$B$64:$BV$84,R$2-$E$2,FALSE))*$D$9*$D$8*(HLOOKUP(R$23,$G$18:$R$19,2,FALSE)*(1-$D$12)^($F36-'הנחות עבודה'!$C$5)/$D$11)/$D$11)</f>
        <v>0</v>
      </c>
      <c r="S36" s="52">
        <f ca="1">IF(OR($F36&gt;$D$5,$F36&gt;MAX('הנחות עבודה'!$B$69:$B$89)),0,(VLOOKUP($F36,'התפלגות ייצור וסל דלקים'!$B$64:$BV$84,S$2-$E$2,FALSE))*$D$9*$D$8*(HLOOKUP(S$23,$G$18:$R$19,2,FALSE)*(1-$D$12)^($F36-'הנחות עבודה'!$C$5)/$D$11)/$D$11)</f>
        <v>0</v>
      </c>
      <c r="T36" s="127">
        <f ca="1">IF(OR($F36&gt;$D$5,$F36&gt;MAX('הנחות עבודה'!$B$69:$B$89)),0,(VLOOKUP($F36,'התפלגות ייצור וסל דלקים'!$B$64:$BV$84,T$2-$E$2,FALSE))*$D$9*$D$8*(HLOOKUP(T$23,$G$18:$R$19,2,FALSE)*(1-$D$12)^($F36-'הנחות עבודה'!$C$5)/$D$11)/$D$11)</f>
        <v>0</v>
      </c>
      <c r="U36" s="127">
        <f ca="1">IF(OR($F36&gt;$D$5,$F36&gt;MAX('הנחות עבודה'!$B$69:$B$89)),0,(VLOOKUP($F36,'התפלגות ייצור וסל דלקים'!$B$64:$BV$84,U$2-$E$2,FALSE))*$D$9*$D$8*(HLOOKUP(U$23,$G$18:$R$19,2,FALSE)*(1-$D$12)^($F36-'הנחות עבודה'!$C$5)/$D$11)/$D$11)</f>
        <v>0</v>
      </c>
      <c r="V36" s="127">
        <f ca="1">IF(OR($F36&gt;$D$5,$F36&gt;MAX('הנחות עבודה'!$B$69:$B$89)),0,(VLOOKUP($F36,'התפלגות ייצור וסל דלקים'!$B$64:$BV$84,V$2-$E$2,FALSE))*$D$9*$D$8*(HLOOKUP(V$23,$G$18:$R$19,2,FALSE)*(1-$D$12)^($F36-'הנחות עבודה'!$C$5)/$D$11)/$D$11)</f>
        <v>0</v>
      </c>
      <c r="W36" s="127">
        <f ca="1">IF(OR($F36&gt;$D$5,$F36&gt;MAX('הנחות עבודה'!$B$69:$B$89)),0,(VLOOKUP($F36,'התפלגות ייצור וסל דלקים'!$B$64:$BV$84,W$2-$E$2,FALSE))*$D$9*$D$8*(HLOOKUP(W$23,$G$18:$R$19,2,FALSE)*(1-$D$12)^($F36-'הנחות עבודה'!$C$5)/$D$11)/$D$11)</f>
        <v>0</v>
      </c>
      <c r="X36" s="127">
        <f ca="1">IF(OR($F36&gt;$D$5,$F36&gt;MAX('הנחות עבודה'!$B$69:$B$89)),0,(VLOOKUP($F36,'התפלגות ייצור וסל דלקים'!$B$64:$BV$84,X$2-$E$2,FALSE))*$D$9*$D$8*(HLOOKUP(X$23,$G$18:$R$19,2,FALSE)*(1-$D$12)^($F36-'הנחות עבודה'!$C$5)/$D$11)/$D$11)</f>
        <v>0</v>
      </c>
      <c r="Y36" s="52">
        <f ca="1">IF(OR($F36&gt;$D$5,$F36&gt;MAX('הנחות עבודה'!$B$69:$B$89)),0,(VLOOKUP($F36,'התפלגות ייצור וסל דלקים'!$B$64:$BV$84,Y$2-$E$2,FALSE))*$D$9*$D$8*(HLOOKUP(Y$23,$G$18:$R$19,2,FALSE)*(1-$D$12)^($F36-'הנחות עבודה'!$C$5)/$D$11)/$D$11)</f>
        <v>1.4490209999999998E-4</v>
      </c>
      <c r="Z36" s="52">
        <f ca="1">IF(OR($F36&gt;$D$5,$F36&gt;MAX('הנחות עבודה'!$B$69:$B$89)),0,(VLOOKUP($F36,'התפלגות ייצור וסל דלקים'!$B$64:$BV$84,Z$2-$E$2,FALSE))*$D$9*$D$8*(HLOOKUP(Z$23,$G$18:$R$19,2,FALSE)*(1-$D$12)^($F36-'הנחות עבודה'!$C$5)/$D$11)/$D$11)</f>
        <v>1.1514493008405405E-3</v>
      </c>
      <c r="AA36" s="52">
        <f ca="1">IF(OR($F36&gt;$D$5,$F36&gt;MAX('הנחות עבודה'!$B$69:$B$89)),0,(VLOOKUP($F36,'התפלגות ייצור וסל דלקים'!$B$64:$BV$84,AA$2-$E$2,FALSE))*$D$9*$D$8*(HLOOKUP(AA$23,$G$18:$R$19,2,FALSE)*(1-$D$12)^($F36-'הנחות עבודה'!$C$5)/$D$11)/$D$11)</f>
        <v>0</v>
      </c>
      <c r="AB36" s="52">
        <f ca="1">IF(OR($F36&gt;$D$5,$F36&gt;MAX('הנחות עבודה'!$B$69:$B$89)),0,(VLOOKUP($F36,'התפלגות ייצור וסל דלקים'!$B$64:$BV$84,AB$2-$E$2,FALSE))*$D$9*$D$8*(HLOOKUP(AB$23,$G$18:$R$19,2,FALSE)*(1-$D$12)^($F36-'הנחות עבודה'!$C$5)/$D$11)/$D$11)</f>
        <v>0</v>
      </c>
      <c r="AC36" s="52">
        <f ca="1">IF(OR($F36&gt;$D$5,$F36&gt;MAX('הנחות עבודה'!$B$69:$B$89)),0,(VLOOKUP($F36,'התפלגות ייצור וסל דלקים'!$B$64:$BV$84,AC$2-$E$2,FALSE))*$D$9*$D$8*(HLOOKUP(AC$23,$G$18:$R$19,2,FALSE)*(1-$D$12)^($F36-'הנחות עבודה'!$C$5)/$D$11)/$D$11)</f>
        <v>0</v>
      </c>
      <c r="AD36" s="52">
        <f ca="1">IF(OR($F36&gt;$D$5,$F36&gt;MAX('הנחות עבודה'!$B$69:$B$89)),0,(VLOOKUP($F36,'התפלגות ייצור וסל דלקים'!$B$64:$BV$84,AD$2-$E$2,FALSE))*$D$9*$D$8*(HLOOKUP(AD$23,$G$18:$R$19,2,FALSE)*(1-$D$12)^($F36-'הנחות עבודה'!$C$5)/$D$11)/$D$11)</f>
        <v>0</v>
      </c>
      <c r="AE36" s="42">
        <f ca="1">IF(OR($F36&gt;$D$5,$F36&gt;MAX('הנחות עבודה'!$B$69:$B$89)),0,(VLOOKUP($F36,'התפלגות ייצור וסל דלקים'!$B$64:$BV$84,AE$2-$E$2,FALSE))*$D$9*$D$8*(HLOOKUP(AE$23,$G$18:$R$19,2,FALSE)*(1-$D$12)^($F36-'הנחות עבודה'!$C$5)/$D$11)/$D$11)</f>
        <v>0</v>
      </c>
      <c r="AF36" s="44">
        <f ca="1">IF(OR($F36&gt;$D$5,$F36&gt;MAX('הנחות עבודה'!$B$69:$B$89)),0,(VLOOKUP($F36,'התפלגות ייצור וסל דלקים'!$B$64:$BV$84,AF$2-$E$2,FALSE))*$D$9*$D$8*(HLOOKUP(AF$23,$G$18:$R$19,2,FALSE)*(1-$D$12)^($F36-'הנחות עבודה'!$C$5)/$D$11)/$D$11)</f>
        <v>0</v>
      </c>
      <c r="AG36" s="44">
        <f ca="1">IF(OR($F36&gt;$D$5,$F36&gt;MAX('הנחות עבודה'!$B$69:$B$89)),0,(VLOOKUP($F36,'התפלגות ייצור וסל דלקים'!$B$64:$BV$84,AG$2-$E$2,FALSE))*$D$9*$D$8*(HLOOKUP(AG$23,$G$18:$R$19,2,FALSE)*(1-$D$12)^($F36-'הנחות עבודה'!$C$5)/$D$11)/$D$11)</f>
        <v>0</v>
      </c>
      <c r="AH36" s="44">
        <f ca="1">IF(OR($F36&gt;$D$5,$F36&gt;MAX('הנחות עבודה'!$B$69:$B$89)),0,(VLOOKUP($F36,'התפלגות ייצור וסל דלקים'!$B$64:$BV$84,AH$2-$E$2,FALSE))*$D$9*$D$8*(HLOOKUP(AH$23,$G$18:$R$19,2,FALSE)*(1-$D$12)^($F36-'הנחות עבודה'!$C$5)/$D$11)/$D$11)</f>
        <v>0</v>
      </c>
      <c r="AI36" s="44">
        <f ca="1">IF(OR($F36&gt;$D$5,$F36&gt;MAX('הנחות עבודה'!$B$69:$B$89)),0,(VLOOKUP($F36,'התפלגות ייצור וסל דלקים'!$B$64:$BV$84,AI$2-$E$2,FALSE))*$D$9*$D$8*(HLOOKUP(AI$23,$G$18:$R$19,2,FALSE)*(1-$D$12)^($F36-'הנחות עבודה'!$C$5)/$D$11)/$D$11)</f>
        <v>0</v>
      </c>
      <c r="AJ36" s="44">
        <f ca="1">IF(OR($F36&gt;$D$5,$F36&gt;MAX('הנחות עבודה'!$B$69:$B$89)),0,(VLOOKUP($F36,'התפלגות ייצור וסל דלקים'!$B$64:$BV$84,AJ$2-$E$2,FALSE))*$D$9*$D$8*(HLOOKUP(AJ$23,$G$18:$R$19,2,FALSE)*(1-$D$12)^($F36-'הנחות עבודה'!$C$5)/$D$11)/$D$11)</f>
        <v>0</v>
      </c>
      <c r="AK36" s="42">
        <f ca="1">IF(OR($F36&gt;$D$5,$F36&gt;MAX('הנחות עבודה'!$B$69:$B$89)),0,(VLOOKUP($F36,'התפלגות ייצור וסל דלקים'!$B$64:$BV$84,AK$2-$E$2,FALSE))*$D$9*$D$8*(HLOOKUP(AK$23,$G$18:$R$19,2,FALSE)*(1-$D$12)^($F36-'הנחות עבודה'!$C$5)/$D$11)/$D$11)</f>
        <v>1.5459100000000001E-4</v>
      </c>
      <c r="AL36" s="42">
        <f ca="1">IF(OR($F36&gt;$D$5,$F36&gt;MAX('הנחות עבודה'!$B$69:$B$89)),0,(VLOOKUP($F36,'התפלגות ייצור וסל דלקים'!$B$64:$BV$84,AL$2-$E$2,FALSE))*$D$9*$D$8*(HLOOKUP(AL$23,$G$18:$R$19,2,FALSE)*(1-$D$12)^($F36-'הנחות עבודה'!$C$5)/$D$11)/$D$11)</f>
        <v>1.0129370993015759E-3</v>
      </c>
      <c r="AM36" s="42">
        <f ca="1">IF(OR($F36&gt;$D$5,$F36&gt;MAX('הנחות עבודה'!$B$69:$B$89)),0,(VLOOKUP($F36,'התפלגות ייצור וסל דלקים'!$B$64:$BV$84,AM$2-$E$2,FALSE))*$D$9*$D$8*(HLOOKUP(AM$23,$G$18:$R$19,2,FALSE)*(1-$D$12)^($F36-'הנחות עבודה'!$C$5)/$D$11)/$D$11)</f>
        <v>0</v>
      </c>
      <c r="AN36" s="42">
        <f ca="1">IF(OR($F36&gt;$D$5,$F36&gt;MAX('הנחות עבודה'!$B$69:$B$89)),0,(VLOOKUP($F36,'התפלגות ייצור וסל דלקים'!$B$64:$BV$84,AN$2-$E$2,FALSE))*$D$9*$D$8*(HLOOKUP(AN$23,$G$18:$R$19,2,FALSE)*(1-$D$12)^($F36-'הנחות עבודה'!$C$5)/$D$11)/$D$11)</f>
        <v>0</v>
      </c>
      <c r="AO36" s="42">
        <f ca="1">IF(OR($F36&gt;$D$5,$F36&gt;MAX('הנחות עבודה'!$B$69:$B$89)),0,(VLOOKUP($F36,'התפלגות ייצור וסל דלקים'!$B$64:$BV$84,AO$2-$E$2,FALSE))*$D$9*$D$8*(HLOOKUP(AO$23,$G$18:$R$19,2,FALSE)*(1-$D$12)^($F36-'הנחות עבודה'!$C$5)/$D$11)/$D$11)</f>
        <v>0</v>
      </c>
      <c r="AP36" s="42">
        <f ca="1">IF(OR($F36&gt;$D$5,$F36&gt;MAX('הנחות עבודה'!$B$69:$B$89)),0,(VLOOKUP($F36,'התפלגות ייצור וסל דלקים'!$B$64:$BV$84,AP$2-$E$2,FALSE))*$D$9*$D$8*(HLOOKUP(AP$23,$G$18:$R$19,2,FALSE)*(1-$D$12)^($F36-'הנחות עבודה'!$C$5)/$D$11)/$D$11)</f>
        <v>0</v>
      </c>
      <c r="AQ36" s="52">
        <f ca="1">IF(OR($F36&gt;$D$5,$F36&gt;MAX('הנחות עבודה'!$B$69:$B$89)),0,(VLOOKUP($F36,'התפלגות ייצור וסל דלקים'!$B$64:$BV$84,AQ$2-$E$2,FALSE))*$D$9*$D$8*(HLOOKUP(AQ$23,$G$18:$R$19,2,FALSE)*(1-$D$12)^($F36-'הנחות עבודה'!$C$5)/$D$11)/$D$11)</f>
        <v>0</v>
      </c>
      <c r="AR36" s="127">
        <f ca="1">IF(OR($F36&gt;$D$5,$F36&gt;MAX('הנחות עבודה'!$B$69:$B$89)),0,(VLOOKUP($F36,'התפלגות ייצור וסל דלקים'!$B$64:$BV$84,AR$2-$E$2,FALSE))*$D$9*$D$8*(HLOOKUP(AR$23,$G$18:$R$19,2,FALSE)*(1-$D$12)^($F36-'הנחות עבודה'!$C$5)/$D$11)/$D$11)</f>
        <v>0</v>
      </c>
      <c r="AS36" s="127">
        <f ca="1">IF(OR($F36&gt;$D$5,$F36&gt;MAX('הנחות עבודה'!$B$69:$B$89)),0,(VLOOKUP($F36,'התפלגות ייצור וסל דלקים'!$B$64:$BV$84,AS$2-$E$2,FALSE))*$D$9*$D$8*(HLOOKUP(AS$23,$G$18:$R$19,2,FALSE)*(1-$D$12)^($F36-'הנחות עבודה'!$C$5)/$D$11)/$D$11)</f>
        <v>0</v>
      </c>
      <c r="AT36" s="127">
        <f ca="1">IF(OR($F36&gt;$D$5,$F36&gt;MAX('הנחות עבודה'!$B$69:$B$89)),0,(VLOOKUP($F36,'התפלגות ייצור וסל דלקים'!$B$64:$BV$84,AT$2-$E$2,FALSE))*$D$9*$D$8*(HLOOKUP(AT$23,$G$18:$R$19,2,FALSE)*(1-$D$12)^($F36-'הנחות עבודה'!$C$5)/$D$11)/$D$11)</f>
        <v>0</v>
      </c>
      <c r="AU36" s="127">
        <f ca="1">IF(OR($F36&gt;$D$5,$F36&gt;MAX('הנחות עבודה'!$B$69:$B$89)),0,(VLOOKUP($F36,'התפלגות ייצור וסל דלקים'!$B$64:$BV$84,AU$2-$E$2,FALSE))*$D$9*$D$8*(HLOOKUP(AU$23,$G$18:$R$19,2,FALSE)*(1-$D$12)^($F36-'הנחות עבודה'!$C$5)/$D$11)/$D$11)</f>
        <v>0</v>
      </c>
      <c r="AV36" s="127">
        <f ca="1">IF(OR($F36&gt;$D$5,$F36&gt;MAX('הנחות עבודה'!$B$69:$B$89)),0,(VLOOKUP($F36,'התפלגות ייצור וסל דלקים'!$B$64:$BV$84,AV$2-$E$2,FALSE))*$D$9*$D$8*(HLOOKUP(AV$23,$G$18:$R$19,2,FALSE)*(1-$D$12)^($F36-'הנחות עבודה'!$C$5)/$D$11)/$D$11)</f>
        <v>0</v>
      </c>
      <c r="AW36" s="52">
        <f ca="1">IF(OR($F36&gt;$D$5,$F36&gt;MAX('הנחות עבודה'!$B$69:$B$89)),0,(VLOOKUP($F36,'התפלגות ייצור וסל דלקים'!$B$64:$BV$84,AW$2-$E$2,FALSE))*$D$9*$D$8*(HLOOKUP(AW$23,$G$18:$R$19,2,FALSE)*(1-$D$12)^($F36-'הנחות עבודה'!$C$5)/$D$11)/$D$11)</f>
        <v>1.5459100000000001E-4</v>
      </c>
      <c r="AX36" s="52">
        <f ca="1">IF(OR($F36&gt;$D$5,$F36&gt;MAX('הנחות עבודה'!$B$69:$B$89)),0,(VLOOKUP($F36,'התפלגות ייצור וסל דלקים'!$B$64:$BV$84,AX$2-$E$2,FALSE))*$D$9*$D$8*(HLOOKUP(AX$23,$G$18:$R$19,2,FALSE)*(1-$D$12)^($F36-'הנחות עבודה'!$C$5)/$D$11)/$D$11)</f>
        <v>1.0129370993015759E-3</v>
      </c>
      <c r="AY36" s="52">
        <f ca="1">IF(OR($F36&gt;$D$5,$F36&gt;MAX('הנחות עבודה'!$B$69:$B$89)),0,(VLOOKUP($F36,'התפלגות ייצור וסל דלקים'!$B$64:$BV$84,AY$2-$E$2,FALSE))*$D$9*$D$8*(HLOOKUP(AY$23,$G$18:$R$19,2,FALSE)*(1-$D$12)^($F36-'הנחות עבודה'!$C$5)/$D$11)/$D$11)</f>
        <v>0</v>
      </c>
      <c r="AZ36" s="52">
        <f ca="1">IF(OR($F36&gt;$D$5,$F36&gt;MAX('הנחות עבודה'!$B$69:$B$89)),0,(VLOOKUP($F36,'התפלגות ייצור וסל דלקים'!$B$64:$BV$84,AZ$2-$E$2,FALSE))*$D$9*$D$8*(HLOOKUP(AZ$23,$G$18:$R$19,2,FALSE)*(1-$D$12)^($F36-'הנחות עבודה'!$C$5)/$D$11)/$D$11)</f>
        <v>0</v>
      </c>
      <c r="BA36" s="52">
        <f ca="1">IF(OR($F36&gt;$D$5,$F36&gt;MAX('הנחות עבודה'!$B$69:$B$89)),0,(VLOOKUP($F36,'התפלגות ייצור וסל דלקים'!$B$64:$BV$84,BA$2-$E$2,FALSE))*$D$9*$D$8*(HLOOKUP(BA$23,$G$18:$R$19,2,FALSE)*(1-$D$12)^($F36-'הנחות עבודה'!$C$5)/$D$11)/$D$11)</f>
        <v>0</v>
      </c>
      <c r="BB36" s="52">
        <f ca="1">IF(OR($F36&gt;$D$5,$F36&gt;MAX('הנחות עבודה'!$B$69:$B$89)),0,(VLOOKUP($F36,'התפלגות ייצור וסל דלקים'!$B$64:$BV$84,BB$2-$E$2,FALSE))*$D$9*$D$8*(HLOOKUP(BB$23,$G$18:$R$19,2,FALSE)*(1-$D$12)^($F36-'הנחות עבודה'!$C$5)/$D$11)/$D$11)</f>
        <v>0</v>
      </c>
      <c r="BC36" s="42">
        <f ca="1">IF(OR($F36&gt;$D$5,$F36&gt;MAX('הנחות עבודה'!$B$69:$B$89)),0,(VLOOKUP($F36,'התפלגות ייצור וסל דלקים'!$B$64:$BV$84,BC$2-$E$2,FALSE))*$D$9*$D$8*(HLOOKUP(BC$23,$G$18:$R$19,2,FALSE)*(1-$D$12)^($F36-'הנחות עבודה'!$C$5)/$D$11)/$D$11)</f>
        <v>0</v>
      </c>
      <c r="BD36" s="44">
        <f ca="1">IF(OR($F36&gt;$D$5,$F36&gt;MAX('הנחות עבודה'!$B$69:$B$89)),0,(VLOOKUP($F36,'התפלגות ייצור וסל דלקים'!$B$64:$BV$84,BD$2-$E$2,FALSE))*$D$9*$D$8*(HLOOKUP(BD$23,$G$18:$R$19,2,FALSE)*(1-$D$12)^($F36-'הנחות עבודה'!$C$5)/$D$11)/$D$11)</f>
        <v>0</v>
      </c>
      <c r="BE36" s="44">
        <f ca="1">IF(OR($F36&gt;$D$5,$F36&gt;MAX('הנחות עבודה'!$B$69:$B$89)),0,(VLOOKUP($F36,'התפלגות ייצור וסל דלקים'!$B$64:$BV$84,BE$2-$E$2,FALSE))*$D$9*$D$8*(HLOOKUP(BE$23,$G$18:$R$19,2,FALSE)*(1-$D$12)^($F36-'הנחות עבודה'!$C$5)/$D$11)/$D$11)</f>
        <v>0</v>
      </c>
      <c r="BF36" s="44">
        <f ca="1">IF(OR($F36&gt;$D$5,$F36&gt;MAX('הנחות עבודה'!$B$69:$B$89)),0,(VLOOKUP($F36,'התפלגות ייצור וסל דלקים'!$B$64:$BV$84,BF$2-$E$2,FALSE))*$D$9*$D$8*(HLOOKUP(BF$23,$G$18:$R$19,2,FALSE)*(1-$D$12)^($F36-'הנחות עבודה'!$C$5)/$D$11)/$D$11)</f>
        <v>0</v>
      </c>
      <c r="BG36" s="44">
        <f ca="1">IF(OR($F36&gt;$D$5,$F36&gt;MAX('הנחות עבודה'!$B$69:$B$89)),0,(VLOOKUP($F36,'התפלגות ייצור וסל דלקים'!$B$64:$BV$84,BG$2-$E$2,FALSE))*$D$9*$D$8*(HLOOKUP(BG$23,$G$18:$R$19,2,FALSE)*(1-$D$12)^($F36-'הנחות עבודה'!$C$5)/$D$11)/$D$11)</f>
        <v>0</v>
      </c>
      <c r="BH36" s="44">
        <f ca="1">IF(OR($F36&gt;$D$5,$F36&gt;MAX('הנחות עבודה'!$B$69:$B$89)),0,(VLOOKUP($F36,'התפלגות ייצור וסל דלקים'!$B$64:$BV$84,BH$2-$E$2,FALSE))*$D$9*$D$8*(HLOOKUP(BH$23,$G$18:$R$19,2,FALSE)*(1-$D$12)^($F36-'הנחות עבודה'!$C$5)/$D$11)/$D$11)</f>
        <v>0</v>
      </c>
      <c r="BI36" s="42">
        <f ca="1">IF(OR($F36&gt;$D$5,$F36&gt;MAX('הנחות עבודה'!$B$69:$B$89)),0,(VLOOKUP($F36,'התפלגות ייצור וסל דלקים'!$B$64:$BV$84,BI$2-$E$2,FALSE))*$D$9*$D$8*(HLOOKUP(BI$23,$G$18:$R$19,2,FALSE)*(1-$D$12)^($F36-'הנחות עבודה'!$C$5)/$D$11)/$D$11)</f>
        <v>1.5814000000000003E-4</v>
      </c>
      <c r="BJ36" s="42">
        <f ca="1">IF(OR($F36&gt;$D$5,$F36&gt;MAX('הנחות עבודה'!$B$69:$B$89)),0,(VLOOKUP($F36,'התפלגות ייצור וסל דלקים'!$B$64:$BV$84,BJ$2-$E$2,FALSE))*$D$9*$D$8*(HLOOKUP(BJ$23,$G$18:$R$19,2,FALSE)*(1-$D$12)^($F36-'הנחות עבודה'!$C$5)/$D$11)/$D$11)</f>
        <v>9.3047769333972296E-4</v>
      </c>
      <c r="BK36" s="42">
        <f ca="1">IF(OR($F36&gt;$D$5,$F36&gt;MAX('הנחות עבודה'!$B$69:$B$89)),0,(VLOOKUP($F36,'התפלגות ייצור וסל דלקים'!$B$64:$BV$84,BK$2-$E$2,FALSE))*$D$9*$D$8*(HLOOKUP(BK$23,$G$18:$R$19,2,FALSE)*(1-$D$12)^($F36-'הנחות עבודה'!$C$5)/$D$11)/$D$11)</f>
        <v>0</v>
      </c>
      <c r="BL36" s="42">
        <f ca="1">IF(OR($F36&gt;$D$5,$F36&gt;MAX('הנחות עבודה'!$B$69:$B$89)),0,(VLOOKUP($F36,'התפלגות ייצור וסל דלקים'!$B$64:$BV$84,BL$2-$E$2,FALSE))*$D$9*$D$8*(HLOOKUP(BL$23,$G$18:$R$19,2,FALSE)*(1-$D$12)^($F36-'הנחות עבודה'!$C$5)/$D$11)/$D$11)</f>
        <v>0</v>
      </c>
      <c r="BM36" s="42">
        <f ca="1">IF(OR($F36&gt;$D$5,$F36&gt;MAX('הנחות עבודה'!$B$69:$B$89)),0,(VLOOKUP($F36,'התפלגות ייצור וסל דלקים'!$B$64:$BV$84,BM$2-$E$2,FALSE))*$D$9*$D$8*(HLOOKUP(BM$23,$G$18:$R$19,2,FALSE)*(1-$D$12)^($F36-'הנחות עבודה'!$C$5)/$D$11)/$D$11)</f>
        <v>0</v>
      </c>
      <c r="BN36" s="42">
        <f ca="1">IF(OR($F36&gt;$D$5,$F36&gt;MAX('הנחות עבודה'!$B$69:$B$89)),0,(VLOOKUP($F36,'התפלגות ייצור וסל דלקים'!$B$64:$BV$84,BN$2-$E$2,FALSE))*$D$9*$D$8*(HLOOKUP(BN$23,$G$18:$R$19,2,FALSE)*(1-$D$12)^($F36-'הנחות עבודה'!$C$5)/$D$11)/$D$11)</f>
        <v>0</v>
      </c>
      <c r="BO36" s="52">
        <f ca="1">IF(OR($F36&gt;$D$5,$F36&gt;MAX('הנחות עבודה'!$B$69:$B$89)),0,(VLOOKUP($F36,'התפלגות ייצור וסל דלקים'!$B$64:$BV$84,BO$2-$E$2,FALSE))*$D$9*$D$8*(HLOOKUP(BO$23,$G$18:$R$19,2,FALSE)*(1-$D$12)^($F36-'הנחות עבודה'!$C$5)/$D$11)/$D$11)</f>
        <v>0</v>
      </c>
      <c r="BP36" s="127">
        <f ca="1">IF(OR($F36&gt;$D$5,$F36&gt;MAX('הנחות עבודה'!$B$69:$B$89)),0,(VLOOKUP($F36,'התפלגות ייצור וסל דלקים'!$B$64:$BV$84,BP$2-$E$2,FALSE))*$D$9*$D$8*(HLOOKUP(BP$23,$G$18:$R$19,2,FALSE)*(1-$D$12)^($F36-'הנחות עבודה'!$C$5)/$D$11)/$D$11)</f>
        <v>0</v>
      </c>
      <c r="BQ36" s="127">
        <f ca="1">IF(OR($F36&gt;$D$5,$F36&gt;MAX('הנחות עבודה'!$B$69:$B$89)),0,(VLOOKUP($F36,'התפלגות ייצור וסל דלקים'!$B$64:$BV$84,BQ$2-$E$2,FALSE))*$D$9*$D$8*(HLOOKUP(BQ$23,$G$18:$R$19,2,FALSE)*(1-$D$12)^($F36-'הנחות עבודה'!$C$5)/$D$11)/$D$11)</f>
        <v>0</v>
      </c>
      <c r="BR36" s="127">
        <f ca="1">IF(OR($F36&gt;$D$5,$F36&gt;MAX('הנחות עבודה'!$B$69:$B$89)),0,(VLOOKUP($F36,'התפלגות ייצור וסל דלקים'!$B$64:$BV$84,BR$2-$E$2,FALSE))*$D$9*$D$8*(HLOOKUP(BR$23,$G$18:$R$19,2,FALSE)*(1-$D$12)^($F36-'הנחות עבודה'!$C$5)/$D$11)/$D$11)</f>
        <v>0</v>
      </c>
      <c r="BS36" s="127">
        <f ca="1">IF(OR($F36&gt;$D$5,$F36&gt;MAX('הנחות עבודה'!$B$69:$B$89)),0,(VLOOKUP($F36,'התפלגות ייצור וסל דלקים'!$B$64:$BV$84,BS$2-$E$2,FALSE))*$D$9*$D$8*(HLOOKUP(BS$23,$G$18:$R$19,2,FALSE)*(1-$D$12)^($F36-'הנחות עבודה'!$C$5)/$D$11)/$D$11)</f>
        <v>0</v>
      </c>
      <c r="BT36" s="127">
        <f ca="1">IF(OR($F36&gt;$D$5,$F36&gt;MAX('הנחות עבודה'!$B$69:$B$89)),0,(VLOOKUP($F36,'התפלגות ייצור וסל דלקים'!$B$64:$BV$84,BT$2-$E$2,FALSE))*$D$9*$D$8*(HLOOKUP(BT$23,$G$18:$R$19,2,FALSE)*(1-$D$12)^($F36-'הנחות עבודה'!$C$5)/$D$11)/$D$11)</f>
        <v>0</v>
      </c>
      <c r="BU36" s="52">
        <f ca="1">IF(OR($F36&gt;$D$5,$F36&gt;MAX('הנחות עבודה'!$B$69:$B$89)),0,(VLOOKUP($F36,'התפלגות ייצור וסל דלקים'!$B$64:$BV$84,BU$2-$E$2,FALSE))*$D$9*$D$8*(HLOOKUP(BU$23,$G$18:$R$19,2,FALSE)*(1-$D$12)^($F36-'הנחות עבודה'!$C$5)/$D$11)/$D$11)</f>
        <v>1.5814000000000003E-4</v>
      </c>
      <c r="BV36" s="52">
        <f ca="1">IF(OR($F36&gt;$D$5,$F36&gt;MAX('הנחות עבודה'!$B$69:$B$89)),0,(VLOOKUP($F36,'התפלגות ייצור וסל דלקים'!$B$64:$BV$84,BV$2-$E$2,FALSE))*$D$9*$D$8*(HLOOKUP(BV$23,$G$18:$R$19,2,FALSE)*(1-$D$12)^($F36-'הנחות עבודה'!$C$5)/$D$11)/$D$11)</f>
        <v>9.3047769333972296E-4</v>
      </c>
      <c r="BW36" s="52">
        <f ca="1">IF(OR($F36&gt;$D$5,$F36&gt;MAX('הנחות עבודה'!$B$69:$B$89)),0,(VLOOKUP($F36,'התפלגות ייצור וסל דלקים'!$B$64:$BV$84,BW$2-$E$2,FALSE))*$D$9*$D$8*(HLOOKUP(BW$23,$G$18:$R$19,2,FALSE)*(1-$D$12)^($F36-'הנחות עבודה'!$C$5)/$D$11)/$D$11)</f>
        <v>0</v>
      </c>
      <c r="BX36" s="52">
        <f ca="1">IF(OR($F36&gt;$D$5,$F36&gt;MAX('הנחות עבודה'!$B$69:$B$89)),0,(VLOOKUP($F36,'התפלגות ייצור וסל דלקים'!$B$64:$BV$84,BX$2-$E$2,FALSE))*$D$9*$D$8*(HLOOKUP(BX$23,$G$18:$R$19,2,FALSE)*(1-$D$12)^($F36-'הנחות עבודה'!$C$5)/$D$11)/$D$11)</f>
        <v>0</v>
      </c>
      <c r="BY36" s="52">
        <f ca="1">IF(OR($F36&gt;$D$5,$F36&gt;MAX('הנחות עבודה'!$B$69:$B$89)),0,(VLOOKUP($F36,'התפלגות ייצור וסל דלקים'!$B$64:$BV$84,BY$2-$E$2,FALSE))*$D$9*$D$8*(HLOOKUP(BY$23,$G$18:$R$19,2,FALSE)*(1-$D$12)^($F36-'הנחות עבודה'!$C$5)/$D$11)/$D$11)</f>
        <v>0</v>
      </c>
      <c r="BZ36" s="52">
        <f ca="1">IF(OR($F36&gt;$D$5,$F36&gt;MAX('הנחות עבודה'!$B$69:$B$89)),0,(VLOOKUP($F36,'התפלגות ייצור וסל דלקים'!$B$64:$BV$84,BZ$2-$E$2,FALSE))*$D$9*$D$8*(HLOOKUP(BZ$23,$G$18:$R$19,2,FALSE)*(1-$D$12)^($F36-'הנחות עבודה'!$C$5)/$D$11)/$D$11)</f>
        <v>0</v>
      </c>
    </row>
    <row r="37" spans="6:78" ht="15.75">
      <c r="F37" s="10">
        <f t="shared" si="114"/>
        <v>2033</v>
      </c>
      <c r="G37" s="42">
        <f ca="1">IF(OR($F37&gt;$D$5,$F37&gt;MAX('הנחות עבודה'!$B$69:$B$89)),0,(VLOOKUP($F37,'התפלגות ייצור וסל דלקים'!$B$64:$BV$84,G$2-$E$2,FALSE))*$D$9*$D$8*(HLOOKUP(G$23,$G$18:$R$19,2,FALSE)*(1-$D$12)^($F37-'הנחות עבודה'!$C$5)/$D$11)/$D$11)</f>
        <v>0</v>
      </c>
      <c r="H37" s="44">
        <f ca="1">IF(OR($F37&gt;$D$5,$F37&gt;MAX('הנחות עבודה'!$B$69:$B$89)),0,(VLOOKUP($F37,'התפלגות ייצור וסל דלקים'!$B$64:$BV$84,H$2-$E$2,FALSE))*$D$9*$D$8*(HLOOKUP(H$23,$G$18:$R$19,2,FALSE)*(1-$D$12)^($F37-'הנחות עבודה'!$C$5)/$D$11)/$D$11)</f>
        <v>0</v>
      </c>
      <c r="I37" s="44">
        <f ca="1">IF(OR($F37&gt;$D$5,$F37&gt;MAX('הנחות עבודה'!$B$69:$B$89)),0,(VLOOKUP($F37,'התפלגות ייצור וסל דלקים'!$B$64:$BV$84,I$2-$E$2,FALSE))*$D$9*$D$8*(HLOOKUP(I$23,$G$18:$R$19,2,FALSE)*(1-$D$12)^($F37-'הנחות עבודה'!$C$5)/$D$11)/$D$11)</f>
        <v>0</v>
      </c>
      <c r="J37" s="44">
        <f ca="1">IF(OR($F37&gt;$D$5,$F37&gt;MAX('הנחות עבודה'!$B$69:$B$89)),0,(VLOOKUP($F37,'התפלגות ייצור וסל דלקים'!$B$64:$BV$84,J$2-$E$2,FALSE))*$D$9*$D$8*(HLOOKUP(J$23,$G$18:$R$19,2,FALSE)*(1-$D$12)^($F37-'הנחות עבודה'!$C$5)/$D$11)/$D$11)</f>
        <v>0</v>
      </c>
      <c r="K37" s="44">
        <f ca="1">IF(OR($F37&gt;$D$5,$F37&gt;MAX('הנחות עבודה'!$B$69:$B$89)),0,(VLOOKUP($F37,'התפלגות ייצור וסל דלקים'!$B$64:$BV$84,K$2-$E$2,FALSE))*$D$9*$D$8*(HLOOKUP(K$23,$G$18:$R$19,2,FALSE)*(1-$D$12)^($F37-'הנחות עבודה'!$C$5)/$D$11)/$D$11)</f>
        <v>0</v>
      </c>
      <c r="L37" s="44">
        <f ca="1">IF(OR($F37&gt;$D$5,$F37&gt;MAX('הנחות עבודה'!$B$69:$B$89)),0,(VLOOKUP($F37,'התפלגות ייצור וסל דלקים'!$B$64:$BV$84,L$2-$E$2,FALSE))*$D$9*$D$8*(HLOOKUP(L$23,$G$18:$R$19,2,FALSE)*(1-$D$12)^($F37-'הנחות עבודה'!$C$5)/$D$11)/$D$11)</f>
        <v>0</v>
      </c>
      <c r="M37" s="42">
        <f ca="1">IF(OR($F37&gt;$D$5,$F37&gt;MAX('הנחות עבודה'!$B$69:$B$89)),0,(VLOOKUP($F37,'התפלגות ייצור וסל דלקים'!$B$64:$BV$84,M$2-$E$2,FALSE))*$D$9*$D$8*(HLOOKUP(M$23,$G$18:$R$19,2,FALSE)*(1-$D$12)^($F37-'הנחות עבודה'!$C$5)/$D$11)/$D$11)</f>
        <v>1.4790119999999999E-4</v>
      </c>
      <c r="N37" s="42">
        <f ca="1">IF(OR($F37&gt;$D$5,$F37&gt;MAX('הנחות עבודה'!$B$69:$B$89)),0,(VLOOKUP($F37,'התפלגות ייצור וסל דלקים'!$B$64:$BV$84,N$2-$E$2,FALSE))*$D$9*$D$8*(HLOOKUP(N$23,$G$18:$R$19,2,FALSE)*(1-$D$12)^($F37-'הנחות עבודה'!$C$5)/$D$11)/$D$11)</f>
        <v>1.1972998345117275E-3</v>
      </c>
      <c r="O37" s="42">
        <f ca="1">IF(OR($F37&gt;$D$5,$F37&gt;MAX('הנחות עבודה'!$B$69:$B$89)),0,(VLOOKUP($F37,'התפלגות ייצור וסל דלקים'!$B$64:$BV$84,O$2-$E$2,FALSE))*$D$9*$D$8*(HLOOKUP(O$23,$G$18:$R$19,2,FALSE)*(1-$D$12)^($F37-'הנחות עבודה'!$C$5)/$D$11)/$D$11)</f>
        <v>0</v>
      </c>
      <c r="P37" s="42">
        <f ca="1">IF(OR($F37&gt;$D$5,$F37&gt;MAX('הנחות עבודה'!$B$69:$B$89)),0,(VLOOKUP($F37,'התפלגות ייצור וסל דלקים'!$B$64:$BV$84,P$2-$E$2,FALSE))*$D$9*$D$8*(HLOOKUP(P$23,$G$18:$R$19,2,FALSE)*(1-$D$12)^($F37-'הנחות עבודה'!$C$5)/$D$11)/$D$11)</f>
        <v>0</v>
      </c>
      <c r="Q37" s="42">
        <f ca="1">IF(OR($F37&gt;$D$5,$F37&gt;MAX('הנחות עבודה'!$B$69:$B$89)),0,(VLOOKUP($F37,'התפלגות ייצור וסל דלקים'!$B$64:$BV$84,Q$2-$E$2,FALSE))*$D$9*$D$8*(HLOOKUP(Q$23,$G$18:$R$19,2,FALSE)*(1-$D$12)^($F37-'הנחות עבודה'!$C$5)/$D$11)/$D$11)</f>
        <v>0</v>
      </c>
      <c r="R37" s="42">
        <f ca="1">IF(OR($F37&gt;$D$5,$F37&gt;MAX('הנחות עבודה'!$B$69:$B$89)),0,(VLOOKUP($F37,'התפלגות ייצור וסל דלקים'!$B$64:$BV$84,R$2-$E$2,FALSE))*$D$9*$D$8*(HLOOKUP(R$23,$G$18:$R$19,2,FALSE)*(1-$D$12)^($F37-'הנחות עבודה'!$C$5)/$D$11)/$D$11)</f>
        <v>0</v>
      </c>
      <c r="S37" s="52">
        <f ca="1">IF(OR($F37&gt;$D$5,$F37&gt;MAX('הנחות עבודה'!$B$69:$B$89)),0,(VLOOKUP($F37,'התפלגות ייצור וסל דלקים'!$B$64:$BV$84,S$2-$E$2,FALSE))*$D$9*$D$8*(HLOOKUP(S$23,$G$18:$R$19,2,FALSE)*(1-$D$12)^($F37-'הנחות עבודה'!$C$5)/$D$11)/$D$11)</f>
        <v>0</v>
      </c>
      <c r="T37" s="127">
        <f ca="1">IF(OR($F37&gt;$D$5,$F37&gt;MAX('הנחות עבודה'!$B$69:$B$89)),0,(VLOOKUP($F37,'התפלגות ייצור וסל דלקים'!$B$64:$BV$84,T$2-$E$2,FALSE))*$D$9*$D$8*(HLOOKUP(T$23,$G$18:$R$19,2,FALSE)*(1-$D$12)^($F37-'הנחות עבודה'!$C$5)/$D$11)/$D$11)</f>
        <v>0</v>
      </c>
      <c r="U37" s="127">
        <f ca="1">IF(OR($F37&gt;$D$5,$F37&gt;MAX('הנחות עבודה'!$B$69:$B$89)),0,(VLOOKUP($F37,'התפלגות ייצור וסל דלקים'!$B$64:$BV$84,U$2-$E$2,FALSE))*$D$9*$D$8*(HLOOKUP(U$23,$G$18:$R$19,2,FALSE)*(1-$D$12)^($F37-'הנחות עבודה'!$C$5)/$D$11)/$D$11)</f>
        <v>0</v>
      </c>
      <c r="V37" s="127">
        <f ca="1">IF(OR($F37&gt;$D$5,$F37&gt;MAX('הנחות עבודה'!$B$69:$B$89)),0,(VLOOKUP($F37,'התפלגות ייצור וסל דלקים'!$B$64:$BV$84,V$2-$E$2,FALSE))*$D$9*$D$8*(HLOOKUP(V$23,$G$18:$R$19,2,FALSE)*(1-$D$12)^($F37-'הנחות עבודה'!$C$5)/$D$11)/$D$11)</f>
        <v>0</v>
      </c>
      <c r="W37" s="127">
        <f ca="1">IF(OR($F37&gt;$D$5,$F37&gt;MAX('הנחות עבודה'!$B$69:$B$89)),0,(VLOOKUP($F37,'התפלגות ייצור וסל דלקים'!$B$64:$BV$84,W$2-$E$2,FALSE))*$D$9*$D$8*(HLOOKUP(W$23,$G$18:$R$19,2,FALSE)*(1-$D$12)^($F37-'הנחות עבודה'!$C$5)/$D$11)/$D$11)</f>
        <v>0</v>
      </c>
      <c r="X37" s="127">
        <f ca="1">IF(OR($F37&gt;$D$5,$F37&gt;MAX('הנחות עבודה'!$B$69:$B$89)),0,(VLOOKUP($F37,'התפלגות ייצור וסל דלקים'!$B$64:$BV$84,X$2-$E$2,FALSE))*$D$9*$D$8*(HLOOKUP(X$23,$G$18:$R$19,2,FALSE)*(1-$D$12)^($F37-'הנחות עבודה'!$C$5)/$D$11)/$D$11)</f>
        <v>0</v>
      </c>
      <c r="Y37" s="52">
        <f ca="1">IF(OR($F37&gt;$D$5,$F37&gt;MAX('הנחות עבודה'!$B$69:$B$89)),0,(VLOOKUP($F37,'התפלגות ייצור וסל דלקים'!$B$64:$BV$84,Y$2-$E$2,FALSE))*$D$9*$D$8*(HLOOKUP(Y$23,$G$18:$R$19,2,FALSE)*(1-$D$12)^($F37-'הנחות עבודה'!$C$5)/$D$11)/$D$11)</f>
        <v>1.4790119999999999E-4</v>
      </c>
      <c r="Z37" s="52">
        <f ca="1">IF(OR($F37&gt;$D$5,$F37&gt;MAX('הנחות עבודה'!$B$69:$B$89)),0,(VLOOKUP($F37,'התפלגות ייצור וסל דלקים'!$B$64:$BV$84,Z$2-$E$2,FALSE))*$D$9*$D$8*(HLOOKUP(Z$23,$G$18:$R$19,2,FALSE)*(1-$D$12)^($F37-'הנחות עבודה'!$C$5)/$D$11)/$D$11)</f>
        <v>1.1972998345117275E-3</v>
      </c>
      <c r="AA37" s="52">
        <f ca="1">IF(OR($F37&gt;$D$5,$F37&gt;MAX('הנחות עבודה'!$B$69:$B$89)),0,(VLOOKUP($F37,'התפלגות ייצור וסל דלקים'!$B$64:$BV$84,AA$2-$E$2,FALSE))*$D$9*$D$8*(HLOOKUP(AA$23,$G$18:$R$19,2,FALSE)*(1-$D$12)^($F37-'הנחות עבודה'!$C$5)/$D$11)/$D$11)</f>
        <v>0</v>
      </c>
      <c r="AB37" s="52">
        <f ca="1">IF(OR($F37&gt;$D$5,$F37&gt;MAX('הנחות עבודה'!$B$69:$B$89)),0,(VLOOKUP($F37,'התפלגות ייצור וסל דלקים'!$B$64:$BV$84,AB$2-$E$2,FALSE))*$D$9*$D$8*(HLOOKUP(AB$23,$G$18:$R$19,2,FALSE)*(1-$D$12)^($F37-'הנחות עבודה'!$C$5)/$D$11)/$D$11)</f>
        <v>0</v>
      </c>
      <c r="AC37" s="52">
        <f ca="1">IF(OR($F37&gt;$D$5,$F37&gt;MAX('הנחות עבודה'!$B$69:$B$89)),0,(VLOOKUP($F37,'התפלגות ייצור וסל דלקים'!$B$64:$BV$84,AC$2-$E$2,FALSE))*$D$9*$D$8*(HLOOKUP(AC$23,$G$18:$R$19,2,FALSE)*(1-$D$12)^($F37-'הנחות עבודה'!$C$5)/$D$11)/$D$11)</f>
        <v>0</v>
      </c>
      <c r="AD37" s="52">
        <f ca="1">IF(OR($F37&gt;$D$5,$F37&gt;MAX('הנחות עבודה'!$B$69:$B$89)),0,(VLOOKUP($F37,'התפלגות ייצור וסל דלקים'!$B$64:$BV$84,AD$2-$E$2,FALSE))*$D$9*$D$8*(HLOOKUP(AD$23,$G$18:$R$19,2,FALSE)*(1-$D$12)^($F37-'הנחות עבודה'!$C$5)/$D$11)/$D$11)</f>
        <v>0</v>
      </c>
      <c r="AE37" s="42">
        <f ca="1">IF(OR($F37&gt;$D$5,$F37&gt;MAX('הנחות עבודה'!$B$69:$B$89)),0,(VLOOKUP($F37,'התפלגות ייצור וסל דלקים'!$B$64:$BV$84,AE$2-$E$2,FALSE))*$D$9*$D$8*(HLOOKUP(AE$23,$G$18:$R$19,2,FALSE)*(1-$D$12)^($F37-'הנחות עבודה'!$C$5)/$D$11)/$D$11)</f>
        <v>0</v>
      </c>
      <c r="AF37" s="44">
        <f ca="1">IF(OR($F37&gt;$D$5,$F37&gt;MAX('הנחות עבודה'!$B$69:$B$89)),0,(VLOOKUP($F37,'התפלגות ייצור וסל דלקים'!$B$64:$BV$84,AF$2-$E$2,FALSE))*$D$9*$D$8*(HLOOKUP(AF$23,$G$18:$R$19,2,FALSE)*(1-$D$12)^($F37-'הנחות עבודה'!$C$5)/$D$11)/$D$11)</f>
        <v>0</v>
      </c>
      <c r="AG37" s="44">
        <f ca="1">IF(OR($F37&gt;$D$5,$F37&gt;MAX('הנחות עבודה'!$B$69:$B$89)),0,(VLOOKUP($F37,'התפלגות ייצור וסל דלקים'!$B$64:$BV$84,AG$2-$E$2,FALSE))*$D$9*$D$8*(HLOOKUP(AG$23,$G$18:$R$19,2,FALSE)*(1-$D$12)^($F37-'הנחות עבודה'!$C$5)/$D$11)/$D$11)</f>
        <v>0</v>
      </c>
      <c r="AH37" s="44">
        <f ca="1">IF(OR($F37&gt;$D$5,$F37&gt;MAX('הנחות עבודה'!$B$69:$B$89)),0,(VLOOKUP($F37,'התפלגות ייצור וסל דלקים'!$B$64:$BV$84,AH$2-$E$2,FALSE))*$D$9*$D$8*(HLOOKUP(AH$23,$G$18:$R$19,2,FALSE)*(1-$D$12)^($F37-'הנחות עבודה'!$C$5)/$D$11)/$D$11)</f>
        <v>0</v>
      </c>
      <c r="AI37" s="44">
        <f ca="1">IF(OR($F37&gt;$D$5,$F37&gt;MAX('הנחות עבודה'!$B$69:$B$89)),0,(VLOOKUP($F37,'התפלגות ייצור וסל דלקים'!$B$64:$BV$84,AI$2-$E$2,FALSE))*$D$9*$D$8*(HLOOKUP(AI$23,$G$18:$R$19,2,FALSE)*(1-$D$12)^($F37-'הנחות עבודה'!$C$5)/$D$11)/$D$11)</f>
        <v>0</v>
      </c>
      <c r="AJ37" s="44">
        <f ca="1">IF(OR($F37&gt;$D$5,$F37&gt;MAX('הנחות עבודה'!$B$69:$B$89)),0,(VLOOKUP($F37,'התפלגות ייצור וסל דלקים'!$B$64:$BV$84,AJ$2-$E$2,FALSE))*$D$9*$D$8*(HLOOKUP(AJ$23,$G$18:$R$19,2,FALSE)*(1-$D$12)^($F37-'הנחות עבודה'!$C$5)/$D$11)/$D$11)</f>
        <v>0</v>
      </c>
      <c r="AK37" s="42">
        <f ca="1">IF(OR($F37&gt;$D$5,$F37&gt;MAX('הנחות עבודה'!$B$69:$B$89)),0,(VLOOKUP($F37,'התפלגות ייצור וסל דלקים'!$B$64:$BV$84,AK$2-$E$2,FALSE))*$D$9*$D$8*(HLOOKUP(AK$23,$G$18:$R$19,2,FALSE)*(1-$D$12)^($F37-'הנחות עבודה'!$C$5)/$D$11)/$D$11)</f>
        <v>1.5758860000000002E-4</v>
      </c>
      <c r="AL37" s="42">
        <f ca="1">IF(OR($F37&gt;$D$5,$F37&gt;MAX('הנחות עבודה'!$B$69:$B$89)),0,(VLOOKUP($F37,'התפלגות ייצור וסל דלקים'!$B$64:$BV$84,AL$2-$E$2,FALSE))*$D$9*$D$8*(HLOOKUP(AL$23,$G$18:$R$19,2,FALSE)*(1-$D$12)^($F37-'הנחות עבודה'!$C$5)/$D$11)/$D$11)</f>
        <v>1.0594749045819967E-3</v>
      </c>
      <c r="AM37" s="42">
        <f ca="1">IF(OR($F37&gt;$D$5,$F37&gt;MAX('הנחות עבודה'!$B$69:$B$89)),0,(VLOOKUP($F37,'התפלגות ייצור וסל דלקים'!$B$64:$BV$84,AM$2-$E$2,FALSE))*$D$9*$D$8*(HLOOKUP(AM$23,$G$18:$R$19,2,FALSE)*(1-$D$12)^($F37-'הנחות עבודה'!$C$5)/$D$11)/$D$11)</f>
        <v>0</v>
      </c>
      <c r="AN37" s="42">
        <f ca="1">IF(OR($F37&gt;$D$5,$F37&gt;MAX('הנחות עבודה'!$B$69:$B$89)),0,(VLOOKUP($F37,'התפלגות ייצור וסל דלקים'!$B$64:$BV$84,AN$2-$E$2,FALSE))*$D$9*$D$8*(HLOOKUP(AN$23,$G$18:$R$19,2,FALSE)*(1-$D$12)^($F37-'הנחות עבודה'!$C$5)/$D$11)/$D$11)</f>
        <v>0</v>
      </c>
      <c r="AO37" s="42">
        <f ca="1">IF(OR($F37&gt;$D$5,$F37&gt;MAX('הנחות עבודה'!$B$69:$B$89)),0,(VLOOKUP($F37,'התפלגות ייצור וסל דלקים'!$B$64:$BV$84,AO$2-$E$2,FALSE))*$D$9*$D$8*(HLOOKUP(AO$23,$G$18:$R$19,2,FALSE)*(1-$D$12)^($F37-'הנחות עבודה'!$C$5)/$D$11)/$D$11)</f>
        <v>0</v>
      </c>
      <c r="AP37" s="42">
        <f ca="1">IF(OR($F37&gt;$D$5,$F37&gt;MAX('הנחות עבודה'!$B$69:$B$89)),0,(VLOOKUP($F37,'התפלגות ייצור וסל דלקים'!$B$64:$BV$84,AP$2-$E$2,FALSE))*$D$9*$D$8*(HLOOKUP(AP$23,$G$18:$R$19,2,FALSE)*(1-$D$12)^($F37-'הנחות עבודה'!$C$5)/$D$11)/$D$11)</f>
        <v>0</v>
      </c>
      <c r="AQ37" s="52">
        <f ca="1">IF(OR($F37&gt;$D$5,$F37&gt;MAX('הנחות עבודה'!$B$69:$B$89)),0,(VLOOKUP($F37,'התפלגות ייצור וסל דלקים'!$B$64:$BV$84,AQ$2-$E$2,FALSE))*$D$9*$D$8*(HLOOKUP(AQ$23,$G$18:$R$19,2,FALSE)*(1-$D$12)^($F37-'הנחות עבודה'!$C$5)/$D$11)/$D$11)</f>
        <v>0</v>
      </c>
      <c r="AR37" s="127">
        <f ca="1">IF(OR($F37&gt;$D$5,$F37&gt;MAX('הנחות עבודה'!$B$69:$B$89)),0,(VLOOKUP($F37,'התפלגות ייצור וסל דלקים'!$B$64:$BV$84,AR$2-$E$2,FALSE))*$D$9*$D$8*(HLOOKUP(AR$23,$G$18:$R$19,2,FALSE)*(1-$D$12)^($F37-'הנחות עבודה'!$C$5)/$D$11)/$D$11)</f>
        <v>0</v>
      </c>
      <c r="AS37" s="127">
        <f ca="1">IF(OR($F37&gt;$D$5,$F37&gt;MAX('הנחות עבודה'!$B$69:$B$89)),0,(VLOOKUP($F37,'התפלגות ייצור וסל דלקים'!$B$64:$BV$84,AS$2-$E$2,FALSE))*$D$9*$D$8*(HLOOKUP(AS$23,$G$18:$R$19,2,FALSE)*(1-$D$12)^($F37-'הנחות עבודה'!$C$5)/$D$11)/$D$11)</f>
        <v>0</v>
      </c>
      <c r="AT37" s="127">
        <f ca="1">IF(OR($F37&gt;$D$5,$F37&gt;MAX('הנחות עבודה'!$B$69:$B$89)),0,(VLOOKUP($F37,'התפלגות ייצור וסל דלקים'!$B$64:$BV$84,AT$2-$E$2,FALSE))*$D$9*$D$8*(HLOOKUP(AT$23,$G$18:$R$19,2,FALSE)*(1-$D$12)^($F37-'הנחות עבודה'!$C$5)/$D$11)/$D$11)</f>
        <v>0</v>
      </c>
      <c r="AU37" s="127">
        <f ca="1">IF(OR($F37&gt;$D$5,$F37&gt;MAX('הנחות עבודה'!$B$69:$B$89)),0,(VLOOKUP($F37,'התפלגות ייצור וסל דלקים'!$B$64:$BV$84,AU$2-$E$2,FALSE))*$D$9*$D$8*(HLOOKUP(AU$23,$G$18:$R$19,2,FALSE)*(1-$D$12)^($F37-'הנחות עבודה'!$C$5)/$D$11)/$D$11)</f>
        <v>0</v>
      </c>
      <c r="AV37" s="127">
        <f ca="1">IF(OR($F37&gt;$D$5,$F37&gt;MAX('הנחות עבודה'!$B$69:$B$89)),0,(VLOOKUP($F37,'התפלגות ייצור וסל דלקים'!$B$64:$BV$84,AV$2-$E$2,FALSE))*$D$9*$D$8*(HLOOKUP(AV$23,$G$18:$R$19,2,FALSE)*(1-$D$12)^($F37-'הנחות עבודה'!$C$5)/$D$11)/$D$11)</f>
        <v>0</v>
      </c>
      <c r="AW37" s="52">
        <f ca="1">IF(OR($F37&gt;$D$5,$F37&gt;MAX('הנחות עבודה'!$B$69:$B$89)),0,(VLOOKUP($F37,'התפלגות ייצור וסל דלקים'!$B$64:$BV$84,AW$2-$E$2,FALSE))*$D$9*$D$8*(HLOOKUP(AW$23,$G$18:$R$19,2,FALSE)*(1-$D$12)^($F37-'הנחות עבודה'!$C$5)/$D$11)/$D$11)</f>
        <v>1.5758860000000002E-4</v>
      </c>
      <c r="AX37" s="52">
        <f ca="1">IF(OR($F37&gt;$D$5,$F37&gt;MAX('הנחות עבודה'!$B$69:$B$89)),0,(VLOOKUP($F37,'התפלגות ייצור וסל דלקים'!$B$64:$BV$84,AX$2-$E$2,FALSE))*$D$9*$D$8*(HLOOKUP(AX$23,$G$18:$R$19,2,FALSE)*(1-$D$12)^($F37-'הנחות עבודה'!$C$5)/$D$11)/$D$11)</f>
        <v>1.0594749045819967E-3</v>
      </c>
      <c r="AY37" s="52">
        <f ca="1">IF(OR($F37&gt;$D$5,$F37&gt;MAX('הנחות עבודה'!$B$69:$B$89)),0,(VLOOKUP($F37,'התפלגות ייצור וסל דלקים'!$B$64:$BV$84,AY$2-$E$2,FALSE))*$D$9*$D$8*(HLOOKUP(AY$23,$G$18:$R$19,2,FALSE)*(1-$D$12)^($F37-'הנחות עבודה'!$C$5)/$D$11)/$D$11)</f>
        <v>0</v>
      </c>
      <c r="AZ37" s="52">
        <f ca="1">IF(OR($F37&gt;$D$5,$F37&gt;MAX('הנחות עבודה'!$B$69:$B$89)),0,(VLOOKUP($F37,'התפלגות ייצור וסל דלקים'!$B$64:$BV$84,AZ$2-$E$2,FALSE))*$D$9*$D$8*(HLOOKUP(AZ$23,$G$18:$R$19,2,FALSE)*(1-$D$12)^($F37-'הנחות עבודה'!$C$5)/$D$11)/$D$11)</f>
        <v>0</v>
      </c>
      <c r="BA37" s="52">
        <f ca="1">IF(OR($F37&gt;$D$5,$F37&gt;MAX('הנחות עבודה'!$B$69:$B$89)),0,(VLOOKUP($F37,'התפלגות ייצור וסל דלקים'!$B$64:$BV$84,BA$2-$E$2,FALSE))*$D$9*$D$8*(HLOOKUP(BA$23,$G$18:$R$19,2,FALSE)*(1-$D$12)^($F37-'הנחות עבודה'!$C$5)/$D$11)/$D$11)</f>
        <v>0</v>
      </c>
      <c r="BB37" s="52">
        <f ca="1">IF(OR($F37&gt;$D$5,$F37&gt;MAX('הנחות עבודה'!$B$69:$B$89)),0,(VLOOKUP($F37,'התפלגות ייצור וסל דלקים'!$B$64:$BV$84,BB$2-$E$2,FALSE))*$D$9*$D$8*(HLOOKUP(BB$23,$G$18:$R$19,2,FALSE)*(1-$D$12)^($F37-'הנחות עבודה'!$C$5)/$D$11)/$D$11)</f>
        <v>0</v>
      </c>
      <c r="BC37" s="42">
        <f ca="1">IF(OR($F37&gt;$D$5,$F37&gt;MAX('הנחות עבודה'!$B$69:$B$89)),0,(VLOOKUP($F37,'התפלגות ייצור וסל דלקים'!$B$64:$BV$84,BC$2-$E$2,FALSE))*$D$9*$D$8*(HLOOKUP(BC$23,$G$18:$R$19,2,FALSE)*(1-$D$12)^($F37-'הנחות עבודה'!$C$5)/$D$11)/$D$11)</f>
        <v>0</v>
      </c>
      <c r="BD37" s="44">
        <f ca="1">IF(OR($F37&gt;$D$5,$F37&gt;MAX('הנחות עבודה'!$B$69:$B$89)),0,(VLOOKUP($F37,'התפלגות ייצור וסל דלקים'!$B$64:$BV$84,BD$2-$E$2,FALSE))*$D$9*$D$8*(HLOOKUP(BD$23,$G$18:$R$19,2,FALSE)*(1-$D$12)^($F37-'הנחות עבודה'!$C$5)/$D$11)/$D$11)</f>
        <v>0</v>
      </c>
      <c r="BE37" s="44">
        <f ca="1">IF(OR($F37&gt;$D$5,$F37&gt;MAX('הנחות עבודה'!$B$69:$B$89)),0,(VLOOKUP($F37,'התפלגות ייצור וסל דלקים'!$B$64:$BV$84,BE$2-$E$2,FALSE))*$D$9*$D$8*(HLOOKUP(BE$23,$G$18:$R$19,2,FALSE)*(1-$D$12)^($F37-'הנחות עבודה'!$C$5)/$D$11)/$D$11)</f>
        <v>0</v>
      </c>
      <c r="BF37" s="44">
        <f ca="1">IF(OR($F37&gt;$D$5,$F37&gt;MAX('הנחות עבודה'!$B$69:$B$89)),0,(VLOOKUP($F37,'התפלגות ייצור וסל דלקים'!$B$64:$BV$84,BF$2-$E$2,FALSE))*$D$9*$D$8*(HLOOKUP(BF$23,$G$18:$R$19,2,FALSE)*(1-$D$12)^($F37-'הנחות עבודה'!$C$5)/$D$11)/$D$11)</f>
        <v>0</v>
      </c>
      <c r="BG37" s="44">
        <f ca="1">IF(OR($F37&gt;$D$5,$F37&gt;MAX('הנחות עבודה'!$B$69:$B$89)),0,(VLOOKUP($F37,'התפלגות ייצור וסל דלקים'!$B$64:$BV$84,BG$2-$E$2,FALSE))*$D$9*$D$8*(HLOOKUP(BG$23,$G$18:$R$19,2,FALSE)*(1-$D$12)^($F37-'הנחות עבודה'!$C$5)/$D$11)/$D$11)</f>
        <v>0</v>
      </c>
      <c r="BH37" s="44">
        <f ca="1">IF(OR($F37&gt;$D$5,$F37&gt;MAX('הנחות עבודה'!$B$69:$B$89)),0,(VLOOKUP($F37,'התפלגות ייצור וסל דלקים'!$B$64:$BV$84,BH$2-$E$2,FALSE))*$D$9*$D$8*(HLOOKUP(BH$23,$G$18:$R$19,2,FALSE)*(1-$D$12)^($F37-'הנחות עבודה'!$C$5)/$D$11)/$D$11)</f>
        <v>0</v>
      </c>
      <c r="BI37" s="42">
        <f ca="1">IF(OR($F37&gt;$D$5,$F37&gt;MAX('הנחות עבודה'!$B$69:$B$89)),0,(VLOOKUP($F37,'התפלגות ייצור וסל דלקים'!$B$64:$BV$84,BI$2-$E$2,FALSE))*$D$9*$D$8*(HLOOKUP(BI$23,$G$18:$R$19,2,FALSE)*(1-$D$12)^($F37-'הנחות עבודה'!$C$5)/$D$11)/$D$11)</f>
        <v>1.6167000000000002E-4</v>
      </c>
      <c r="BJ37" s="42">
        <f ca="1">IF(OR($F37&gt;$D$5,$F37&gt;MAX('הנחות עבודה'!$B$69:$B$89)),0,(VLOOKUP($F37,'התפלגות ייצור וסל דלקים'!$B$64:$BV$84,BJ$2-$E$2,FALSE))*$D$9*$D$8*(HLOOKUP(BJ$23,$G$18:$R$19,2,FALSE)*(1-$D$12)^($F37-'הנחות עבודה'!$C$5)/$D$11)/$D$11)</f>
        <v>9.7662474337591523E-4</v>
      </c>
      <c r="BK37" s="42">
        <f ca="1">IF(OR($F37&gt;$D$5,$F37&gt;MAX('הנחות עבודה'!$B$69:$B$89)),0,(VLOOKUP($F37,'התפלגות ייצור וסל דלקים'!$B$64:$BV$84,BK$2-$E$2,FALSE))*$D$9*$D$8*(HLOOKUP(BK$23,$G$18:$R$19,2,FALSE)*(1-$D$12)^($F37-'הנחות עבודה'!$C$5)/$D$11)/$D$11)</f>
        <v>0</v>
      </c>
      <c r="BL37" s="42">
        <f ca="1">IF(OR($F37&gt;$D$5,$F37&gt;MAX('הנחות עבודה'!$B$69:$B$89)),0,(VLOOKUP($F37,'התפלגות ייצור וסל דלקים'!$B$64:$BV$84,BL$2-$E$2,FALSE))*$D$9*$D$8*(HLOOKUP(BL$23,$G$18:$R$19,2,FALSE)*(1-$D$12)^($F37-'הנחות עבודה'!$C$5)/$D$11)/$D$11)</f>
        <v>0</v>
      </c>
      <c r="BM37" s="42">
        <f ca="1">IF(OR($F37&gt;$D$5,$F37&gt;MAX('הנחות עבודה'!$B$69:$B$89)),0,(VLOOKUP($F37,'התפלגות ייצור וסל דלקים'!$B$64:$BV$84,BM$2-$E$2,FALSE))*$D$9*$D$8*(HLOOKUP(BM$23,$G$18:$R$19,2,FALSE)*(1-$D$12)^($F37-'הנחות עבודה'!$C$5)/$D$11)/$D$11)</f>
        <v>0</v>
      </c>
      <c r="BN37" s="42">
        <f ca="1">IF(OR($F37&gt;$D$5,$F37&gt;MAX('הנחות עבודה'!$B$69:$B$89)),0,(VLOOKUP($F37,'התפלגות ייצור וסל דלקים'!$B$64:$BV$84,BN$2-$E$2,FALSE))*$D$9*$D$8*(HLOOKUP(BN$23,$G$18:$R$19,2,FALSE)*(1-$D$12)^($F37-'הנחות עבודה'!$C$5)/$D$11)/$D$11)</f>
        <v>0</v>
      </c>
      <c r="BO37" s="52">
        <f ca="1">IF(OR($F37&gt;$D$5,$F37&gt;MAX('הנחות עבודה'!$B$69:$B$89)),0,(VLOOKUP($F37,'התפלגות ייצור וסל דלקים'!$B$64:$BV$84,BO$2-$E$2,FALSE))*$D$9*$D$8*(HLOOKUP(BO$23,$G$18:$R$19,2,FALSE)*(1-$D$12)^($F37-'הנחות עבודה'!$C$5)/$D$11)/$D$11)</f>
        <v>0</v>
      </c>
      <c r="BP37" s="127">
        <f ca="1">IF(OR($F37&gt;$D$5,$F37&gt;MAX('הנחות עבודה'!$B$69:$B$89)),0,(VLOOKUP($F37,'התפלגות ייצור וסל דלקים'!$B$64:$BV$84,BP$2-$E$2,FALSE))*$D$9*$D$8*(HLOOKUP(BP$23,$G$18:$R$19,2,FALSE)*(1-$D$12)^($F37-'הנחות עבודה'!$C$5)/$D$11)/$D$11)</f>
        <v>0</v>
      </c>
      <c r="BQ37" s="127">
        <f ca="1">IF(OR($F37&gt;$D$5,$F37&gt;MAX('הנחות עבודה'!$B$69:$B$89)),0,(VLOOKUP($F37,'התפלגות ייצור וסל דלקים'!$B$64:$BV$84,BQ$2-$E$2,FALSE))*$D$9*$D$8*(HLOOKUP(BQ$23,$G$18:$R$19,2,FALSE)*(1-$D$12)^($F37-'הנחות עבודה'!$C$5)/$D$11)/$D$11)</f>
        <v>0</v>
      </c>
      <c r="BR37" s="127">
        <f ca="1">IF(OR($F37&gt;$D$5,$F37&gt;MAX('הנחות עבודה'!$B$69:$B$89)),0,(VLOOKUP($F37,'התפלגות ייצור וסל דלקים'!$B$64:$BV$84,BR$2-$E$2,FALSE))*$D$9*$D$8*(HLOOKUP(BR$23,$G$18:$R$19,2,FALSE)*(1-$D$12)^($F37-'הנחות עבודה'!$C$5)/$D$11)/$D$11)</f>
        <v>0</v>
      </c>
      <c r="BS37" s="127">
        <f ca="1">IF(OR($F37&gt;$D$5,$F37&gt;MAX('הנחות עבודה'!$B$69:$B$89)),0,(VLOOKUP($F37,'התפלגות ייצור וסל דלקים'!$B$64:$BV$84,BS$2-$E$2,FALSE))*$D$9*$D$8*(HLOOKUP(BS$23,$G$18:$R$19,2,FALSE)*(1-$D$12)^($F37-'הנחות עבודה'!$C$5)/$D$11)/$D$11)</f>
        <v>0</v>
      </c>
      <c r="BT37" s="127">
        <f ca="1">IF(OR($F37&gt;$D$5,$F37&gt;MAX('הנחות עבודה'!$B$69:$B$89)),0,(VLOOKUP($F37,'התפלגות ייצור וסל דלקים'!$B$64:$BV$84,BT$2-$E$2,FALSE))*$D$9*$D$8*(HLOOKUP(BT$23,$G$18:$R$19,2,FALSE)*(1-$D$12)^($F37-'הנחות עבודה'!$C$5)/$D$11)/$D$11)</f>
        <v>0</v>
      </c>
      <c r="BU37" s="52">
        <f ca="1">IF(OR($F37&gt;$D$5,$F37&gt;MAX('הנחות עבודה'!$B$69:$B$89)),0,(VLOOKUP($F37,'התפלגות ייצור וסל דלקים'!$B$64:$BV$84,BU$2-$E$2,FALSE))*$D$9*$D$8*(HLOOKUP(BU$23,$G$18:$R$19,2,FALSE)*(1-$D$12)^($F37-'הנחות עבודה'!$C$5)/$D$11)/$D$11)</f>
        <v>1.6167000000000002E-4</v>
      </c>
      <c r="BV37" s="52">
        <f ca="1">IF(OR($F37&gt;$D$5,$F37&gt;MAX('הנחות עבודה'!$B$69:$B$89)),0,(VLOOKUP($F37,'התפלגות ייצור וסל דלקים'!$B$64:$BV$84,BV$2-$E$2,FALSE))*$D$9*$D$8*(HLOOKUP(BV$23,$G$18:$R$19,2,FALSE)*(1-$D$12)^($F37-'הנחות עבודה'!$C$5)/$D$11)/$D$11)</f>
        <v>9.7662474337591523E-4</v>
      </c>
      <c r="BW37" s="52">
        <f ca="1">IF(OR($F37&gt;$D$5,$F37&gt;MAX('הנחות עבודה'!$B$69:$B$89)),0,(VLOOKUP($F37,'התפלגות ייצור וסל דלקים'!$B$64:$BV$84,BW$2-$E$2,FALSE))*$D$9*$D$8*(HLOOKUP(BW$23,$G$18:$R$19,2,FALSE)*(1-$D$12)^($F37-'הנחות עבודה'!$C$5)/$D$11)/$D$11)</f>
        <v>0</v>
      </c>
      <c r="BX37" s="52">
        <f ca="1">IF(OR($F37&gt;$D$5,$F37&gt;MAX('הנחות עבודה'!$B$69:$B$89)),0,(VLOOKUP($F37,'התפלגות ייצור וסל דלקים'!$B$64:$BV$84,BX$2-$E$2,FALSE))*$D$9*$D$8*(HLOOKUP(BX$23,$G$18:$R$19,2,FALSE)*(1-$D$12)^($F37-'הנחות עבודה'!$C$5)/$D$11)/$D$11)</f>
        <v>0</v>
      </c>
      <c r="BY37" s="52">
        <f ca="1">IF(OR($F37&gt;$D$5,$F37&gt;MAX('הנחות עבודה'!$B$69:$B$89)),0,(VLOOKUP($F37,'התפלגות ייצור וסל דלקים'!$B$64:$BV$84,BY$2-$E$2,FALSE))*$D$9*$D$8*(HLOOKUP(BY$23,$G$18:$R$19,2,FALSE)*(1-$D$12)^($F37-'הנחות עבודה'!$C$5)/$D$11)/$D$11)</f>
        <v>0</v>
      </c>
      <c r="BZ37" s="52">
        <f ca="1">IF(OR($F37&gt;$D$5,$F37&gt;MAX('הנחות עבודה'!$B$69:$B$89)),0,(VLOOKUP($F37,'התפלגות ייצור וסל דלקים'!$B$64:$BV$84,BZ$2-$E$2,FALSE))*$D$9*$D$8*(HLOOKUP(BZ$23,$G$18:$R$19,2,FALSE)*(1-$D$12)^($F37-'הנחות עבודה'!$C$5)/$D$11)/$D$11)</f>
        <v>0</v>
      </c>
    </row>
    <row r="38" spans="6:78" ht="15.75">
      <c r="F38" s="10">
        <f t="shared" si="114"/>
        <v>2034</v>
      </c>
      <c r="G38" s="42">
        <f ca="1">IF(OR($F38&gt;$D$5,$F38&gt;MAX('הנחות עבודה'!$B$69:$B$89)),0,(VLOOKUP($F38,'התפלגות ייצור וסל דלקים'!$B$64:$BV$84,G$2-$E$2,FALSE))*$D$9*$D$8*(HLOOKUP(G$23,$G$18:$R$19,2,FALSE)*(1-$D$12)^($F38-'הנחות עבודה'!$C$5)/$D$11)/$D$11)</f>
        <v>0</v>
      </c>
      <c r="H38" s="44">
        <f ca="1">IF(OR($F38&gt;$D$5,$F38&gt;MAX('הנחות עבודה'!$B$69:$B$89)),0,(VLOOKUP($F38,'התפלגות ייצור וסל דלקים'!$B$64:$BV$84,H$2-$E$2,FALSE))*$D$9*$D$8*(HLOOKUP(H$23,$G$18:$R$19,2,FALSE)*(1-$D$12)^($F38-'הנחות עבודה'!$C$5)/$D$11)/$D$11)</f>
        <v>0</v>
      </c>
      <c r="I38" s="44">
        <f ca="1">IF(OR($F38&gt;$D$5,$F38&gt;MAX('הנחות עבודה'!$B$69:$B$89)),0,(VLOOKUP($F38,'התפלגות ייצור וסל דלקים'!$B$64:$BV$84,I$2-$E$2,FALSE))*$D$9*$D$8*(HLOOKUP(I$23,$G$18:$R$19,2,FALSE)*(1-$D$12)^($F38-'הנחות עבודה'!$C$5)/$D$11)/$D$11)</f>
        <v>0</v>
      </c>
      <c r="J38" s="44">
        <f ca="1">IF(OR($F38&gt;$D$5,$F38&gt;MAX('הנחות עבודה'!$B$69:$B$89)),0,(VLOOKUP($F38,'התפלגות ייצור וסל דלקים'!$B$64:$BV$84,J$2-$E$2,FALSE))*$D$9*$D$8*(HLOOKUP(J$23,$G$18:$R$19,2,FALSE)*(1-$D$12)^($F38-'הנחות עבודה'!$C$5)/$D$11)/$D$11)</f>
        <v>0</v>
      </c>
      <c r="K38" s="44">
        <f ca="1">IF(OR($F38&gt;$D$5,$F38&gt;MAX('הנחות עבודה'!$B$69:$B$89)),0,(VLOOKUP($F38,'התפלגות ייצור וסל דלקים'!$B$64:$BV$84,K$2-$E$2,FALSE))*$D$9*$D$8*(HLOOKUP(K$23,$G$18:$R$19,2,FALSE)*(1-$D$12)^($F38-'הנחות עבודה'!$C$5)/$D$11)/$D$11)</f>
        <v>0</v>
      </c>
      <c r="L38" s="44">
        <f ca="1">IF(OR($F38&gt;$D$5,$F38&gt;MAX('הנחות עבודה'!$B$69:$B$89)),0,(VLOOKUP($F38,'התפלגות ייצור וסל דלקים'!$B$64:$BV$84,L$2-$E$2,FALSE))*$D$9*$D$8*(HLOOKUP(L$23,$G$18:$R$19,2,FALSE)*(1-$D$12)^($F38-'הנחות עבודה'!$C$5)/$D$11)/$D$11)</f>
        <v>0</v>
      </c>
      <c r="M38" s="42">
        <f ca="1">IF(OR($F38&gt;$D$5,$F38&gt;MAX('הנחות עבודה'!$B$69:$B$89)),0,(VLOOKUP($F38,'התפלגות ייצור וסל דלקים'!$B$64:$BV$84,M$2-$E$2,FALSE))*$D$9*$D$8*(HLOOKUP(M$23,$G$18:$R$19,2,FALSE)*(1-$D$12)^($F38-'הנחות עבודה'!$C$5)/$D$11)/$D$11)</f>
        <v>1.4716479999999998E-4</v>
      </c>
      <c r="N38" s="42">
        <f ca="1">IF(OR($F38&gt;$D$5,$F38&gt;MAX('הנחות עבודה'!$B$69:$B$89)),0,(VLOOKUP($F38,'התפלגות ייצור וסל דלקים'!$B$64:$BV$84,N$2-$E$2,FALSE))*$D$9*$D$8*(HLOOKUP(N$23,$G$18:$R$19,2,FALSE)*(1-$D$12)^($F38-'הנחות עבודה'!$C$5)/$D$11)/$D$11)</f>
        <v>1.2508021991617729E-3</v>
      </c>
      <c r="O38" s="42">
        <f ca="1">IF(OR($F38&gt;$D$5,$F38&gt;MAX('הנחות עבודה'!$B$69:$B$89)),0,(VLOOKUP($F38,'התפלגות ייצור וסל דלקים'!$B$64:$BV$84,O$2-$E$2,FALSE))*$D$9*$D$8*(HLOOKUP(O$23,$G$18:$R$19,2,FALSE)*(1-$D$12)^($F38-'הנחות עבודה'!$C$5)/$D$11)/$D$11)</f>
        <v>0</v>
      </c>
      <c r="P38" s="42">
        <f ca="1">IF(OR($F38&gt;$D$5,$F38&gt;MAX('הנחות עבודה'!$B$69:$B$89)),0,(VLOOKUP($F38,'התפלגות ייצור וסל דלקים'!$B$64:$BV$84,P$2-$E$2,FALSE))*$D$9*$D$8*(HLOOKUP(P$23,$G$18:$R$19,2,FALSE)*(1-$D$12)^($F38-'הנחות עבודה'!$C$5)/$D$11)/$D$11)</f>
        <v>0</v>
      </c>
      <c r="Q38" s="42">
        <f ca="1">IF(OR($F38&gt;$D$5,$F38&gt;MAX('הנחות עבודה'!$B$69:$B$89)),0,(VLOOKUP($F38,'התפלגות ייצור וסל דלקים'!$B$64:$BV$84,Q$2-$E$2,FALSE))*$D$9*$D$8*(HLOOKUP(Q$23,$G$18:$R$19,2,FALSE)*(1-$D$12)^($F38-'הנחות עבודה'!$C$5)/$D$11)/$D$11)</f>
        <v>0</v>
      </c>
      <c r="R38" s="42">
        <f ca="1">IF(OR($F38&gt;$D$5,$F38&gt;MAX('הנחות עבודה'!$B$69:$B$89)),0,(VLOOKUP($F38,'התפלגות ייצור וסל דלקים'!$B$64:$BV$84,R$2-$E$2,FALSE))*$D$9*$D$8*(HLOOKUP(R$23,$G$18:$R$19,2,FALSE)*(1-$D$12)^($F38-'הנחות עבודה'!$C$5)/$D$11)/$D$11)</f>
        <v>0</v>
      </c>
      <c r="S38" s="52">
        <f ca="1">IF(OR($F38&gt;$D$5,$F38&gt;MAX('הנחות עבודה'!$B$69:$B$89)),0,(VLOOKUP($F38,'התפלגות ייצור וסל דלקים'!$B$64:$BV$84,S$2-$E$2,FALSE))*$D$9*$D$8*(HLOOKUP(S$23,$G$18:$R$19,2,FALSE)*(1-$D$12)^($F38-'הנחות עבודה'!$C$5)/$D$11)/$D$11)</f>
        <v>0</v>
      </c>
      <c r="T38" s="127">
        <f ca="1">IF(OR($F38&gt;$D$5,$F38&gt;MAX('הנחות עבודה'!$B$69:$B$89)),0,(VLOOKUP($F38,'התפלגות ייצור וסל דלקים'!$B$64:$BV$84,T$2-$E$2,FALSE))*$D$9*$D$8*(HLOOKUP(T$23,$G$18:$R$19,2,FALSE)*(1-$D$12)^($F38-'הנחות עבודה'!$C$5)/$D$11)/$D$11)</f>
        <v>0</v>
      </c>
      <c r="U38" s="127">
        <f ca="1">IF(OR($F38&gt;$D$5,$F38&gt;MAX('הנחות עבודה'!$B$69:$B$89)),0,(VLOOKUP($F38,'התפלגות ייצור וסל דלקים'!$B$64:$BV$84,U$2-$E$2,FALSE))*$D$9*$D$8*(HLOOKUP(U$23,$G$18:$R$19,2,FALSE)*(1-$D$12)^($F38-'הנחות עבודה'!$C$5)/$D$11)/$D$11)</f>
        <v>0</v>
      </c>
      <c r="V38" s="127">
        <f ca="1">IF(OR($F38&gt;$D$5,$F38&gt;MAX('הנחות עבודה'!$B$69:$B$89)),0,(VLOOKUP($F38,'התפלגות ייצור וסל דלקים'!$B$64:$BV$84,V$2-$E$2,FALSE))*$D$9*$D$8*(HLOOKUP(V$23,$G$18:$R$19,2,FALSE)*(1-$D$12)^($F38-'הנחות עבודה'!$C$5)/$D$11)/$D$11)</f>
        <v>0</v>
      </c>
      <c r="W38" s="127">
        <f ca="1">IF(OR($F38&gt;$D$5,$F38&gt;MAX('הנחות עבודה'!$B$69:$B$89)),0,(VLOOKUP($F38,'התפלגות ייצור וסל דלקים'!$B$64:$BV$84,W$2-$E$2,FALSE))*$D$9*$D$8*(HLOOKUP(W$23,$G$18:$R$19,2,FALSE)*(1-$D$12)^($F38-'הנחות עבודה'!$C$5)/$D$11)/$D$11)</f>
        <v>0</v>
      </c>
      <c r="X38" s="127">
        <f ca="1">IF(OR($F38&gt;$D$5,$F38&gt;MAX('הנחות עבודה'!$B$69:$B$89)),0,(VLOOKUP($F38,'התפלגות ייצור וסל דלקים'!$B$64:$BV$84,X$2-$E$2,FALSE))*$D$9*$D$8*(HLOOKUP(X$23,$G$18:$R$19,2,FALSE)*(1-$D$12)^($F38-'הנחות עבודה'!$C$5)/$D$11)/$D$11)</f>
        <v>0</v>
      </c>
      <c r="Y38" s="52">
        <f ca="1">IF(OR($F38&gt;$D$5,$F38&gt;MAX('הנחות עבודה'!$B$69:$B$89)),0,(VLOOKUP($F38,'התפלגות ייצור וסל דלקים'!$B$64:$BV$84,Y$2-$E$2,FALSE))*$D$9*$D$8*(HLOOKUP(Y$23,$G$18:$R$19,2,FALSE)*(1-$D$12)^($F38-'הנחות עבודה'!$C$5)/$D$11)/$D$11)</f>
        <v>1.4716479999999998E-4</v>
      </c>
      <c r="Z38" s="52">
        <f ca="1">IF(OR($F38&gt;$D$5,$F38&gt;MAX('הנחות עבודה'!$B$69:$B$89)),0,(VLOOKUP($F38,'התפלגות ייצור וסל דלקים'!$B$64:$BV$84,Z$2-$E$2,FALSE))*$D$9*$D$8*(HLOOKUP(Z$23,$G$18:$R$19,2,FALSE)*(1-$D$12)^($F38-'הנחות עבודה'!$C$5)/$D$11)/$D$11)</f>
        <v>1.2508021991617729E-3</v>
      </c>
      <c r="AA38" s="52">
        <f ca="1">IF(OR($F38&gt;$D$5,$F38&gt;MAX('הנחות עבודה'!$B$69:$B$89)),0,(VLOOKUP($F38,'התפלגות ייצור וסל דלקים'!$B$64:$BV$84,AA$2-$E$2,FALSE))*$D$9*$D$8*(HLOOKUP(AA$23,$G$18:$R$19,2,FALSE)*(1-$D$12)^($F38-'הנחות עבודה'!$C$5)/$D$11)/$D$11)</f>
        <v>0</v>
      </c>
      <c r="AB38" s="52">
        <f ca="1">IF(OR($F38&gt;$D$5,$F38&gt;MAX('הנחות עבודה'!$B$69:$B$89)),0,(VLOOKUP($F38,'התפלגות ייצור וסל דלקים'!$B$64:$BV$84,AB$2-$E$2,FALSE))*$D$9*$D$8*(HLOOKUP(AB$23,$G$18:$R$19,2,FALSE)*(1-$D$12)^($F38-'הנחות עבודה'!$C$5)/$D$11)/$D$11)</f>
        <v>0</v>
      </c>
      <c r="AC38" s="52">
        <f ca="1">IF(OR($F38&gt;$D$5,$F38&gt;MAX('הנחות עבודה'!$B$69:$B$89)),0,(VLOOKUP($F38,'התפלגות ייצור וסל דלקים'!$B$64:$BV$84,AC$2-$E$2,FALSE))*$D$9*$D$8*(HLOOKUP(AC$23,$G$18:$R$19,2,FALSE)*(1-$D$12)^($F38-'הנחות עבודה'!$C$5)/$D$11)/$D$11)</f>
        <v>0</v>
      </c>
      <c r="AD38" s="52">
        <f ca="1">IF(OR($F38&gt;$D$5,$F38&gt;MAX('הנחות עבודה'!$B$69:$B$89)),0,(VLOOKUP($F38,'התפלגות ייצור וסל דלקים'!$B$64:$BV$84,AD$2-$E$2,FALSE))*$D$9*$D$8*(HLOOKUP(AD$23,$G$18:$R$19,2,FALSE)*(1-$D$12)^($F38-'הנחות עבודה'!$C$5)/$D$11)/$D$11)</f>
        <v>0</v>
      </c>
      <c r="AE38" s="42">
        <f ca="1">IF(OR($F38&gt;$D$5,$F38&gt;MAX('הנחות עבודה'!$B$69:$B$89)),0,(VLOOKUP($F38,'התפלגות ייצור וסל דלקים'!$B$64:$BV$84,AE$2-$E$2,FALSE))*$D$9*$D$8*(HLOOKUP(AE$23,$G$18:$R$19,2,FALSE)*(1-$D$12)^($F38-'הנחות עבודה'!$C$5)/$D$11)/$D$11)</f>
        <v>0</v>
      </c>
      <c r="AF38" s="44">
        <f ca="1">IF(OR($F38&gt;$D$5,$F38&gt;MAX('הנחות עבודה'!$B$69:$B$89)),0,(VLOOKUP($F38,'התפלגות ייצור וסל דלקים'!$B$64:$BV$84,AF$2-$E$2,FALSE))*$D$9*$D$8*(HLOOKUP(AF$23,$G$18:$R$19,2,FALSE)*(1-$D$12)^($F38-'הנחות עבודה'!$C$5)/$D$11)/$D$11)</f>
        <v>0</v>
      </c>
      <c r="AG38" s="44">
        <f ca="1">IF(OR($F38&gt;$D$5,$F38&gt;MAX('הנחות עבודה'!$B$69:$B$89)),0,(VLOOKUP($F38,'התפלגות ייצור וסל דלקים'!$B$64:$BV$84,AG$2-$E$2,FALSE))*$D$9*$D$8*(HLOOKUP(AG$23,$G$18:$R$19,2,FALSE)*(1-$D$12)^($F38-'הנחות עבודה'!$C$5)/$D$11)/$D$11)</f>
        <v>0</v>
      </c>
      <c r="AH38" s="44">
        <f ca="1">IF(OR($F38&gt;$D$5,$F38&gt;MAX('הנחות עבודה'!$B$69:$B$89)),0,(VLOOKUP($F38,'התפלגות ייצור וסל דלקים'!$B$64:$BV$84,AH$2-$E$2,FALSE))*$D$9*$D$8*(HLOOKUP(AH$23,$G$18:$R$19,2,FALSE)*(1-$D$12)^($F38-'הנחות עבודה'!$C$5)/$D$11)/$D$11)</f>
        <v>0</v>
      </c>
      <c r="AI38" s="44">
        <f ca="1">IF(OR($F38&gt;$D$5,$F38&gt;MAX('הנחות עבודה'!$B$69:$B$89)),0,(VLOOKUP($F38,'התפלגות ייצור וסל דלקים'!$B$64:$BV$84,AI$2-$E$2,FALSE))*$D$9*$D$8*(HLOOKUP(AI$23,$G$18:$R$19,2,FALSE)*(1-$D$12)^($F38-'הנחות עבודה'!$C$5)/$D$11)/$D$11)</f>
        <v>0</v>
      </c>
      <c r="AJ38" s="44">
        <f ca="1">IF(OR($F38&gt;$D$5,$F38&gt;MAX('הנחות עבודה'!$B$69:$B$89)),0,(VLOOKUP($F38,'התפלגות ייצור וסל דלקים'!$B$64:$BV$84,AJ$2-$E$2,FALSE))*$D$9*$D$8*(HLOOKUP(AJ$23,$G$18:$R$19,2,FALSE)*(1-$D$12)^($F38-'הנחות עבודה'!$C$5)/$D$11)/$D$11)</f>
        <v>0</v>
      </c>
      <c r="AK38" s="42">
        <f ca="1">IF(OR($F38&gt;$D$5,$F38&gt;MAX('הנחות עבודה'!$B$69:$B$89)),0,(VLOOKUP($F38,'התפלגות ייצור וסל דלקים'!$B$64:$BV$84,AK$2-$E$2,FALSE))*$D$9*$D$8*(HLOOKUP(AK$23,$G$18:$R$19,2,FALSE)*(1-$D$12)^($F38-'הנחות עבודה'!$C$5)/$D$11)/$D$11)</f>
        <v>1.5694910000000001E-4</v>
      </c>
      <c r="AL38" s="42">
        <f ca="1">IF(OR($F38&gt;$D$5,$F38&gt;MAX('הנחות עבודה'!$B$69:$B$89)),0,(VLOOKUP($F38,'התפלגות ייצור וסל דלקים'!$B$64:$BV$84,AL$2-$E$2,FALSE))*$D$9*$D$8*(HLOOKUP(AL$23,$G$18:$R$19,2,FALSE)*(1-$D$12)^($F38-'הנחות עבודה'!$C$5)/$D$11)/$D$11)</f>
        <v>1.1135396328916206E-3</v>
      </c>
      <c r="AM38" s="42">
        <f ca="1">IF(OR($F38&gt;$D$5,$F38&gt;MAX('הנחות עבודה'!$B$69:$B$89)),0,(VLOOKUP($F38,'התפלגות ייצור וסל דלקים'!$B$64:$BV$84,AM$2-$E$2,FALSE))*$D$9*$D$8*(HLOOKUP(AM$23,$G$18:$R$19,2,FALSE)*(1-$D$12)^($F38-'הנחות עבודה'!$C$5)/$D$11)/$D$11)</f>
        <v>0</v>
      </c>
      <c r="AN38" s="42">
        <f ca="1">IF(OR($F38&gt;$D$5,$F38&gt;MAX('הנחות עבודה'!$B$69:$B$89)),0,(VLOOKUP($F38,'התפלגות ייצור וסל דלקים'!$B$64:$BV$84,AN$2-$E$2,FALSE))*$D$9*$D$8*(HLOOKUP(AN$23,$G$18:$R$19,2,FALSE)*(1-$D$12)^($F38-'הנחות עבודה'!$C$5)/$D$11)/$D$11)</f>
        <v>0</v>
      </c>
      <c r="AO38" s="42">
        <f ca="1">IF(OR($F38&gt;$D$5,$F38&gt;MAX('הנחות עבודה'!$B$69:$B$89)),0,(VLOOKUP($F38,'התפלגות ייצור וסל דלקים'!$B$64:$BV$84,AO$2-$E$2,FALSE))*$D$9*$D$8*(HLOOKUP(AO$23,$G$18:$R$19,2,FALSE)*(1-$D$12)^($F38-'הנחות עבודה'!$C$5)/$D$11)/$D$11)</f>
        <v>0</v>
      </c>
      <c r="AP38" s="42">
        <f ca="1">IF(OR($F38&gt;$D$5,$F38&gt;MAX('הנחות עבודה'!$B$69:$B$89)),0,(VLOOKUP($F38,'התפלגות ייצור וסל דלקים'!$B$64:$BV$84,AP$2-$E$2,FALSE))*$D$9*$D$8*(HLOOKUP(AP$23,$G$18:$R$19,2,FALSE)*(1-$D$12)^($F38-'הנחות עבודה'!$C$5)/$D$11)/$D$11)</f>
        <v>0</v>
      </c>
      <c r="AQ38" s="52">
        <f ca="1">IF(OR($F38&gt;$D$5,$F38&gt;MAX('הנחות עבודה'!$B$69:$B$89)),0,(VLOOKUP($F38,'התפלגות ייצור וסל דלקים'!$B$64:$BV$84,AQ$2-$E$2,FALSE))*$D$9*$D$8*(HLOOKUP(AQ$23,$G$18:$R$19,2,FALSE)*(1-$D$12)^($F38-'הנחות עבודה'!$C$5)/$D$11)/$D$11)</f>
        <v>0</v>
      </c>
      <c r="AR38" s="127">
        <f ca="1">IF(OR($F38&gt;$D$5,$F38&gt;MAX('הנחות עבודה'!$B$69:$B$89)),0,(VLOOKUP($F38,'התפלגות ייצור וסל דלקים'!$B$64:$BV$84,AR$2-$E$2,FALSE))*$D$9*$D$8*(HLOOKUP(AR$23,$G$18:$R$19,2,FALSE)*(1-$D$12)^($F38-'הנחות עבודה'!$C$5)/$D$11)/$D$11)</f>
        <v>0</v>
      </c>
      <c r="AS38" s="127">
        <f ca="1">IF(OR($F38&gt;$D$5,$F38&gt;MAX('הנחות עבודה'!$B$69:$B$89)),0,(VLOOKUP($F38,'התפלגות ייצור וסל דלקים'!$B$64:$BV$84,AS$2-$E$2,FALSE))*$D$9*$D$8*(HLOOKUP(AS$23,$G$18:$R$19,2,FALSE)*(1-$D$12)^($F38-'הנחות עבודה'!$C$5)/$D$11)/$D$11)</f>
        <v>0</v>
      </c>
      <c r="AT38" s="127">
        <f ca="1">IF(OR($F38&gt;$D$5,$F38&gt;MAX('הנחות עבודה'!$B$69:$B$89)),0,(VLOOKUP($F38,'התפלגות ייצור וסל דלקים'!$B$64:$BV$84,AT$2-$E$2,FALSE))*$D$9*$D$8*(HLOOKUP(AT$23,$G$18:$R$19,2,FALSE)*(1-$D$12)^($F38-'הנחות עבודה'!$C$5)/$D$11)/$D$11)</f>
        <v>0</v>
      </c>
      <c r="AU38" s="127">
        <f ca="1">IF(OR($F38&gt;$D$5,$F38&gt;MAX('הנחות עבודה'!$B$69:$B$89)),0,(VLOOKUP($F38,'התפלגות ייצור וסל דלקים'!$B$64:$BV$84,AU$2-$E$2,FALSE))*$D$9*$D$8*(HLOOKUP(AU$23,$G$18:$R$19,2,FALSE)*(1-$D$12)^($F38-'הנחות עבודה'!$C$5)/$D$11)/$D$11)</f>
        <v>0</v>
      </c>
      <c r="AV38" s="127">
        <f ca="1">IF(OR($F38&gt;$D$5,$F38&gt;MAX('הנחות עבודה'!$B$69:$B$89)),0,(VLOOKUP($F38,'התפלגות ייצור וסל דלקים'!$B$64:$BV$84,AV$2-$E$2,FALSE))*$D$9*$D$8*(HLOOKUP(AV$23,$G$18:$R$19,2,FALSE)*(1-$D$12)^($F38-'הנחות עבודה'!$C$5)/$D$11)/$D$11)</f>
        <v>0</v>
      </c>
      <c r="AW38" s="52">
        <f ca="1">IF(OR($F38&gt;$D$5,$F38&gt;MAX('הנחות עבודה'!$B$69:$B$89)),0,(VLOOKUP($F38,'התפלגות ייצור וסל דלקים'!$B$64:$BV$84,AW$2-$E$2,FALSE))*$D$9*$D$8*(HLOOKUP(AW$23,$G$18:$R$19,2,FALSE)*(1-$D$12)^($F38-'הנחות עבודה'!$C$5)/$D$11)/$D$11)</f>
        <v>1.5694910000000001E-4</v>
      </c>
      <c r="AX38" s="52">
        <f ca="1">IF(OR($F38&gt;$D$5,$F38&gt;MAX('הנחות עבודה'!$B$69:$B$89)),0,(VLOOKUP($F38,'התפלגות ייצור וסל דלקים'!$B$64:$BV$84,AX$2-$E$2,FALSE))*$D$9*$D$8*(HLOOKUP(AX$23,$G$18:$R$19,2,FALSE)*(1-$D$12)^($F38-'הנחות עבודה'!$C$5)/$D$11)/$D$11)</f>
        <v>1.1135396328916206E-3</v>
      </c>
      <c r="AY38" s="52">
        <f ca="1">IF(OR($F38&gt;$D$5,$F38&gt;MAX('הנחות עבודה'!$B$69:$B$89)),0,(VLOOKUP($F38,'התפלגות ייצור וסל דלקים'!$B$64:$BV$84,AY$2-$E$2,FALSE))*$D$9*$D$8*(HLOOKUP(AY$23,$G$18:$R$19,2,FALSE)*(1-$D$12)^($F38-'הנחות עבודה'!$C$5)/$D$11)/$D$11)</f>
        <v>0</v>
      </c>
      <c r="AZ38" s="52">
        <f ca="1">IF(OR($F38&gt;$D$5,$F38&gt;MAX('הנחות עבודה'!$B$69:$B$89)),0,(VLOOKUP($F38,'התפלגות ייצור וסל דלקים'!$B$64:$BV$84,AZ$2-$E$2,FALSE))*$D$9*$D$8*(HLOOKUP(AZ$23,$G$18:$R$19,2,FALSE)*(1-$D$12)^($F38-'הנחות עבודה'!$C$5)/$D$11)/$D$11)</f>
        <v>0</v>
      </c>
      <c r="BA38" s="52">
        <f ca="1">IF(OR($F38&gt;$D$5,$F38&gt;MAX('הנחות עבודה'!$B$69:$B$89)),0,(VLOOKUP($F38,'התפלגות ייצור וסל דלקים'!$B$64:$BV$84,BA$2-$E$2,FALSE))*$D$9*$D$8*(HLOOKUP(BA$23,$G$18:$R$19,2,FALSE)*(1-$D$12)^($F38-'הנחות עבודה'!$C$5)/$D$11)/$D$11)</f>
        <v>0</v>
      </c>
      <c r="BB38" s="52">
        <f ca="1">IF(OR($F38&gt;$D$5,$F38&gt;MAX('הנחות עבודה'!$B$69:$B$89)),0,(VLOOKUP($F38,'התפלגות ייצור וסל דלקים'!$B$64:$BV$84,BB$2-$E$2,FALSE))*$D$9*$D$8*(HLOOKUP(BB$23,$G$18:$R$19,2,FALSE)*(1-$D$12)^($F38-'הנחות עבודה'!$C$5)/$D$11)/$D$11)</f>
        <v>0</v>
      </c>
      <c r="BC38" s="42">
        <f ca="1">IF(OR($F38&gt;$D$5,$F38&gt;MAX('הנחות עבודה'!$B$69:$B$89)),0,(VLOOKUP($F38,'התפלגות ייצור וסל דלקים'!$B$64:$BV$84,BC$2-$E$2,FALSE))*$D$9*$D$8*(HLOOKUP(BC$23,$G$18:$R$19,2,FALSE)*(1-$D$12)^($F38-'הנחות עבודה'!$C$5)/$D$11)/$D$11)</f>
        <v>0</v>
      </c>
      <c r="BD38" s="44">
        <f ca="1">IF(OR($F38&gt;$D$5,$F38&gt;MAX('הנחות עבודה'!$B$69:$B$89)),0,(VLOOKUP($F38,'התפלגות ייצור וסל דלקים'!$B$64:$BV$84,BD$2-$E$2,FALSE))*$D$9*$D$8*(HLOOKUP(BD$23,$G$18:$R$19,2,FALSE)*(1-$D$12)^($F38-'הנחות עבודה'!$C$5)/$D$11)/$D$11)</f>
        <v>0</v>
      </c>
      <c r="BE38" s="44">
        <f ca="1">IF(OR($F38&gt;$D$5,$F38&gt;MAX('הנחות עבודה'!$B$69:$B$89)),0,(VLOOKUP($F38,'התפלגות ייצור וסל דלקים'!$B$64:$BV$84,BE$2-$E$2,FALSE))*$D$9*$D$8*(HLOOKUP(BE$23,$G$18:$R$19,2,FALSE)*(1-$D$12)^($F38-'הנחות עבודה'!$C$5)/$D$11)/$D$11)</f>
        <v>0</v>
      </c>
      <c r="BF38" s="44">
        <f ca="1">IF(OR($F38&gt;$D$5,$F38&gt;MAX('הנחות עבודה'!$B$69:$B$89)),0,(VLOOKUP($F38,'התפלגות ייצור וסל דלקים'!$B$64:$BV$84,BF$2-$E$2,FALSE))*$D$9*$D$8*(HLOOKUP(BF$23,$G$18:$R$19,2,FALSE)*(1-$D$12)^($F38-'הנחות עבודה'!$C$5)/$D$11)/$D$11)</f>
        <v>0</v>
      </c>
      <c r="BG38" s="44">
        <f ca="1">IF(OR($F38&gt;$D$5,$F38&gt;MAX('הנחות עבודה'!$B$69:$B$89)),0,(VLOOKUP($F38,'התפלגות ייצור וסל דלקים'!$B$64:$BV$84,BG$2-$E$2,FALSE))*$D$9*$D$8*(HLOOKUP(BG$23,$G$18:$R$19,2,FALSE)*(1-$D$12)^($F38-'הנחות עבודה'!$C$5)/$D$11)/$D$11)</f>
        <v>0</v>
      </c>
      <c r="BH38" s="44">
        <f ca="1">IF(OR($F38&gt;$D$5,$F38&gt;MAX('הנחות עבודה'!$B$69:$B$89)),0,(VLOOKUP($F38,'התפלגות ייצור וסל דלקים'!$B$64:$BV$84,BH$2-$E$2,FALSE))*$D$9*$D$8*(HLOOKUP(BH$23,$G$18:$R$19,2,FALSE)*(1-$D$12)^($F38-'הנחות עבודה'!$C$5)/$D$11)/$D$11)</f>
        <v>0</v>
      </c>
      <c r="BI38" s="42">
        <f ca="1">IF(OR($F38&gt;$D$5,$F38&gt;MAX('הנחות עבודה'!$B$69:$B$89)),0,(VLOOKUP($F38,'התפלגות ייצור וסל דלקים'!$B$64:$BV$84,BI$2-$E$2,FALSE))*$D$9*$D$8*(HLOOKUP(BI$23,$G$18:$R$19,2,FALSE)*(1-$D$12)^($F38-'הנחות עבודה'!$C$5)/$D$11)/$D$11)</f>
        <v>1.6077000000000002E-4</v>
      </c>
      <c r="BJ38" s="42">
        <f ca="1">IF(OR($F38&gt;$D$5,$F38&gt;MAX('הנחות עבודה'!$B$69:$B$89)),0,(VLOOKUP($F38,'התפלגות ייצור וסל דלקים'!$B$64:$BV$84,BJ$2-$E$2,FALSE))*$D$9*$D$8*(HLOOKUP(BJ$23,$G$18:$R$19,2,FALSE)*(1-$D$12)^($F38-'הנחות עבודה'!$C$5)/$D$11)/$D$11)</f>
        <v>1.0316013889727755E-3</v>
      </c>
      <c r="BK38" s="42">
        <f ca="1">IF(OR($F38&gt;$D$5,$F38&gt;MAX('הנחות עבודה'!$B$69:$B$89)),0,(VLOOKUP($F38,'התפלגות ייצור וסל דלקים'!$B$64:$BV$84,BK$2-$E$2,FALSE))*$D$9*$D$8*(HLOOKUP(BK$23,$G$18:$R$19,2,FALSE)*(1-$D$12)^($F38-'הנחות עבודה'!$C$5)/$D$11)/$D$11)</f>
        <v>0</v>
      </c>
      <c r="BL38" s="42">
        <f ca="1">IF(OR($F38&gt;$D$5,$F38&gt;MAX('הנחות עבודה'!$B$69:$B$89)),0,(VLOOKUP($F38,'התפלגות ייצור וסל דלקים'!$B$64:$BV$84,BL$2-$E$2,FALSE))*$D$9*$D$8*(HLOOKUP(BL$23,$G$18:$R$19,2,FALSE)*(1-$D$12)^($F38-'הנחות עבודה'!$C$5)/$D$11)/$D$11)</f>
        <v>0</v>
      </c>
      <c r="BM38" s="42">
        <f ca="1">IF(OR($F38&gt;$D$5,$F38&gt;MAX('הנחות עבודה'!$B$69:$B$89)),0,(VLOOKUP($F38,'התפלגות ייצור וסל דלקים'!$B$64:$BV$84,BM$2-$E$2,FALSE))*$D$9*$D$8*(HLOOKUP(BM$23,$G$18:$R$19,2,FALSE)*(1-$D$12)^($F38-'הנחות עבודה'!$C$5)/$D$11)/$D$11)</f>
        <v>0</v>
      </c>
      <c r="BN38" s="42">
        <f ca="1">IF(OR($F38&gt;$D$5,$F38&gt;MAX('הנחות עבודה'!$B$69:$B$89)),0,(VLOOKUP($F38,'התפלגות ייצור וסל דלקים'!$B$64:$BV$84,BN$2-$E$2,FALSE))*$D$9*$D$8*(HLOOKUP(BN$23,$G$18:$R$19,2,FALSE)*(1-$D$12)^($F38-'הנחות עבודה'!$C$5)/$D$11)/$D$11)</f>
        <v>0</v>
      </c>
      <c r="BO38" s="52">
        <f ca="1">IF(OR($F38&gt;$D$5,$F38&gt;MAX('הנחות עבודה'!$B$69:$B$89)),0,(VLOOKUP($F38,'התפלגות ייצור וסל דלקים'!$B$64:$BV$84,BO$2-$E$2,FALSE))*$D$9*$D$8*(HLOOKUP(BO$23,$G$18:$R$19,2,FALSE)*(1-$D$12)^($F38-'הנחות עבודה'!$C$5)/$D$11)/$D$11)</f>
        <v>0</v>
      </c>
      <c r="BP38" s="127">
        <f ca="1">IF(OR($F38&gt;$D$5,$F38&gt;MAX('הנחות עבודה'!$B$69:$B$89)),0,(VLOOKUP($F38,'התפלגות ייצור וסל דלקים'!$B$64:$BV$84,BP$2-$E$2,FALSE))*$D$9*$D$8*(HLOOKUP(BP$23,$G$18:$R$19,2,FALSE)*(1-$D$12)^($F38-'הנחות עבודה'!$C$5)/$D$11)/$D$11)</f>
        <v>0</v>
      </c>
      <c r="BQ38" s="127">
        <f ca="1">IF(OR($F38&gt;$D$5,$F38&gt;MAX('הנחות עבודה'!$B$69:$B$89)),0,(VLOOKUP($F38,'התפלגות ייצור וסל דלקים'!$B$64:$BV$84,BQ$2-$E$2,FALSE))*$D$9*$D$8*(HLOOKUP(BQ$23,$G$18:$R$19,2,FALSE)*(1-$D$12)^($F38-'הנחות עבודה'!$C$5)/$D$11)/$D$11)</f>
        <v>0</v>
      </c>
      <c r="BR38" s="127">
        <f ca="1">IF(OR($F38&gt;$D$5,$F38&gt;MAX('הנחות עבודה'!$B$69:$B$89)),0,(VLOOKUP($F38,'התפלגות ייצור וסל דלקים'!$B$64:$BV$84,BR$2-$E$2,FALSE))*$D$9*$D$8*(HLOOKUP(BR$23,$G$18:$R$19,2,FALSE)*(1-$D$12)^($F38-'הנחות עבודה'!$C$5)/$D$11)/$D$11)</f>
        <v>0</v>
      </c>
      <c r="BS38" s="127">
        <f ca="1">IF(OR($F38&gt;$D$5,$F38&gt;MAX('הנחות עבודה'!$B$69:$B$89)),0,(VLOOKUP($F38,'התפלגות ייצור וסל דלקים'!$B$64:$BV$84,BS$2-$E$2,FALSE))*$D$9*$D$8*(HLOOKUP(BS$23,$G$18:$R$19,2,FALSE)*(1-$D$12)^($F38-'הנחות עבודה'!$C$5)/$D$11)/$D$11)</f>
        <v>0</v>
      </c>
      <c r="BT38" s="127">
        <f ca="1">IF(OR($F38&gt;$D$5,$F38&gt;MAX('הנחות עבודה'!$B$69:$B$89)),0,(VLOOKUP($F38,'התפלגות ייצור וסל דלקים'!$B$64:$BV$84,BT$2-$E$2,FALSE))*$D$9*$D$8*(HLOOKUP(BT$23,$G$18:$R$19,2,FALSE)*(1-$D$12)^($F38-'הנחות עבודה'!$C$5)/$D$11)/$D$11)</f>
        <v>0</v>
      </c>
      <c r="BU38" s="52">
        <f ca="1">IF(OR($F38&gt;$D$5,$F38&gt;MAX('הנחות עבודה'!$B$69:$B$89)),0,(VLOOKUP($F38,'התפלגות ייצור וסל דלקים'!$B$64:$BV$84,BU$2-$E$2,FALSE))*$D$9*$D$8*(HLOOKUP(BU$23,$G$18:$R$19,2,FALSE)*(1-$D$12)^($F38-'הנחות עבודה'!$C$5)/$D$11)/$D$11)</f>
        <v>1.6077000000000002E-4</v>
      </c>
      <c r="BV38" s="52">
        <f ca="1">IF(OR($F38&gt;$D$5,$F38&gt;MAX('הנחות עבודה'!$B$69:$B$89)),0,(VLOOKUP($F38,'התפלגות ייצור וסל דלקים'!$B$64:$BV$84,BV$2-$E$2,FALSE))*$D$9*$D$8*(HLOOKUP(BV$23,$G$18:$R$19,2,FALSE)*(1-$D$12)^($F38-'הנחות עבודה'!$C$5)/$D$11)/$D$11)</f>
        <v>1.0316013889727755E-3</v>
      </c>
      <c r="BW38" s="52">
        <f ca="1">IF(OR($F38&gt;$D$5,$F38&gt;MAX('הנחות עבודה'!$B$69:$B$89)),0,(VLOOKUP($F38,'התפלגות ייצור וסל דלקים'!$B$64:$BV$84,BW$2-$E$2,FALSE))*$D$9*$D$8*(HLOOKUP(BW$23,$G$18:$R$19,2,FALSE)*(1-$D$12)^($F38-'הנחות עבודה'!$C$5)/$D$11)/$D$11)</f>
        <v>0</v>
      </c>
      <c r="BX38" s="52">
        <f ca="1">IF(OR($F38&gt;$D$5,$F38&gt;MAX('הנחות עבודה'!$B$69:$B$89)),0,(VLOOKUP($F38,'התפלגות ייצור וסל דלקים'!$B$64:$BV$84,BX$2-$E$2,FALSE))*$D$9*$D$8*(HLOOKUP(BX$23,$G$18:$R$19,2,FALSE)*(1-$D$12)^($F38-'הנחות עבודה'!$C$5)/$D$11)/$D$11)</f>
        <v>0</v>
      </c>
      <c r="BY38" s="52">
        <f ca="1">IF(OR($F38&gt;$D$5,$F38&gt;MAX('הנחות עבודה'!$B$69:$B$89)),0,(VLOOKUP($F38,'התפלגות ייצור וסל דלקים'!$B$64:$BV$84,BY$2-$E$2,FALSE))*$D$9*$D$8*(HLOOKUP(BY$23,$G$18:$R$19,2,FALSE)*(1-$D$12)^($F38-'הנחות עבודה'!$C$5)/$D$11)/$D$11)</f>
        <v>0</v>
      </c>
      <c r="BZ38" s="52">
        <f ca="1">IF(OR($F38&gt;$D$5,$F38&gt;MAX('הנחות עבודה'!$B$69:$B$89)),0,(VLOOKUP($F38,'התפלגות ייצור וסל דלקים'!$B$64:$BV$84,BZ$2-$E$2,FALSE))*$D$9*$D$8*(HLOOKUP(BZ$23,$G$18:$R$19,2,FALSE)*(1-$D$12)^($F38-'הנחות עבודה'!$C$5)/$D$11)/$D$11)</f>
        <v>0</v>
      </c>
    </row>
    <row r="39" spans="6:78" ht="15.75">
      <c r="F39" s="10">
        <f t="shared" si="114"/>
        <v>2035</v>
      </c>
      <c r="G39" s="42">
        <f ca="1">IF(OR($F39&gt;$D$5,$F39&gt;MAX('הנחות עבודה'!$B$69:$B$89)),0,(VLOOKUP($F39,'התפלגות ייצור וסל דלקים'!$B$64:$BV$84,G$2-$E$2,FALSE))*$D$9*$D$8*(HLOOKUP(G$23,$G$18:$R$19,2,FALSE)*(1-$D$12)^($F39-'הנחות עבודה'!$C$5)/$D$11)/$D$11)</f>
        <v>0</v>
      </c>
      <c r="H39" s="44">
        <f ca="1">IF(OR($F39&gt;$D$5,$F39&gt;MAX('הנחות עבודה'!$B$69:$B$89)),0,(VLOOKUP($F39,'התפלגות ייצור וסל דלקים'!$B$64:$BV$84,H$2-$E$2,FALSE))*$D$9*$D$8*(HLOOKUP(H$23,$G$18:$R$19,2,FALSE)*(1-$D$12)^($F39-'הנחות עבודה'!$C$5)/$D$11)/$D$11)</f>
        <v>0</v>
      </c>
      <c r="I39" s="44">
        <f ca="1">IF(OR($F39&gt;$D$5,$F39&gt;MAX('הנחות עבודה'!$B$69:$B$89)),0,(VLOOKUP($F39,'התפלגות ייצור וסל דלקים'!$B$64:$BV$84,I$2-$E$2,FALSE))*$D$9*$D$8*(HLOOKUP(I$23,$G$18:$R$19,2,FALSE)*(1-$D$12)^($F39-'הנחות עבודה'!$C$5)/$D$11)/$D$11)</f>
        <v>0</v>
      </c>
      <c r="J39" s="44">
        <f ca="1">IF(OR($F39&gt;$D$5,$F39&gt;MAX('הנחות עבודה'!$B$69:$B$89)),0,(VLOOKUP($F39,'התפלגות ייצור וסל דלקים'!$B$64:$BV$84,J$2-$E$2,FALSE))*$D$9*$D$8*(HLOOKUP(J$23,$G$18:$R$19,2,FALSE)*(1-$D$12)^($F39-'הנחות עבודה'!$C$5)/$D$11)/$D$11)</f>
        <v>0</v>
      </c>
      <c r="K39" s="44">
        <f ca="1">IF(OR($F39&gt;$D$5,$F39&gt;MAX('הנחות עבודה'!$B$69:$B$89)),0,(VLOOKUP($F39,'התפלגות ייצור וסל דלקים'!$B$64:$BV$84,K$2-$E$2,FALSE))*$D$9*$D$8*(HLOOKUP(K$23,$G$18:$R$19,2,FALSE)*(1-$D$12)^($F39-'הנחות עבודה'!$C$5)/$D$11)/$D$11)</f>
        <v>0</v>
      </c>
      <c r="L39" s="44">
        <f ca="1">IF(OR($F39&gt;$D$5,$F39&gt;MAX('הנחות עבודה'!$B$69:$B$89)),0,(VLOOKUP($F39,'התפלגות ייצור וסל דלקים'!$B$64:$BV$84,L$2-$E$2,FALSE))*$D$9*$D$8*(HLOOKUP(L$23,$G$18:$R$19,2,FALSE)*(1-$D$12)^($F39-'הנחות עבודה'!$C$5)/$D$11)/$D$11)</f>
        <v>0</v>
      </c>
      <c r="M39" s="42">
        <f ca="1">IF(OR($F39&gt;$D$5,$F39&gt;MAX('הנחות עבודה'!$B$69:$B$89)),0,(VLOOKUP($F39,'התפלגות ייצור וסל דלקים'!$B$64:$BV$84,M$2-$E$2,FALSE))*$D$9*$D$8*(HLOOKUP(M$23,$G$18:$R$19,2,FALSE)*(1-$D$12)^($F39-'הנחות עבודה'!$C$5)/$D$11)/$D$11)</f>
        <v>1.481136E-4</v>
      </c>
      <c r="N39" s="42">
        <f ca="1">IF(OR($F39&gt;$D$5,$F39&gt;MAX('הנחות עבודה'!$B$69:$B$89)),0,(VLOOKUP($F39,'התפלגות ייצור וסל דלקים'!$B$64:$BV$84,N$2-$E$2,FALSE))*$D$9*$D$8*(HLOOKUP(N$23,$G$18:$R$19,2,FALSE)*(1-$D$12)^($F39-'הנחות עבודה'!$C$5)/$D$11)/$D$11)</f>
        <v>1.3030594125086302E-3</v>
      </c>
      <c r="O39" s="42">
        <f ca="1">IF(OR($F39&gt;$D$5,$F39&gt;MAX('הנחות עבודה'!$B$69:$B$89)),0,(VLOOKUP($F39,'התפלגות ייצור וסל דלקים'!$B$64:$BV$84,O$2-$E$2,FALSE))*$D$9*$D$8*(HLOOKUP(O$23,$G$18:$R$19,2,FALSE)*(1-$D$12)^($F39-'הנחות עבודה'!$C$5)/$D$11)/$D$11)</f>
        <v>0</v>
      </c>
      <c r="P39" s="42">
        <f ca="1">IF(OR($F39&gt;$D$5,$F39&gt;MAX('הנחות עבודה'!$B$69:$B$89)),0,(VLOOKUP($F39,'התפלגות ייצור וסל דלקים'!$B$64:$BV$84,P$2-$E$2,FALSE))*$D$9*$D$8*(HLOOKUP(P$23,$G$18:$R$19,2,FALSE)*(1-$D$12)^($F39-'הנחות עבודה'!$C$5)/$D$11)/$D$11)</f>
        <v>0</v>
      </c>
      <c r="Q39" s="42">
        <f ca="1">IF(OR($F39&gt;$D$5,$F39&gt;MAX('הנחות עבודה'!$B$69:$B$89)),0,(VLOOKUP($F39,'התפלגות ייצור וסל דלקים'!$B$64:$BV$84,Q$2-$E$2,FALSE))*$D$9*$D$8*(HLOOKUP(Q$23,$G$18:$R$19,2,FALSE)*(1-$D$12)^($F39-'הנחות עבודה'!$C$5)/$D$11)/$D$11)</f>
        <v>0</v>
      </c>
      <c r="R39" s="42">
        <f ca="1">IF(OR($F39&gt;$D$5,$F39&gt;MAX('הנחות עבודה'!$B$69:$B$89)),0,(VLOOKUP($F39,'התפלגות ייצור וסל דלקים'!$B$64:$BV$84,R$2-$E$2,FALSE))*$D$9*$D$8*(HLOOKUP(R$23,$G$18:$R$19,2,FALSE)*(1-$D$12)^($F39-'הנחות עבודה'!$C$5)/$D$11)/$D$11)</f>
        <v>0</v>
      </c>
      <c r="S39" s="52">
        <f ca="1">IF(OR($F39&gt;$D$5,$F39&gt;MAX('הנחות עבודה'!$B$69:$B$89)),0,(VLOOKUP($F39,'התפלגות ייצור וסל דלקים'!$B$64:$BV$84,S$2-$E$2,FALSE))*$D$9*$D$8*(HLOOKUP(S$23,$G$18:$R$19,2,FALSE)*(1-$D$12)^($F39-'הנחות עבודה'!$C$5)/$D$11)/$D$11)</f>
        <v>0</v>
      </c>
      <c r="T39" s="127">
        <f ca="1">IF(OR($F39&gt;$D$5,$F39&gt;MAX('הנחות עבודה'!$B$69:$B$89)),0,(VLOOKUP($F39,'התפלגות ייצור וסל דלקים'!$B$64:$BV$84,T$2-$E$2,FALSE))*$D$9*$D$8*(HLOOKUP(T$23,$G$18:$R$19,2,FALSE)*(1-$D$12)^($F39-'הנחות עבודה'!$C$5)/$D$11)/$D$11)</f>
        <v>0</v>
      </c>
      <c r="U39" s="127">
        <f ca="1">IF(OR($F39&gt;$D$5,$F39&gt;MAX('הנחות עבודה'!$B$69:$B$89)),0,(VLOOKUP($F39,'התפלגות ייצור וסל דלקים'!$B$64:$BV$84,U$2-$E$2,FALSE))*$D$9*$D$8*(HLOOKUP(U$23,$G$18:$R$19,2,FALSE)*(1-$D$12)^($F39-'הנחות עבודה'!$C$5)/$D$11)/$D$11)</f>
        <v>0</v>
      </c>
      <c r="V39" s="127">
        <f ca="1">IF(OR($F39&gt;$D$5,$F39&gt;MAX('הנחות עבודה'!$B$69:$B$89)),0,(VLOOKUP($F39,'התפלגות ייצור וסל דלקים'!$B$64:$BV$84,V$2-$E$2,FALSE))*$D$9*$D$8*(HLOOKUP(V$23,$G$18:$R$19,2,FALSE)*(1-$D$12)^($F39-'הנחות עבודה'!$C$5)/$D$11)/$D$11)</f>
        <v>0</v>
      </c>
      <c r="W39" s="127">
        <f ca="1">IF(OR($F39&gt;$D$5,$F39&gt;MAX('הנחות עבודה'!$B$69:$B$89)),0,(VLOOKUP($F39,'התפלגות ייצור וסל דלקים'!$B$64:$BV$84,W$2-$E$2,FALSE))*$D$9*$D$8*(HLOOKUP(W$23,$G$18:$R$19,2,FALSE)*(1-$D$12)^($F39-'הנחות עבודה'!$C$5)/$D$11)/$D$11)</f>
        <v>0</v>
      </c>
      <c r="X39" s="127">
        <f ca="1">IF(OR($F39&gt;$D$5,$F39&gt;MAX('הנחות עבודה'!$B$69:$B$89)),0,(VLOOKUP($F39,'התפלגות ייצור וסל דלקים'!$B$64:$BV$84,X$2-$E$2,FALSE))*$D$9*$D$8*(HLOOKUP(X$23,$G$18:$R$19,2,FALSE)*(1-$D$12)^($F39-'הנחות עבודה'!$C$5)/$D$11)/$D$11)</f>
        <v>0</v>
      </c>
      <c r="Y39" s="52">
        <f ca="1">IF(OR($F39&gt;$D$5,$F39&gt;MAX('הנחות עבודה'!$B$69:$B$89)),0,(VLOOKUP($F39,'התפלגות ייצור וסל דלקים'!$B$64:$BV$84,Y$2-$E$2,FALSE))*$D$9*$D$8*(HLOOKUP(Y$23,$G$18:$R$19,2,FALSE)*(1-$D$12)^($F39-'הנחות עבודה'!$C$5)/$D$11)/$D$11)</f>
        <v>1.481136E-4</v>
      </c>
      <c r="Z39" s="52">
        <f ca="1">IF(OR($F39&gt;$D$5,$F39&gt;MAX('הנחות עבודה'!$B$69:$B$89)),0,(VLOOKUP($F39,'התפלגות ייצור וסל דלקים'!$B$64:$BV$84,Z$2-$E$2,FALSE))*$D$9*$D$8*(HLOOKUP(Z$23,$G$18:$R$19,2,FALSE)*(1-$D$12)^($F39-'הנחות עבודה'!$C$5)/$D$11)/$D$11)</f>
        <v>1.3030594125086302E-3</v>
      </c>
      <c r="AA39" s="52">
        <f ca="1">IF(OR($F39&gt;$D$5,$F39&gt;MAX('הנחות עבודה'!$B$69:$B$89)),0,(VLOOKUP($F39,'התפלגות ייצור וסל דלקים'!$B$64:$BV$84,AA$2-$E$2,FALSE))*$D$9*$D$8*(HLOOKUP(AA$23,$G$18:$R$19,2,FALSE)*(1-$D$12)^($F39-'הנחות עבודה'!$C$5)/$D$11)/$D$11)</f>
        <v>0</v>
      </c>
      <c r="AB39" s="52">
        <f ca="1">IF(OR($F39&gt;$D$5,$F39&gt;MAX('הנחות עבודה'!$B$69:$B$89)),0,(VLOOKUP($F39,'התפלגות ייצור וסל דלקים'!$B$64:$BV$84,AB$2-$E$2,FALSE))*$D$9*$D$8*(HLOOKUP(AB$23,$G$18:$R$19,2,FALSE)*(1-$D$12)^($F39-'הנחות עבודה'!$C$5)/$D$11)/$D$11)</f>
        <v>0</v>
      </c>
      <c r="AC39" s="52">
        <f ca="1">IF(OR($F39&gt;$D$5,$F39&gt;MAX('הנחות עבודה'!$B$69:$B$89)),0,(VLOOKUP($F39,'התפלגות ייצור וסל דלקים'!$B$64:$BV$84,AC$2-$E$2,FALSE))*$D$9*$D$8*(HLOOKUP(AC$23,$G$18:$R$19,2,FALSE)*(1-$D$12)^($F39-'הנחות עבודה'!$C$5)/$D$11)/$D$11)</f>
        <v>0</v>
      </c>
      <c r="AD39" s="52">
        <f ca="1">IF(OR($F39&gt;$D$5,$F39&gt;MAX('הנחות עבודה'!$B$69:$B$89)),0,(VLOOKUP($F39,'התפלגות ייצור וסל דלקים'!$B$64:$BV$84,AD$2-$E$2,FALSE))*$D$9*$D$8*(HLOOKUP(AD$23,$G$18:$R$19,2,FALSE)*(1-$D$12)^($F39-'הנחות עבודה'!$C$5)/$D$11)/$D$11)</f>
        <v>0</v>
      </c>
      <c r="AE39" s="42">
        <f ca="1">IF(OR($F39&gt;$D$5,$F39&gt;MAX('הנחות עבודה'!$B$69:$B$89)),0,(VLOOKUP($F39,'התפלגות ייצור וסל דלקים'!$B$64:$BV$84,AE$2-$E$2,FALSE))*$D$9*$D$8*(HLOOKUP(AE$23,$G$18:$R$19,2,FALSE)*(1-$D$12)^($F39-'הנחות עבודה'!$C$5)/$D$11)/$D$11)</f>
        <v>0</v>
      </c>
      <c r="AF39" s="44">
        <f ca="1">IF(OR($F39&gt;$D$5,$F39&gt;MAX('הנחות עבודה'!$B$69:$B$89)),0,(VLOOKUP($F39,'התפלגות ייצור וסל דלקים'!$B$64:$BV$84,AF$2-$E$2,FALSE))*$D$9*$D$8*(HLOOKUP(AF$23,$G$18:$R$19,2,FALSE)*(1-$D$12)^($F39-'הנחות עבודה'!$C$5)/$D$11)/$D$11)</f>
        <v>0</v>
      </c>
      <c r="AG39" s="44">
        <f ca="1">IF(OR($F39&gt;$D$5,$F39&gt;MAX('הנחות עבודה'!$B$69:$B$89)),0,(VLOOKUP($F39,'התפלגות ייצור וסל דלקים'!$B$64:$BV$84,AG$2-$E$2,FALSE))*$D$9*$D$8*(HLOOKUP(AG$23,$G$18:$R$19,2,FALSE)*(1-$D$12)^($F39-'הנחות עבודה'!$C$5)/$D$11)/$D$11)</f>
        <v>0</v>
      </c>
      <c r="AH39" s="44">
        <f ca="1">IF(OR($F39&gt;$D$5,$F39&gt;MAX('הנחות עבודה'!$B$69:$B$89)),0,(VLOOKUP($F39,'התפלגות ייצור וסל דלקים'!$B$64:$BV$84,AH$2-$E$2,FALSE))*$D$9*$D$8*(HLOOKUP(AH$23,$G$18:$R$19,2,FALSE)*(1-$D$12)^($F39-'הנחות עבודה'!$C$5)/$D$11)/$D$11)</f>
        <v>0</v>
      </c>
      <c r="AI39" s="44">
        <f ca="1">IF(OR($F39&gt;$D$5,$F39&gt;MAX('הנחות עבודה'!$B$69:$B$89)),0,(VLOOKUP($F39,'התפלגות ייצור וסל דלקים'!$B$64:$BV$84,AI$2-$E$2,FALSE))*$D$9*$D$8*(HLOOKUP(AI$23,$G$18:$R$19,2,FALSE)*(1-$D$12)^($F39-'הנחות עבודה'!$C$5)/$D$11)/$D$11)</f>
        <v>0</v>
      </c>
      <c r="AJ39" s="44">
        <f ca="1">IF(OR($F39&gt;$D$5,$F39&gt;MAX('הנחות עבודה'!$B$69:$B$89)),0,(VLOOKUP($F39,'התפלגות ייצור וסל דלקים'!$B$64:$BV$84,AJ$2-$E$2,FALSE))*$D$9*$D$8*(HLOOKUP(AJ$23,$G$18:$R$19,2,FALSE)*(1-$D$12)^($F39-'הנחות עבודה'!$C$5)/$D$11)/$D$11)</f>
        <v>0</v>
      </c>
      <c r="AK39" s="42">
        <f ca="1">IF(OR($F39&gt;$D$5,$F39&gt;MAX('הנחות עבודה'!$B$69:$B$89)),0,(VLOOKUP($F39,'התפלגות ייצור וסל דלקים'!$B$64:$BV$84,AK$2-$E$2,FALSE))*$D$9*$D$8*(HLOOKUP(AK$23,$G$18:$R$19,2,FALSE)*(1-$D$12)^($F39-'הנחות עבודה'!$C$5)/$D$11)/$D$11)</f>
        <v>1.583144E-4</v>
      </c>
      <c r="AL39" s="42">
        <f ca="1">IF(OR($F39&gt;$D$5,$F39&gt;MAX('הנחות עבודה'!$B$69:$B$89)),0,(VLOOKUP($F39,'התפלגות ייצור וסל דלקים'!$B$64:$BV$84,AL$2-$E$2,FALSE))*$D$9*$D$8*(HLOOKUP(AL$23,$G$18:$R$19,2,FALSE)*(1-$D$12)^($F39-'הנחות עבודה'!$C$5)/$D$11)/$D$11)</f>
        <v>1.1659175285160985E-3</v>
      </c>
      <c r="AM39" s="42">
        <f ca="1">IF(OR($F39&gt;$D$5,$F39&gt;MAX('הנחות עבודה'!$B$69:$B$89)),0,(VLOOKUP($F39,'התפלגות ייצור וסל דלקים'!$B$64:$BV$84,AM$2-$E$2,FALSE))*$D$9*$D$8*(HLOOKUP(AM$23,$G$18:$R$19,2,FALSE)*(1-$D$12)^($F39-'הנחות עבודה'!$C$5)/$D$11)/$D$11)</f>
        <v>0</v>
      </c>
      <c r="AN39" s="42">
        <f ca="1">IF(OR($F39&gt;$D$5,$F39&gt;MAX('הנחות עבודה'!$B$69:$B$89)),0,(VLOOKUP($F39,'התפלגות ייצור וסל דלקים'!$B$64:$BV$84,AN$2-$E$2,FALSE))*$D$9*$D$8*(HLOOKUP(AN$23,$G$18:$R$19,2,FALSE)*(1-$D$12)^($F39-'הנחות עבודה'!$C$5)/$D$11)/$D$11)</f>
        <v>0</v>
      </c>
      <c r="AO39" s="42">
        <f ca="1">IF(OR($F39&gt;$D$5,$F39&gt;MAX('הנחות עבודה'!$B$69:$B$89)),0,(VLOOKUP($F39,'התפלגות ייצור וסל דלקים'!$B$64:$BV$84,AO$2-$E$2,FALSE))*$D$9*$D$8*(HLOOKUP(AO$23,$G$18:$R$19,2,FALSE)*(1-$D$12)^($F39-'הנחות עבודה'!$C$5)/$D$11)/$D$11)</f>
        <v>0</v>
      </c>
      <c r="AP39" s="42">
        <f ca="1">IF(OR($F39&gt;$D$5,$F39&gt;MAX('הנחות עבודה'!$B$69:$B$89)),0,(VLOOKUP($F39,'התפלגות ייצור וסל דלקים'!$B$64:$BV$84,AP$2-$E$2,FALSE))*$D$9*$D$8*(HLOOKUP(AP$23,$G$18:$R$19,2,FALSE)*(1-$D$12)^($F39-'הנחות עבודה'!$C$5)/$D$11)/$D$11)</f>
        <v>0</v>
      </c>
      <c r="AQ39" s="52">
        <f ca="1">IF(OR($F39&gt;$D$5,$F39&gt;MAX('הנחות עבודה'!$B$69:$B$89)),0,(VLOOKUP($F39,'התפלגות ייצור וסל דלקים'!$B$64:$BV$84,AQ$2-$E$2,FALSE))*$D$9*$D$8*(HLOOKUP(AQ$23,$G$18:$R$19,2,FALSE)*(1-$D$12)^($F39-'הנחות עבודה'!$C$5)/$D$11)/$D$11)</f>
        <v>0</v>
      </c>
      <c r="AR39" s="127">
        <f ca="1">IF(OR($F39&gt;$D$5,$F39&gt;MAX('הנחות עבודה'!$B$69:$B$89)),0,(VLOOKUP($F39,'התפלגות ייצור וסל דלקים'!$B$64:$BV$84,AR$2-$E$2,FALSE))*$D$9*$D$8*(HLOOKUP(AR$23,$G$18:$R$19,2,FALSE)*(1-$D$12)^($F39-'הנחות עבודה'!$C$5)/$D$11)/$D$11)</f>
        <v>0</v>
      </c>
      <c r="AS39" s="127">
        <f ca="1">IF(OR($F39&gt;$D$5,$F39&gt;MAX('הנחות עבודה'!$B$69:$B$89)),0,(VLOOKUP($F39,'התפלגות ייצור וסל דלקים'!$B$64:$BV$84,AS$2-$E$2,FALSE))*$D$9*$D$8*(HLOOKUP(AS$23,$G$18:$R$19,2,FALSE)*(1-$D$12)^($F39-'הנחות עבודה'!$C$5)/$D$11)/$D$11)</f>
        <v>0</v>
      </c>
      <c r="AT39" s="127">
        <f ca="1">IF(OR($F39&gt;$D$5,$F39&gt;MAX('הנחות עבודה'!$B$69:$B$89)),0,(VLOOKUP($F39,'התפלגות ייצור וסל דלקים'!$B$64:$BV$84,AT$2-$E$2,FALSE))*$D$9*$D$8*(HLOOKUP(AT$23,$G$18:$R$19,2,FALSE)*(1-$D$12)^($F39-'הנחות עבודה'!$C$5)/$D$11)/$D$11)</f>
        <v>0</v>
      </c>
      <c r="AU39" s="127">
        <f ca="1">IF(OR($F39&gt;$D$5,$F39&gt;MAX('הנחות עבודה'!$B$69:$B$89)),0,(VLOOKUP($F39,'התפלגות ייצור וסל דלקים'!$B$64:$BV$84,AU$2-$E$2,FALSE))*$D$9*$D$8*(HLOOKUP(AU$23,$G$18:$R$19,2,FALSE)*(1-$D$12)^($F39-'הנחות עבודה'!$C$5)/$D$11)/$D$11)</f>
        <v>0</v>
      </c>
      <c r="AV39" s="127">
        <f ca="1">IF(OR($F39&gt;$D$5,$F39&gt;MAX('הנחות עבודה'!$B$69:$B$89)),0,(VLOOKUP($F39,'התפלגות ייצור וסל דלקים'!$B$64:$BV$84,AV$2-$E$2,FALSE))*$D$9*$D$8*(HLOOKUP(AV$23,$G$18:$R$19,2,FALSE)*(1-$D$12)^($F39-'הנחות עבודה'!$C$5)/$D$11)/$D$11)</f>
        <v>0</v>
      </c>
      <c r="AW39" s="52">
        <f ca="1">IF(OR($F39&gt;$D$5,$F39&gt;MAX('הנחות עבודה'!$B$69:$B$89)),0,(VLOOKUP($F39,'התפלגות ייצור וסל דלקים'!$B$64:$BV$84,AW$2-$E$2,FALSE))*$D$9*$D$8*(HLOOKUP(AW$23,$G$18:$R$19,2,FALSE)*(1-$D$12)^($F39-'הנחות עבודה'!$C$5)/$D$11)/$D$11)</f>
        <v>1.583144E-4</v>
      </c>
      <c r="AX39" s="52">
        <f ca="1">IF(OR($F39&gt;$D$5,$F39&gt;MAX('הנחות עבודה'!$B$69:$B$89)),0,(VLOOKUP($F39,'התפלגות ייצור וסל דלקים'!$B$64:$BV$84,AX$2-$E$2,FALSE))*$D$9*$D$8*(HLOOKUP(AX$23,$G$18:$R$19,2,FALSE)*(1-$D$12)^($F39-'הנחות עבודה'!$C$5)/$D$11)/$D$11)</f>
        <v>1.1659175285160985E-3</v>
      </c>
      <c r="AY39" s="52">
        <f ca="1">IF(OR($F39&gt;$D$5,$F39&gt;MAX('הנחות עבודה'!$B$69:$B$89)),0,(VLOOKUP($F39,'התפלגות ייצור וסל דלקים'!$B$64:$BV$84,AY$2-$E$2,FALSE))*$D$9*$D$8*(HLOOKUP(AY$23,$G$18:$R$19,2,FALSE)*(1-$D$12)^($F39-'הנחות עבודה'!$C$5)/$D$11)/$D$11)</f>
        <v>0</v>
      </c>
      <c r="AZ39" s="52">
        <f ca="1">IF(OR($F39&gt;$D$5,$F39&gt;MAX('הנחות עבודה'!$B$69:$B$89)),0,(VLOOKUP($F39,'התפלגות ייצור וסל דלקים'!$B$64:$BV$84,AZ$2-$E$2,FALSE))*$D$9*$D$8*(HLOOKUP(AZ$23,$G$18:$R$19,2,FALSE)*(1-$D$12)^($F39-'הנחות עבודה'!$C$5)/$D$11)/$D$11)</f>
        <v>0</v>
      </c>
      <c r="BA39" s="52">
        <f ca="1">IF(OR($F39&gt;$D$5,$F39&gt;MAX('הנחות עבודה'!$B$69:$B$89)),0,(VLOOKUP($F39,'התפלגות ייצור וסל דלקים'!$B$64:$BV$84,BA$2-$E$2,FALSE))*$D$9*$D$8*(HLOOKUP(BA$23,$G$18:$R$19,2,FALSE)*(1-$D$12)^($F39-'הנחות עבודה'!$C$5)/$D$11)/$D$11)</f>
        <v>0</v>
      </c>
      <c r="BB39" s="52">
        <f ca="1">IF(OR($F39&gt;$D$5,$F39&gt;MAX('הנחות עבודה'!$B$69:$B$89)),0,(VLOOKUP($F39,'התפלגות ייצור וסל דלקים'!$B$64:$BV$84,BB$2-$E$2,FALSE))*$D$9*$D$8*(HLOOKUP(BB$23,$G$18:$R$19,2,FALSE)*(1-$D$12)^($F39-'הנחות עבודה'!$C$5)/$D$11)/$D$11)</f>
        <v>0</v>
      </c>
      <c r="BC39" s="42">
        <f ca="1">IF(OR($F39&gt;$D$5,$F39&gt;MAX('הנחות עבודה'!$B$69:$B$89)),0,(VLOOKUP($F39,'התפלגות ייצור וסל דלקים'!$B$64:$BV$84,BC$2-$E$2,FALSE))*$D$9*$D$8*(HLOOKUP(BC$23,$G$18:$R$19,2,FALSE)*(1-$D$12)^($F39-'הנחות עבודה'!$C$5)/$D$11)/$D$11)</f>
        <v>0</v>
      </c>
      <c r="BD39" s="44">
        <f ca="1">IF(OR($F39&gt;$D$5,$F39&gt;MAX('הנחות עבודה'!$B$69:$B$89)),0,(VLOOKUP($F39,'התפלגות ייצור וסל דלקים'!$B$64:$BV$84,BD$2-$E$2,FALSE))*$D$9*$D$8*(HLOOKUP(BD$23,$G$18:$R$19,2,FALSE)*(1-$D$12)^($F39-'הנחות עבודה'!$C$5)/$D$11)/$D$11)</f>
        <v>0</v>
      </c>
      <c r="BE39" s="44">
        <f ca="1">IF(OR($F39&gt;$D$5,$F39&gt;MAX('הנחות עבודה'!$B$69:$B$89)),0,(VLOOKUP($F39,'התפלגות ייצור וסל דלקים'!$B$64:$BV$84,BE$2-$E$2,FALSE))*$D$9*$D$8*(HLOOKUP(BE$23,$G$18:$R$19,2,FALSE)*(1-$D$12)^($F39-'הנחות עבודה'!$C$5)/$D$11)/$D$11)</f>
        <v>0</v>
      </c>
      <c r="BF39" s="44">
        <f ca="1">IF(OR($F39&gt;$D$5,$F39&gt;MAX('הנחות עבודה'!$B$69:$B$89)),0,(VLOOKUP($F39,'התפלגות ייצור וסל דלקים'!$B$64:$BV$84,BF$2-$E$2,FALSE))*$D$9*$D$8*(HLOOKUP(BF$23,$G$18:$R$19,2,FALSE)*(1-$D$12)^($F39-'הנחות עבודה'!$C$5)/$D$11)/$D$11)</f>
        <v>0</v>
      </c>
      <c r="BG39" s="44">
        <f ca="1">IF(OR($F39&gt;$D$5,$F39&gt;MAX('הנחות עבודה'!$B$69:$B$89)),0,(VLOOKUP($F39,'התפלגות ייצור וסל דלקים'!$B$64:$BV$84,BG$2-$E$2,FALSE))*$D$9*$D$8*(HLOOKUP(BG$23,$G$18:$R$19,2,FALSE)*(1-$D$12)^($F39-'הנחות עבודה'!$C$5)/$D$11)/$D$11)</f>
        <v>0</v>
      </c>
      <c r="BH39" s="44">
        <f ca="1">IF(OR($F39&gt;$D$5,$F39&gt;MAX('הנחות עבודה'!$B$69:$B$89)),0,(VLOOKUP($F39,'התפלגות ייצור וסל דלקים'!$B$64:$BV$84,BH$2-$E$2,FALSE))*$D$9*$D$8*(HLOOKUP(BH$23,$G$18:$R$19,2,FALSE)*(1-$D$12)^($F39-'הנחות עבודה'!$C$5)/$D$11)/$D$11)</f>
        <v>0</v>
      </c>
      <c r="BI39" s="42">
        <f ca="1">IF(OR($F39&gt;$D$5,$F39&gt;MAX('הנחות עבודה'!$B$69:$B$89)),0,(VLOOKUP($F39,'התפלגות ייצור וסל דלקים'!$B$64:$BV$84,BI$2-$E$2,FALSE))*$D$9*$D$8*(HLOOKUP(BI$23,$G$18:$R$19,2,FALSE)*(1-$D$12)^($F39-'הנחות עבודה'!$C$5)/$D$11)/$D$11)</f>
        <v>1.6170000000000003E-4</v>
      </c>
      <c r="BJ39" s="42">
        <f ca="1">IF(OR($F39&gt;$D$5,$F39&gt;MAX('הנחות עבודה'!$B$69:$B$89)),0,(VLOOKUP($F39,'התפלגות ייצור וסל דלקים'!$B$64:$BV$84,BJ$2-$E$2,FALSE))*$D$9*$D$8*(HLOOKUP(BJ$23,$G$18:$R$19,2,FALSE)*(1-$D$12)^($F39-'הנחות עבודה'!$C$5)/$D$11)/$D$11)</f>
        <v>1.0850538910207666E-3</v>
      </c>
      <c r="BK39" s="42">
        <f ca="1">IF(OR($F39&gt;$D$5,$F39&gt;MAX('הנחות עבודה'!$B$69:$B$89)),0,(VLOOKUP($F39,'התפלגות ייצור וסל דלקים'!$B$64:$BV$84,BK$2-$E$2,FALSE))*$D$9*$D$8*(HLOOKUP(BK$23,$G$18:$R$19,2,FALSE)*(1-$D$12)^($F39-'הנחות עבודה'!$C$5)/$D$11)/$D$11)</f>
        <v>0</v>
      </c>
      <c r="BL39" s="42">
        <f ca="1">IF(OR($F39&gt;$D$5,$F39&gt;MAX('הנחות עבודה'!$B$69:$B$89)),0,(VLOOKUP($F39,'התפלגות ייצור וסל דלקים'!$B$64:$BV$84,BL$2-$E$2,FALSE))*$D$9*$D$8*(HLOOKUP(BL$23,$G$18:$R$19,2,FALSE)*(1-$D$12)^($F39-'הנחות עבודה'!$C$5)/$D$11)/$D$11)</f>
        <v>0</v>
      </c>
      <c r="BM39" s="42">
        <f ca="1">IF(OR($F39&gt;$D$5,$F39&gt;MAX('הנחות עבודה'!$B$69:$B$89)),0,(VLOOKUP($F39,'התפלגות ייצור וסל דלקים'!$B$64:$BV$84,BM$2-$E$2,FALSE))*$D$9*$D$8*(HLOOKUP(BM$23,$G$18:$R$19,2,FALSE)*(1-$D$12)^($F39-'הנחות עבודה'!$C$5)/$D$11)/$D$11)</f>
        <v>0</v>
      </c>
      <c r="BN39" s="42">
        <f ca="1">IF(OR($F39&gt;$D$5,$F39&gt;MAX('הנחות עבודה'!$B$69:$B$89)),0,(VLOOKUP($F39,'התפלגות ייצור וסל דלקים'!$B$64:$BV$84,BN$2-$E$2,FALSE))*$D$9*$D$8*(HLOOKUP(BN$23,$G$18:$R$19,2,FALSE)*(1-$D$12)^($F39-'הנחות עבודה'!$C$5)/$D$11)/$D$11)</f>
        <v>0</v>
      </c>
      <c r="BO39" s="52">
        <f ca="1">IF(OR($F39&gt;$D$5,$F39&gt;MAX('הנחות עבודה'!$B$69:$B$89)),0,(VLOOKUP($F39,'התפלגות ייצור וסל דלקים'!$B$64:$BV$84,BO$2-$E$2,FALSE))*$D$9*$D$8*(HLOOKUP(BO$23,$G$18:$R$19,2,FALSE)*(1-$D$12)^($F39-'הנחות עבודה'!$C$5)/$D$11)/$D$11)</f>
        <v>0</v>
      </c>
      <c r="BP39" s="127">
        <f ca="1">IF(OR($F39&gt;$D$5,$F39&gt;MAX('הנחות עבודה'!$B$69:$B$89)),0,(VLOOKUP($F39,'התפלגות ייצור וסל דלקים'!$B$64:$BV$84,BP$2-$E$2,FALSE))*$D$9*$D$8*(HLOOKUP(BP$23,$G$18:$R$19,2,FALSE)*(1-$D$12)^($F39-'הנחות עבודה'!$C$5)/$D$11)/$D$11)</f>
        <v>0</v>
      </c>
      <c r="BQ39" s="127">
        <f ca="1">IF(OR($F39&gt;$D$5,$F39&gt;MAX('הנחות עבודה'!$B$69:$B$89)),0,(VLOOKUP($F39,'התפלגות ייצור וסל דלקים'!$B$64:$BV$84,BQ$2-$E$2,FALSE))*$D$9*$D$8*(HLOOKUP(BQ$23,$G$18:$R$19,2,FALSE)*(1-$D$12)^($F39-'הנחות עבודה'!$C$5)/$D$11)/$D$11)</f>
        <v>0</v>
      </c>
      <c r="BR39" s="127">
        <f ca="1">IF(OR($F39&gt;$D$5,$F39&gt;MAX('הנחות עבודה'!$B$69:$B$89)),0,(VLOOKUP($F39,'התפלגות ייצור וסל דלקים'!$B$64:$BV$84,BR$2-$E$2,FALSE))*$D$9*$D$8*(HLOOKUP(BR$23,$G$18:$R$19,2,FALSE)*(1-$D$12)^($F39-'הנחות עבודה'!$C$5)/$D$11)/$D$11)</f>
        <v>0</v>
      </c>
      <c r="BS39" s="127">
        <f ca="1">IF(OR($F39&gt;$D$5,$F39&gt;MAX('הנחות עבודה'!$B$69:$B$89)),0,(VLOOKUP($F39,'התפלגות ייצור וסל דלקים'!$B$64:$BV$84,BS$2-$E$2,FALSE))*$D$9*$D$8*(HLOOKUP(BS$23,$G$18:$R$19,2,FALSE)*(1-$D$12)^($F39-'הנחות עבודה'!$C$5)/$D$11)/$D$11)</f>
        <v>0</v>
      </c>
      <c r="BT39" s="127">
        <f ca="1">IF(OR($F39&gt;$D$5,$F39&gt;MAX('הנחות עבודה'!$B$69:$B$89)),0,(VLOOKUP($F39,'התפלגות ייצור וסל דלקים'!$B$64:$BV$84,BT$2-$E$2,FALSE))*$D$9*$D$8*(HLOOKUP(BT$23,$G$18:$R$19,2,FALSE)*(1-$D$12)^($F39-'הנחות עבודה'!$C$5)/$D$11)/$D$11)</f>
        <v>0</v>
      </c>
      <c r="BU39" s="52">
        <f ca="1">IF(OR($F39&gt;$D$5,$F39&gt;MAX('הנחות עבודה'!$B$69:$B$89)),0,(VLOOKUP($F39,'התפלגות ייצור וסל דלקים'!$B$64:$BV$84,BU$2-$E$2,FALSE))*$D$9*$D$8*(HLOOKUP(BU$23,$G$18:$R$19,2,FALSE)*(1-$D$12)^($F39-'הנחות עבודה'!$C$5)/$D$11)/$D$11)</f>
        <v>1.6170000000000003E-4</v>
      </c>
      <c r="BV39" s="52">
        <f ca="1">IF(OR($F39&gt;$D$5,$F39&gt;MAX('הנחות עבודה'!$B$69:$B$89)),0,(VLOOKUP($F39,'התפלגות ייצור וסל דלקים'!$B$64:$BV$84,BV$2-$E$2,FALSE))*$D$9*$D$8*(HLOOKUP(BV$23,$G$18:$R$19,2,FALSE)*(1-$D$12)^($F39-'הנחות עבודה'!$C$5)/$D$11)/$D$11)</f>
        <v>1.0850538910207666E-3</v>
      </c>
      <c r="BW39" s="52">
        <f ca="1">IF(OR($F39&gt;$D$5,$F39&gt;MAX('הנחות עבודה'!$B$69:$B$89)),0,(VLOOKUP($F39,'התפלגות ייצור וסל דלקים'!$B$64:$BV$84,BW$2-$E$2,FALSE))*$D$9*$D$8*(HLOOKUP(BW$23,$G$18:$R$19,2,FALSE)*(1-$D$12)^($F39-'הנחות עבודה'!$C$5)/$D$11)/$D$11)</f>
        <v>0</v>
      </c>
      <c r="BX39" s="52">
        <f ca="1">IF(OR($F39&gt;$D$5,$F39&gt;MAX('הנחות עבודה'!$B$69:$B$89)),0,(VLOOKUP($F39,'התפלגות ייצור וסל דלקים'!$B$64:$BV$84,BX$2-$E$2,FALSE))*$D$9*$D$8*(HLOOKUP(BX$23,$G$18:$R$19,2,FALSE)*(1-$D$12)^($F39-'הנחות עבודה'!$C$5)/$D$11)/$D$11)</f>
        <v>0</v>
      </c>
      <c r="BY39" s="52">
        <f ca="1">IF(OR($F39&gt;$D$5,$F39&gt;MAX('הנחות עבודה'!$B$69:$B$89)),0,(VLOOKUP($F39,'התפלגות ייצור וסל דלקים'!$B$64:$BV$84,BY$2-$E$2,FALSE))*$D$9*$D$8*(HLOOKUP(BY$23,$G$18:$R$19,2,FALSE)*(1-$D$12)^($F39-'הנחות עבודה'!$C$5)/$D$11)/$D$11)</f>
        <v>0</v>
      </c>
      <c r="BZ39" s="52">
        <f ca="1">IF(OR($F39&gt;$D$5,$F39&gt;MAX('הנחות עבודה'!$B$69:$B$89)),0,(VLOOKUP($F39,'התפלגות ייצור וסל דלקים'!$B$64:$BV$84,BZ$2-$E$2,FALSE))*$D$9*$D$8*(HLOOKUP(BZ$23,$G$18:$R$19,2,FALSE)*(1-$D$12)^($F39-'הנחות עבודה'!$C$5)/$D$11)/$D$11)</f>
        <v>0</v>
      </c>
    </row>
    <row r="40" spans="6:78" ht="15.75">
      <c r="F40" s="10">
        <f t="shared" si="114"/>
        <v>2036</v>
      </c>
      <c r="G40" s="42">
        <f ca="1">IF(OR($F40&gt;$D$5,$F40&gt;MAX('הנחות עבודה'!$B$69:$B$89)),0,(VLOOKUP($F40,'התפלגות ייצור וסל דלקים'!$B$64:$BV$84,G$2-$E$2,FALSE))*$D$9*$D$8*(HLOOKUP(G$23,$G$18:$R$19,2,FALSE)*(1-$D$12)^($F40-'הנחות עבודה'!$C$5)/$D$11)/$D$11)</f>
        <v>0</v>
      </c>
      <c r="H40" s="44">
        <f ca="1">IF(OR($F40&gt;$D$5,$F40&gt;MAX('הנחות עבודה'!$B$69:$B$89)),0,(VLOOKUP($F40,'התפלגות ייצור וסל דלקים'!$B$64:$BV$84,H$2-$E$2,FALSE))*$D$9*$D$8*(HLOOKUP(H$23,$G$18:$R$19,2,FALSE)*(1-$D$12)^($F40-'הנחות עבודה'!$C$5)/$D$11)/$D$11)</f>
        <v>0</v>
      </c>
      <c r="I40" s="44">
        <f ca="1">IF(OR($F40&gt;$D$5,$F40&gt;MAX('הנחות עבודה'!$B$69:$B$89)),0,(VLOOKUP($F40,'התפלגות ייצור וסל דלקים'!$B$64:$BV$84,I$2-$E$2,FALSE))*$D$9*$D$8*(HLOOKUP(I$23,$G$18:$R$19,2,FALSE)*(1-$D$12)^($F40-'הנחות עבודה'!$C$5)/$D$11)/$D$11)</f>
        <v>0</v>
      </c>
      <c r="J40" s="44">
        <f ca="1">IF(OR($F40&gt;$D$5,$F40&gt;MAX('הנחות עבודה'!$B$69:$B$89)),0,(VLOOKUP($F40,'התפלגות ייצור וסל דלקים'!$B$64:$BV$84,J$2-$E$2,FALSE))*$D$9*$D$8*(HLOOKUP(J$23,$G$18:$R$19,2,FALSE)*(1-$D$12)^($F40-'הנחות עבודה'!$C$5)/$D$11)/$D$11)</f>
        <v>0</v>
      </c>
      <c r="K40" s="44">
        <f ca="1">IF(OR($F40&gt;$D$5,$F40&gt;MAX('הנחות עבודה'!$B$69:$B$89)),0,(VLOOKUP($F40,'התפלגות ייצור וסל דלקים'!$B$64:$BV$84,K$2-$E$2,FALSE))*$D$9*$D$8*(HLOOKUP(K$23,$G$18:$R$19,2,FALSE)*(1-$D$12)^($F40-'הנחות עבודה'!$C$5)/$D$11)/$D$11)</f>
        <v>0</v>
      </c>
      <c r="L40" s="44">
        <f ca="1">IF(OR($F40&gt;$D$5,$F40&gt;MAX('הנחות עבודה'!$B$69:$B$89)),0,(VLOOKUP($F40,'התפלגות ייצור וסל דלקים'!$B$64:$BV$84,L$2-$E$2,FALSE))*$D$9*$D$8*(HLOOKUP(L$23,$G$18:$R$19,2,FALSE)*(1-$D$12)^($F40-'הנחות עבודה'!$C$5)/$D$11)/$D$11)</f>
        <v>0</v>
      </c>
      <c r="M40" s="42">
        <f ca="1">IF(OR($F40&gt;$D$5,$F40&gt;MAX('הנחות עבודה'!$B$69:$B$89)),0,(VLOOKUP($F40,'התפלגות ייצור וסל דלקים'!$B$64:$BV$84,M$2-$E$2,FALSE))*$D$9*$D$8*(HLOOKUP(M$23,$G$18:$R$19,2,FALSE)*(1-$D$12)^($F40-'הנחות עבודה'!$C$5)/$D$11)/$D$11)</f>
        <v>1.511668E-4</v>
      </c>
      <c r="N40" s="42">
        <f ca="1">IF(OR($F40&gt;$D$5,$F40&gt;MAX('הנחות עבודה'!$B$69:$B$89)),0,(VLOOKUP($F40,'התפלגות ייצור וסל דלקים'!$B$64:$BV$84,N$2-$E$2,FALSE))*$D$9*$D$8*(HLOOKUP(N$23,$G$18:$R$19,2,FALSE)*(1-$D$12)^($F40-'הנחות עבודה'!$C$5)/$D$11)/$D$11)</f>
        <v>1.3534591892058591E-3</v>
      </c>
      <c r="O40" s="42">
        <f ca="1">IF(OR($F40&gt;$D$5,$F40&gt;MAX('הנחות עבודה'!$B$69:$B$89)),0,(VLOOKUP($F40,'התפלגות ייצור וסל דלקים'!$B$64:$BV$84,O$2-$E$2,FALSE))*$D$9*$D$8*(HLOOKUP(O$23,$G$18:$R$19,2,FALSE)*(1-$D$12)^($F40-'הנחות עבודה'!$C$5)/$D$11)/$D$11)</f>
        <v>0</v>
      </c>
      <c r="P40" s="42">
        <f ca="1">IF(OR($F40&gt;$D$5,$F40&gt;MAX('הנחות עבודה'!$B$69:$B$89)),0,(VLOOKUP($F40,'התפלגות ייצור וסל דלקים'!$B$64:$BV$84,P$2-$E$2,FALSE))*$D$9*$D$8*(HLOOKUP(P$23,$G$18:$R$19,2,FALSE)*(1-$D$12)^($F40-'הנחות עבודה'!$C$5)/$D$11)/$D$11)</f>
        <v>0</v>
      </c>
      <c r="Q40" s="42">
        <f ca="1">IF(OR($F40&gt;$D$5,$F40&gt;MAX('הנחות עבודה'!$B$69:$B$89)),0,(VLOOKUP($F40,'התפלגות ייצור וסל דלקים'!$B$64:$BV$84,Q$2-$E$2,FALSE))*$D$9*$D$8*(HLOOKUP(Q$23,$G$18:$R$19,2,FALSE)*(1-$D$12)^($F40-'הנחות עבודה'!$C$5)/$D$11)/$D$11)</f>
        <v>0</v>
      </c>
      <c r="R40" s="42">
        <f ca="1">IF(OR($F40&gt;$D$5,$F40&gt;MAX('הנחות עבודה'!$B$69:$B$89)),0,(VLOOKUP($F40,'התפלגות ייצור וסל דלקים'!$B$64:$BV$84,R$2-$E$2,FALSE))*$D$9*$D$8*(HLOOKUP(R$23,$G$18:$R$19,2,FALSE)*(1-$D$12)^($F40-'הנחות עבודה'!$C$5)/$D$11)/$D$11)</f>
        <v>0</v>
      </c>
      <c r="S40" s="52">
        <f ca="1">IF(OR($F40&gt;$D$5,$F40&gt;MAX('הנחות עבודה'!$B$69:$B$89)),0,(VLOOKUP($F40,'התפלגות ייצור וסל דלקים'!$B$64:$BV$84,S$2-$E$2,FALSE))*$D$9*$D$8*(HLOOKUP(S$23,$G$18:$R$19,2,FALSE)*(1-$D$12)^($F40-'הנחות עבודה'!$C$5)/$D$11)/$D$11)</f>
        <v>0</v>
      </c>
      <c r="T40" s="127">
        <f ca="1">IF(OR($F40&gt;$D$5,$F40&gt;MAX('הנחות עבודה'!$B$69:$B$89)),0,(VLOOKUP($F40,'התפלגות ייצור וסל דלקים'!$B$64:$BV$84,T$2-$E$2,FALSE))*$D$9*$D$8*(HLOOKUP(T$23,$G$18:$R$19,2,FALSE)*(1-$D$12)^($F40-'הנחות עבודה'!$C$5)/$D$11)/$D$11)</f>
        <v>0</v>
      </c>
      <c r="U40" s="127">
        <f ca="1">IF(OR($F40&gt;$D$5,$F40&gt;MAX('הנחות עבודה'!$B$69:$B$89)),0,(VLOOKUP($F40,'התפלגות ייצור וסל דלקים'!$B$64:$BV$84,U$2-$E$2,FALSE))*$D$9*$D$8*(HLOOKUP(U$23,$G$18:$R$19,2,FALSE)*(1-$D$12)^($F40-'הנחות עבודה'!$C$5)/$D$11)/$D$11)</f>
        <v>0</v>
      </c>
      <c r="V40" s="127">
        <f ca="1">IF(OR($F40&gt;$D$5,$F40&gt;MAX('הנחות עבודה'!$B$69:$B$89)),0,(VLOOKUP($F40,'התפלגות ייצור וסל דלקים'!$B$64:$BV$84,V$2-$E$2,FALSE))*$D$9*$D$8*(HLOOKUP(V$23,$G$18:$R$19,2,FALSE)*(1-$D$12)^($F40-'הנחות עבודה'!$C$5)/$D$11)/$D$11)</f>
        <v>0</v>
      </c>
      <c r="W40" s="127">
        <f ca="1">IF(OR($F40&gt;$D$5,$F40&gt;MAX('הנחות עבודה'!$B$69:$B$89)),0,(VLOOKUP($F40,'התפלגות ייצור וסל דלקים'!$B$64:$BV$84,W$2-$E$2,FALSE))*$D$9*$D$8*(HLOOKUP(W$23,$G$18:$R$19,2,FALSE)*(1-$D$12)^($F40-'הנחות עבודה'!$C$5)/$D$11)/$D$11)</f>
        <v>0</v>
      </c>
      <c r="X40" s="127">
        <f ca="1">IF(OR($F40&gt;$D$5,$F40&gt;MAX('הנחות עבודה'!$B$69:$B$89)),0,(VLOOKUP($F40,'התפלגות ייצור וסל דלקים'!$B$64:$BV$84,X$2-$E$2,FALSE))*$D$9*$D$8*(HLOOKUP(X$23,$G$18:$R$19,2,FALSE)*(1-$D$12)^($F40-'הנחות עבודה'!$C$5)/$D$11)/$D$11)</f>
        <v>0</v>
      </c>
      <c r="Y40" s="52">
        <f ca="1">IF(OR($F40&gt;$D$5,$F40&gt;MAX('הנחות עבודה'!$B$69:$B$89)),0,(VLOOKUP($F40,'התפלגות ייצור וסל דלקים'!$B$64:$BV$84,Y$2-$E$2,FALSE))*$D$9*$D$8*(HLOOKUP(Y$23,$G$18:$R$19,2,FALSE)*(1-$D$12)^($F40-'הנחות עבודה'!$C$5)/$D$11)/$D$11)</f>
        <v>1.511668E-4</v>
      </c>
      <c r="Z40" s="52">
        <f ca="1">IF(OR($F40&gt;$D$5,$F40&gt;MAX('הנחות עבודה'!$B$69:$B$89)),0,(VLOOKUP($F40,'התפלגות ייצור וסל דלקים'!$B$64:$BV$84,Z$2-$E$2,FALSE))*$D$9*$D$8*(HLOOKUP(Z$23,$G$18:$R$19,2,FALSE)*(1-$D$12)^($F40-'הנחות עבודה'!$C$5)/$D$11)/$D$11)</f>
        <v>1.3534591892058591E-3</v>
      </c>
      <c r="AA40" s="52">
        <f ca="1">IF(OR($F40&gt;$D$5,$F40&gt;MAX('הנחות עבודה'!$B$69:$B$89)),0,(VLOOKUP($F40,'התפלגות ייצור וסל דלקים'!$B$64:$BV$84,AA$2-$E$2,FALSE))*$D$9*$D$8*(HLOOKUP(AA$23,$G$18:$R$19,2,FALSE)*(1-$D$12)^($F40-'הנחות עבודה'!$C$5)/$D$11)/$D$11)</f>
        <v>0</v>
      </c>
      <c r="AB40" s="52">
        <f ca="1">IF(OR($F40&gt;$D$5,$F40&gt;MAX('הנחות עבודה'!$B$69:$B$89)),0,(VLOOKUP($F40,'התפלגות ייצור וסל דלקים'!$B$64:$BV$84,AB$2-$E$2,FALSE))*$D$9*$D$8*(HLOOKUP(AB$23,$G$18:$R$19,2,FALSE)*(1-$D$12)^($F40-'הנחות עבודה'!$C$5)/$D$11)/$D$11)</f>
        <v>0</v>
      </c>
      <c r="AC40" s="52">
        <f ca="1">IF(OR($F40&gt;$D$5,$F40&gt;MAX('הנחות עבודה'!$B$69:$B$89)),0,(VLOOKUP($F40,'התפלגות ייצור וסל דלקים'!$B$64:$BV$84,AC$2-$E$2,FALSE))*$D$9*$D$8*(HLOOKUP(AC$23,$G$18:$R$19,2,FALSE)*(1-$D$12)^($F40-'הנחות עבודה'!$C$5)/$D$11)/$D$11)</f>
        <v>0</v>
      </c>
      <c r="AD40" s="52">
        <f ca="1">IF(OR($F40&gt;$D$5,$F40&gt;MAX('הנחות עבודה'!$B$69:$B$89)),0,(VLOOKUP($F40,'התפלגות ייצור וסל דלקים'!$B$64:$BV$84,AD$2-$E$2,FALSE))*$D$9*$D$8*(HLOOKUP(AD$23,$G$18:$R$19,2,FALSE)*(1-$D$12)^($F40-'הנחות עבודה'!$C$5)/$D$11)/$D$11)</f>
        <v>0</v>
      </c>
      <c r="AE40" s="42">
        <f ca="1">IF(OR($F40&gt;$D$5,$F40&gt;MAX('הנחות עבודה'!$B$69:$B$89)),0,(VLOOKUP($F40,'התפלגות ייצור וסל דלקים'!$B$64:$BV$84,AE$2-$E$2,FALSE))*$D$9*$D$8*(HLOOKUP(AE$23,$G$18:$R$19,2,FALSE)*(1-$D$12)^($F40-'הנחות עבודה'!$C$5)/$D$11)/$D$11)</f>
        <v>0</v>
      </c>
      <c r="AF40" s="44">
        <f ca="1">IF(OR($F40&gt;$D$5,$F40&gt;MAX('הנחות עבודה'!$B$69:$B$89)),0,(VLOOKUP($F40,'התפלגות ייצור וסל דלקים'!$B$64:$BV$84,AF$2-$E$2,FALSE))*$D$9*$D$8*(HLOOKUP(AF$23,$G$18:$R$19,2,FALSE)*(1-$D$12)^($F40-'הנחות עבודה'!$C$5)/$D$11)/$D$11)</f>
        <v>0</v>
      </c>
      <c r="AG40" s="44">
        <f ca="1">IF(OR($F40&gt;$D$5,$F40&gt;MAX('הנחות עבודה'!$B$69:$B$89)),0,(VLOOKUP($F40,'התפלגות ייצור וסל דלקים'!$B$64:$BV$84,AG$2-$E$2,FALSE))*$D$9*$D$8*(HLOOKUP(AG$23,$G$18:$R$19,2,FALSE)*(1-$D$12)^($F40-'הנחות עבודה'!$C$5)/$D$11)/$D$11)</f>
        <v>0</v>
      </c>
      <c r="AH40" s="44">
        <f ca="1">IF(OR($F40&gt;$D$5,$F40&gt;MAX('הנחות עבודה'!$B$69:$B$89)),0,(VLOOKUP($F40,'התפלגות ייצור וסל דלקים'!$B$64:$BV$84,AH$2-$E$2,FALSE))*$D$9*$D$8*(HLOOKUP(AH$23,$G$18:$R$19,2,FALSE)*(1-$D$12)^($F40-'הנחות עבודה'!$C$5)/$D$11)/$D$11)</f>
        <v>0</v>
      </c>
      <c r="AI40" s="44">
        <f ca="1">IF(OR($F40&gt;$D$5,$F40&gt;MAX('הנחות עבודה'!$B$69:$B$89)),0,(VLOOKUP($F40,'התפלגות ייצור וסל דלקים'!$B$64:$BV$84,AI$2-$E$2,FALSE))*$D$9*$D$8*(HLOOKUP(AI$23,$G$18:$R$19,2,FALSE)*(1-$D$12)^($F40-'הנחות עבודה'!$C$5)/$D$11)/$D$11)</f>
        <v>0</v>
      </c>
      <c r="AJ40" s="44">
        <f ca="1">IF(OR($F40&gt;$D$5,$F40&gt;MAX('הנחות עבודה'!$B$69:$B$89)),0,(VLOOKUP($F40,'התפלגות ייצור וסל דלקים'!$B$64:$BV$84,AJ$2-$E$2,FALSE))*$D$9*$D$8*(HLOOKUP(AJ$23,$G$18:$R$19,2,FALSE)*(1-$D$12)^($F40-'הנחות עבודה'!$C$5)/$D$11)/$D$11)</f>
        <v>0</v>
      </c>
      <c r="AK40" s="42">
        <f ca="1">IF(OR($F40&gt;$D$5,$F40&gt;MAX('הנחות עבודה'!$B$69:$B$89)),0,(VLOOKUP($F40,'התפלגות ייצור וסל דלקים'!$B$64:$BV$84,AK$2-$E$2,FALSE))*$D$9*$D$8*(HLOOKUP(AK$23,$G$18:$R$19,2,FALSE)*(1-$D$12)^($F40-'הנחות עבודה'!$C$5)/$D$11)/$D$11)</f>
        <v>1.5992710000000001E-4</v>
      </c>
      <c r="AL40" s="42">
        <f ca="1">IF(OR($F40&gt;$D$5,$F40&gt;MAX('הנחות עבודה'!$B$69:$B$89)),0,(VLOOKUP($F40,'התפלגות ייצור וסל דלקים'!$B$64:$BV$84,AL$2-$E$2,FALSE))*$D$9*$D$8*(HLOOKUP(AL$23,$G$18:$R$19,2,FALSE)*(1-$D$12)^($F40-'הנחות עבודה'!$C$5)/$D$11)/$D$11)</f>
        <v>1.219344332517283E-3</v>
      </c>
      <c r="AM40" s="42">
        <f ca="1">IF(OR($F40&gt;$D$5,$F40&gt;MAX('הנחות עבודה'!$B$69:$B$89)),0,(VLOOKUP($F40,'התפלגות ייצור וסל דלקים'!$B$64:$BV$84,AM$2-$E$2,FALSE))*$D$9*$D$8*(HLOOKUP(AM$23,$G$18:$R$19,2,FALSE)*(1-$D$12)^($F40-'הנחות עבודה'!$C$5)/$D$11)/$D$11)</f>
        <v>0</v>
      </c>
      <c r="AN40" s="42">
        <f ca="1">IF(OR($F40&gt;$D$5,$F40&gt;MAX('הנחות עבודה'!$B$69:$B$89)),0,(VLOOKUP($F40,'התפלגות ייצור וסל דלקים'!$B$64:$BV$84,AN$2-$E$2,FALSE))*$D$9*$D$8*(HLOOKUP(AN$23,$G$18:$R$19,2,FALSE)*(1-$D$12)^($F40-'הנחות עבודה'!$C$5)/$D$11)/$D$11)</f>
        <v>0</v>
      </c>
      <c r="AO40" s="42">
        <f ca="1">IF(OR($F40&gt;$D$5,$F40&gt;MAX('הנחות עבודה'!$B$69:$B$89)),0,(VLOOKUP($F40,'התפלגות ייצור וסל דלקים'!$B$64:$BV$84,AO$2-$E$2,FALSE))*$D$9*$D$8*(HLOOKUP(AO$23,$G$18:$R$19,2,FALSE)*(1-$D$12)^($F40-'הנחות עבודה'!$C$5)/$D$11)/$D$11)</f>
        <v>0</v>
      </c>
      <c r="AP40" s="42">
        <f ca="1">IF(OR($F40&gt;$D$5,$F40&gt;MAX('הנחות עבודה'!$B$69:$B$89)),0,(VLOOKUP($F40,'התפלגות ייצור וסל דלקים'!$B$64:$BV$84,AP$2-$E$2,FALSE))*$D$9*$D$8*(HLOOKUP(AP$23,$G$18:$R$19,2,FALSE)*(1-$D$12)^($F40-'הנחות עבודה'!$C$5)/$D$11)/$D$11)</f>
        <v>0</v>
      </c>
      <c r="AQ40" s="52">
        <f ca="1">IF(OR($F40&gt;$D$5,$F40&gt;MAX('הנחות עבודה'!$B$69:$B$89)),0,(VLOOKUP($F40,'התפלגות ייצור וסל דלקים'!$B$64:$BV$84,AQ$2-$E$2,FALSE))*$D$9*$D$8*(HLOOKUP(AQ$23,$G$18:$R$19,2,FALSE)*(1-$D$12)^($F40-'הנחות עבודה'!$C$5)/$D$11)/$D$11)</f>
        <v>0</v>
      </c>
      <c r="AR40" s="127">
        <f ca="1">IF(OR($F40&gt;$D$5,$F40&gt;MAX('הנחות עבודה'!$B$69:$B$89)),0,(VLOOKUP($F40,'התפלגות ייצור וסל דלקים'!$B$64:$BV$84,AR$2-$E$2,FALSE))*$D$9*$D$8*(HLOOKUP(AR$23,$G$18:$R$19,2,FALSE)*(1-$D$12)^($F40-'הנחות עבודה'!$C$5)/$D$11)/$D$11)</f>
        <v>0</v>
      </c>
      <c r="AS40" s="127">
        <f ca="1">IF(OR($F40&gt;$D$5,$F40&gt;MAX('הנחות עבודה'!$B$69:$B$89)),0,(VLOOKUP($F40,'התפלגות ייצור וסל דלקים'!$B$64:$BV$84,AS$2-$E$2,FALSE))*$D$9*$D$8*(HLOOKUP(AS$23,$G$18:$R$19,2,FALSE)*(1-$D$12)^($F40-'הנחות עבודה'!$C$5)/$D$11)/$D$11)</f>
        <v>0</v>
      </c>
      <c r="AT40" s="127">
        <f ca="1">IF(OR($F40&gt;$D$5,$F40&gt;MAX('הנחות עבודה'!$B$69:$B$89)),0,(VLOOKUP($F40,'התפלגות ייצור וסל דלקים'!$B$64:$BV$84,AT$2-$E$2,FALSE))*$D$9*$D$8*(HLOOKUP(AT$23,$G$18:$R$19,2,FALSE)*(1-$D$12)^($F40-'הנחות עבודה'!$C$5)/$D$11)/$D$11)</f>
        <v>0</v>
      </c>
      <c r="AU40" s="127">
        <f ca="1">IF(OR($F40&gt;$D$5,$F40&gt;MAX('הנחות עבודה'!$B$69:$B$89)),0,(VLOOKUP($F40,'התפלגות ייצור וסל דלקים'!$B$64:$BV$84,AU$2-$E$2,FALSE))*$D$9*$D$8*(HLOOKUP(AU$23,$G$18:$R$19,2,FALSE)*(1-$D$12)^($F40-'הנחות עבודה'!$C$5)/$D$11)/$D$11)</f>
        <v>0</v>
      </c>
      <c r="AV40" s="127">
        <f ca="1">IF(OR($F40&gt;$D$5,$F40&gt;MAX('הנחות עבודה'!$B$69:$B$89)),0,(VLOOKUP($F40,'התפלגות ייצור וסל דלקים'!$B$64:$BV$84,AV$2-$E$2,FALSE))*$D$9*$D$8*(HLOOKUP(AV$23,$G$18:$R$19,2,FALSE)*(1-$D$12)^($F40-'הנחות עבודה'!$C$5)/$D$11)/$D$11)</f>
        <v>0</v>
      </c>
      <c r="AW40" s="52">
        <f ca="1">IF(OR($F40&gt;$D$5,$F40&gt;MAX('הנחות עבודה'!$B$69:$B$89)),0,(VLOOKUP($F40,'התפלגות ייצור וסל דלקים'!$B$64:$BV$84,AW$2-$E$2,FALSE))*$D$9*$D$8*(HLOOKUP(AW$23,$G$18:$R$19,2,FALSE)*(1-$D$12)^($F40-'הנחות עבודה'!$C$5)/$D$11)/$D$11)</f>
        <v>1.5992710000000001E-4</v>
      </c>
      <c r="AX40" s="52">
        <f ca="1">IF(OR($F40&gt;$D$5,$F40&gt;MAX('הנחות עבודה'!$B$69:$B$89)),0,(VLOOKUP($F40,'התפלגות ייצור וסל דלקים'!$B$64:$BV$84,AX$2-$E$2,FALSE))*$D$9*$D$8*(HLOOKUP(AX$23,$G$18:$R$19,2,FALSE)*(1-$D$12)^($F40-'הנחות עבודה'!$C$5)/$D$11)/$D$11)</f>
        <v>1.219344332517283E-3</v>
      </c>
      <c r="AY40" s="52">
        <f ca="1">IF(OR($F40&gt;$D$5,$F40&gt;MAX('הנחות עבודה'!$B$69:$B$89)),0,(VLOOKUP($F40,'התפלגות ייצור וסל דלקים'!$B$64:$BV$84,AY$2-$E$2,FALSE))*$D$9*$D$8*(HLOOKUP(AY$23,$G$18:$R$19,2,FALSE)*(1-$D$12)^($F40-'הנחות עבודה'!$C$5)/$D$11)/$D$11)</f>
        <v>0</v>
      </c>
      <c r="AZ40" s="52">
        <f ca="1">IF(OR($F40&gt;$D$5,$F40&gt;MAX('הנחות עבודה'!$B$69:$B$89)),0,(VLOOKUP($F40,'התפלגות ייצור וסל דלקים'!$B$64:$BV$84,AZ$2-$E$2,FALSE))*$D$9*$D$8*(HLOOKUP(AZ$23,$G$18:$R$19,2,FALSE)*(1-$D$12)^($F40-'הנחות עבודה'!$C$5)/$D$11)/$D$11)</f>
        <v>0</v>
      </c>
      <c r="BA40" s="52">
        <f ca="1">IF(OR($F40&gt;$D$5,$F40&gt;MAX('הנחות עבודה'!$B$69:$B$89)),0,(VLOOKUP($F40,'התפלגות ייצור וסל דלקים'!$B$64:$BV$84,BA$2-$E$2,FALSE))*$D$9*$D$8*(HLOOKUP(BA$23,$G$18:$R$19,2,FALSE)*(1-$D$12)^($F40-'הנחות עבודה'!$C$5)/$D$11)/$D$11)</f>
        <v>0</v>
      </c>
      <c r="BB40" s="52">
        <f ca="1">IF(OR($F40&gt;$D$5,$F40&gt;MAX('הנחות עבודה'!$B$69:$B$89)),0,(VLOOKUP($F40,'התפלגות ייצור וסל דלקים'!$B$64:$BV$84,BB$2-$E$2,FALSE))*$D$9*$D$8*(HLOOKUP(BB$23,$G$18:$R$19,2,FALSE)*(1-$D$12)^($F40-'הנחות עבודה'!$C$5)/$D$11)/$D$11)</f>
        <v>0</v>
      </c>
      <c r="BC40" s="42">
        <f ca="1">IF(OR($F40&gt;$D$5,$F40&gt;MAX('הנחות עבודה'!$B$69:$B$89)),0,(VLOOKUP($F40,'התפלגות ייצור וסל דלקים'!$B$64:$BV$84,BC$2-$E$2,FALSE))*$D$9*$D$8*(HLOOKUP(BC$23,$G$18:$R$19,2,FALSE)*(1-$D$12)^($F40-'הנחות עבודה'!$C$5)/$D$11)/$D$11)</f>
        <v>0</v>
      </c>
      <c r="BD40" s="44">
        <f ca="1">IF(OR($F40&gt;$D$5,$F40&gt;MAX('הנחות עבודה'!$B$69:$B$89)),0,(VLOOKUP($F40,'התפלגות ייצור וסל דלקים'!$B$64:$BV$84,BD$2-$E$2,FALSE))*$D$9*$D$8*(HLOOKUP(BD$23,$G$18:$R$19,2,FALSE)*(1-$D$12)^($F40-'הנחות עבודה'!$C$5)/$D$11)/$D$11)</f>
        <v>0</v>
      </c>
      <c r="BE40" s="44">
        <f ca="1">IF(OR($F40&gt;$D$5,$F40&gt;MAX('הנחות עבודה'!$B$69:$B$89)),0,(VLOOKUP($F40,'התפלגות ייצור וסל דלקים'!$B$64:$BV$84,BE$2-$E$2,FALSE))*$D$9*$D$8*(HLOOKUP(BE$23,$G$18:$R$19,2,FALSE)*(1-$D$12)^($F40-'הנחות עבודה'!$C$5)/$D$11)/$D$11)</f>
        <v>0</v>
      </c>
      <c r="BF40" s="44">
        <f ca="1">IF(OR($F40&gt;$D$5,$F40&gt;MAX('הנחות עבודה'!$B$69:$B$89)),0,(VLOOKUP($F40,'התפלגות ייצור וסל דלקים'!$B$64:$BV$84,BF$2-$E$2,FALSE))*$D$9*$D$8*(HLOOKUP(BF$23,$G$18:$R$19,2,FALSE)*(1-$D$12)^($F40-'הנחות עבודה'!$C$5)/$D$11)/$D$11)</f>
        <v>0</v>
      </c>
      <c r="BG40" s="44">
        <f ca="1">IF(OR($F40&gt;$D$5,$F40&gt;MAX('הנחות עבודה'!$B$69:$B$89)),0,(VLOOKUP($F40,'התפלגות ייצור וסל דלקים'!$B$64:$BV$84,BG$2-$E$2,FALSE))*$D$9*$D$8*(HLOOKUP(BG$23,$G$18:$R$19,2,FALSE)*(1-$D$12)^($F40-'הנחות עבודה'!$C$5)/$D$11)/$D$11)</f>
        <v>0</v>
      </c>
      <c r="BH40" s="44">
        <f ca="1">IF(OR($F40&gt;$D$5,$F40&gt;MAX('הנחות עבודה'!$B$69:$B$89)),0,(VLOOKUP($F40,'התפלגות ייצור וסל דלקים'!$B$64:$BV$84,BH$2-$E$2,FALSE))*$D$9*$D$8*(HLOOKUP(BH$23,$G$18:$R$19,2,FALSE)*(1-$D$12)^($F40-'הנחות עבודה'!$C$5)/$D$11)/$D$11)</f>
        <v>0</v>
      </c>
      <c r="BI40" s="42">
        <f ca="1">IF(OR($F40&gt;$D$5,$F40&gt;MAX('הנחות עבודה'!$B$69:$B$89)),0,(VLOOKUP($F40,'התפלגות ייצור וסל דלקים'!$B$64:$BV$84,BI$2-$E$2,FALSE))*$D$9*$D$8*(HLOOKUP(BI$23,$G$18:$R$19,2,FALSE)*(1-$D$12)^($F40-'הנחות עבודה'!$C$5)/$D$11)/$D$11)</f>
        <v>1.6322E-4</v>
      </c>
      <c r="BJ40" s="42">
        <f ca="1">IF(OR($F40&gt;$D$5,$F40&gt;MAX('הנחות עבודה'!$B$69:$B$89)),0,(VLOOKUP($F40,'התפלגות ייצור וסל דלקים'!$B$64:$BV$84,BJ$2-$E$2,FALSE))*$D$9*$D$8*(HLOOKUP(BJ$23,$G$18:$R$19,2,FALSE)*(1-$D$12)^($F40-'הנחות עבודה'!$C$5)/$D$11)/$D$11)</f>
        <v>1.1390698470869227E-3</v>
      </c>
      <c r="BK40" s="42">
        <f ca="1">IF(OR($F40&gt;$D$5,$F40&gt;MAX('הנחות עבודה'!$B$69:$B$89)),0,(VLOOKUP($F40,'התפלגות ייצור וסל דלקים'!$B$64:$BV$84,BK$2-$E$2,FALSE))*$D$9*$D$8*(HLOOKUP(BK$23,$G$18:$R$19,2,FALSE)*(1-$D$12)^($F40-'הנחות עבודה'!$C$5)/$D$11)/$D$11)</f>
        <v>0</v>
      </c>
      <c r="BL40" s="42">
        <f ca="1">IF(OR($F40&gt;$D$5,$F40&gt;MAX('הנחות עבודה'!$B$69:$B$89)),0,(VLOOKUP($F40,'התפלגות ייצור וסל דלקים'!$B$64:$BV$84,BL$2-$E$2,FALSE))*$D$9*$D$8*(HLOOKUP(BL$23,$G$18:$R$19,2,FALSE)*(1-$D$12)^($F40-'הנחות עבודה'!$C$5)/$D$11)/$D$11)</f>
        <v>0</v>
      </c>
      <c r="BM40" s="42">
        <f ca="1">IF(OR($F40&gt;$D$5,$F40&gt;MAX('הנחות עבודה'!$B$69:$B$89)),0,(VLOOKUP($F40,'התפלגות ייצור וסל דלקים'!$B$64:$BV$84,BM$2-$E$2,FALSE))*$D$9*$D$8*(HLOOKUP(BM$23,$G$18:$R$19,2,FALSE)*(1-$D$12)^($F40-'הנחות עבודה'!$C$5)/$D$11)/$D$11)</f>
        <v>0</v>
      </c>
      <c r="BN40" s="42">
        <f ca="1">IF(OR($F40&gt;$D$5,$F40&gt;MAX('הנחות עבודה'!$B$69:$B$89)),0,(VLOOKUP($F40,'התפלגות ייצור וסל דלקים'!$B$64:$BV$84,BN$2-$E$2,FALSE))*$D$9*$D$8*(HLOOKUP(BN$23,$G$18:$R$19,2,FALSE)*(1-$D$12)^($F40-'הנחות עבודה'!$C$5)/$D$11)/$D$11)</f>
        <v>0</v>
      </c>
      <c r="BO40" s="52">
        <f ca="1">IF(OR($F40&gt;$D$5,$F40&gt;MAX('הנחות עבודה'!$B$69:$B$89)),0,(VLOOKUP($F40,'התפלגות ייצור וסל דלקים'!$B$64:$BV$84,BO$2-$E$2,FALSE))*$D$9*$D$8*(HLOOKUP(BO$23,$G$18:$R$19,2,FALSE)*(1-$D$12)^($F40-'הנחות עבודה'!$C$5)/$D$11)/$D$11)</f>
        <v>0</v>
      </c>
      <c r="BP40" s="127">
        <f ca="1">IF(OR($F40&gt;$D$5,$F40&gt;MAX('הנחות עבודה'!$B$69:$B$89)),0,(VLOOKUP($F40,'התפלגות ייצור וסל דלקים'!$B$64:$BV$84,BP$2-$E$2,FALSE))*$D$9*$D$8*(HLOOKUP(BP$23,$G$18:$R$19,2,FALSE)*(1-$D$12)^($F40-'הנחות עבודה'!$C$5)/$D$11)/$D$11)</f>
        <v>0</v>
      </c>
      <c r="BQ40" s="127">
        <f ca="1">IF(OR($F40&gt;$D$5,$F40&gt;MAX('הנחות עבודה'!$B$69:$B$89)),0,(VLOOKUP($F40,'התפלגות ייצור וסל דלקים'!$B$64:$BV$84,BQ$2-$E$2,FALSE))*$D$9*$D$8*(HLOOKUP(BQ$23,$G$18:$R$19,2,FALSE)*(1-$D$12)^($F40-'הנחות עבודה'!$C$5)/$D$11)/$D$11)</f>
        <v>0</v>
      </c>
      <c r="BR40" s="127">
        <f ca="1">IF(OR($F40&gt;$D$5,$F40&gt;MAX('הנחות עבודה'!$B$69:$B$89)),0,(VLOOKUP($F40,'התפלגות ייצור וסל דלקים'!$B$64:$BV$84,BR$2-$E$2,FALSE))*$D$9*$D$8*(HLOOKUP(BR$23,$G$18:$R$19,2,FALSE)*(1-$D$12)^($F40-'הנחות עבודה'!$C$5)/$D$11)/$D$11)</f>
        <v>0</v>
      </c>
      <c r="BS40" s="127">
        <f ca="1">IF(OR($F40&gt;$D$5,$F40&gt;MAX('הנחות עבודה'!$B$69:$B$89)),0,(VLOOKUP($F40,'התפלגות ייצור וסל דלקים'!$B$64:$BV$84,BS$2-$E$2,FALSE))*$D$9*$D$8*(HLOOKUP(BS$23,$G$18:$R$19,2,FALSE)*(1-$D$12)^($F40-'הנחות עבודה'!$C$5)/$D$11)/$D$11)</f>
        <v>0</v>
      </c>
      <c r="BT40" s="127">
        <f ca="1">IF(OR($F40&gt;$D$5,$F40&gt;MAX('הנחות עבודה'!$B$69:$B$89)),0,(VLOOKUP($F40,'התפלגות ייצור וסל דלקים'!$B$64:$BV$84,BT$2-$E$2,FALSE))*$D$9*$D$8*(HLOOKUP(BT$23,$G$18:$R$19,2,FALSE)*(1-$D$12)^($F40-'הנחות עבודה'!$C$5)/$D$11)/$D$11)</f>
        <v>0</v>
      </c>
      <c r="BU40" s="52">
        <f ca="1">IF(OR($F40&gt;$D$5,$F40&gt;MAX('הנחות עבודה'!$B$69:$B$89)),0,(VLOOKUP($F40,'התפלגות ייצור וסל דלקים'!$B$64:$BV$84,BU$2-$E$2,FALSE))*$D$9*$D$8*(HLOOKUP(BU$23,$G$18:$R$19,2,FALSE)*(1-$D$12)^($F40-'הנחות עבודה'!$C$5)/$D$11)/$D$11)</f>
        <v>1.6322E-4</v>
      </c>
      <c r="BV40" s="52">
        <f ca="1">IF(OR($F40&gt;$D$5,$F40&gt;MAX('הנחות עבודה'!$B$69:$B$89)),0,(VLOOKUP($F40,'התפלגות ייצור וסל דלקים'!$B$64:$BV$84,BV$2-$E$2,FALSE))*$D$9*$D$8*(HLOOKUP(BV$23,$G$18:$R$19,2,FALSE)*(1-$D$12)^($F40-'הנחות עבודה'!$C$5)/$D$11)/$D$11)</f>
        <v>1.1390698470869227E-3</v>
      </c>
      <c r="BW40" s="52">
        <f ca="1">IF(OR($F40&gt;$D$5,$F40&gt;MAX('הנחות עבודה'!$B$69:$B$89)),0,(VLOOKUP($F40,'התפלגות ייצור וסל דלקים'!$B$64:$BV$84,BW$2-$E$2,FALSE))*$D$9*$D$8*(HLOOKUP(BW$23,$G$18:$R$19,2,FALSE)*(1-$D$12)^($F40-'הנחות עבודה'!$C$5)/$D$11)/$D$11)</f>
        <v>0</v>
      </c>
      <c r="BX40" s="52">
        <f ca="1">IF(OR($F40&gt;$D$5,$F40&gt;MAX('הנחות עבודה'!$B$69:$B$89)),0,(VLOOKUP($F40,'התפלגות ייצור וסל דלקים'!$B$64:$BV$84,BX$2-$E$2,FALSE))*$D$9*$D$8*(HLOOKUP(BX$23,$G$18:$R$19,2,FALSE)*(1-$D$12)^($F40-'הנחות עבודה'!$C$5)/$D$11)/$D$11)</f>
        <v>0</v>
      </c>
      <c r="BY40" s="52">
        <f ca="1">IF(OR($F40&gt;$D$5,$F40&gt;MAX('הנחות עבודה'!$B$69:$B$89)),0,(VLOOKUP($F40,'התפלגות ייצור וסל דלקים'!$B$64:$BV$84,BY$2-$E$2,FALSE))*$D$9*$D$8*(HLOOKUP(BY$23,$G$18:$R$19,2,FALSE)*(1-$D$12)^($F40-'הנחות עבודה'!$C$5)/$D$11)/$D$11)</f>
        <v>0</v>
      </c>
      <c r="BZ40" s="52">
        <f ca="1">IF(OR($F40&gt;$D$5,$F40&gt;MAX('הנחות עבודה'!$B$69:$B$89)),0,(VLOOKUP($F40,'התפלגות ייצור וסל דלקים'!$B$64:$BV$84,BZ$2-$E$2,FALSE))*$D$9*$D$8*(HLOOKUP(BZ$23,$G$18:$R$19,2,FALSE)*(1-$D$12)^($F40-'הנחות עבודה'!$C$5)/$D$11)/$D$11)</f>
        <v>0</v>
      </c>
    </row>
    <row r="41" spans="6:78" ht="15.75">
      <c r="F41" s="10">
        <f t="shared" si="114"/>
        <v>2037</v>
      </c>
      <c r="G41" s="42">
        <f ca="1">IF(OR($F41&gt;$D$5,$F41&gt;MAX('הנחות עבודה'!$B$69:$B$89)),0,(VLOOKUP($F41,'התפלגות ייצור וסל דלקים'!$B$64:$BV$84,G$2-$E$2,FALSE))*$D$9*$D$8*(HLOOKUP(G$23,$G$18:$R$19,2,FALSE)*(1-$D$12)^($F41-'הנחות עבודה'!$C$5)/$D$11)/$D$11)</f>
        <v>0</v>
      </c>
      <c r="H41" s="44">
        <f ca="1">IF(OR($F41&gt;$D$5,$F41&gt;MAX('הנחות עבודה'!$B$69:$B$89)),0,(VLOOKUP($F41,'התפלגות ייצור וסל דלקים'!$B$64:$BV$84,H$2-$E$2,FALSE))*$D$9*$D$8*(HLOOKUP(H$23,$G$18:$R$19,2,FALSE)*(1-$D$12)^($F41-'הנחות עבודה'!$C$5)/$D$11)/$D$11)</f>
        <v>0</v>
      </c>
      <c r="I41" s="44">
        <f ca="1">IF(OR($F41&gt;$D$5,$F41&gt;MAX('הנחות עבודה'!$B$69:$B$89)),0,(VLOOKUP($F41,'התפלגות ייצור וסל דלקים'!$B$64:$BV$84,I$2-$E$2,FALSE))*$D$9*$D$8*(HLOOKUP(I$23,$G$18:$R$19,2,FALSE)*(1-$D$12)^($F41-'הנחות עבודה'!$C$5)/$D$11)/$D$11)</f>
        <v>0</v>
      </c>
      <c r="J41" s="44">
        <f ca="1">IF(OR($F41&gt;$D$5,$F41&gt;MAX('הנחות עבודה'!$B$69:$B$89)),0,(VLOOKUP($F41,'התפלגות ייצור וסל דלקים'!$B$64:$BV$84,J$2-$E$2,FALSE))*$D$9*$D$8*(HLOOKUP(J$23,$G$18:$R$19,2,FALSE)*(1-$D$12)^($F41-'הנחות עבודה'!$C$5)/$D$11)/$D$11)</f>
        <v>0</v>
      </c>
      <c r="K41" s="44">
        <f ca="1">IF(OR($F41&gt;$D$5,$F41&gt;MAX('הנחות עבודה'!$B$69:$B$89)),0,(VLOOKUP($F41,'התפלגות ייצור וסל דלקים'!$B$64:$BV$84,K$2-$E$2,FALSE))*$D$9*$D$8*(HLOOKUP(K$23,$G$18:$R$19,2,FALSE)*(1-$D$12)^($F41-'הנחות עבודה'!$C$5)/$D$11)/$D$11)</f>
        <v>0</v>
      </c>
      <c r="L41" s="44">
        <f ca="1">IF(OR($F41&gt;$D$5,$F41&gt;MAX('הנחות עבודה'!$B$69:$B$89)),0,(VLOOKUP($F41,'התפלגות ייצור וסל דלקים'!$B$64:$BV$84,L$2-$E$2,FALSE))*$D$9*$D$8*(HLOOKUP(L$23,$G$18:$R$19,2,FALSE)*(1-$D$12)^($F41-'הנחות עבודה'!$C$5)/$D$11)/$D$11)</f>
        <v>0</v>
      </c>
      <c r="M41" s="42">
        <f ca="1">IF(OR($F41&gt;$D$5,$F41&gt;MAX('הנחות עבודה'!$B$69:$B$89)),0,(VLOOKUP($F41,'התפלגות ייצור וסל דלקים'!$B$64:$BV$84,M$2-$E$2,FALSE))*$D$9*$D$8*(HLOOKUP(M$23,$G$18:$R$19,2,FALSE)*(1-$D$12)^($F41-'הנחות עבודה'!$C$5)/$D$11)/$D$11)</f>
        <v>1.5286460000000002E-4</v>
      </c>
      <c r="N41" s="42">
        <f ca="1">IF(OR($F41&gt;$D$5,$F41&gt;MAX('הנחות עבודה'!$B$69:$B$89)),0,(VLOOKUP($F41,'התפלגות ייצור וסל דלקים'!$B$64:$BV$84,N$2-$E$2,FALSE))*$D$9*$D$8*(HLOOKUP(N$23,$G$18:$R$19,2,FALSE)*(1-$D$12)^($F41-'הנחות עבודה'!$C$5)/$D$11)/$D$11)</f>
        <v>1.4076835809602713E-3</v>
      </c>
      <c r="O41" s="42">
        <f ca="1">IF(OR($F41&gt;$D$5,$F41&gt;MAX('הנחות עבודה'!$B$69:$B$89)),0,(VLOOKUP($F41,'התפלגות ייצור וסל דלקים'!$B$64:$BV$84,O$2-$E$2,FALSE))*$D$9*$D$8*(HLOOKUP(O$23,$G$18:$R$19,2,FALSE)*(1-$D$12)^($F41-'הנחות עבודה'!$C$5)/$D$11)/$D$11)</f>
        <v>0</v>
      </c>
      <c r="P41" s="42">
        <f ca="1">IF(OR($F41&gt;$D$5,$F41&gt;MAX('הנחות עבודה'!$B$69:$B$89)),0,(VLOOKUP($F41,'התפלגות ייצור וסל דלקים'!$B$64:$BV$84,P$2-$E$2,FALSE))*$D$9*$D$8*(HLOOKUP(P$23,$G$18:$R$19,2,FALSE)*(1-$D$12)^($F41-'הנחות עבודה'!$C$5)/$D$11)/$D$11)</f>
        <v>0</v>
      </c>
      <c r="Q41" s="42">
        <f ca="1">IF(OR($F41&gt;$D$5,$F41&gt;MAX('הנחות עבודה'!$B$69:$B$89)),0,(VLOOKUP($F41,'התפלגות ייצור וסל דלקים'!$B$64:$BV$84,Q$2-$E$2,FALSE))*$D$9*$D$8*(HLOOKUP(Q$23,$G$18:$R$19,2,FALSE)*(1-$D$12)^($F41-'הנחות עבודה'!$C$5)/$D$11)/$D$11)</f>
        <v>0</v>
      </c>
      <c r="R41" s="42">
        <f ca="1">IF(OR($F41&gt;$D$5,$F41&gt;MAX('הנחות עבודה'!$B$69:$B$89)),0,(VLOOKUP($F41,'התפלגות ייצור וסל דלקים'!$B$64:$BV$84,R$2-$E$2,FALSE))*$D$9*$D$8*(HLOOKUP(R$23,$G$18:$R$19,2,FALSE)*(1-$D$12)^($F41-'הנחות עבודה'!$C$5)/$D$11)/$D$11)</f>
        <v>0</v>
      </c>
      <c r="S41" s="52">
        <f ca="1">IF(OR($F41&gt;$D$5,$F41&gt;MAX('הנחות עבודה'!$B$69:$B$89)),0,(VLOOKUP($F41,'התפלגות ייצור וסל דלקים'!$B$64:$BV$84,S$2-$E$2,FALSE))*$D$9*$D$8*(HLOOKUP(S$23,$G$18:$R$19,2,FALSE)*(1-$D$12)^($F41-'הנחות עבודה'!$C$5)/$D$11)/$D$11)</f>
        <v>0</v>
      </c>
      <c r="T41" s="127">
        <f ca="1">IF(OR($F41&gt;$D$5,$F41&gt;MAX('הנחות עבודה'!$B$69:$B$89)),0,(VLOOKUP($F41,'התפלגות ייצור וסל דלקים'!$B$64:$BV$84,T$2-$E$2,FALSE))*$D$9*$D$8*(HLOOKUP(T$23,$G$18:$R$19,2,FALSE)*(1-$D$12)^($F41-'הנחות עבודה'!$C$5)/$D$11)/$D$11)</f>
        <v>0</v>
      </c>
      <c r="U41" s="127">
        <f ca="1">IF(OR($F41&gt;$D$5,$F41&gt;MAX('הנחות עבודה'!$B$69:$B$89)),0,(VLOOKUP($F41,'התפלגות ייצור וסל דלקים'!$B$64:$BV$84,U$2-$E$2,FALSE))*$D$9*$D$8*(HLOOKUP(U$23,$G$18:$R$19,2,FALSE)*(1-$D$12)^($F41-'הנחות עבודה'!$C$5)/$D$11)/$D$11)</f>
        <v>0</v>
      </c>
      <c r="V41" s="127">
        <f ca="1">IF(OR($F41&gt;$D$5,$F41&gt;MAX('הנחות עבודה'!$B$69:$B$89)),0,(VLOOKUP($F41,'התפלגות ייצור וסל דלקים'!$B$64:$BV$84,V$2-$E$2,FALSE))*$D$9*$D$8*(HLOOKUP(V$23,$G$18:$R$19,2,FALSE)*(1-$D$12)^($F41-'הנחות עבודה'!$C$5)/$D$11)/$D$11)</f>
        <v>0</v>
      </c>
      <c r="W41" s="127">
        <f ca="1">IF(OR($F41&gt;$D$5,$F41&gt;MAX('הנחות עבודה'!$B$69:$B$89)),0,(VLOOKUP($F41,'התפלגות ייצור וסל דלקים'!$B$64:$BV$84,W$2-$E$2,FALSE))*$D$9*$D$8*(HLOOKUP(W$23,$G$18:$R$19,2,FALSE)*(1-$D$12)^($F41-'הנחות עבודה'!$C$5)/$D$11)/$D$11)</f>
        <v>0</v>
      </c>
      <c r="X41" s="127">
        <f ca="1">IF(OR($F41&gt;$D$5,$F41&gt;MAX('הנחות עבודה'!$B$69:$B$89)),0,(VLOOKUP($F41,'התפלגות ייצור וסל דלקים'!$B$64:$BV$84,X$2-$E$2,FALSE))*$D$9*$D$8*(HLOOKUP(X$23,$G$18:$R$19,2,FALSE)*(1-$D$12)^($F41-'הנחות עבודה'!$C$5)/$D$11)/$D$11)</f>
        <v>0</v>
      </c>
      <c r="Y41" s="52">
        <f ca="1">IF(OR($F41&gt;$D$5,$F41&gt;MAX('הנחות עבודה'!$B$69:$B$89)),0,(VLOOKUP($F41,'התפלגות ייצור וסל דלקים'!$B$64:$BV$84,Y$2-$E$2,FALSE))*$D$9*$D$8*(HLOOKUP(Y$23,$G$18:$R$19,2,FALSE)*(1-$D$12)^($F41-'הנחות עבודה'!$C$5)/$D$11)/$D$11)</f>
        <v>1.5286460000000002E-4</v>
      </c>
      <c r="Z41" s="52">
        <f ca="1">IF(OR($F41&gt;$D$5,$F41&gt;MAX('הנחות עבודה'!$B$69:$B$89)),0,(VLOOKUP($F41,'התפלגות ייצור וסל דלקים'!$B$64:$BV$84,Z$2-$E$2,FALSE))*$D$9*$D$8*(HLOOKUP(Z$23,$G$18:$R$19,2,FALSE)*(1-$D$12)^($F41-'הנחות עבודה'!$C$5)/$D$11)/$D$11)</f>
        <v>1.4076835809602713E-3</v>
      </c>
      <c r="AA41" s="52">
        <f ca="1">IF(OR($F41&gt;$D$5,$F41&gt;MAX('הנחות עבודה'!$B$69:$B$89)),0,(VLOOKUP($F41,'התפלגות ייצור וסל דלקים'!$B$64:$BV$84,AA$2-$E$2,FALSE))*$D$9*$D$8*(HLOOKUP(AA$23,$G$18:$R$19,2,FALSE)*(1-$D$12)^($F41-'הנחות עבודה'!$C$5)/$D$11)/$D$11)</f>
        <v>0</v>
      </c>
      <c r="AB41" s="52">
        <f ca="1">IF(OR($F41&gt;$D$5,$F41&gt;MAX('הנחות עבודה'!$B$69:$B$89)),0,(VLOOKUP($F41,'התפלגות ייצור וסל דלקים'!$B$64:$BV$84,AB$2-$E$2,FALSE))*$D$9*$D$8*(HLOOKUP(AB$23,$G$18:$R$19,2,FALSE)*(1-$D$12)^($F41-'הנחות עבודה'!$C$5)/$D$11)/$D$11)</f>
        <v>0</v>
      </c>
      <c r="AC41" s="52">
        <f ca="1">IF(OR($F41&gt;$D$5,$F41&gt;MAX('הנחות עבודה'!$B$69:$B$89)),0,(VLOOKUP($F41,'התפלגות ייצור וסל דלקים'!$B$64:$BV$84,AC$2-$E$2,FALSE))*$D$9*$D$8*(HLOOKUP(AC$23,$G$18:$R$19,2,FALSE)*(1-$D$12)^($F41-'הנחות עבודה'!$C$5)/$D$11)/$D$11)</f>
        <v>0</v>
      </c>
      <c r="AD41" s="52">
        <f ca="1">IF(OR($F41&gt;$D$5,$F41&gt;MAX('הנחות עבודה'!$B$69:$B$89)),0,(VLOOKUP($F41,'התפלגות ייצור וסל דלקים'!$B$64:$BV$84,AD$2-$E$2,FALSE))*$D$9*$D$8*(HLOOKUP(AD$23,$G$18:$R$19,2,FALSE)*(1-$D$12)^($F41-'הנחות עבודה'!$C$5)/$D$11)/$D$11)</f>
        <v>0</v>
      </c>
      <c r="AE41" s="42">
        <f ca="1">IF(OR($F41&gt;$D$5,$F41&gt;MAX('הנחות עבודה'!$B$69:$B$89)),0,(VLOOKUP($F41,'התפלגות ייצור וסל דלקים'!$B$64:$BV$84,AE$2-$E$2,FALSE))*$D$9*$D$8*(HLOOKUP(AE$23,$G$18:$R$19,2,FALSE)*(1-$D$12)^($F41-'הנחות עבודה'!$C$5)/$D$11)/$D$11)</f>
        <v>0</v>
      </c>
      <c r="AF41" s="44">
        <f ca="1">IF(OR($F41&gt;$D$5,$F41&gt;MAX('הנחות עבודה'!$B$69:$B$89)),0,(VLOOKUP($F41,'התפלגות ייצור וסל דלקים'!$B$64:$BV$84,AF$2-$E$2,FALSE))*$D$9*$D$8*(HLOOKUP(AF$23,$G$18:$R$19,2,FALSE)*(1-$D$12)^($F41-'הנחות עבודה'!$C$5)/$D$11)/$D$11)</f>
        <v>0</v>
      </c>
      <c r="AG41" s="44">
        <f ca="1">IF(OR($F41&gt;$D$5,$F41&gt;MAX('הנחות עבודה'!$B$69:$B$89)),0,(VLOOKUP($F41,'התפלגות ייצור וסל דלקים'!$B$64:$BV$84,AG$2-$E$2,FALSE))*$D$9*$D$8*(HLOOKUP(AG$23,$G$18:$R$19,2,FALSE)*(1-$D$12)^($F41-'הנחות עבודה'!$C$5)/$D$11)/$D$11)</f>
        <v>0</v>
      </c>
      <c r="AH41" s="44">
        <f ca="1">IF(OR($F41&gt;$D$5,$F41&gt;MAX('הנחות עבודה'!$B$69:$B$89)),0,(VLOOKUP($F41,'התפלגות ייצור וסל דלקים'!$B$64:$BV$84,AH$2-$E$2,FALSE))*$D$9*$D$8*(HLOOKUP(AH$23,$G$18:$R$19,2,FALSE)*(1-$D$12)^($F41-'הנחות עבודה'!$C$5)/$D$11)/$D$11)</f>
        <v>0</v>
      </c>
      <c r="AI41" s="44">
        <f ca="1">IF(OR($F41&gt;$D$5,$F41&gt;MAX('הנחות עבודה'!$B$69:$B$89)),0,(VLOOKUP($F41,'התפלגות ייצור וסל דלקים'!$B$64:$BV$84,AI$2-$E$2,FALSE))*$D$9*$D$8*(HLOOKUP(AI$23,$G$18:$R$19,2,FALSE)*(1-$D$12)^($F41-'הנחות עבודה'!$C$5)/$D$11)/$D$11)</f>
        <v>0</v>
      </c>
      <c r="AJ41" s="44">
        <f ca="1">IF(OR($F41&gt;$D$5,$F41&gt;MAX('הנחות עבודה'!$B$69:$B$89)),0,(VLOOKUP($F41,'התפלגות ייצור וסל דלקים'!$B$64:$BV$84,AJ$2-$E$2,FALSE))*$D$9*$D$8*(HLOOKUP(AJ$23,$G$18:$R$19,2,FALSE)*(1-$D$12)^($F41-'הנחות עבודה'!$C$5)/$D$11)/$D$11)</f>
        <v>0</v>
      </c>
      <c r="AK41" s="42">
        <f ca="1">IF(OR($F41&gt;$D$5,$F41&gt;MAX('הנחות עבודה'!$B$69:$B$89)),0,(VLOOKUP($F41,'התפלגות ייצור וסל דלקים'!$B$64:$BV$84,AK$2-$E$2,FALSE))*$D$9*$D$8*(HLOOKUP(AK$23,$G$18:$R$19,2,FALSE)*(1-$D$12)^($F41-'הנחות עבודה'!$C$5)/$D$11)/$D$11)</f>
        <v>1.596213E-4</v>
      </c>
      <c r="AL41" s="42">
        <f ca="1">IF(OR($F41&gt;$D$5,$F41&gt;MAX('הנחות עבודה'!$B$69:$B$89)),0,(VLOOKUP($F41,'התפלגות ייצור וסל דלקים'!$B$64:$BV$84,AL$2-$E$2,FALSE))*$D$9*$D$8*(HLOOKUP(AL$23,$G$18:$R$19,2,FALSE)*(1-$D$12)^($F41-'הנחות עבודה'!$C$5)/$D$11)/$D$11)</f>
        <v>1.2774555628518268E-3</v>
      </c>
      <c r="AM41" s="42">
        <f ca="1">IF(OR($F41&gt;$D$5,$F41&gt;MAX('הנחות עבודה'!$B$69:$B$89)),0,(VLOOKUP($F41,'התפלגות ייצור וסל דלקים'!$B$64:$BV$84,AM$2-$E$2,FALSE))*$D$9*$D$8*(HLOOKUP(AM$23,$G$18:$R$19,2,FALSE)*(1-$D$12)^($F41-'הנחות עבודה'!$C$5)/$D$11)/$D$11)</f>
        <v>0</v>
      </c>
      <c r="AN41" s="42">
        <f ca="1">IF(OR($F41&gt;$D$5,$F41&gt;MAX('הנחות עבודה'!$B$69:$B$89)),0,(VLOOKUP($F41,'התפלגות ייצור וסל דלקים'!$B$64:$BV$84,AN$2-$E$2,FALSE))*$D$9*$D$8*(HLOOKUP(AN$23,$G$18:$R$19,2,FALSE)*(1-$D$12)^($F41-'הנחות עבודה'!$C$5)/$D$11)/$D$11)</f>
        <v>0</v>
      </c>
      <c r="AO41" s="42">
        <f ca="1">IF(OR($F41&gt;$D$5,$F41&gt;MAX('הנחות עבודה'!$B$69:$B$89)),0,(VLOOKUP($F41,'התפלגות ייצור וסל דלקים'!$B$64:$BV$84,AO$2-$E$2,FALSE))*$D$9*$D$8*(HLOOKUP(AO$23,$G$18:$R$19,2,FALSE)*(1-$D$12)^($F41-'הנחות עבודה'!$C$5)/$D$11)/$D$11)</f>
        <v>0</v>
      </c>
      <c r="AP41" s="42">
        <f ca="1">IF(OR($F41&gt;$D$5,$F41&gt;MAX('הנחות עבודה'!$B$69:$B$89)),0,(VLOOKUP($F41,'התפלגות ייצור וסל דלקים'!$B$64:$BV$84,AP$2-$E$2,FALSE))*$D$9*$D$8*(HLOOKUP(AP$23,$G$18:$R$19,2,FALSE)*(1-$D$12)^($F41-'הנחות עבודה'!$C$5)/$D$11)/$D$11)</f>
        <v>0</v>
      </c>
      <c r="AQ41" s="52">
        <f ca="1">IF(OR($F41&gt;$D$5,$F41&gt;MAX('הנחות עבודה'!$B$69:$B$89)),0,(VLOOKUP($F41,'התפלגות ייצור וסל דלקים'!$B$64:$BV$84,AQ$2-$E$2,FALSE))*$D$9*$D$8*(HLOOKUP(AQ$23,$G$18:$R$19,2,FALSE)*(1-$D$12)^($F41-'הנחות עבודה'!$C$5)/$D$11)/$D$11)</f>
        <v>0</v>
      </c>
      <c r="AR41" s="127">
        <f ca="1">IF(OR($F41&gt;$D$5,$F41&gt;MAX('הנחות עבודה'!$B$69:$B$89)),0,(VLOOKUP($F41,'התפלגות ייצור וסל דלקים'!$B$64:$BV$84,AR$2-$E$2,FALSE))*$D$9*$D$8*(HLOOKUP(AR$23,$G$18:$R$19,2,FALSE)*(1-$D$12)^($F41-'הנחות עבודה'!$C$5)/$D$11)/$D$11)</f>
        <v>0</v>
      </c>
      <c r="AS41" s="127">
        <f ca="1">IF(OR($F41&gt;$D$5,$F41&gt;MAX('הנחות עבודה'!$B$69:$B$89)),0,(VLOOKUP($F41,'התפלגות ייצור וסל דלקים'!$B$64:$BV$84,AS$2-$E$2,FALSE))*$D$9*$D$8*(HLOOKUP(AS$23,$G$18:$R$19,2,FALSE)*(1-$D$12)^($F41-'הנחות עבודה'!$C$5)/$D$11)/$D$11)</f>
        <v>0</v>
      </c>
      <c r="AT41" s="127">
        <f ca="1">IF(OR($F41&gt;$D$5,$F41&gt;MAX('הנחות עבודה'!$B$69:$B$89)),0,(VLOOKUP($F41,'התפלגות ייצור וסל דלקים'!$B$64:$BV$84,AT$2-$E$2,FALSE))*$D$9*$D$8*(HLOOKUP(AT$23,$G$18:$R$19,2,FALSE)*(1-$D$12)^($F41-'הנחות עבודה'!$C$5)/$D$11)/$D$11)</f>
        <v>0</v>
      </c>
      <c r="AU41" s="127">
        <f ca="1">IF(OR($F41&gt;$D$5,$F41&gt;MAX('הנחות עבודה'!$B$69:$B$89)),0,(VLOOKUP($F41,'התפלגות ייצור וסל דלקים'!$B$64:$BV$84,AU$2-$E$2,FALSE))*$D$9*$D$8*(HLOOKUP(AU$23,$G$18:$R$19,2,FALSE)*(1-$D$12)^($F41-'הנחות עבודה'!$C$5)/$D$11)/$D$11)</f>
        <v>0</v>
      </c>
      <c r="AV41" s="127">
        <f ca="1">IF(OR($F41&gt;$D$5,$F41&gt;MAX('הנחות עבודה'!$B$69:$B$89)),0,(VLOOKUP($F41,'התפלגות ייצור וסל דלקים'!$B$64:$BV$84,AV$2-$E$2,FALSE))*$D$9*$D$8*(HLOOKUP(AV$23,$G$18:$R$19,2,FALSE)*(1-$D$12)^($F41-'הנחות עבודה'!$C$5)/$D$11)/$D$11)</f>
        <v>0</v>
      </c>
      <c r="AW41" s="52">
        <f ca="1">IF(OR($F41&gt;$D$5,$F41&gt;MAX('הנחות עבודה'!$B$69:$B$89)),0,(VLOOKUP($F41,'התפלגות ייצור וסל דלקים'!$B$64:$BV$84,AW$2-$E$2,FALSE))*$D$9*$D$8*(HLOOKUP(AW$23,$G$18:$R$19,2,FALSE)*(1-$D$12)^($F41-'הנחות עבודה'!$C$5)/$D$11)/$D$11)</f>
        <v>1.596213E-4</v>
      </c>
      <c r="AX41" s="52">
        <f ca="1">IF(OR($F41&gt;$D$5,$F41&gt;MAX('הנחות עבודה'!$B$69:$B$89)),0,(VLOOKUP($F41,'התפלגות ייצור וסל דלקים'!$B$64:$BV$84,AX$2-$E$2,FALSE))*$D$9*$D$8*(HLOOKUP(AX$23,$G$18:$R$19,2,FALSE)*(1-$D$12)^($F41-'הנחות עבודה'!$C$5)/$D$11)/$D$11)</f>
        <v>1.2774555628518268E-3</v>
      </c>
      <c r="AY41" s="52">
        <f ca="1">IF(OR($F41&gt;$D$5,$F41&gt;MAX('הנחות עבודה'!$B$69:$B$89)),0,(VLOOKUP($F41,'התפלגות ייצור וסל דלקים'!$B$64:$BV$84,AY$2-$E$2,FALSE))*$D$9*$D$8*(HLOOKUP(AY$23,$G$18:$R$19,2,FALSE)*(1-$D$12)^($F41-'הנחות עבודה'!$C$5)/$D$11)/$D$11)</f>
        <v>0</v>
      </c>
      <c r="AZ41" s="52">
        <f ca="1">IF(OR($F41&gt;$D$5,$F41&gt;MAX('הנחות עבודה'!$B$69:$B$89)),0,(VLOOKUP($F41,'התפלגות ייצור וסל דלקים'!$B$64:$BV$84,AZ$2-$E$2,FALSE))*$D$9*$D$8*(HLOOKUP(AZ$23,$G$18:$R$19,2,FALSE)*(1-$D$12)^($F41-'הנחות עבודה'!$C$5)/$D$11)/$D$11)</f>
        <v>0</v>
      </c>
      <c r="BA41" s="52">
        <f ca="1">IF(OR($F41&gt;$D$5,$F41&gt;MAX('הנחות עבודה'!$B$69:$B$89)),0,(VLOOKUP($F41,'התפלגות ייצור וסל דלקים'!$B$64:$BV$84,BA$2-$E$2,FALSE))*$D$9*$D$8*(HLOOKUP(BA$23,$G$18:$R$19,2,FALSE)*(1-$D$12)^($F41-'הנחות עבודה'!$C$5)/$D$11)/$D$11)</f>
        <v>0</v>
      </c>
      <c r="BB41" s="52">
        <f ca="1">IF(OR($F41&gt;$D$5,$F41&gt;MAX('הנחות עבודה'!$B$69:$B$89)),0,(VLOOKUP($F41,'התפלגות ייצור וסל דלקים'!$B$64:$BV$84,BB$2-$E$2,FALSE))*$D$9*$D$8*(HLOOKUP(BB$23,$G$18:$R$19,2,FALSE)*(1-$D$12)^($F41-'הנחות עבודה'!$C$5)/$D$11)/$D$11)</f>
        <v>0</v>
      </c>
      <c r="BC41" s="42">
        <f ca="1">IF(OR($F41&gt;$D$5,$F41&gt;MAX('הנחות עבודה'!$B$69:$B$89)),0,(VLOOKUP($F41,'התפלגות ייצור וסל דלקים'!$B$64:$BV$84,BC$2-$E$2,FALSE))*$D$9*$D$8*(HLOOKUP(BC$23,$G$18:$R$19,2,FALSE)*(1-$D$12)^($F41-'הנחות עבודה'!$C$5)/$D$11)/$D$11)</f>
        <v>0</v>
      </c>
      <c r="BD41" s="44">
        <f ca="1">IF(OR($F41&gt;$D$5,$F41&gt;MAX('הנחות עבודה'!$B$69:$B$89)),0,(VLOOKUP($F41,'התפלגות ייצור וסל דלקים'!$B$64:$BV$84,BD$2-$E$2,FALSE))*$D$9*$D$8*(HLOOKUP(BD$23,$G$18:$R$19,2,FALSE)*(1-$D$12)^($F41-'הנחות עבודה'!$C$5)/$D$11)/$D$11)</f>
        <v>0</v>
      </c>
      <c r="BE41" s="44">
        <f ca="1">IF(OR($F41&gt;$D$5,$F41&gt;MAX('הנחות עבודה'!$B$69:$B$89)),0,(VLOOKUP($F41,'התפלגות ייצור וסל דלקים'!$B$64:$BV$84,BE$2-$E$2,FALSE))*$D$9*$D$8*(HLOOKUP(BE$23,$G$18:$R$19,2,FALSE)*(1-$D$12)^($F41-'הנחות עבודה'!$C$5)/$D$11)/$D$11)</f>
        <v>0</v>
      </c>
      <c r="BF41" s="44">
        <f ca="1">IF(OR($F41&gt;$D$5,$F41&gt;MAX('הנחות עבודה'!$B$69:$B$89)),0,(VLOOKUP($F41,'התפלגות ייצור וסל דלקים'!$B$64:$BV$84,BF$2-$E$2,FALSE))*$D$9*$D$8*(HLOOKUP(BF$23,$G$18:$R$19,2,FALSE)*(1-$D$12)^($F41-'הנחות עבודה'!$C$5)/$D$11)/$D$11)</f>
        <v>0</v>
      </c>
      <c r="BG41" s="44">
        <f ca="1">IF(OR($F41&gt;$D$5,$F41&gt;MAX('הנחות עבודה'!$B$69:$B$89)),0,(VLOOKUP($F41,'התפלגות ייצור וסל דלקים'!$B$64:$BV$84,BG$2-$E$2,FALSE))*$D$9*$D$8*(HLOOKUP(BG$23,$G$18:$R$19,2,FALSE)*(1-$D$12)^($F41-'הנחות עבודה'!$C$5)/$D$11)/$D$11)</f>
        <v>0</v>
      </c>
      <c r="BH41" s="44">
        <f ca="1">IF(OR($F41&gt;$D$5,$F41&gt;MAX('הנחות עבודה'!$B$69:$B$89)),0,(VLOOKUP($F41,'התפלגות ייצור וסל דלקים'!$B$64:$BV$84,BH$2-$E$2,FALSE))*$D$9*$D$8*(HLOOKUP(BH$23,$G$18:$R$19,2,FALSE)*(1-$D$12)^($F41-'הנחות עבודה'!$C$5)/$D$11)/$D$11)</f>
        <v>0</v>
      </c>
      <c r="BI41" s="42">
        <f ca="1">IF(OR($F41&gt;$D$5,$F41&gt;MAX('הנחות עבודה'!$B$69:$B$89)),0,(VLOOKUP($F41,'התפלגות ייצור וסל דלקים'!$B$64:$BV$84,BI$2-$E$2,FALSE))*$D$9*$D$8*(HLOOKUP(BI$23,$G$18:$R$19,2,FALSE)*(1-$D$12)^($F41-'הנחות עבודה'!$C$5)/$D$11)/$D$11)</f>
        <v>1.6283000000000001E-4</v>
      </c>
      <c r="BJ41" s="42">
        <f ca="1">IF(OR($F41&gt;$D$5,$F41&gt;MAX('הנחות עבודה'!$B$69:$B$89)),0,(VLOOKUP($F41,'התפלגות ייצור וסל דלקים'!$B$64:$BV$84,BJ$2-$E$2,FALSE))*$D$9*$D$8*(HLOOKUP(BJ$23,$G$18:$R$19,2,FALSE)*(1-$D$12)^($F41-'הנחות עבודה'!$C$5)/$D$11)/$D$11)</f>
        <v>1.1978278315340489E-3</v>
      </c>
      <c r="BK41" s="42">
        <f ca="1">IF(OR($F41&gt;$D$5,$F41&gt;MAX('הנחות עבודה'!$B$69:$B$89)),0,(VLOOKUP($F41,'התפלגות ייצור וסל דלקים'!$B$64:$BV$84,BK$2-$E$2,FALSE))*$D$9*$D$8*(HLOOKUP(BK$23,$G$18:$R$19,2,FALSE)*(1-$D$12)^($F41-'הנחות עבודה'!$C$5)/$D$11)/$D$11)</f>
        <v>0</v>
      </c>
      <c r="BL41" s="42">
        <f ca="1">IF(OR($F41&gt;$D$5,$F41&gt;MAX('הנחות עבודה'!$B$69:$B$89)),0,(VLOOKUP($F41,'התפלגות ייצור וסל דלקים'!$B$64:$BV$84,BL$2-$E$2,FALSE))*$D$9*$D$8*(HLOOKUP(BL$23,$G$18:$R$19,2,FALSE)*(1-$D$12)^($F41-'הנחות עבודה'!$C$5)/$D$11)/$D$11)</f>
        <v>0</v>
      </c>
      <c r="BM41" s="42">
        <f ca="1">IF(OR($F41&gt;$D$5,$F41&gt;MAX('הנחות עבודה'!$B$69:$B$89)),0,(VLOOKUP($F41,'התפלגות ייצור וסל דלקים'!$B$64:$BV$84,BM$2-$E$2,FALSE))*$D$9*$D$8*(HLOOKUP(BM$23,$G$18:$R$19,2,FALSE)*(1-$D$12)^($F41-'הנחות עבודה'!$C$5)/$D$11)/$D$11)</f>
        <v>0</v>
      </c>
      <c r="BN41" s="42">
        <f ca="1">IF(OR($F41&gt;$D$5,$F41&gt;MAX('הנחות עבודה'!$B$69:$B$89)),0,(VLOOKUP($F41,'התפלגות ייצור וסל דלקים'!$B$64:$BV$84,BN$2-$E$2,FALSE))*$D$9*$D$8*(HLOOKUP(BN$23,$G$18:$R$19,2,FALSE)*(1-$D$12)^($F41-'הנחות עבודה'!$C$5)/$D$11)/$D$11)</f>
        <v>0</v>
      </c>
      <c r="BO41" s="52">
        <f ca="1">IF(OR($F41&gt;$D$5,$F41&gt;MAX('הנחות עבודה'!$B$69:$B$89)),0,(VLOOKUP($F41,'התפלגות ייצור וסל דלקים'!$B$64:$BV$84,BO$2-$E$2,FALSE))*$D$9*$D$8*(HLOOKUP(BO$23,$G$18:$R$19,2,FALSE)*(1-$D$12)^($F41-'הנחות עבודה'!$C$5)/$D$11)/$D$11)</f>
        <v>0</v>
      </c>
      <c r="BP41" s="127">
        <f ca="1">IF(OR($F41&gt;$D$5,$F41&gt;MAX('הנחות עבודה'!$B$69:$B$89)),0,(VLOOKUP($F41,'התפלגות ייצור וסל דלקים'!$B$64:$BV$84,BP$2-$E$2,FALSE))*$D$9*$D$8*(HLOOKUP(BP$23,$G$18:$R$19,2,FALSE)*(1-$D$12)^($F41-'הנחות עבודה'!$C$5)/$D$11)/$D$11)</f>
        <v>0</v>
      </c>
      <c r="BQ41" s="127">
        <f ca="1">IF(OR($F41&gt;$D$5,$F41&gt;MAX('הנחות עבודה'!$B$69:$B$89)),0,(VLOOKUP($F41,'התפלגות ייצור וסל דלקים'!$B$64:$BV$84,BQ$2-$E$2,FALSE))*$D$9*$D$8*(HLOOKUP(BQ$23,$G$18:$R$19,2,FALSE)*(1-$D$12)^($F41-'הנחות עבודה'!$C$5)/$D$11)/$D$11)</f>
        <v>0</v>
      </c>
      <c r="BR41" s="127">
        <f ca="1">IF(OR($F41&gt;$D$5,$F41&gt;MAX('הנחות עבודה'!$B$69:$B$89)),0,(VLOOKUP($F41,'התפלגות ייצור וסל דלקים'!$B$64:$BV$84,BR$2-$E$2,FALSE))*$D$9*$D$8*(HLOOKUP(BR$23,$G$18:$R$19,2,FALSE)*(1-$D$12)^($F41-'הנחות עבודה'!$C$5)/$D$11)/$D$11)</f>
        <v>0</v>
      </c>
      <c r="BS41" s="127">
        <f ca="1">IF(OR($F41&gt;$D$5,$F41&gt;MAX('הנחות עבודה'!$B$69:$B$89)),0,(VLOOKUP($F41,'התפלגות ייצור וסל דלקים'!$B$64:$BV$84,BS$2-$E$2,FALSE))*$D$9*$D$8*(HLOOKUP(BS$23,$G$18:$R$19,2,FALSE)*(1-$D$12)^($F41-'הנחות עבודה'!$C$5)/$D$11)/$D$11)</f>
        <v>0</v>
      </c>
      <c r="BT41" s="127">
        <f ca="1">IF(OR($F41&gt;$D$5,$F41&gt;MAX('הנחות עבודה'!$B$69:$B$89)),0,(VLOOKUP($F41,'התפלגות ייצור וסל דלקים'!$B$64:$BV$84,BT$2-$E$2,FALSE))*$D$9*$D$8*(HLOOKUP(BT$23,$G$18:$R$19,2,FALSE)*(1-$D$12)^($F41-'הנחות עבודה'!$C$5)/$D$11)/$D$11)</f>
        <v>0</v>
      </c>
      <c r="BU41" s="52">
        <f ca="1">IF(OR($F41&gt;$D$5,$F41&gt;MAX('הנחות עבודה'!$B$69:$B$89)),0,(VLOOKUP($F41,'התפלגות ייצור וסל דלקים'!$B$64:$BV$84,BU$2-$E$2,FALSE))*$D$9*$D$8*(HLOOKUP(BU$23,$G$18:$R$19,2,FALSE)*(1-$D$12)^($F41-'הנחות עבודה'!$C$5)/$D$11)/$D$11)</f>
        <v>1.6283000000000001E-4</v>
      </c>
      <c r="BV41" s="52">
        <f ca="1">IF(OR($F41&gt;$D$5,$F41&gt;MAX('הנחות עבודה'!$B$69:$B$89)),0,(VLOOKUP($F41,'התפלגות ייצור וסל דלקים'!$B$64:$BV$84,BV$2-$E$2,FALSE))*$D$9*$D$8*(HLOOKUP(BV$23,$G$18:$R$19,2,FALSE)*(1-$D$12)^($F41-'הנחות עבודה'!$C$5)/$D$11)/$D$11)</f>
        <v>1.1978278315340489E-3</v>
      </c>
      <c r="BW41" s="52">
        <f ca="1">IF(OR($F41&gt;$D$5,$F41&gt;MAX('הנחות עבודה'!$B$69:$B$89)),0,(VLOOKUP($F41,'התפלגות ייצור וסל דלקים'!$B$64:$BV$84,BW$2-$E$2,FALSE))*$D$9*$D$8*(HLOOKUP(BW$23,$G$18:$R$19,2,FALSE)*(1-$D$12)^($F41-'הנחות עבודה'!$C$5)/$D$11)/$D$11)</f>
        <v>0</v>
      </c>
      <c r="BX41" s="52">
        <f ca="1">IF(OR($F41&gt;$D$5,$F41&gt;MAX('הנחות עבודה'!$B$69:$B$89)),0,(VLOOKUP($F41,'התפלגות ייצור וסל דלקים'!$B$64:$BV$84,BX$2-$E$2,FALSE))*$D$9*$D$8*(HLOOKUP(BX$23,$G$18:$R$19,2,FALSE)*(1-$D$12)^($F41-'הנחות עבודה'!$C$5)/$D$11)/$D$11)</f>
        <v>0</v>
      </c>
      <c r="BY41" s="52">
        <f ca="1">IF(OR($F41&gt;$D$5,$F41&gt;MAX('הנחות עבודה'!$B$69:$B$89)),0,(VLOOKUP($F41,'התפלגות ייצור וסל דלקים'!$B$64:$BV$84,BY$2-$E$2,FALSE))*$D$9*$D$8*(HLOOKUP(BY$23,$G$18:$R$19,2,FALSE)*(1-$D$12)^($F41-'הנחות עבודה'!$C$5)/$D$11)/$D$11)</f>
        <v>0</v>
      </c>
      <c r="BZ41" s="52">
        <f ca="1">IF(OR($F41&gt;$D$5,$F41&gt;MAX('הנחות עבודה'!$B$69:$B$89)),0,(VLOOKUP($F41,'התפלגות ייצור וסל דלקים'!$B$64:$BV$84,BZ$2-$E$2,FALSE))*$D$9*$D$8*(HLOOKUP(BZ$23,$G$18:$R$19,2,FALSE)*(1-$D$12)^($F41-'הנחות עבודה'!$C$5)/$D$11)/$D$11)</f>
        <v>0</v>
      </c>
    </row>
    <row r="42" spans="6:78" ht="15.75">
      <c r="F42" s="10">
        <f t="shared" si="114"/>
        <v>2038</v>
      </c>
      <c r="G42" s="42">
        <f ca="1">IF(OR($F42&gt;$D$5,$F42&gt;MAX('הנחות עבודה'!$B$69:$B$89)),0,(VLOOKUP($F42,'התפלגות ייצור וסל דלקים'!$B$64:$BV$84,G$2-$E$2,FALSE))*$D$9*$D$8*(HLOOKUP(G$23,$G$18:$R$19,2,FALSE)*(1-$D$12)^($F42-'הנחות עבודה'!$C$5)/$D$11)/$D$11)</f>
        <v>0</v>
      </c>
      <c r="H42" s="44">
        <f ca="1">IF(OR($F42&gt;$D$5,$F42&gt;MAX('הנחות עבודה'!$B$69:$B$89)),0,(VLOOKUP($F42,'התפלגות ייצור וסל דלקים'!$B$64:$BV$84,H$2-$E$2,FALSE))*$D$9*$D$8*(HLOOKUP(H$23,$G$18:$R$19,2,FALSE)*(1-$D$12)^($F42-'הנחות עבודה'!$C$5)/$D$11)/$D$11)</f>
        <v>0</v>
      </c>
      <c r="I42" s="44">
        <f ca="1">IF(OR($F42&gt;$D$5,$F42&gt;MAX('הנחות עבודה'!$B$69:$B$89)),0,(VLOOKUP($F42,'התפלגות ייצור וסל דלקים'!$B$64:$BV$84,I$2-$E$2,FALSE))*$D$9*$D$8*(HLOOKUP(I$23,$G$18:$R$19,2,FALSE)*(1-$D$12)^($F42-'הנחות עבודה'!$C$5)/$D$11)/$D$11)</f>
        <v>0</v>
      </c>
      <c r="J42" s="44">
        <f ca="1">IF(OR($F42&gt;$D$5,$F42&gt;MAX('הנחות עבודה'!$B$69:$B$89)),0,(VLOOKUP($F42,'התפלגות ייצור וסל דלקים'!$B$64:$BV$84,J$2-$E$2,FALSE))*$D$9*$D$8*(HLOOKUP(J$23,$G$18:$R$19,2,FALSE)*(1-$D$12)^($F42-'הנחות עבודה'!$C$5)/$D$11)/$D$11)</f>
        <v>0</v>
      </c>
      <c r="K42" s="44">
        <f ca="1">IF(OR($F42&gt;$D$5,$F42&gt;MAX('הנחות עבודה'!$B$69:$B$89)),0,(VLOOKUP($F42,'התפלגות ייצור וסל דלקים'!$B$64:$BV$84,K$2-$E$2,FALSE))*$D$9*$D$8*(HLOOKUP(K$23,$G$18:$R$19,2,FALSE)*(1-$D$12)^($F42-'הנחות עבודה'!$C$5)/$D$11)/$D$11)</f>
        <v>0</v>
      </c>
      <c r="L42" s="44">
        <f ca="1">IF(OR($F42&gt;$D$5,$F42&gt;MAX('הנחות עבודה'!$B$69:$B$89)),0,(VLOOKUP($F42,'התפלגות ייצור וסל דלקים'!$B$64:$BV$84,L$2-$E$2,FALSE))*$D$9*$D$8*(HLOOKUP(L$23,$G$18:$R$19,2,FALSE)*(1-$D$12)^($F42-'הנחות עבודה'!$C$5)/$D$11)/$D$11)</f>
        <v>0</v>
      </c>
      <c r="M42" s="42">
        <f ca="1">IF(OR($F42&gt;$D$5,$F42&gt;MAX('הנחות עבודה'!$B$69:$B$89)),0,(VLOOKUP($F42,'התפלגות ייצור וסל דלקים'!$B$64:$BV$84,M$2-$E$2,FALSE))*$D$9*$D$8*(HLOOKUP(M$23,$G$18:$R$19,2,FALSE)*(1-$D$12)^($F42-'הנחות עבודה'!$C$5)/$D$11)/$D$11)</f>
        <v>1.5454160000000002E-4</v>
      </c>
      <c r="N42" s="42">
        <f ca="1">IF(OR($F42&gt;$D$5,$F42&gt;MAX('הנחות עבודה'!$B$69:$B$89)),0,(VLOOKUP($F42,'התפלגות ייצור וסל דלקים'!$B$64:$BV$84,N$2-$E$2,FALSE))*$D$9*$D$8*(HLOOKUP(N$23,$G$18:$R$19,2,FALSE)*(1-$D$12)^($F42-'הנחות עבודה'!$C$5)/$D$11)/$D$11)</f>
        <v>1.4636970178530456E-3</v>
      </c>
      <c r="O42" s="42">
        <f ca="1">IF(OR($F42&gt;$D$5,$F42&gt;MAX('הנחות עבודה'!$B$69:$B$89)),0,(VLOOKUP($F42,'התפלגות ייצור וסל דלקים'!$B$64:$BV$84,O$2-$E$2,FALSE))*$D$9*$D$8*(HLOOKUP(O$23,$G$18:$R$19,2,FALSE)*(1-$D$12)^($F42-'הנחות עבודה'!$C$5)/$D$11)/$D$11)</f>
        <v>0</v>
      </c>
      <c r="P42" s="42">
        <f ca="1">IF(OR($F42&gt;$D$5,$F42&gt;MAX('הנחות עבודה'!$B$69:$B$89)),0,(VLOOKUP($F42,'התפלגות ייצור וסל דלקים'!$B$64:$BV$84,P$2-$E$2,FALSE))*$D$9*$D$8*(HLOOKUP(P$23,$G$18:$R$19,2,FALSE)*(1-$D$12)^($F42-'הנחות עבודה'!$C$5)/$D$11)/$D$11)</f>
        <v>0</v>
      </c>
      <c r="Q42" s="42">
        <f ca="1">IF(OR($F42&gt;$D$5,$F42&gt;MAX('הנחות עבודה'!$B$69:$B$89)),0,(VLOOKUP($F42,'התפלגות ייצור וסל דלקים'!$B$64:$BV$84,Q$2-$E$2,FALSE))*$D$9*$D$8*(HLOOKUP(Q$23,$G$18:$R$19,2,FALSE)*(1-$D$12)^($F42-'הנחות עבודה'!$C$5)/$D$11)/$D$11)</f>
        <v>0</v>
      </c>
      <c r="R42" s="42">
        <f ca="1">IF(OR($F42&gt;$D$5,$F42&gt;MAX('הנחות עבודה'!$B$69:$B$89)),0,(VLOOKUP($F42,'התפלגות ייצור וסל דלקים'!$B$64:$BV$84,R$2-$E$2,FALSE))*$D$9*$D$8*(HLOOKUP(R$23,$G$18:$R$19,2,FALSE)*(1-$D$12)^($F42-'הנחות עבודה'!$C$5)/$D$11)/$D$11)</f>
        <v>0</v>
      </c>
      <c r="S42" s="52">
        <f ca="1">IF(OR($F42&gt;$D$5,$F42&gt;MAX('הנחות עבודה'!$B$69:$B$89)),0,(VLOOKUP($F42,'התפלגות ייצור וסל דלקים'!$B$64:$BV$84,S$2-$E$2,FALSE))*$D$9*$D$8*(HLOOKUP(S$23,$G$18:$R$19,2,FALSE)*(1-$D$12)^($F42-'הנחות עבודה'!$C$5)/$D$11)/$D$11)</f>
        <v>0</v>
      </c>
      <c r="T42" s="127">
        <f ca="1">IF(OR($F42&gt;$D$5,$F42&gt;MAX('הנחות עבודה'!$B$69:$B$89)),0,(VLOOKUP($F42,'התפלגות ייצור וסל דלקים'!$B$64:$BV$84,T$2-$E$2,FALSE))*$D$9*$D$8*(HLOOKUP(T$23,$G$18:$R$19,2,FALSE)*(1-$D$12)^($F42-'הנחות עבודה'!$C$5)/$D$11)/$D$11)</f>
        <v>0</v>
      </c>
      <c r="U42" s="127">
        <f ca="1">IF(OR($F42&gt;$D$5,$F42&gt;MAX('הנחות עבודה'!$B$69:$B$89)),0,(VLOOKUP($F42,'התפלגות ייצור וסל דלקים'!$B$64:$BV$84,U$2-$E$2,FALSE))*$D$9*$D$8*(HLOOKUP(U$23,$G$18:$R$19,2,FALSE)*(1-$D$12)^($F42-'הנחות עבודה'!$C$5)/$D$11)/$D$11)</f>
        <v>0</v>
      </c>
      <c r="V42" s="127">
        <f ca="1">IF(OR($F42&gt;$D$5,$F42&gt;MAX('הנחות עבודה'!$B$69:$B$89)),0,(VLOOKUP($F42,'התפלגות ייצור וסל דלקים'!$B$64:$BV$84,V$2-$E$2,FALSE))*$D$9*$D$8*(HLOOKUP(V$23,$G$18:$R$19,2,FALSE)*(1-$D$12)^($F42-'הנחות עבודה'!$C$5)/$D$11)/$D$11)</f>
        <v>0</v>
      </c>
      <c r="W42" s="127">
        <f ca="1">IF(OR($F42&gt;$D$5,$F42&gt;MAX('הנחות עבודה'!$B$69:$B$89)),0,(VLOOKUP($F42,'התפלגות ייצור וסל דלקים'!$B$64:$BV$84,W$2-$E$2,FALSE))*$D$9*$D$8*(HLOOKUP(W$23,$G$18:$R$19,2,FALSE)*(1-$D$12)^($F42-'הנחות עבודה'!$C$5)/$D$11)/$D$11)</f>
        <v>0</v>
      </c>
      <c r="X42" s="127">
        <f ca="1">IF(OR($F42&gt;$D$5,$F42&gt;MAX('הנחות עבודה'!$B$69:$B$89)),0,(VLOOKUP($F42,'התפלגות ייצור וסל דלקים'!$B$64:$BV$84,X$2-$E$2,FALSE))*$D$9*$D$8*(HLOOKUP(X$23,$G$18:$R$19,2,FALSE)*(1-$D$12)^($F42-'הנחות עבודה'!$C$5)/$D$11)/$D$11)</f>
        <v>0</v>
      </c>
      <c r="Y42" s="52">
        <f ca="1">IF(OR($F42&gt;$D$5,$F42&gt;MAX('הנחות עבודה'!$B$69:$B$89)),0,(VLOOKUP($F42,'התפלגות ייצור וסל דלקים'!$B$64:$BV$84,Y$2-$E$2,FALSE))*$D$9*$D$8*(HLOOKUP(Y$23,$G$18:$R$19,2,FALSE)*(1-$D$12)^($F42-'הנחות עבודה'!$C$5)/$D$11)/$D$11)</f>
        <v>1.5454160000000002E-4</v>
      </c>
      <c r="Z42" s="52">
        <f ca="1">IF(OR($F42&gt;$D$5,$F42&gt;MAX('הנחות עבודה'!$B$69:$B$89)),0,(VLOOKUP($F42,'התפלגות ייצור וסל דלקים'!$B$64:$BV$84,Z$2-$E$2,FALSE))*$D$9*$D$8*(HLOOKUP(Z$23,$G$18:$R$19,2,FALSE)*(1-$D$12)^($F42-'הנחות עבודה'!$C$5)/$D$11)/$D$11)</f>
        <v>1.4636970178530456E-3</v>
      </c>
      <c r="AA42" s="52">
        <f ca="1">IF(OR($F42&gt;$D$5,$F42&gt;MAX('הנחות עבודה'!$B$69:$B$89)),0,(VLOOKUP($F42,'התפלגות ייצור וסל דלקים'!$B$64:$BV$84,AA$2-$E$2,FALSE))*$D$9*$D$8*(HLOOKUP(AA$23,$G$18:$R$19,2,FALSE)*(1-$D$12)^($F42-'הנחות עבודה'!$C$5)/$D$11)/$D$11)</f>
        <v>0</v>
      </c>
      <c r="AB42" s="52">
        <f ca="1">IF(OR($F42&gt;$D$5,$F42&gt;MAX('הנחות עבודה'!$B$69:$B$89)),0,(VLOOKUP($F42,'התפלגות ייצור וסל דלקים'!$B$64:$BV$84,AB$2-$E$2,FALSE))*$D$9*$D$8*(HLOOKUP(AB$23,$G$18:$R$19,2,FALSE)*(1-$D$12)^($F42-'הנחות עבודה'!$C$5)/$D$11)/$D$11)</f>
        <v>0</v>
      </c>
      <c r="AC42" s="52">
        <f ca="1">IF(OR($F42&gt;$D$5,$F42&gt;MAX('הנחות עבודה'!$B$69:$B$89)),0,(VLOOKUP($F42,'התפלגות ייצור וסל דלקים'!$B$64:$BV$84,AC$2-$E$2,FALSE))*$D$9*$D$8*(HLOOKUP(AC$23,$G$18:$R$19,2,FALSE)*(1-$D$12)^($F42-'הנחות עבודה'!$C$5)/$D$11)/$D$11)</f>
        <v>0</v>
      </c>
      <c r="AD42" s="52">
        <f ca="1">IF(OR($F42&gt;$D$5,$F42&gt;MAX('הנחות עבודה'!$B$69:$B$89)),0,(VLOOKUP($F42,'התפלגות ייצור וסל דלקים'!$B$64:$BV$84,AD$2-$E$2,FALSE))*$D$9*$D$8*(HLOOKUP(AD$23,$G$18:$R$19,2,FALSE)*(1-$D$12)^($F42-'הנחות עבודה'!$C$5)/$D$11)/$D$11)</f>
        <v>0</v>
      </c>
      <c r="AE42" s="42">
        <f ca="1">IF(OR($F42&gt;$D$5,$F42&gt;MAX('הנחות עבודה'!$B$69:$B$89)),0,(VLOOKUP($F42,'התפלגות ייצור וסל דלקים'!$B$64:$BV$84,AE$2-$E$2,FALSE))*$D$9*$D$8*(HLOOKUP(AE$23,$G$18:$R$19,2,FALSE)*(1-$D$12)^($F42-'הנחות עבודה'!$C$5)/$D$11)/$D$11)</f>
        <v>0</v>
      </c>
      <c r="AF42" s="44">
        <f ca="1">IF(OR($F42&gt;$D$5,$F42&gt;MAX('הנחות עבודה'!$B$69:$B$89)),0,(VLOOKUP($F42,'התפלגות ייצור וסל דלקים'!$B$64:$BV$84,AF$2-$E$2,FALSE))*$D$9*$D$8*(HLOOKUP(AF$23,$G$18:$R$19,2,FALSE)*(1-$D$12)^($F42-'הנחות עבודה'!$C$5)/$D$11)/$D$11)</f>
        <v>0</v>
      </c>
      <c r="AG42" s="44">
        <f ca="1">IF(OR($F42&gt;$D$5,$F42&gt;MAX('הנחות עבודה'!$B$69:$B$89)),0,(VLOOKUP($F42,'התפלגות ייצור וסל דלקים'!$B$64:$BV$84,AG$2-$E$2,FALSE))*$D$9*$D$8*(HLOOKUP(AG$23,$G$18:$R$19,2,FALSE)*(1-$D$12)^($F42-'הנחות עבודה'!$C$5)/$D$11)/$D$11)</f>
        <v>0</v>
      </c>
      <c r="AH42" s="44">
        <f ca="1">IF(OR($F42&gt;$D$5,$F42&gt;MAX('הנחות עבודה'!$B$69:$B$89)),0,(VLOOKUP($F42,'התפלגות ייצור וסל דלקים'!$B$64:$BV$84,AH$2-$E$2,FALSE))*$D$9*$D$8*(HLOOKUP(AH$23,$G$18:$R$19,2,FALSE)*(1-$D$12)^($F42-'הנחות עבודה'!$C$5)/$D$11)/$D$11)</f>
        <v>0</v>
      </c>
      <c r="AI42" s="44">
        <f ca="1">IF(OR($F42&gt;$D$5,$F42&gt;MAX('הנחות עבודה'!$B$69:$B$89)),0,(VLOOKUP($F42,'התפלגות ייצור וסל דלקים'!$B$64:$BV$84,AI$2-$E$2,FALSE))*$D$9*$D$8*(HLOOKUP(AI$23,$G$18:$R$19,2,FALSE)*(1-$D$12)^($F42-'הנחות עבודה'!$C$5)/$D$11)/$D$11)</f>
        <v>0</v>
      </c>
      <c r="AJ42" s="44">
        <f ca="1">IF(OR($F42&gt;$D$5,$F42&gt;MAX('הנחות עבודה'!$B$69:$B$89)),0,(VLOOKUP($F42,'התפלגות ייצור וסל דלקים'!$B$64:$BV$84,AJ$2-$E$2,FALSE))*$D$9*$D$8*(HLOOKUP(AJ$23,$G$18:$R$19,2,FALSE)*(1-$D$12)^($F42-'הנחות עבודה'!$C$5)/$D$11)/$D$11)</f>
        <v>0</v>
      </c>
      <c r="AK42" s="42">
        <f ca="1">IF(OR($F42&gt;$D$5,$F42&gt;MAX('הנחות עבודה'!$B$69:$B$89)),0,(VLOOKUP($F42,'התפלגות ייצור וסל דלקים'!$B$64:$BV$84,AK$2-$E$2,FALSE))*$D$9*$D$8*(HLOOKUP(AK$23,$G$18:$R$19,2,FALSE)*(1-$D$12)^($F42-'הנחות עבודה'!$C$5)/$D$11)/$D$11)</f>
        <v>1.6158000000000001E-4</v>
      </c>
      <c r="AL42" s="42">
        <f ca="1">IF(OR($F42&gt;$D$5,$F42&gt;MAX('הנחות עבודה'!$B$69:$B$89)),0,(VLOOKUP($F42,'התפלגות ייצור וסל דלקים'!$B$64:$BV$84,AL$2-$E$2,FALSE))*$D$9*$D$8*(HLOOKUP(AL$23,$G$18:$R$19,2,FALSE)*(1-$D$12)^($F42-'הנחות עבודה'!$C$5)/$D$11)/$D$11)</f>
        <v>1.3337366356932518E-3</v>
      </c>
      <c r="AM42" s="42">
        <f ca="1">IF(OR($F42&gt;$D$5,$F42&gt;MAX('הנחות עבודה'!$B$69:$B$89)),0,(VLOOKUP($F42,'התפלגות ייצור וסל דלקים'!$B$64:$BV$84,AM$2-$E$2,FALSE))*$D$9*$D$8*(HLOOKUP(AM$23,$G$18:$R$19,2,FALSE)*(1-$D$12)^($F42-'הנחות עבודה'!$C$5)/$D$11)/$D$11)</f>
        <v>0</v>
      </c>
      <c r="AN42" s="42">
        <f ca="1">IF(OR($F42&gt;$D$5,$F42&gt;MAX('הנחות עבודה'!$B$69:$B$89)),0,(VLOOKUP($F42,'התפלגות ייצור וסל דלקים'!$B$64:$BV$84,AN$2-$E$2,FALSE))*$D$9*$D$8*(HLOOKUP(AN$23,$G$18:$R$19,2,FALSE)*(1-$D$12)^($F42-'הנחות עבודה'!$C$5)/$D$11)/$D$11)</f>
        <v>0</v>
      </c>
      <c r="AO42" s="42">
        <f ca="1">IF(OR($F42&gt;$D$5,$F42&gt;MAX('הנחות עבודה'!$B$69:$B$89)),0,(VLOOKUP($F42,'התפלגות ייצור וסל דלקים'!$B$64:$BV$84,AO$2-$E$2,FALSE))*$D$9*$D$8*(HLOOKUP(AO$23,$G$18:$R$19,2,FALSE)*(1-$D$12)^($F42-'הנחות עבודה'!$C$5)/$D$11)/$D$11)</f>
        <v>0</v>
      </c>
      <c r="AP42" s="42">
        <f ca="1">IF(OR($F42&gt;$D$5,$F42&gt;MAX('הנחות עבודה'!$B$69:$B$89)),0,(VLOOKUP($F42,'התפלגות ייצור וסל דלקים'!$B$64:$BV$84,AP$2-$E$2,FALSE))*$D$9*$D$8*(HLOOKUP(AP$23,$G$18:$R$19,2,FALSE)*(1-$D$12)^($F42-'הנחות עבודה'!$C$5)/$D$11)/$D$11)</f>
        <v>0</v>
      </c>
      <c r="AQ42" s="52">
        <f ca="1">IF(OR($F42&gt;$D$5,$F42&gt;MAX('הנחות עבודה'!$B$69:$B$89)),0,(VLOOKUP($F42,'התפלגות ייצור וסל דלקים'!$B$64:$BV$84,AQ$2-$E$2,FALSE))*$D$9*$D$8*(HLOOKUP(AQ$23,$G$18:$R$19,2,FALSE)*(1-$D$12)^($F42-'הנחות עבודה'!$C$5)/$D$11)/$D$11)</f>
        <v>0</v>
      </c>
      <c r="AR42" s="127">
        <f ca="1">IF(OR($F42&gt;$D$5,$F42&gt;MAX('הנחות עבודה'!$B$69:$B$89)),0,(VLOOKUP($F42,'התפלגות ייצור וסל דלקים'!$B$64:$BV$84,AR$2-$E$2,FALSE))*$D$9*$D$8*(HLOOKUP(AR$23,$G$18:$R$19,2,FALSE)*(1-$D$12)^($F42-'הנחות עבודה'!$C$5)/$D$11)/$D$11)</f>
        <v>0</v>
      </c>
      <c r="AS42" s="127">
        <f ca="1">IF(OR($F42&gt;$D$5,$F42&gt;MAX('הנחות עבודה'!$B$69:$B$89)),0,(VLOOKUP($F42,'התפלגות ייצור וסל דלקים'!$B$64:$BV$84,AS$2-$E$2,FALSE))*$D$9*$D$8*(HLOOKUP(AS$23,$G$18:$R$19,2,FALSE)*(1-$D$12)^($F42-'הנחות עבודה'!$C$5)/$D$11)/$D$11)</f>
        <v>0</v>
      </c>
      <c r="AT42" s="127">
        <f ca="1">IF(OR($F42&gt;$D$5,$F42&gt;MAX('הנחות עבודה'!$B$69:$B$89)),0,(VLOOKUP($F42,'התפלגות ייצור וסל דלקים'!$B$64:$BV$84,AT$2-$E$2,FALSE))*$D$9*$D$8*(HLOOKUP(AT$23,$G$18:$R$19,2,FALSE)*(1-$D$12)^($F42-'הנחות עבודה'!$C$5)/$D$11)/$D$11)</f>
        <v>0</v>
      </c>
      <c r="AU42" s="127">
        <f ca="1">IF(OR($F42&gt;$D$5,$F42&gt;MAX('הנחות עבודה'!$B$69:$B$89)),0,(VLOOKUP($F42,'התפלגות ייצור וסל דלקים'!$B$64:$BV$84,AU$2-$E$2,FALSE))*$D$9*$D$8*(HLOOKUP(AU$23,$G$18:$R$19,2,FALSE)*(1-$D$12)^($F42-'הנחות עבודה'!$C$5)/$D$11)/$D$11)</f>
        <v>0</v>
      </c>
      <c r="AV42" s="127">
        <f ca="1">IF(OR($F42&gt;$D$5,$F42&gt;MAX('הנחות עבודה'!$B$69:$B$89)),0,(VLOOKUP($F42,'התפלגות ייצור וסל דלקים'!$B$64:$BV$84,AV$2-$E$2,FALSE))*$D$9*$D$8*(HLOOKUP(AV$23,$G$18:$R$19,2,FALSE)*(1-$D$12)^($F42-'הנחות עבודה'!$C$5)/$D$11)/$D$11)</f>
        <v>0</v>
      </c>
      <c r="AW42" s="52">
        <f ca="1">IF(OR($F42&gt;$D$5,$F42&gt;MAX('הנחות עבודה'!$B$69:$B$89)),0,(VLOOKUP($F42,'התפלגות ייצור וסל דלקים'!$B$64:$BV$84,AW$2-$E$2,FALSE))*$D$9*$D$8*(HLOOKUP(AW$23,$G$18:$R$19,2,FALSE)*(1-$D$12)^($F42-'הנחות עבודה'!$C$5)/$D$11)/$D$11)</f>
        <v>1.6158000000000001E-4</v>
      </c>
      <c r="AX42" s="52">
        <f ca="1">IF(OR($F42&gt;$D$5,$F42&gt;MAX('הנחות עבודה'!$B$69:$B$89)),0,(VLOOKUP($F42,'התפלגות ייצור וסל דלקים'!$B$64:$BV$84,AX$2-$E$2,FALSE))*$D$9*$D$8*(HLOOKUP(AX$23,$G$18:$R$19,2,FALSE)*(1-$D$12)^($F42-'הנחות עבודה'!$C$5)/$D$11)/$D$11)</f>
        <v>1.3337366356932518E-3</v>
      </c>
      <c r="AY42" s="52">
        <f ca="1">IF(OR($F42&gt;$D$5,$F42&gt;MAX('הנחות עבודה'!$B$69:$B$89)),0,(VLOOKUP($F42,'התפלגות ייצור וסל דלקים'!$B$64:$BV$84,AY$2-$E$2,FALSE))*$D$9*$D$8*(HLOOKUP(AY$23,$G$18:$R$19,2,FALSE)*(1-$D$12)^($F42-'הנחות עבודה'!$C$5)/$D$11)/$D$11)</f>
        <v>0</v>
      </c>
      <c r="AZ42" s="52">
        <f ca="1">IF(OR($F42&gt;$D$5,$F42&gt;MAX('הנחות עבודה'!$B$69:$B$89)),0,(VLOOKUP($F42,'התפלגות ייצור וסל דלקים'!$B$64:$BV$84,AZ$2-$E$2,FALSE))*$D$9*$D$8*(HLOOKUP(AZ$23,$G$18:$R$19,2,FALSE)*(1-$D$12)^($F42-'הנחות עבודה'!$C$5)/$D$11)/$D$11)</f>
        <v>0</v>
      </c>
      <c r="BA42" s="52">
        <f ca="1">IF(OR($F42&gt;$D$5,$F42&gt;MAX('הנחות עבודה'!$B$69:$B$89)),0,(VLOOKUP($F42,'התפלגות ייצור וסל דלקים'!$B$64:$BV$84,BA$2-$E$2,FALSE))*$D$9*$D$8*(HLOOKUP(BA$23,$G$18:$R$19,2,FALSE)*(1-$D$12)^($F42-'הנחות עבודה'!$C$5)/$D$11)/$D$11)</f>
        <v>0</v>
      </c>
      <c r="BB42" s="52">
        <f ca="1">IF(OR($F42&gt;$D$5,$F42&gt;MAX('הנחות עבודה'!$B$69:$B$89)),0,(VLOOKUP($F42,'התפלגות ייצור וסל דלקים'!$B$64:$BV$84,BB$2-$E$2,FALSE))*$D$9*$D$8*(HLOOKUP(BB$23,$G$18:$R$19,2,FALSE)*(1-$D$12)^($F42-'הנחות עבודה'!$C$5)/$D$11)/$D$11)</f>
        <v>0</v>
      </c>
      <c r="BC42" s="42">
        <f ca="1">IF(OR($F42&gt;$D$5,$F42&gt;MAX('הנחות עבודה'!$B$69:$B$89)),0,(VLOOKUP($F42,'התפלגות ייצור וסל דלקים'!$B$64:$BV$84,BC$2-$E$2,FALSE))*$D$9*$D$8*(HLOOKUP(BC$23,$G$18:$R$19,2,FALSE)*(1-$D$12)^($F42-'הנחות עבודה'!$C$5)/$D$11)/$D$11)</f>
        <v>0</v>
      </c>
      <c r="BD42" s="44">
        <f ca="1">IF(OR($F42&gt;$D$5,$F42&gt;MAX('הנחות עבודה'!$B$69:$B$89)),0,(VLOOKUP($F42,'התפלגות ייצור וסל דלקים'!$B$64:$BV$84,BD$2-$E$2,FALSE))*$D$9*$D$8*(HLOOKUP(BD$23,$G$18:$R$19,2,FALSE)*(1-$D$12)^($F42-'הנחות עבודה'!$C$5)/$D$11)/$D$11)</f>
        <v>0</v>
      </c>
      <c r="BE42" s="44">
        <f ca="1">IF(OR($F42&gt;$D$5,$F42&gt;MAX('הנחות עבודה'!$B$69:$B$89)),0,(VLOOKUP($F42,'התפלגות ייצור וסל דלקים'!$B$64:$BV$84,BE$2-$E$2,FALSE))*$D$9*$D$8*(HLOOKUP(BE$23,$G$18:$R$19,2,FALSE)*(1-$D$12)^($F42-'הנחות עבודה'!$C$5)/$D$11)/$D$11)</f>
        <v>0</v>
      </c>
      <c r="BF42" s="44">
        <f ca="1">IF(OR($F42&gt;$D$5,$F42&gt;MAX('הנחות עבודה'!$B$69:$B$89)),0,(VLOOKUP($F42,'התפלגות ייצור וסל דלקים'!$B$64:$BV$84,BF$2-$E$2,FALSE))*$D$9*$D$8*(HLOOKUP(BF$23,$G$18:$R$19,2,FALSE)*(1-$D$12)^($F42-'הנחות עבודה'!$C$5)/$D$11)/$D$11)</f>
        <v>0</v>
      </c>
      <c r="BG42" s="44">
        <f ca="1">IF(OR($F42&gt;$D$5,$F42&gt;MAX('הנחות עבודה'!$B$69:$B$89)),0,(VLOOKUP($F42,'התפלגות ייצור וסל דלקים'!$B$64:$BV$84,BG$2-$E$2,FALSE))*$D$9*$D$8*(HLOOKUP(BG$23,$G$18:$R$19,2,FALSE)*(1-$D$12)^($F42-'הנחות עבודה'!$C$5)/$D$11)/$D$11)</f>
        <v>0</v>
      </c>
      <c r="BH42" s="44">
        <f ca="1">IF(OR($F42&gt;$D$5,$F42&gt;MAX('הנחות עבודה'!$B$69:$B$89)),0,(VLOOKUP($F42,'התפלגות ייצור וסל דלקים'!$B$64:$BV$84,BH$2-$E$2,FALSE))*$D$9*$D$8*(HLOOKUP(BH$23,$G$18:$R$19,2,FALSE)*(1-$D$12)^($F42-'הנחות עבודה'!$C$5)/$D$11)/$D$11)</f>
        <v>0</v>
      </c>
      <c r="BI42" s="42">
        <f ca="1">IF(OR($F42&gt;$D$5,$F42&gt;MAX('הנחות עבודה'!$B$69:$B$89)),0,(VLOOKUP($F42,'התפלגות ייצור וסל דלקים'!$B$64:$BV$84,BI$2-$E$2,FALSE))*$D$9*$D$8*(HLOOKUP(BI$23,$G$18:$R$19,2,FALSE)*(1-$D$12)^($F42-'הנחות עבודה'!$C$5)/$D$11)/$D$11)</f>
        <v>1.6536E-4</v>
      </c>
      <c r="BJ42" s="42">
        <f ca="1">IF(OR($F42&gt;$D$5,$F42&gt;MAX('הנחות עבודה'!$B$69:$B$89)),0,(VLOOKUP($F42,'התפלגות ייצור וסל דלקים'!$B$64:$BV$84,BJ$2-$E$2,FALSE))*$D$9*$D$8*(HLOOKUP(BJ$23,$G$18:$R$19,2,FALSE)*(1-$D$12)^($F42-'הנחות עבודה'!$C$5)/$D$11)/$D$11)</f>
        <v>1.25362783684338E-3</v>
      </c>
      <c r="BK42" s="42">
        <f ca="1">IF(OR($F42&gt;$D$5,$F42&gt;MAX('הנחות עבודה'!$B$69:$B$89)),0,(VLOOKUP($F42,'התפלגות ייצור וסל דלקים'!$B$64:$BV$84,BK$2-$E$2,FALSE))*$D$9*$D$8*(HLOOKUP(BK$23,$G$18:$R$19,2,FALSE)*(1-$D$12)^($F42-'הנחות עבודה'!$C$5)/$D$11)/$D$11)</f>
        <v>0</v>
      </c>
      <c r="BL42" s="42">
        <f ca="1">IF(OR($F42&gt;$D$5,$F42&gt;MAX('הנחות עבודה'!$B$69:$B$89)),0,(VLOOKUP($F42,'התפלגות ייצור וסל דלקים'!$B$64:$BV$84,BL$2-$E$2,FALSE))*$D$9*$D$8*(HLOOKUP(BL$23,$G$18:$R$19,2,FALSE)*(1-$D$12)^($F42-'הנחות עבודה'!$C$5)/$D$11)/$D$11)</f>
        <v>0</v>
      </c>
      <c r="BM42" s="42">
        <f ca="1">IF(OR($F42&gt;$D$5,$F42&gt;MAX('הנחות עבודה'!$B$69:$B$89)),0,(VLOOKUP($F42,'התפלגות ייצור וסל דלקים'!$B$64:$BV$84,BM$2-$E$2,FALSE))*$D$9*$D$8*(HLOOKUP(BM$23,$G$18:$R$19,2,FALSE)*(1-$D$12)^($F42-'הנחות עבודה'!$C$5)/$D$11)/$D$11)</f>
        <v>0</v>
      </c>
      <c r="BN42" s="42">
        <f ca="1">IF(OR($F42&gt;$D$5,$F42&gt;MAX('הנחות עבודה'!$B$69:$B$89)),0,(VLOOKUP($F42,'התפלגות ייצור וסל דלקים'!$B$64:$BV$84,BN$2-$E$2,FALSE))*$D$9*$D$8*(HLOOKUP(BN$23,$G$18:$R$19,2,FALSE)*(1-$D$12)^($F42-'הנחות עבודה'!$C$5)/$D$11)/$D$11)</f>
        <v>0</v>
      </c>
      <c r="BO42" s="52">
        <f ca="1">IF(OR($F42&gt;$D$5,$F42&gt;MAX('הנחות עבודה'!$B$69:$B$89)),0,(VLOOKUP($F42,'התפלגות ייצור וסל דלקים'!$B$64:$BV$84,BO$2-$E$2,FALSE))*$D$9*$D$8*(HLOOKUP(BO$23,$G$18:$R$19,2,FALSE)*(1-$D$12)^($F42-'הנחות עבודה'!$C$5)/$D$11)/$D$11)</f>
        <v>0</v>
      </c>
      <c r="BP42" s="127">
        <f ca="1">IF(OR($F42&gt;$D$5,$F42&gt;MAX('הנחות עבודה'!$B$69:$B$89)),0,(VLOOKUP($F42,'התפלגות ייצור וסל דלקים'!$B$64:$BV$84,BP$2-$E$2,FALSE))*$D$9*$D$8*(HLOOKUP(BP$23,$G$18:$R$19,2,FALSE)*(1-$D$12)^($F42-'הנחות עבודה'!$C$5)/$D$11)/$D$11)</f>
        <v>0</v>
      </c>
      <c r="BQ42" s="127">
        <f ca="1">IF(OR($F42&gt;$D$5,$F42&gt;MAX('הנחות עבודה'!$B$69:$B$89)),0,(VLOOKUP($F42,'התפלגות ייצור וסל דלקים'!$B$64:$BV$84,BQ$2-$E$2,FALSE))*$D$9*$D$8*(HLOOKUP(BQ$23,$G$18:$R$19,2,FALSE)*(1-$D$12)^($F42-'הנחות עבודה'!$C$5)/$D$11)/$D$11)</f>
        <v>0</v>
      </c>
      <c r="BR42" s="127">
        <f ca="1">IF(OR($F42&gt;$D$5,$F42&gt;MAX('הנחות עבודה'!$B$69:$B$89)),0,(VLOOKUP($F42,'התפלגות ייצור וסל דלקים'!$B$64:$BV$84,BR$2-$E$2,FALSE))*$D$9*$D$8*(HLOOKUP(BR$23,$G$18:$R$19,2,FALSE)*(1-$D$12)^($F42-'הנחות עבודה'!$C$5)/$D$11)/$D$11)</f>
        <v>0</v>
      </c>
      <c r="BS42" s="127">
        <f ca="1">IF(OR($F42&gt;$D$5,$F42&gt;MAX('הנחות עבודה'!$B$69:$B$89)),0,(VLOOKUP($F42,'התפלגות ייצור וסל דלקים'!$B$64:$BV$84,BS$2-$E$2,FALSE))*$D$9*$D$8*(HLOOKUP(BS$23,$G$18:$R$19,2,FALSE)*(1-$D$12)^($F42-'הנחות עבודה'!$C$5)/$D$11)/$D$11)</f>
        <v>0</v>
      </c>
      <c r="BT42" s="127">
        <f ca="1">IF(OR($F42&gt;$D$5,$F42&gt;MAX('הנחות עבודה'!$B$69:$B$89)),0,(VLOOKUP($F42,'התפלגות ייצור וסל דלקים'!$B$64:$BV$84,BT$2-$E$2,FALSE))*$D$9*$D$8*(HLOOKUP(BT$23,$G$18:$R$19,2,FALSE)*(1-$D$12)^($F42-'הנחות עבודה'!$C$5)/$D$11)/$D$11)</f>
        <v>0</v>
      </c>
      <c r="BU42" s="52">
        <f ca="1">IF(OR($F42&gt;$D$5,$F42&gt;MAX('הנחות עבודה'!$B$69:$B$89)),0,(VLOOKUP($F42,'התפלגות ייצור וסל דלקים'!$B$64:$BV$84,BU$2-$E$2,FALSE))*$D$9*$D$8*(HLOOKUP(BU$23,$G$18:$R$19,2,FALSE)*(1-$D$12)^($F42-'הנחות עבודה'!$C$5)/$D$11)/$D$11)</f>
        <v>1.6536E-4</v>
      </c>
      <c r="BV42" s="52">
        <f ca="1">IF(OR($F42&gt;$D$5,$F42&gt;MAX('הנחות עבודה'!$B$69:$B$89)),0,(VLOOKUP($F42,'התפלגות ייצור וסל דלקים'!$B$64:$BV$84,BV$2-$E$2,FALSE))*$D$9*$D$8*(HLOOKUP(BV$23,$G$18:$R$19,2,FALSE)*(1-$D$12)^($F42-'הנחות עבודה'!$C$5)/$D$11)/$D$11)</f>
        <v>1.25362783684338E-3</v>
      </c>
      <c r="BW42" s="52">
        <f ca="1">IF(OR($F42&gt;$D$5,$F42&gt;MAX('הנחות עבודה'!$B$69:$B$89)),0,(VLOOKUP($F42,'התפלגות ייצור וסל דלקים'!$B$64:$BV$84,BW$2-$E$2,FALSE))*$D$9*$D$8*(HLOOKUP(BW$23,$G$18:$R$19,2,FALSE)*(1-$D$12)^($F42-'הנחות עבודה'!$C$5)/$D$11)/$D$11)</f>
        <v>0</v>
      </c>
      <c r="BX42" s="52">
        <f ca="1">IF(OR($F42&gt;$D$5,$F42&gt;MAX('הנחות עבודה'!$B$69:$B$89)),0,(VLOOKUP($F42,'התפלגות ייצור וסל דלקים'!$B$64:$BV$84,BX$2-$E$2,FALSE))*$D$9*$D$8*(HLOOKUP(BX$23,$G$18:$R$19,2,FALSE)*(1-$D$12)^($F42-'הנחות עבודה'!$C$5)/$D$11)/$D$11)</f>
        <v>0</v>
      </c>
      <c r="BY42" s="52">
        <f ca="1">IF(OR($F42&gt;$D$5,$F42&gt;MAX('הנחות עבודה'!$B$69:$B$89)),0,(VLOOKUP($F42,'התפלגות ייצור וסל דלקים'!$B$64:$BV$84,BY$2-$E$2,FALSE))*$D$9*$D$8*(HLOOKUP(BY$23,$G$18:$R$19,2,FALSE)*(1-$D$12)^($F42-'הנחות עבודה'!$C$5)/$D$11)/$D$11)</f>
        <v>0</v>
      </c>
      <c r="BZ42" s="52">
        <f ca="1">IF(OR($F42&gt;$D$5,$F42&gt;MAX('הנחות עבודה'!$B$69:$B$89)),0,(VLOOKUP($F42,'התפלגות ייצור וסל דלקים'!$B$64:$BV$84,BZ$2-$E$2,FALSE))*$D$9*$D$8*(HLOOKUP(BZ$23,$G$18:$R$19,2,FALSE)*(1-$D$12)^($F42-'הנחות עבודה'!$C$5)/$D$11)/$D$11)</f>
        <v>0</v>
      </c>
    </row>
    <row r="43" spans="6:78" ht="15.75">
      <c r="F43" s="10">
        <f t="shared" si="114"/>
        <v>2039</v>
      </c>
      <c r="G43" s="42">
        <f ca="1">IF(OR($F43&gt;$D$5,$F43&gt;MAX('הנחות עבודה'!$B$69:$B$89)),0,(VLOOKUP($F43,'התפלגות ייצור וסל דלקים'!$B$64:$BV$84,G$2-$E$2,FALSE))*$D$9*$D$8*(HLOOKUP(G$23,$G$18:$R$19,2,FALSE)*(1-$D$12)^($F43-'הנחות עבודה'!$C$5)/$D$11)/$D$11)</f>
        <v>0</v>
      </c>
      <c r="H43" s="44">
        <f ca="1">IF(OR($F43&gt;$D$5,$F43&gt;MAX('הנחות עבודה'!$B$69:$B$89)),0,(VLOOKUP($F43,'התפלגות ייצור וסל דלקים'!$B$64:$BV$84,H$2-$E$2,FALSE))*$D$9*$D$8*(HLOOKUP(H$23,$G$18:$R$19,2,FALSE)*(1-$D$12)^($F43-'הנחות עבודה'!$C$5)/$D$11)/$D$11)</f>
        <v>0</v>
      </c>
      <c r="I43" s="44">
        <f ca="1">IF(OR($F43&gt;$D$5,$F43&gt;MAX('הנחות עבודה'!$B$69:$B$89)),0,(VLOOKUP($F43,'התפלגות ייצור וסל דלקים'!$B$64:$BV$84,I$2-$E$2,FALSE))*$D$9*$D$8*(HLOOKUP(I$23,$G$18:$R$19,2,FALSE)*(1-$D$12)^($F43-'הנחות עבודה'!$C$5)/$D$11)/$D$11)</f>
        <v>0</v>
      </c>
      <c r="J43" s="44">
        <f ca="1">IF(OR($F43&gt;$D$5,$F43&gt;MAX('הנחות עבודה'!$B$69:$B$89)),0,(VLOOKUP($F43,'התפלגות ייצור וסל דלקים'!$B$64:$BV$84,J$2-$E$2,FALSE))*$D$9*$D$8*(HLOOKUP(J$23,$G$18:$R$19,2,FALSE)*(1-$D$12)^($F43-'הנחות עבודה'!$C$5)/$D$11)/$D$11)</f>
        <v>0</v>
      </c>
      <c r="K43" s="44">
        <f ca="1">IF(OR($F43&gt;$D$5,$F43&gt;MAX('הנחות עבודה'!$B$69:$B$89)),0,(VLOOKUP($F43,'התפלגות ייצור וסל דלקים'!$B$64:$BV$84,K$2-$E$2,FALSE))*$D$9*$D$8*(HLOOKUP(K$23,$G$18:$R$19,2,FALSE)*(1-$D$12)^($F43-'הנחות עבודה'!$C$5)/$D$11)/$D$11)</f>
        <v>0</v>
      </c>
      <c r="L43" s="44">
        <f ca="1">IF(OR($F43&gt;$D$5,$F43&gt;MAX('הנחות עבודה'!$B$69:$B$89)),0,(VLOOKUP($F43,'התפלגות ייצור וסל דלקים'!$B$64:$BV$84,L$2-$E$2,FALSE))*$D$9*$D$8*(HLOOKUP(L$23,$G$18:$R$19,2,FALSE)*(1-$D$12)^($F43-'הנחות עבודה'!$C$5)/$D$11)/$D$11)</f>
        <v>0</v>
      </c>
      <c r="M43" s="42">
        <f ca="1">IF(OR($F43&gt;$D$5,$F43&gt;MAX('הנחות עבודה'!$B$69:$B$89)),0,(VLOOKUP($F43,'התפלגות ייצור וסל דלקים'!$B$64:$BV$84,M$2-$E$2,FALSE))*$D$9*$D$8*(HLOOKUP(M$23,$G$18:$R$19,2,FALSE)*(1-$D$12)^($F43-'הנחות עבודה'!$C$5)/$D$11)/$D$11)</f>
        <v>1.5598939999999999E-4</v>
      </c>
      <c r="N43" s="42">
        <f ca="1">IF(OR($F43&gt;$D$5,$F43&gt;MAX('הנחות עבודה'!$B$69:$B$89)),0,(VLOOKUP($F43,'התפלגות ייצור וסל דלקים'!$B$64:$BV$84,N$2-$E$2,FALSE))*$D$9*$D$8*(HLOOKUP(N$23,$G$18:$R$19,2,FALSE)*(1-$D$12)^($F43-'הנחות עבודה'!$C$5)/$D$11)/$D$11)</f>
        <v>1.5216569109004171E-3</v>
      </c>
      <c r="O43" s="42">
        <f ca="1">IF(OR($F43&gt;$D$5,$F43&gt;MAX('הנחות עבודה'!$B$69:$B$89)),0,(VLOOKUP($F43,'התפלגות ייצור וסל דלקים'!$B$64:$BV$84,O$2-$E$2,FALSE))*$D$9*$D$8*(HLOOKUP(O$23,$G$18:$R$19,2,FALSE)*(1-$D$12)^($F43-'הנחות עבודה'!$C$5)/$D$11)/$D$11)</f>
        <v>0</v>
      </c>
      <c r="P43" s="42">
        <f ca="1">IF(OR($F43&gt;$D$5,$F43&gt;MAX('הנחות עבודה'!$B$69:$B$89)),0,(VLOOKUP($F43,'התפלגות ייצור וסל דלקים'!$B$64:$BV$84,P$2-$E$2,FALSE))*$D$9*$D$8*(HLOOKUP(P$23,$G$18:$R$19,2,FALSE)*(1-$D$12)^($F43-'הנחות עבודה'!$C$5)/$D$11)/$D$11)</f>
        <v>0</v>
      </c>
      <c r="Q43" s="42">
        <f ca="1">IF(OR($F43&gt;$D$5,$F43&gt;MAX('הנחות עבודה'!$B$69:$B$89)),0,(VLOOKUP($F43,'התפלגות ייצור וסל דלקים'!$B$64:$BV$84,Q$2-$E$2,FALSE))*$D$9*$D$8*(HLOOKUP(Q$23,$G$18:$R$19,2,FALSE)*(1-$D$12)^($F43-'הנחות עבודה'!$C$5)/$D$11)/$D$11)</f>
        <v>0</v>
      </c>
      <c r="R43" s="42">
        <f ca="1">IF(OR($F43&gt;$D$5,$F43&gt;MAX('הנחות עבודה'!$B$69:$B$89)),0,(VLOOKUP($F43,'התפלגות ייצור וסל דלקים'!$B$64:$BV$84,R$2-$E$2,FALSE))*$D$9*$D$8*(HLOOKUP(R$23,$G$18:$R$19,2,FALSE)*(1-$D$12)^($F43-'הנחות עבודה'!$C$5)/$D$11)/$D$11)</f>
        <v>0</v>
      </c>
      <c r="S43" s="52">
        <f ca="1">IF(OR($F43&gt;$D$5,$F43&gt;MAX('הנחות עבודה'!$B$69:$B$89)),0,(VLOOKUP($F43,'התפלגות ייצור וסל דלקים'!$B$64:$BV$84,S$2-$E$2,FALSE))*$D$9*$D$8*(HLOOKUP(S$23,$G$18:$R$19,2,FALSE)*(1-$D$12)^($F43-'הנחות עבודה'!$C$5)/$D$11)/$D$11)</f>
        <v>0</v>
      </c>
      <c r="T43" s="127">
        <f ca="1">IF(OR($F43&gt;$D$5,$F43&gt;MAX('הנחות עבודה'!$B$69:$B$89)),0,(VLOOKUP($F43,'התפלגות ייצור וסל דלקים'!$B$64:$BV$84,T$2-$E$2,FALSE))*$D$9*$D$8*(HLOOKUP(T$23,$G$18:$R$19,2,FALSE)*(1-$D$12)^($F43-'הנחות עבודה'!$C$5)/$D$11)/$D$11)</f>
        <v>0</v>
      </c>
      <c r="U43" s="127">
        <f ca="1">IF(OR($F43&gt;$D$5,$F43&gt;MAX('הנחות עבודה'!$B$69:$B$89)),0,(VLOOKUP($F43,'התפלגות ייצור וסל דלקים'!$B$64:$BV$84,U$2-$E$2,FALSE))*$D$9*$D$8*(HLOOKUP(U$23,$G$18:$R$19,2,FALSE)*(1-$D$12)^($F43-'הנחות עבודה'!$C$5)/$D$11)/$D$11)</f>
        <v>0</v>
      </c>
      <c r="V43" s="127">
        <f ca="1">IF(OR($F43&gt;$D$5,$F43&gt;MAX('הנחות עבודה'!$B$69:$B$89)),0,(VLOOKUP($F43,'התפלגות ייצור וסל דלקים'!$B$64:$BV$84,V$2-$E$2,FALSE))*$D$9*$D$8*(HLOOKUP(V$23,$G$18:$R$19,2,FALSE)*(1-$D$12)^($F43-'הנחות עבודה'!$C$5)/$D$11)/$D$11)</f>
        <v>0</v>
      </c>
      <c r="W43" s="127">
        <f ca="1">IF(OR($F43&gt;$D$5,$F43&gt;MAX('הנחות עבודה'!$B$69:$B$89)),0,(VLOOKUP($F43,'התפלגות ייצור וסל דלקים'!$B$64:$BV$84,W$2-$E$2,FALSE))*$D$9*$D$8*(HLOOKUP(W$23,$G$18:$R$19,2,FALSE)*(1-$D$12)^($F43-'הנחות עבודה'!$C$5)/$D$11)/$D$11)</f>
        <v>0</v>
      </c>
      <c r="X43" s="127">
        <f ca="1">IF(OR($F43&gt;$D$5,$F43&gt;MAX('הנחות עבודה'!$B$69:$B$89)),0,(VLOOKUP($F43,'התפלגות ייצור וסל דלקים'!$B$64:$BV$84,X$2-$E$2,FALSE))*$D$9*$D$8*(HLOOKUP(X$23,$G$18:$R$19,2,FALSE)*(1-$D$12)^($F43-'הנחות עבודה'!$C$5)/$D$11)/$D$11)</f>
        <v>0</v>
      </c>
      <c r="Y43" s="52">
        <f ca="1">IF(OR($F43&gt;$D$5,$F43&gt;MAX('הנחות עבודה'!$B$69:$B$89)),0,(VLOOKUP($F43,'התפלגות ייצור וסל דלקים'!$B$64:$BV$84,Y$2-$E$2,FALSE))*$D$9*$D$8*(HLOOKUP(Y$23,$G$18:$R$19,2,FALSE)*(1-$D$12)^($F43-'הנחות עבודה'!$C$5)/$D$11)/$D$11)</f>
        <v>1.5598939999999999E-4</v>
      </c>
      <c r="Z43" s="52">
        <f ca="1">IF(OR($F43&gt;$D$5,$F43&gt;MAX('הנחות עבודה'!$B$69:$B$89)),0,(VLOOKUP($F43,'התפלגות ייצור וסל דלקים'!$B$64:$BV$84,Z$2-$E$2,FALSE))*$D$9*$D$8*(HLOOKUP(Z$23,$G$18:$R$19,2,FALSE)*(1-$D$12)^($F43-'הנחות עבודה'!$C$5)/$D$11)/$D$11)</f>
        <v>1.5216569109004171E-3</v>
      </c>
      <c r="AA43" s="52">
        <f ca="1">IF(OR($F43&gt;$D$5,$F43&gt;MAX('הנחות עבודה'!$B$69:$B$89)),0,(VLOOKUP($F43,'התפלגות ייצור וסל דלקים'!$B$64:$BV$84,AA$2-$E$2,FALSE))*$D$9*$D$8*(HLOOKUP(AA$23,$G$18:$R$19,2,FALSE)*(1-$D$12)^($F43-'הנחות עבודה'!$C$5)/$D$11)/$D$11)</f>
        <v>0</v>
      </c>
      <c r="AB43" s="52">
        <f ca="1">IF(OR($F43&gt;$D$5,$F43&gt;MAX('הנחות עבודה'!$B$69:$B$89)),0,(VLOOKUP($F43,'התפלגות ייצור וסל דלקים'!$B$64:$BV$84,AB$2-$E$2,FALSE))*$D$9*$D$8*(HLOOKUP(AB$23,$G$18:$R$19,2,FALSE)*(1-$D$12)^($F43-'הנחות עבודה'!$C$5)/$D$11)/$D$11)</f>
        <v>0</v>
      </c>
      <c r="AC43" s="52">
        <f ca="1">IF(OR($F43&gt;$D$5,$F43&gt;MAX('הנחות עבודה'!$B$69:$B$89)),0,(VLOOKUP($F43,'התפלגות ייצור וסל דלקים'!$B$64:$BV$84,AC$2-$E$2,FALSE))*$D$9*$D$8*(HLOOKUP(AC$23,$G$18:$R$19,2,FALSE)*(1-$D$12)^($F43-'הנחות עבודה'!$C$5)/$D$11)/$D$11)</f>
        <v>0</v>
      </c>
      <c r="AD43" s="52">
        <f ca="1">IF(OR($F43&gt;$D$5,$F43&gt;MAX('הנחות עבודה'!$B$69:$B$89)),0,(VLOOKUP($F43,'התפלגות ייצור וסל דלקים'!$B$64:$BV$84,AD$2-$E$2,FALSE))*$D$9*$D$8*(HLOOKUP(AD$23,$G$18:$R$19,2,FALSE)*(1-$D$12)^($F43-'הנחות עבודה'!$C$5)/$D$11)/$D$11)</f>
        <v>0</v>
      </c>
      <c r="AE43" s="42">
        <f ca="1">IF(OR($F43&gt;$D$5,$F43&gt;MAX('הנחות עבודה'!$B$69:$B$89)),0,(VLOOKUP($F43,'התפלגות ייצור וסל דלקים'!$B$64:$BV$84,AE$2-$E$2,FALSE))*$D$9*$D$8*(HLOOKUP(AE$23,$G$18:$R$19,2,FALSE)*(1-$D$12)^($F43-'הנחות עבודה'!$C$5)/$D$11)/$D$11)</f>
        <v>0</v>
      </c>
      <c r="AF43" s="44">
        <f ca="1">IF(OR($F43&gt;$D$5,$F43&gt;MAX('הנחות עבודה'!$B$69:$B$89)),0,(VLOOKUP($F43,'התפלגות ייצור וסל דלקים'!$B$64:$BV$84,AF$2-$E$2,FALSE))*$D$9*$D$8*(HLOOKUP(AF$23,$G$18:$R$19,2,FALSE)*(1-$D$12)^($F43-'הנחות עבודה'!$C$5)/$D$11)/$D$11)</f>
        <v>0</v>
      </c>
      <c r="AG43" s="44">
        <f ca="1">IF(OR($F43&gt;$D$5,$F43&gt;MAX('הנחות עבודה'!$B$69:$B$89)),0,(VLOOKUP($F43,'התפלגות ייצור וסל דלקים'!$B$64:$BV$84,AG$2-$E$2,FALSE))*$D$9*$D$8*(HLOOKUP(AG$23,$G$18:$R$19,2,FALSE)*(1-$D$12)^($F43-'הנחות עבודה'!$C$5)/$D$11)/$D$11)</f>
        <v>0</v>
      </c>
      <c r="AH43" s="44">
        <f ca="1">IF(OR($F43&gt;$D$5,$F43&gt;MAX('הנחות עבודה'!$B$69:$B$89)),0,(VLOOKUP($F43,'התפלגות ייצור וסל דלקים'!$B$64:$BV$84,AH$2-$E$2,FALSE))*$D$9*$D$8*(HLOOKUP(AH$23,$G$18:$R$19,2,FALSE)*(1-$D$12)^($F43-'הנחות עבודה'!$C$5)/$D$11)/$D$11)</f>
        <v>0</v>
      </c>
      <c r="AI43" s="44">
        <f ca="1">IF(OR($F43&gt;$D$5,$F43&gt;MAX('הנחות עבודה'!$B$69:$B$89)),0,(VLOOKUP($F43,'התפלגות ייצור וסל דלקים'!$B$64:$BV$84,AI$2-$E$2,FALSE))*$D$9*$D$8*(HLOOKUP(AI$23,$G$18:$R$19,2,FALSE)*(1-$D$12)^($F43-'הנחות עבודה'!$C$5)/$D$11)/$D$11)</f>
        <v>0</v>
      </c>
      <c r="AJ43" s="44">
        <f ca="1">IF(OR($F43&gt;$D$5,$F43&gt;MAX('הנחות עבודה'!$B$69:$B$89)),0,(VLOOKUP($F43,'התפלגות ייצור וסל דלקים'!$B$64:$BV$84,AJ$2-$E$2,FALSE))*$D$9*$D$8*(HLOOKUP(AJ$23,$G$18:$R$19,2,FALSE)*(1-$D$12)^($F43-'הנחות עבודה'!$C$5)/$D$11)/$D$11)</f>
        <v>0</v>
      </c>
      <c r="AK43" s="42">
        <f ca="1">IF(OR($F43&gt;$D$5,$F43&gt;MAX('הנחות עבודה'!$B$69:$B$89)),0,(VLOOKUP($F43,'התפלגות ייצור וסל דלקים'!$B$64:$BV$84,AK$2-$E$2,FALSE))*$D$9*$D$8*(HLOOKUP(AK$23,$G$18:$R$19,2,FALSE)*(1-$D$12)^($F43-'הנחות עבודה'!$C$5)/$D$11)/$D$11)</f>
        <v>1.6144900000000001E-4</v>
      </c>
      <c r="AL43" s="42">
        <f ca="1">IF(OR($F43&gt;$D$5,$F43&gt;MAX('הנחות עבודה'!$B$69:$B$89)),0,(VLOOKUP($F43,'התפלגות ייצור וסל דלקים'!$B$64:$BV$84,AL$2-$E$2,FALSE))*$D$9*$D$8*(HLOOKUP(AL$23,$G$18:$R$19,2,FALSE)*(1-$D$12)^($F43-'הנחות עבודה'!$C$5)/$D$11)/$D$11)</f>
        <v>1.3948905879935822E-3</v>
      </c>
      <c r="AM43" s="42">
        <f ca="1">IF(OR($F43&gt;$D$5,$F43&gt;MAX('הנחות עבודה'!$B$69:$B$89)),0,(VLOOKUP($F43,'התפלגות ייצור וסל דלקים'!$B$64:$BV$84,AM$2-$E$2,FALSE))*$D$9*$D$8*(HLOOKUP(AM$23,$G$18:$R$19,2,FALSE)*(1-$D$12)^($F43-'הנחות עבודה'!$C$5)/$D$11)/$D$11)</f>
        <v>0</v>
      </c>
      <c r="AN43" s="42">
        <f ca="1">IF(OR($F43&gt;$D$5,$F43&gt;MAX('הנחות עבודה'!$B$69:$B$89)),0,(VLOOKUP($F43,'התפלגות ייצור וסל דלקים'!$B$64:$BV$84,AN$2-$E$2,FALSE))*$D$9*$D$8*(HLOOKUP(AN$23,$G$18:$R$19,2,FALSE)*(1-$D$12)^($F43-'הנחות עבודה'!$C$5)/$D$11)/$D$11)</f>
        <v>0</v>
      </c>
      <c r="AO43" s="42">
        <f ca="1">IF(OR($F43&gt;$D$5,$F43&gt;MAX('הנחות עבודה'!$B$69:$B$89)),0,(VLOOKUP($F43,'התפלגות ייצור וסל דלקים'!$B$64:$BV$84,AO$2-$E$2,FALSE))*$D$9*$D$8*(HLOOKUP(AO$23,$G$18:$R$19,2,FALSE)*(1-$D$12)^($F43-'הנחות עבודה'!$C$5)/$D$11)/$D$11)</f>
        <v>0</v>
      </c>
      <c r="AP43" s="42">
        <f ca="1">IF(OR($F43&gt;$D$5,$F43&gt;MAX('הנחות עבודה'!$B$69:$B$89)),0,(VLOOKUP($F43,'התפלגות ייצור וסל דלקים'!$B$64:$BV$84,AP$2-$E$2,FALSE))*$D$9*$D$8*(HLOOKUP(AP$23,$G$18:$R$19,2,FALSE)*(1-$D$12)^($F43-'הנחות עבודה'!$C$5)/$D$11)/$D$11)</f>
        <v>0</v>
      </c>
      <c r="AQ43" s="52">
        <f ca="1">IF(OR($F43&gt;$D$5,$F43&gt;MAX('הנחות עבודה'!$B$69:$B$89)),0,(VLOOKUP($F43,'התפלגות ייצור וסל דלקים'!$B$64:$BV$84,AQ$2-$E$2,FALSE))*$D$9*$D$8*(HLOOKUP(AQ$23,$G$18:$R$19,2,FALSE)*(1-$D$12)^($F43-'הנחות עבודה'!$C$5)/$D$11)/$D$11)</f>
        <v>0</v>
      </c>
      <c r="AR43" s="127">
        <f ca="1">IF(OR($F43&gt;$D$5,$F43&gt;MAX('הנחות עבודה'!$B$69:$B$89)),0,(VLOOKUP($F43,'התפלגות ייצור וסל דלקים'!$B$64:$BV$84,AR$2-$E$2,FALSE))*$D$9*$D$8*(HLOOKUP(AR$23,$G$18:$R$19,2,FALSE)*(1-$D$12)^($F43-'הנחות עבודה'!$C$5)/$D$11)/$D$11)</f>
        <v>0</v>
      </c>
      <c r="AS43" s="127">
        <f ca="1">IF(OR($F43&gt;$D$5,$F43&gt;MAX('הנחות עבודה'!$B$69:$B$89)),0,(VLOOKUP($F43,'התפלגות ייצור וסל דלקים'!$B$64:$BV$84,AS$2-$E$2,FALSE))*$D$9*$D$8*(HLOOKUP(AS$23,$G$18:$R$19,2,FALSE)*(1-$D$12)^($F43-'הנחות עבודה'!$C$5)/$D$11)/$D$11)</f>
        <v>0</v>
      </c>
      <c r="AT43" s="127">
        <f ca="1">IF(OR($F43&gt;$D$5,$F43&gt;MAX('הנחות עבודה'!$B$69:$B$89)),0,(VLOOKUP($F43,'התפלגות ייצור וסל דלקים'!$B$64:$BV$84,AT$2-$E$2,FALSE))*$D$9*$D$8*(HLOOKUP(AT$23,$G$18:$R$19,2,FALSE)*(1-$D$12)^($F43-'הנחות עבודה'!$C$5)/$D$11)/$D$11)</f>
        <v>0</v>
      </c>
      <c r="AU43" s="127">
        <f ca="1">IF(OR($F43&gt;$D$5,$F43&gt;MAX('הנחות עבודה'!$B$69:$B$89)),0,(VLOOKUP($F43,'התפלגות ייצור וסל דלקים'!$B$64:$BV$84,AU$2-$E$2,FALSE))*$D$9*$D$8*(HLOOKUP(AU$23,$G$18:$R$19,2,FALSE)*(1-$D$12)^($F43-'הנחות עבודה'!$C$5)/$D$11)/$D$11)</f>
        <v>0</v>
      </c>
      <c r="AV43" s="127">
        <f ca="1">IF(OR($F43&gt;$D$5,$F43&gt;MAX('הנחות עבודה'!$B$69:$B$89)),0,(VLOOKUP($F43,'התפלגות ייצור וסל דלקים'!$B$64:$BV$84,AV$2-$E$2,FALSE))*$D$9*$D$8*(HLOOKUP(AV$23,$G$18:$R$19,2,FALSE)*(1-$D$12)^($F43-'הנחות עבודה'!$C$5)/$D$11)/$D$11)</f>
        <v>0</v>
      </c>
      <c r="AW43" s="52">
        <f ca="1">IF(OR($F43&gt;$D$5,$F43&gt;MAX('הנחות עבודה'!$B$69:$B$89)),0,(VLOOKUP($F43,'התפלגות ייצור וסל דלקים'!$B$64:$BV$84,AW$2-$E$2,FALSE))*$D$9*$D$8*(HLOOKUP(AW$23,$G$18:$R$19,2,FALSE)*(1-$D$12)^($F43-'הנחות עבודה'!$C$5)/$D$11)/$D$11)</f>
        <v>1.6144900000000001E-4</v>
      </c>
      <c r="AX43" s="52">
        <f ca="1">IF(OR($F43&gt;$D$5,$F43&gt;MAX('הנחות עבודה'!$B$69:$B$89)),0,(VLOOKUP($F43,'התפלגות ייצור וסל דלקים'!$B$64:$BV$84,AX$2-$E$2,FALSE))*$D$9*$D$8*(HLOOKUP(AX$23,$G$18:$R$19,2,FALSE)*(1-$D$12)^($F43-'הנחות עבודה'!$C$5)/$D$11)/$D$11)</f>
        <v>1.3948905879935822E-3</v>
      </c>
      <c r="AY43" s="52">
        <f ca="1">IF(OR($F43&gt;$D$5,$F43&gt;MAX('הנחות עבודה'!$B$69:$B$89)),0,(VLOOKUP($F43,'התפלגות ייצור וסל דלקים'!$B$64:$BV$84,AY$2-$E$2,FALSE))*$D$9*$D$8*(HLOOKUP(AY$23,$G$18:$R$19,2,FALSE)*(1-$D$12)^($F43-'הנחות עבודה'!$C$5)/$D$11)/$D$11)</f>
        <v>0</v>
      </c>
      <c r="AZ43" s="52">
        <f ca="1">IF(OR($F43&gt;$D$5,$F43&gt;MAX('הנחות עבודה'!$B$69:$B$89)),0,(VLOOKUP($F43,'התפלגות ייצור וסל דלקים'!$B$64:$BV$84,AZ$2-$E$2,FALSE))*$D$9*$D$8*(HLOOKUP(AZ$23,$G$18:$R$19,2,FALSE)*(1-$D$12)^($F43-'הנחות עבודה'!$C$5)/$D$11)/$D$11)</f>
        <v>0</v>
      </c>
      <c r="BA43" s="52">
        <f ca="1">IF(OR($F43&gt;$D$5,$F43&gt;MAX('הנחות עבודה'!$B$69:$B$89)),0,(VLOOKUP($F43,'התפלגות ייצור וסל דלקים'!$B$64:$BV$84,BA$2-$E$2,FALSE))*$D$9*$D$8*(HLOOKUP(BA$23,$G$18:$R$19,2,FALSE)*(1-$D$12)^($F43-'הנחות עבודה'!$C$5)/$D$11)/$D$11)</f>
        <v>0</v>
      </c>
      <c r="BB43" s="52">
        <f ca="1">IF(OR($F43&gt;$D$5,$F43&gt;MAX('הנחות עבודה'!$B$69:$B$89)),0,(VLOOKUP($F43,'התפלגות ייצור וסל דלקים'!$B$64:$BV$84,BB$2-$E$2,FALSE))*$D$9*$D$8*(HLOOKUP(BB$23,$G$18:$R$19,2,FALSE)*(1-$D$12)^($F43-'הנחות עבודה'!$C$5)/$D$11)/$D$11)</f>
        <v>0</v>
      </c>
      <c r="BC43" s="42">
        <f ca="1">IF(OR($F43&gt;$D$5,$F43&gt;MAX('הנחות עבודה'!$B$69:$B$89)),0,(VLOOKUP($F43,'התפלגות ייצור וסל דלקים'!$B$64:$BV$84,BC$2-$E$2,FALSE))*$D$9*$D$8*(HLOOKUP(BC$23,$G$18:$R$19,2,FALSE)*(1-$D$12)^($F43-'הנחות עבודה'!$C$5)/$D$11)/$D$11)</f>
        <v>0</v>
      </c>
      <c r="BD43" s="44">
        <f ca="1">IF(OR($F43&gt;$D$5,$F43&gt;MAX('הנחות עבודה'!$B$69:$B$89)),0,(VLOOKUP($F43,'התפלגות ייצור וסל דלקים'!$B$64:$BV$84,BD$2-$E$2,FALSE))*$D$9*$D$8*(HLOOKUP(BD$23,$G$18:$R$19,2,FALSE)*(1-$D$12)^($F43-'הנחות עבודה'!$C$5)/$D$11)/$D$11)</f>
        <v>0</v>
      </c>
      <c r="BE43" s="44">
        <f ca="1">IF(OR($F43&gt;$D$5,$F43&gt;MAX('הנחות עבודה'!$B$69:$B$89)),0,(VLOOKUP($F43,'התפלגות ייצור וסל דלקים'!$B$64:$BV$84,BE$2-$E$2,FALSE))*$D$9*$D$8*(HLOOKUP(BE$23,$G$18:$R$19,2,FALSE)*(1-$D$12)^($F43-'הנחות עבודה'!$C$5)/$D$11)/$D$11)</f>
        <v>0</v>
      </c>
      <c r="BF43" s="44">
        <f ca="1">IF(OR($F43&gt;$D$5,$F43&gt;MAX('הנחות עבודה'!$B$69:$B$89)),0,(VLOOKUP($F43,'התפלגות ייצור וסל דלקים'!$B$64:$BV$84,BF$2-$E$2,FALSE))*$D$9*$D$8*(HLOOKUP(BF$23,$G$18:$R$19,2,FALSE)*(1-$D$12)^($F43-'הנחות עבודה'!$C$5)/$D$11)/$D$11)</f>
        <v>0</v>
      </c>
      <c r="BG43" s="44">
        <f ca="1">IF(OR($F43&gt;$D$5,$F43&gt;MAX('הנחות עבודה'!$B$69:$B$89)),0,(VLOOKUP($F43,'התפלגות ייצור וסל דלקים'!$B$64:$BV$84,BG$2-$E$2,FALSE))*$D$9*$D$8*(HLOOKUP(BG$23,$G$18:$R$19,2,FALSE)*(1-$D$12)^($F43-'הנחות עבודה'!$C$5)/$D$11)/$D$11)</f>
        <v>0</v>
      </c>
      <c r="BH43" s="44">
        <f ca="1">IF(OR($F43&gt;$D$5,$F43&gt;MAX('הנחות עבודה'!$B$69:$B$89)),0,(VLOOKUP($F43,'התפלגות ייצור וסל דלקים'!$B$64:$BV$84,BH$2-$E$2,FALSE))*$D$9*$D$8*(HLOOKUP(BH$23,$G$18:$R$19,2,FALSE)*(1-$D$12)^($F43-'הנחות עבודה'!$C$5)/$D$11)/$D$11)</f>
        <v>0</v>
      </c>
      <c r="BI43" s="42">
        <f ca="1">IF(OR($F43&gt;$D$5,$F43&gt;MAX('הנחות עבודה'!$B$69:$B$89)),0,(VLOOKUP($F43,'התפלגות ייצור וסל דלקים'!$B$64:$BV$84,BI$2-$E$2,FALSE))*$D$9*$D$8*(HLOOKUP(BI$23,$G$18:$R$19,2,FALSE)*(1-$D$12)^($F43-'הנחות עבודה'!$C$5)/$D$11)/$D$11)</f>
        <v>1.6600000000000002E-4</v>
      </c>
      <c r="BJ43" s="42">
        <f ca="1">IF(OR($F43&gt;$D$5,$F43&gt;MAX('הנחות עבודה'!$B$69:$B$89)),0,(VLOOKUP($F43,'התפלגות ייצור וסל דלקים'!$B$64:$BV$84,BJ$2-$E$2,FALSE))*$D$9*$D$8*(HLOOKUP(BJ$23,$G$18:$R$19,2,FALSE)*(1-$D$12)^($F43-'הנחות עבודה'!$C$5)/$D$11)/$D$11)</f>
        <v>1.3140497161768096E-3</v>
      </c>
      <c r="BK43" s="42">
        <f ca="1">IF(OR($F43&gt;$D$5,$F43&gt;MAX('הנחות עבודה'!$B$69:$B$89)),0,(VLOOKUP($F43,'התפלגות ייצור וסל דלקים'!$B$64:$BV$84,BK$2-$E$2,FALSE))*$D$9*$D$8*(HLOOKUP(BK$23,$G$18:$R$19,2,FALSE)*(1-$D$12)^($F43-'הנחות עבודה'!$C$5)/$D$11)/$D$11)</f>
        <v>0</v>
      </c>
      <c r="BL43" s="42">
        <f ca="1">IF(OR($F43&gt;$D$5,$F43&gt;MAX('הנחות עבודה'!$B$69:$B$89)),0,(VLOOKUP($F43,'התפלגות ייצור וסל דלקים'!$B$64:$BV$84,BL$2-$E$2,FALSE))*$D$9*$D$8*(HLOOKUP(BL$23,$G$18:$R$19,2,FALSE)*(1-$D$12)^($F43-'הנחות עבודה'!$C$5)/$D$11)/$D$11)</f>
        <v>0</v>
      </c>
      <c r="BM43" s="42">
        <f ca="1">IF(OR($F43&gt;$D$5,$F43&gt;MAX('הנחות עבודה'!$B$69:$B$89)),0,(VLOOKUP($F43,'התפלגות ייצור וסל דלקים'!$B$64:$BV$84,BM$2-$E$2,FALSE))*$D$9*$D$8*(HLOOKUP(BM$23,$G$18:$R$19,2,FALSE)*(1-$D$12)^($F43-'הנחות עבודה'!$C$5)/$D$11)/$D$11)</f>
        <v>0</v>
      </c>
      <c r="BN43" s="42">
        <f ca="1">IF(OR($F43&gt;$D$5,$F43&gt;MAX('הנחות עבודה'!$B$69:$B$89)),0,(VLOOKUP($F43,'התפלגות ייצור וסל דלקים'!$B$64:$BV$84,BN$2-$E$2,FALSE))*$D$9*$D$8*(HLOOKUP(BN$23,$G$18:$R$19,2,FALSE)*(1-$D$12)^($F43-'הנחות עבודה'!$C$5)/$D$11)/$D$11)</f>
        <v>0</v>
      </c>
      <c r="BO43" s="52">
        <f ca="1">IF(OR($F43&gt;$D$5,$F43&gt;MAX('הנחות עבודה'!$B$69:$B$89)),0,(VLOOKUP($F43,'התפלגות ייצור וסל דלקים'!$B$64:$BV$84,BO$2-$E$2,FALSE))*$D$9*$D$8*(HLOOKUP(BO$23,$G$18:$R$19,2,FALSE)*(1-$D$12)^($F43-'הנחות עבודה'!$C$5)/$D$11)/$D$11)</f>
        <v>0</v>
      </c>
      <c r="BP43" s="127">
        <f ca="1">IF(OR($F43&gt;$D$5,$F43&gt;MAX('הנחות עבודה'!$B$69:$B$89)),0,(VLOOKUP($F43,'התפלגות ייצור וסל דלקים'!$B$64:$BV$84,BP$2-$E$2,FALSE))*$D$9*$D$8*(HLOOKUP(BP$23,$G$18:$R$19,2,FALSE)*(1-$D$12)^($F43-'הנחות עבודה'!$C$5)/$D$11)/$D$11)</f>
        <v>0</v>
      </c>
      <c r="BQ43" s="127">
        <f ca="1">IF(OR($F43&gt;$D$5,$F43&gt;MAX('הנחות עבודה'!$B$69:$B$89)),0,(VLOOKUP($F43,'התפלגות ייצור וסל דלקים'!$B$64:$BV$84,BQ$2-$E$2,FALSE))*$D$9*$D$8*(HLOOKUP(BQ$23,$G$18:$R$19,2,FALSE)*(1-$D$12)^($F43-'הנחות עבודה'!$C$5)/$D$11)/$D$11)</f>
        <v>0</v>
      </c>
      <c r="BR43" s="127">
        <f ca="1">IF(OR($F43&gt;$D$5,$F43&gt;MAX('הנחות עבודה'!$B$69:$B$89)),0,(VLOOKUP($F43,'התפלגות ייצור וסל דלקים'!$B$64:$BV$84,BR$2-$E$2,FALSE))*$D$9*$D$8*(HLOOKUP(BR$23,$G$18:$R$19,2,FALSE)*(1-$D$12)^($F43-'הנחות עבודה'!$C$5)/$D$11)/$D$11)</f>
        <v>0</v>
      </c>
      <c r="BS43" s="127">
        <f ca="1">IF(OR($F43&gt;$D$5,$F43&gt;MAX('הנחות עבודה'!$B$69:$B$89)),0,(VLOOKUP($F43,'התפלגות ייצור וסל דלקים'!$B$64:$BV$84,BS$2-$E$2,FALSE))*$D$9*$D$8*(HLOOKUP(BS$23,$G$18:$R$19,2,FALSE)*(1-$D$12)^($F43-'הנחות עבודה'!$C$5)/$D$11)/$D$11)</f>
        <v>0</v>
      </c>
      <c r="BT43" s="127">
        <f ca="1">IF(OR($F43&gt;$D$5,$F43&gt;MAX('הנחות עבודה'!$B$69:$B$89)),0,(VLOOKUP($F43,'התפלגות ייצור וסל דלקים'!$B$64:$BV$84,BT$2-$E$2,FALSE))*$D$9*$D$8*(HLOOKUP(BT$23,$G$18:$R$19,2,FALSE)*(1-$D$12)^($F43-'הנחות עבודה'!$C$5)/$D$11)/$D$11)</f>
        <v>0</v>
      </c>
      <c r="BU43" s="52">
        <f ca="1">IF(OR($F43&gt;$D$5,$F43&gt;MAX('הנחות עבודה'!$B$69:$B$89)),0,(VLOOKUP($F43,'התפלגות ייצור וסל דלקים'!$B$64:$BV$84,BU$2-$E$2,FALSE))*$D$9*$D$8*(HLOOKUP(BU$23,$G$18:$R$19,2,FALSE)*(1-$D$12)^($F43-'הנחות עבודה'!$C$5)/$D$11)/$D$11)</f>
        <v>1.6600000000000002E-4</v>
      </c>
      <c r="BV43" s="52">
        <f ca="1">IF(OR($F43&gt;$D$5,$F43&gt;MAX('הנחות עבודה'!$B$69:$B$89)),0,(VLOOKUP($F43,'התפלגות ייצור וסל דלקים'!$B$64:$BV$84,BV$2-$E$2,FALSE))*$D$9*$D$8*(HLOOKUP(BV$23,$G$18:$R$19,2,FALSE)*(1-$D$12)^($F43-'הנחות עבודה'!$C$5)/$D$11)/$D$11)</f>
        <v>1.3140497161768096E-3</v>
      </c>
      <c r="BW43" s="52">
        <f ca="1">IF(OR($F43&gt;$D$5,$F43&gt;MAX('הנחות עבודה'!$B$69:$B$89)),0,(VLOOKUP($F43,'התפלגות ייצור וסל דלקים'!$B$64:$BV$84,BW$2-$E$2,FALSE))*$D$9*$D$8*(HLOOKUP(BW$23,$G$18:$R$19,2,FALSE)*(1-$D$12)^($F43-'הנחות עבודה'!$C$5)/$D$11)/$D$11)</f>
        <v>0</v>
      </c>
      <c r="BX43" s="52">
        <f ca="1">IF(OR($F43&gt;$D$5,$F43&gt;MAX('הנחות עבודה'!$B$69:$B$89)),0,(VLOOKUP($F43,'התפלגות ייצור וסל דלקים'!$B$64:$BV$84,BX$2-$E$2,FALSE))*$D$9*$D$8*(HLOOKUP(BX$23,$G$18:$R$19,2,FALSE)*(1-$D$12)^($F43-'הנחות עבודה'!$C$5)/$D$11)/$D$11)</f>
        <v>0</v>
      </c>
      <c r="BY43" s="52">
        <f ca="1">IF(OR($F43&gt;$D$5,$F43&gt;MAX('הנחות עבודה'!$B$69:$B$89)),0,(VLOOKUP($F43,'התפלגות ייצור וסל דלקים'!$B$64:$BV$84,BY$2-$E$2,FALSE))*$D$9*$D$8*(HLOOKUP(BY$23,$G$18:$R$19,2,FALSE)*(1-$D$12)^($F43-'הנחות עבודה'!$C$5)/$D$11)/$D$11)</f>
        <v>0</v>
      </c>
      <c r="BZ43" s="52">
        <f ca="1">IF(OR($F43&gt;$D$5,$F43&gt;MAX('הנחות עבודה'!$B$69:$B$89)),0,(VLOOKUP($F43,'התפלגות ייצור וסל דלקים'!$B$64:$BV$84,BZ$2-$E$2,FALSE))*$D$9*$D$8*(HLOOKUP(BZ$23,$G$18:$R$19,2,FALSE)*(1-$D$12)^($F43-'הנחות עבודה'!$C$5)/$D$11)/$D$11)</f>
        <v>0</v>
      </c>
    </row>
    <row r="44" spans="6:78" ht="16.5" thickBot="1">
      <c r="F44" s="328">
        <f t="shared" si="114"/>
        <v>2040</v>
      </c>
      <c r="G44" s="45">
        <f ca="1">IF(OR($F44&gt;$D$5,$F44&gt;MAX('הנחות עבודה'!$B$69:$B$89)),0,(VLOOKUP($F44,'התפלגות ייצור וסל דלקים'!$B$64:$BV$84,G$2-$E$2,FALSE))*$D$9*$D$8*(HLOOKUP(G$23,$G$18:$R$19,2,FALSE)*(1-$D$12)^($F44-'הנחות עבודה'!$C$5)/$D$11)/$D$11)</f>
        <v>0</v>
      </c>
      <c r="H44" s="47">
        <f ca="1">IF(OR($F44&gt;$D$5,$F44&gt;MAX('הנחות עבודה'!$B$69:$B$89)),0,(VLOOKUP($F44,'התפלגות ייצור וסל דלקים'!$B$64:$BV$84,H$2-$E$2,FALSE))*$D$9*$D$8*(HLOOKUP(H$23,$G$18:$R$19,2,FALSE)*(1-$D$12)^($F44-'הנחות עבודה'!$C$5)/$D$11)/$D$11)</f>
        <v>0</v>
      </c>
      <c r="I44" s="47">
        <f ca="1">IF(OR($F44&gt;$D$5,$F44&gt;MAX('הנחות עבודה'!$B$69:$B$89)),0,(VLOOKUP($F44,'התפלגות ייצור וסל דלקים'!$B$64:$BV$84,I$2-$E$2,FALSE))*$D$9*$D$8*(HLOOKUP(I$23,$G$18:$R$19,2,FALSE)*(1-$D$12)^($F44-'הנחות עבודה'!$C$5)/$D$11)/$D$11)</f>
        <v>0</v>
      </c>
      <c r="J44" s="47">
        <f ca="1">IF(OR($F44&gt;$D$5,$F44&gt;MAX('הנחות עבודה'!$B$69:$B$89)),0,(VLOOKUP($F44,'התפלגות ייצור וסל דלקים'!$B$64:$BV$84,J$2-$E$2,FALSE))*$D$9*$D$8*(HLOOKUP(J$23,$G$18:$R$19,2,FALSE)*(1-$D$12)^($F44-'הנחות עבודה'!$C$5)/$D$11)/$D$11)</f>
        <v>0</v>
      </c>
      <c r="K44" s="47">
        <f ca="1">IF(OR($F44&gt;$D$5,$F44&gt;MAX('הנחות עבודה'!$B$69:$B$89)),0,(VLOOKUP($F44,'התפלגות ייצור וסל דלקים'!$B$64:$BV$84,K$2-$E$2,FALSE))*$D$9*$D$8*(HLOOKUP(K$23,$G$18:$R$19,2,FALSE)*(1-$D$12)^($F44-'הנחות עבודה'!$C$5)/$D$11)/$D$11)</f>
        <v>0</v>
      </c>
      <c r="L44" s="47">
        <f ca="1">IF(OR($F44&gt;$D$5,$F44&gt;MAX('הנחות עבודה'!$B$69:$B$89)),0,(VLOOKUP($F44,'התפלגות ייצור וסל דלקים'!$B$64:$BV$84,L$2-$E$2,FALSE))*$D$9*$D$8*(HLOOKUP(L$23,$G$18:$R$19,2,FALSE)*(1-$D$12)^($F44-'הנחות עבודה'!$C$5)/$D$11)/$D$11)</f>
        <v>0</v>
      </c>
      <c r="M44" s="45">
        <f ca="1">IF(OR($F44&gt;$D$5,$F44&gt;MAX('הנחות עבודה'!$B$69:$B$89)),0,(VLOOKUP($F44,'התפלגות ייצור וסל דלקים'!$B$64:$BV$84,M$2-$E$2,FALSE))*$D$9*$D$8*(HLOOKUP(M$23,$G$18:$R$19,2,FALSE)*(1-$D$12)^($F44-'הנחות עבודה'!$C$5)/$D$11)/$D$11)</f>
        <v>1.5710510000000003E-4</v>
      </c>
      <c r="N44" s="45">
        <f ca="1">IF(OR($F44&gt;$D$5,$F44&gt;MAX('הנחות עבודה'!$B$69:$B$89)),0,(VLOOKUP($F44,'התפלגות ייצור וסל דלקים'!$B$64:$BV$84,N$2-$E$2,FALSE))*$D$9*$D$8*(HLOOKUP(N$23,$G$18:$R$19,2,FALSE)*(1-$D$12)^($F44-'הנחות עבודה'!$C$5)/$D$11)/$D$11)</f>
        <v>1.5819308158911379E-3</v>
      </c>
      <c r="O44" s="45">
        <f ca="1">IF(OR($F44&gt;$D$5,$F44&gt;MAX('הנחות עבודה'!$B$69:$B$89)),0,(VLOOKUP($F44,'התפלגות ייצור וסל דלקים'!$B$64:$BV$84,O$2-$E$2,FALSE))*$D$9*$D$8*(HLOOKUP(O$23,$G$18:$R$19,2,FALSE)*(1-$D$12)^($F44-'הנחות עבודה'!$C$5)/$D$11)/$D$11)</f>
        <v>0</v>
      </c>
      <c r="P44" s="45">
        <f ca="1">IF(OR($F44&gt;$D$5,$F44&gt;MAX('הנחות עבודה'!$B$69:$B$89)),0,(VLOOKUP($F44,'התפלגות ייצור וסל דלקים'!$B$64:$BV$84,P$2-$E$2,FALSE))*$D$9*$D$8*(HLOOKUP(P$23,$G$18:$R$19,2,FALSE)*(1-$D$12)^($F44-'הנחות עבודה'!$C$5)/$D$11)/$D$11)</f>
        <v>0</v>
      </c>
      <c r="Q44" s="45">
        <f ca="1">IF(OR($F44&gt;$D$5,$F44&gt;MAX('הנחות עבודה'!$B$69:$B$89)),0,(VLOOKUP($F44,'התפלגות ייצור וסל דלקים'!$B$64:$BV$84,Q$2-$E$2,FALSE))*$D$9*$D$8*(HLOOKUP(Q$23,$G$18:$R$19,2,FALSE)*(1-$D$12)^($F44-'הנחות עבודה'!$C$5)/$D$11)/$D$11)</f>
        <v>0</v>
      </c>
      <c r="R44" s="45">
        <f ca="1">IF(OR($F44&gt;$D$5,$F44&gt;MAX('הנחות עבודה'!$B$69:$B$89)),0,(VLOOKUP($F44,'התפלגות ייצור וסל דלקים'!$B$64:$BV$84,R$2-$E$2,FALSE))*$D$9*$D$8*(HLOOKUP(R$23,$G$18:$R$19,2,FALSE)*(1-$D$12)^($F44-'הנחות עבודה'!$C$5)/$D$11)/$D$11)</f>
        <v>0</v>
      </c>
      <c r="S44" s="55">
        <f ca="1">IF(OR($F44&gt;$D$5,$F44&gt;MAX('הנחות עבודה'!$B$69:$B$89)),0,(VLOOKUP($F44,'התפלגות ייצור וסל דלקים'!$B$64:$BV$84,S$2-$E$2,FALSE))*$D$9*$D$8*(HLOOKUP(S$23,$G$18:$R$19,2,FALSE)*(1-$D$12)^($F44-'הנחות עבודה'!$C$5)/$D$11)/$D$11)</f>
        <v>0</v>
      </c>
      <c r="T44" s="128">
        <f ca="1">IF(OR($F44&gt;$D$5,$F44&gt;MAX('הנחות עבודה'!$B$69:$B$89)),0,(VLOOKUP($F44,'התפלגות ייצור וסל דלקים'!$B$64:$BV$84,T$2-$E$2,FALSE))*$D$9*$D$8*(HLOOKUP(T$23,$G$18:$R$19,2,FALSE)*(1-$D$12)^($F44-'הנחות עבודה'!$C$5)/$D$11)/$D$11)</f>
        <v>0</v>
      </c>
      <c r="U44" s="128">
        <f ca="1">IF(OR($F44&gt;$D$5,$F44&gt;MAX('הנחות עבודה'!$B$69:$B$89)),0,(VLOOKUP($F44,'התפלגות ייצור וסל דלקים'!$B$64:$BV$84,U$2-$E$2,FALSE))*$D$9*$D$8*(HLOOKUP(U$23,$G$18:$R$19,2,FALSE)*(1-$D$12)^($F44-'הנחות עבודה'!$C$5)/$D$11)/$D$11)</f>
        <v>0</v>
      </c>
      <c r="V44" s="128">
        <f ca="1">IF(OR($F44&gt;$D$5,$F44&gt;MAX('הנחות עבודה'!$B$69:$B$89)),0,(VLOOKUP($F44,'התפלגות ייצור וסל דלקים'!$B$64:$BV$84,V$2-$E$2,FALSE))*$D$9*$D$8*(HLOOKUP(V$23,$G$18:$R$19,2,FALSE)*(1-$D$12)^($F44-'הנחות עבודה'!$C$5)/$D$11)/$D$11)</f>
        <v>0</v>
      </c>
      <c r="W44" s="128">
        <f ca="1">IF(OR($F44&gt;$D$5,$F44&gt;MAX('הנחות עבודה'!$B$69:$B$89)),0,(VLOOKUP($F44,'התפלגות ייצור וסל דלקים'!$B$64:$BV$84,W$2-$E$2,FALSE))*$D$9*$D$8*(HLOOKUP(W$23,$G$18:$R$19,2,FALSE)*(1-$D$12)^($F44-'הנחות עבודה'!$C$5)/$D$11)/$D$11)</f>
        <v>0</v>
      </c>
      <c r="X44" s="128">
        <f ca="1">IF(OR($F44&gt;$D$5,$F44&gt;MAX('הנחות עבודה'!$B$69:$B$89)),0,(VLOOKUP($F44,'התפלגות ייצור וסל דלקים'!$B$64:$BV$84,X$2-$E$2,FALSE))*$D$9*$D$8*(HLOOKUP(X$23,$G$18:$R$19,2,FALSE)*(1-$D$12)^($F44-'הנחות עבודה'!$C$5)/$D$11)/$D$11)</f>
        <v>0</v>
      </c>
      <c r="Y44" s="55">
        <f ca="1">IF(OR($F44&gt;$D$5,$F44&gt;MAX('הנחות עבודה'!$B$69:$B$89)),0,(VLOOKUP($F44,'התפלגות ייצור וסל דלקים'!$B$64:$BV$84,Y$2-$E$2,FALSE))*$D$9*$D$8*(HLOOKUP(Y$23,$G$18:$R$19,2,FALSE)*(1-$D$12)^($F44-'הנחות עבודה'!$C$5)/$D$11)/$D$11)</f>
        <v>1.5710510000000003E-4</v>
      </c>
      <c r="Z44" s="55">
        <f ca="1">IF(OR($F44&gt;$D$5,$F44&gt;MAX('הנחות עבודה'!$B$69:$B$89)),0,(VLOOKUP($F44,'התפלגות ייצור וסל דלקים'!$B$64:$BV$84,Z$2-$E$2,FALSE))*$D$9*$D$8*(HLOOKUP(Z$23,$G$18:$R$19,2,FALSE)*(1-$D$12)^($F44-'הנחות עבודה'!$C$5)/$D$11)/$D$11)</f>
        <v>1.5819308158911379E-3</v>
      </c>
      <c r="AA44" s="55">
        <f ca="1">IF(OR($F44&gt;$D$5,$F44&gt;MAX('הנחות עבודה'!$B$69:$B$89)),0,(VLOOKUP($F44,'התפלגות ייצור וסל דלקים'!$B$64:$BV$84,AA$2-$E$2,FALSE))*$D$9*$D$8*(HLOOKUP(AA$23,$G$18:$R$19,2,FALSE)*(1-$D$12)^($F44-'הנחות עבודה'!$C$5)/$D$11)/$D$11)</f>
        <v>0</v>
      </c>
      <c r="AB44" s="55">
        <f ca="1">IF(OR($F44&gt;$D$5,$F44&gt;MAX('הנחות עבודה'!$B$69:$B$89)),0,(VLOOKUP($F44,'התפלגות ייצור וסל דלקים'!$B$64:$BV$84,AB$2-$E$2,FALSE))*$D$9*$D$8*(HLOOKUP(AB$23,$G$18:$R$19,2,FALSE)*(1-$D$12)^($F44-'הנחות עבודה'!$C$5)/$D$11)/$D$11)</f>
        <v>0</v>
      </c>
      <c r="AC44" s="55">
        <f ca="1">IF(OR($F44&gt;$D$5,$F44&gt;MAX('הנחות עבודה'!$B$69:$B$89)),0,(VLOOKUP($F44,'התפלגות ייצור וסל דלקים'!$B$64:$BV$84,AC$2-$E$2,FALSE))*$D$9*$D$8*(HLOOKUP(AC$23,$G$18:$R$19,2,FALSE)*(1-$D$12)^($F44-'הנחות עבודה'!$C$5)/$D$11)/$D$11)</f>
        <v>0</v>
      </c>
      <c r="AD44" s="55">
        <f ca="1">IF(OR($F44&gt;$D$5,$F44&gt;MAX('הנחות עבודה'!$B$69:$B$89)),0,(VLOOKUP($F44,'התפלגות ייצור וסל דלקים'!$B$64:$BV$84,AD$2-$E$2,FALSE))*$D$9*$D$8*(HLOOKUP(AD$23,$G$18:$R$19,2,FALSE)*(1-$D$12)^($F44-'הנחות עבודה'!$C$5)/$D$11)/$D$11)</f>
        <v>0</v>
      </c>
      <c r="AE44" s="45">
        <f ca="1">IF(OR($F44&gt;$D$5,$F44&gt;MAX('הנחות עבודה'!$B$69:$B$89)),0,(VLOOKUP($F44,'התפלגות ייצור וסל דלקים'!$B$64:$BV$84,AE$2-$E$2,FALSE))*$D$9*$D$8*(HLOOKUP(AE$23,$G$18:$R$19,2,FALSE)*(1-$D$12)^($F44-'הנחות עבודה'!$C$5)/$D$11)/$D$11)</f>
        <v>0</v>
      </c>
      <c r="AF44" s="47">
        <f ca="1">IF(OR($F44&gt;$D$5,$F44&gt;MAX('הנחות עבודה'!$B$69:$B$89)),0,(VLOOKUP($F44,'התפלגות ייצור וסל דלקים'!$B$64:$BV$84,AF$2-$E$2,FALSE))*$D$9*$D$8*(HLOOKUP(AF$23,$G$18:$R$19,2,FALSE)*(1-$D$12)^($F44-'הנחות עבודה'!$C$5)/$D$11)/$D$11)</f>
        <v>0</v>
      </c>
      <c r="AG44" s="47">
        <f ca="1">IF(OR($F44&gt;$D$5,$F44&gt;MAX('הנחות עבודה'!$B$69:$B$89)),0,(VLOOKUP($F44,'התפלגות ייצור וסל דלקים'!$B$64:$BV$84,AG$2-$E$2,FALSE))*$D$9*$D$8*(HLOOKUP(AG$23,$G$18:$R$19,2,FALSE)*(1-$D$12)^($F44-'הנחות עבודה'!$C$5)/$D$11)/$D$11)</f>
        <v>0</v>
      </c>
      <c r="AH44" s="47">
        <f ca="1">IF(OR($F44&gt;$D$5,$F44&gt;MAX('הנחות עבודה'!$B$69:$B$89)),0,(VLOOKUP($F44,'התפלגות ייצור וסל דלקים'!$B$64:$BV$84,AH$2-$E$2,FALSE))*$D$9*$D$8*(HLOOKUP(AH$23,$G$18:$R$19,2,FALSE)*(1-$D$12)^($F44-'הנחות עבודה'!$C$5)/$D$11)/$D$11)</f>
        <v>0</v>
      </c>
      <c r="AI44" s="47">
        <f ca="1">IF(OR($F44&gt;$D$5,$F44&gt;MAX('הנחות עבודה'!$B$69:$B$89)),0,(VLOOKUP($F44,'התפלגות ייצור וסל דלקים'!$B$64:$BV$84,AI$2-$E$2,FALSE))*$D$9*$D$8*(HLOOKUP(AI$23,$G$18:$R$19,2,FALSE)*(1-$D$12)^($F44-'הנחות עבודה'!$C$5)/$D$11)/$D$11)</f>
        <v>0</v>
      </c>
      <c r="AJ44" s="47">
        <f ca="1">IF(OR($F44&gt;$D$5,$F44&gt;MAX('הנחות עבודה'!$B$69:$B$89)),0,(VLOOKUP($F44,'התפלגות ייצור וסל דלקים'!$B$64:$BV$84,AJ$2-$E$2,FALSE))*$D$9*$D$8*(HLOOKUP(AJ$23,$G$18:$R$19,2,FALSE)*(1-$D$12)^($F44-'הנחות עבודה'!$C$5)/$D$11)/$D$11)</f>
        <v>0</v>
      </c>
      <c r="AK44" s="45">
        <f ca="1">IF(OR($F44&gt;$D$5,$F44&gt;MAX('הנחות עבודה'!$B$69:$B$89)),0,(VLOOKUP($F44,'התפלגות ייצור וסל דלקים'!$B$64:$BV$84,AK$2-$E$2,FALSE))*$D$9*$D$8*(HLOOKUP(AK$23,$G$18:$R$19,2,FALSE)*(1-$D$12)^($F44-'הנחות עבודה'!$C$5)/$D$11)/$D$11)</f>
        <v>1.631336E-4</v>
      </c>
      <c r="AL44" s="45">
        <f ca="1">IF(OR($F44&gt;$D$5,$F44&gt;MAX('הנחות עבודה'!$B$69:$B$89)),0,(VLOOKUP($F44,'התפלגות ייצור וסל דלקים'!$B$64:$BV$84,AL$2-$E$2,FALSE))*$D$9*$D$8*(HLOOKUP(AL$23,$G$18:$R$19,2,FALSE)*(1-$D$12)^($F44-'הנחות עבודה'!$C$5)/$D$11)/$D$11)</f>
        <v>1.4550152413217434E-3</v>
      </c>
      <c r="AM44" s="45">
        <f ca="1">IF(OR($F44&gt;$D$5,$F44&gt;MAX('הנחות עבודה'!$B$69:$B$89)),0,(VLOOKUP($F44,'התפלגות ייצור וסל דלקים'!$B$64:$BV$84,AM$2-$E$2,FALSE))*$D$9*$D$8*(HLOOKUP(AM$23,$G$18:$R$19,2,FALSE)*(1-$D$12)^($F44-'הנחות עבודה'!$C$5)/$D$11)/$D$11)</f>
        <v>0</v>
      </c>
      <c r="AN44" s="45">
        <f ca="1">IF(OR($F44&gt;$D$5,$F44&gt;MAX('הנחות עבודה'!$B$69:$B$89)),0,(VLOOKUP($F44,'התפלגות ייצור וסל דלקים'!$B$64:$BV$84,AN$2-$E$2,FALSE))*$D$9*$D$8*(HLOOKUP(AN$23,$G$18:$R$19,2,FALSE)*(1-$D$12)^($F44-'הנחות עבודה'!$C$5)/$D$11)/$D$11)</f>
        <v>0</v>
      </c>
      <c r="AO44" s="45">
        <f ca="1">IF(OR($F44&gt;$D$5,$F44&gt;MAX('הנחות עבודה'!$B$69:$B$89)),0,(VLOOKUP($F44,'התפלגות ייצור וסל דלקים'!$B$64:$BV$84,AO$2-$E$2,FALSE))*$D$9*$D$8*(HLOOKUP(AO$23,$G$18:$R$19,2,FALSE)*(1-$D$12)^($F44-'הנחות עבודה'!$C$5)/$D$11)/$D$11)</f>
        <v>0</v>
      </c>
      <c r="AP44" s="45">
        <f ca="1">IF(OR($F44&gt;$D$5,$F44&gt;MAX('הנחות עבודה'!$B$69:$B$89)),0,(VLOOKUP($F44,'התפלגות ייצור וסל דלקים'!$B$64:$BV$84,AP$2-$E$2,FALSE))*$D$9*$D$8*(HLOOKUP(AP$23,$G$18:$R$19,2,FALSE)*(1-$D$12)^($F44-'הנחות עבודה'!$C$5)/$D$11)/$D$11)</f>
        <v>0</v>
      </c>
      <c r="AQ44" s="55">
        <f ca="1">IF(OR($F44&gt;$D$5,$F44&gt;MAX('הנחות עבודה'!$B$69:$B$89)),0,(VLOOKUP($F44,'התפלגות ייצור וסל דלקים'!$B$64:$BV$84,AQ$2-$E$2,FALSE))*$D$9*$D$8*(HLOOKUP(AQ$23,$G$18:$R$19,2,FALSE)*(1-$D$12)^($F44-'הנחות עבודה'!$C$5)/$D$11)/$D$11)</f>
        <v>0</v>
      </c>
      <c r="AR44" s="128">
        <f ca="1">IF(OR($F44&gt;$D$5,$F44&gt;MAX('הנחות עבודה'!$B$69:$B$89)),0,(VLOOKUP($F44,'התפלגות ייצור וסל דלקים'!$B$64:$BV$84,AR$2-$E$2,FALSE))*$D$9*$D$8*(HLOOKUP(AR$23,$G$18:$R$19,2,FALSE)*(1-$D$12)^($F44-'הנחות עבודה'!$C$5)/$D$11)/$D$11)</f>
        <v>0</v>
      </c>
      <c r="AS44" s="128">
        <f ca="1">IF(OR($F44&gt;$D$5,$F44&gt;MAX('הנחות עבודה'!$B$69:$B$89)),0,(VLOOKUP($F44,'התפלגות ייצור וסל דלקים'!$B$64:$BV$84,AS$2-$E$2,FALSE))*$D$9*$D$8*(HLOOKUP(AS$23,$G$18:$R$19,2,FALSE)*(1-$D$12)^($F44-'הנחות עבודה'!$C$5)/$D$11)/$D$11)</f>
        <v>0</v>
      </c>
      <c r="AT44" s="128">
        <f ca="1">IF(OR($F44&gt;$D$5,$F44&gt;MAX('הנחות עבודה'!$B$69:$B$89)),0,(VLOOKUP($F44,'התפלגות ייצור וסל דלקים'!$B$64:$BV$84,AT$2-$E$2,FALSE))*$D$9*$D$8*(HLOOKUP(AT$23,$G$18:$R$19,2,FALSE)*(1-$D$12)^($F44-'הנחות עבודה'!$C$5)/$D$11)/$D$11)</f>
        <v>0</v>
      </c>
      <c r="AU44" s="128">
        <f ca="1">IF(OR($F44&gt;$D$5,$F44&gt;MAX('הנחות עבודה'!$B$69:$B$89)),0,(VLOOKUP($F44,'התפלגות ייצור וסל דלקים'!$B$64:$BV$84,AU$2-$E$2,FALSE))*$D$9*$D$8*(HLOOKUP(AU$23,$G$18:$R$19,2,FALSE)*(1-$D$12)^($F44-'הנחות עבודה'!$C$5)/$D$11)/$D$11)</f>
        <v>0</v>
      </c>
      <c r="AV44" s="128">
        <f ca="1">IF(OR($F44&gt;$D$5,$F44&gt;MAX('הנחות עבודה'!$B$69:$B$89)),0,(VLOOKUP($F44,'התפלגות ייצור וסל דלקים'!$B$64:$BV$84,AV$2-$E$2,FALSE))*$D$9*$D$8*(HLOOKUP(AV$23,$G$18:$R$19,2,FALSE)*(1-$D$12)^($F44-'הנחות עבודה'!$C$5)/$D$11)/$D$11)</f>
        <v>0</v>
      </c>
      <c r="AW44" s="55">
        <f ca="1">IF(OR($F44&gt;$D$5,$F44&gt;MAX('הנחות עבודה'!$B$69:$B$89)),0,(VLOOKUP($F44,'התפלגות ייצור וסל דלקים'!$B$64:$BV$84,AW$2-$E$2,FALSE))*$D$9*$D$8*(HLOOKUP(AW$23,$G$18:$R$19,2,FALSE)*(1-$D$12)^($F44-'הנחות עבודה'!$C$5)/$D$11)/$D$11)</f>
        <v>1.631336E-4</v>
      </c>
      <c r="AX44" s="55">
        <f ca="1">IF(OR($F44&gt;$D$5,$F44&gt;MAX('הנחות עבודה'!$B$69:$B$89)),0,(VLOOKUP($F44,'התפלגות ייצור וסל דלקים'!$B$64:$BV$84,AX$2-$E$2,FALSE))*$D$9*$D$8*(HLOOKUP(AX$23,$G$18:$R$19,2,FALSE)*(1-$D$12)^($F44-'הנחות עבודה'!$C$5)/$D$11)/$D$11)</f>
        <v>1.4550152413217434E-3</v>
      </c>
      <c r="AY44" s="55">
        <f ca="1">IF(OR($F44&gt;$D$5,$F44&gt;MAX('הנחות עבודה'!$B$69:$B$89)),0,(VLOOKUP($F44,'התפלגות ייצור וסל דלקים'!$B$64:$BV$84,AY$2-$E$2,FALSE))*$D$9*$D$8*(HLOOKUP(AY$23,$G$18:$R$19,2,FALSE)*(1-$D$12)^($F44-'הנחות עבודה'!$C$5)/$D$11)/$D$11)</f>
        <v>0</v>
      </c>
      <c r="AZ44" s="55">
        <f ca="1">IF(OR($F44&gt;$D$5,$F44&gt;MAX('הנחות עבודה'!$B$69:$B$89)),0,(VLOOKUP($F44,'התפלגות ייצור וסל דלקים'!$B$64:$BV$84,AZ$2-$E$2,FALSE))*$D$9*$D$8*(HLOOKUP(AZ$23,$G$18:$R$19,2,FALSE)*(1-$D$12)^($F44-'הנחות עבודה'!$C$5)/$D$11)/$D$11)</f>
        <v>0</v>
      </c>
      <c r="BA44" s="55">
        <f ca="1">IF(OR($F44&gt;$D$5,$F44&gt;MAX('הנחות עבודה'!$B$69:$B$89)),0,(VLOOKUP($F44,'התפלגות ייצור וסל דלקים'!$B$64:$BV$84,BA$2-$E$2,FALSE))*$D$9*$D$8*(HLOOKUP(BA$23,$G$18:$R$19,2,FALSE)*(1-$D$12)^($F44-'הנחות עבודה'!$C$5)/$D$11)/$D$11)</f>
        <v>0</v>
      </c>
      <c r="BB44" s="55">
        <f ca="1">IF(OR($F44&gt;$D$5,$F44&gt;MAX('הנחות עבודה'!$B$69:$B$89)),0,(VLOOKUP($F44,'התפלגות ייצור וסל דלקים'!$B$64:$BV$84,BB$2-$E$2,FALSE))*$D$9*$D$8*(HLOOKUP(BB$23,$G$18:$R$19,2,FALSE)*(1-$D$12)^($F44-'הנחות עבודה'!$C$5)/$D$11)/$D$11)</f>
        <v>0</v>
      </c>
      <c r="BC44" s="45">
        <f ca="1">IF(OR($F44&gt;$D$5,$F44&gt;MAX('הנחות עבודה'!$B$69:$B$89)),0,(VLOOKUP($F44,'התפלגות ייצור וסל דלקים'!$B$64:$BV$84,BC$2-$E$2,FALSE))*$D$9*$D$8*(HLOOKUP(BC$23,$G$18:$R$19,2,FALSE)*(1-$D$12)^($F44-'הנחות עבודה'!$C$5)/$D$11)/$D$11)</f>
        <v>0</v>
      </c>
      <c r="BD44" s="47">
        <f ca="1">IF(OR($F44&gt;$D$5,$F44&gt;MAX('הנחות עבודה'!$B$69:$B$89)),0,(VLOOKUP($F44,'התפלגות ייצור וסל דלקים'!$B$64:$BV$84,BD$2-$E$2,FALSE))*$D$9*$D$8*(HLOOKUP(BD$23,$G$18:$R$19,2,FALSE)*(1-$D$12)^($F44-'הנחות עבודה'!$C$5)/$D$11)/$D$11)</f>
        <v>0</v>
      </c>
      <c r="BE44" s="47">
        <f ca="1">IF(OR($F44&gt;$D$5,$F44&gt;MAX('הנחות עבודה'!$B$69:$B$89)),0,(VLOOKUP($F44,'התפלגות ייצור וסל דלקים'!$B$64:$BV$84,BE$2-$E$2,FALSE))*$D$9*$D$8*(HLOOKUP(BE$23,$G$18:$R$19,2,FALSE)*(1-$D$12)^($F44-'הנחות עבודה'!$C$5)/$D$11)/$D$11)</f>
        <v>0</v>
      </c>
      <c r="BF44" s="47">
        <f ca="1">IF(OR($F44&gt;$D$5,$F44&gt;MAX('הנחות עבודה'!$B$69:$B$89)),0,(VLOOKUP($F44,'התפלגות ייצור וסל דלקים'!$B$64:$BV$84,BF$2-$E$2,FALSE))*$D$9*$D$8*(HLOOKUP(BF$23,$G$18:$R$19,2,FALSE)*(1-$D$12)^($F44-'הנחות עבודה'!$C$5)/$D$11)/$D$11)</f>
        <v>0</v>
      </c>
      <c r="BG44" s="47">
        <f ca="1">IF(OR($F44&gt;$D$5,$F44&gt;MAX('הנחות עבודה'!$B$69:$B$89)),0,(VLOOKUP($F44,'התפלגות ייצור וסל דלקים'!$B$64:$BV$84,BG$2-$E$2,FALSE))*$D$9*$D$8*(HLOOKUP(BG$23,$G$18:$R$19,2,FALSE)*(1-$D$12)^($F44-'הנחות עבודה'!$C$5)/$D$11)/$D$11)</f>
        <v>0</v>
      </c>
      <c r="BH44" s="47">
        <f ca="1">IF(OR($F44&gt;$D$5,$F44&gt;MAX('הנחות עבודה'!$B$69:$B$89)),0,(VLOOKUP($F44,'התפלגות ייצור וסל דלקים'!$B$64:$BV$84,BH$2-$E$2,FALSE))*$D$9*$D$8*(HLOOKUP(BH$23,$G$18:$R$19,2,FALSE)*(1-$D$12)^($F44-'הנחות עבודה'!$C$5)/$D$11)/$D$11)</f>
        <v>0</v>
      </c>
      <c r="BI44" s="45">
        <f ca="1">IF(OR($F44&gt;$D$5,$F44&gt;MAX('הנחות עבודה'!$B$69:$B$89)),0,(VLOOKUP($F44,'התפלגות ייצור וסל דלקים'!$B$64:$BV$84,BI$2-$E$2,FALSE))*$D$9*$D$8*(HLOOKUP(BI$23,$G$18:$R$19,2,FALSE)*(1-$D$12)^($F44-'הנחות עבודה'!$C$5)/$D$11)/$D$11)</f>
        <v>1.6712000000000001E-4</v>
      </c>
      <c r="BJ44" s="45">
        <f ca="1">IF(OR($F44&gt;$D$5,$F44&gt;MAX('הנחות עבודה'!$B$69:$B$89)),0,(VLOOKUP($F44,'התפלגות ייצור וסל דלקים'!$B$64:$BV$84,BJ$2-$E$2,FALSE))*$D$9*$D$8*(HLOOKUP(BJ$23,$G$18:$R$19,2,FALSE)*(1-$D$12)^($F44-'הנחות עבודה'!$C$5)/$D$11)/$D$11)</f>
        <v>1.3754684272158722E-3</v>
      </c>
      <c r="BK44" s="45">
        <f ca="1">IF(OR($F44&gt;$D$5,$F44&gt;MAX('הנחות עבודה'!$B$69:$B$89)),0,(VLOOKUP($F44,'התפלגות ייצור וסל דלקים'!$B$64:$BV$84,BK$2-$E$2,FALSE))*$D$9*$D$8*(HLOOKUP(BK$23,$G$18:$R$19,2,FALSE)*(1-$D$12)^($F44-'הנחות עבודה'!$C$5)/$D$11)/$D$11)</f>
        <v>0</v>
      </c>
      <c r="BL44" s="45">
        <f ca="1">IF(OR($F44&gt;$D$5,$F44&gt;MAX('הנחות עבודה'!$B$69:$B$89)),0,(VLOOKUP($F44,'התפלגות ייצור וסל דלקים'!$B$64:$BV$84,BL$2-$E$2,FALSE))*$D$9*$D$8*(HLOOKUP(BL$23,$G$18:$R$19,2,FALSE)*(1-$D$12)^($F44-'הנחות עבודה'!$C$5)/$D$11)/$D$11)</f>
        <v>0</v>
      </c>
      <c r="BM44" s="45">
        <f ca="1">IF(OR($F44&gt;$D$5,$F44&gt;MAX('הנחות עבודה'!$B$69:$B$89)),0,(VLOOKUP($F44,'התפלגות ייצור וסל דלקים'!$B$64:$BV$84,BM$2-$E$2,FALSE))*$D$9*$D$8*(HLOOKUP(BM$23,$G$18:$R$19,2,FALSE)*(1-$D$12)^($F44-'הנחות עבודה'!$C$5)/$D$11)/$D$11)</f>
        <v>0</v>
      </c>
      <c r="BN44" s="45">
        <f ca="1">IF(OR($F44&gt;$D$5,$F44&gt;MAX('הנחות עבודה'!$B$69:$B$89)),0,(VLOOKUP($F44,'התפלגות ייצור וסל דלקים'!$B$64:$BV$84,BN$2-$E$2,FALSE))*$D$9*$D$8*(HLOOKUP(BN$23,$G$18:$R$19,2,FALSE)*(1-$D$12)^($F44-'הנחות עבודה'!$C$5)/$D$11)/$D$11)</f>
        <v>0</v>
      </c>
      <c r="BO44" s="55">
        <f ca="1">IF(OR($F44&gt;$D$5,$F44&gt;MAX('הנחות עבודה'!$B$69:$B$89)),0,(VLOOKUP($F44,'התפלגות ייצור וסל דלקים'!$B$64:$BV$84,BO$2-$E$2,FALSE))*$D$9*$D$8*(HLOOKUP(BO$23,$G$18:$R$19,2,FALSE)*(1-$D$12)^($F44-'הנחות עבודה'!$C$5)/$D$11)/$D$11)</f>
        <v>0</v>
      </c>
      <c r="BP44" s="128">
        <f ca="1">IF(OR($F44&gt;$D$5,$F44&gt;MAX('הנחות עבודה'!$B$69:$B$89)),0,(VLOOKUP($F44,'התפלגות ייצור וסל דלקים'!$B$64:$BV$84,BP$2-$E$2,FALSE))*$D$9*$D$8*(HLOOKUP(BP$23,$G$18:$R$19,2,FALSE)*(1-$D$12)^($F44-'הנחות עבודה'!$C$5)/$D$11)/$D$11)</f>
        <v>0</v>
      </c>
      <c r="BQ44" s="128">
        <f ca="1">IF(OR($F44&gt;$D$5,$F44&gt;MAX('הנחות עבודה'!$B$69:$B$89)),0,(VLOOKUP($F44,'התפלגות ייצור וסל דלקים'!$B$64:$BV$84,BQ$2-$E$2,FALSE))*$D$9*$D$8*(HLOOKUP(BQ$23,$G$18:$R$19,2,FALSE)*(1-$D$12)^($F44-'הנחות עבודה'!$C$5)/$D$11)/$D$11)</f>
        <v>0</v>
      </c>
      <c r="BR44" s="128">
        <f ca="1">IF(OR($F44&gt;$D$5,$F44&gt;MAX('הנחות עבודה'!$B$69:$B$89)),0,(VLOOKUP($F44,'התפלגות ייצור וסל דלקים'!$B$64:$BV$84,BR$2-$E$2,FALSE))*$D$9*$D$8*(HLOOKUP(BR$23,$G$18:$R$19,2,FALSE)*(1-$D$12)^($F44-'הנחות עבודה'!$C$5)/$D$11)/$D$11)</f>
        <v>0</v>
      </c>
      <c r="BS44" s="128">
        <f ca="1">IF(OR($F44&gt;$D$5,$F44&gt;MAX('הנחות עבודה'!$B$69:$B$89)),0,(VLOOKUP($F44,'התפלגות ייצור וסל דלקים'!$B$64:$BV$84,BS$2-$E$2,FALSE))*$D$9*$D$8*(HLOOKUP(BS$23,$G$18:$R$19,2,FALSE)*(1-$D$12)^($F44-'הנחות עבודה'!$C$5)/$D$11)/$D$11)</f>
        <v>0</v>
      </c>
      <c r="BT44" s="128">
        <f ca="1">IF(OR($F44&gt;$D$5,$F44&gt;MAX('הנחות עבודה'!$B$69:$B$89)),0,(VLOOKUP($F44,'התפלגות ייצור וסל דלקים'!$B$64:$BV$84,BT$2-$E$2,FALSE))*$D$9*$D$8*(HLOOKUP(BT$23,$G$18:$R$19,2,FALSE)*(1-$D$12)^($F44-'הנחות עבודה'!$C$5)/$D$11)/$D$11)</f>
        <v>0</v>
      </c>
      <c r="BU44" s="55">
        <f ca="1">IF(OR($F44&gt;$D$5,$F44&gt;MAX('הנחות עבודה'!$B$69:$B$89)),0,(VLOOKUP($F44,'התפלגות ייצור וסל דלקים'!$B$64:$BV$84,BU$2-$E$2,FALSE))*$D$9*$D$8*(HLOOKUP(BU$23,$G$18:$R$19,2,FALSE)*(1-$D$12)^($F44-'הנחות עבודה'!$C$5)/$D$11)/$D$11)</f>
        <v>1.6712000000000001E-4</v>
      </c>
      <c r="BV44" s="55">
        <f ca="1">IF(OR($F44&gt;$D$5,$F44&gt;MAX('הנחות עבודה'!$B$69:$B$89)),0,(VLOOKUP($F44,'התפלגות ייצור וסל דלקים'!$B$64:$BV$84,BV$2-$E$2,FALSE))*$D$9*$D$8*(HLOOKUP(BV$23,$G$18:$R$19,2,FALSE)*(1-$D$12)^($F44-'הנחות עבודה'!$C$5)/$D$11)/$D$11)</f>
        <v>1.3754684272158722E-3</v>
      </c>
      <c r="BW44" s="55">
        <f ca="1">IF(OR($F44&gt;$D$5,$F44&gt;MAX('הנחות עבודה'!$B$69:$B$89)),0,(VLOOKUP($F44,'התפלגות ייצור וסל דלקים'!$B$64:$BV$84,BW$2-$E$2,FALSE))*$D$9*$D$8*(HLOOKUP(BW$23,$G$18:$R$19,2,FALSE)*(1-$D$12)^($F44-'הנחות עבודה'!$C$5)/$D$11)/$D$11)</f>
        <v>0</v>
      </c>
      <c r="BX44" s="55">
        <f ca="1">IF(OR($F44&gt;$D$5,$F44&gt;MAX('הנחות עבודה'!$B$69:$B$89)),0,(VLOOKUP($F44,'התפלגות ייצור וסל דלקים'!$B$64:$BV$84,BX$2-$E$2,FALSE))*$D$9*$D$8*(HLOOKUP(BX$23,$G$18:$R$19,2,FALSE)*(1-$D$12)^($F44-'הנחות עבודה'!$C$5)/$D$11)/$D$11)</f>
        <v>0</v>
      </c>
      <c r="BY44" s="55">
        <f ca="1">IF(OR($F44&gt;$D$5,$F44&gt;MAX('הנחות עבודה'!$B$69:$B$89)),0,(VLOOKUP($F44,'התפלגות ייצור וסל דלקים'!$B$64:$BV$84,BY$2-$E$2,FALSE))*$D$9*$D$8*(HLOOKUP(BY$23,$G$18:$R$19,2,FALSE)*(1-$D$12)^($F44-'הנחות עבודה'!$C$5)/$D$11)/$D$11)</f>
        <v>0</v>
      </c>
      <c r="BZ44" s="55">
        <f ca="1">IF(OR($F44&gt;$D$5,$F44&gt;MAX('הנחות עבודה'!$B$69:$B$89)),0,(VLOOKUP($F44,'התפלגות ייצור וסל דלקים'!$B$64:$BV$84,BZ$2-$E$2,FALSE))*$D$9*$D$8*(HLOOKUP(BZ$23,$G$18:$R$19,2,FALSE)*(1-$D$12)^($F44-'הנחות עבודה'!$C$5)/$D$11)/$D$11)</f>
        <v>0</v>
      </c>
    </row>
    <row r="45" spans="6:78" ht="16.5" thickBot="1">
      <c r="F45" s="349" t="s">
        <v>27</v>
      </c>
      <c r="G45" s="65">
        <f t="shared" ref="G45:BU45" ca="1" si="115">SUM(G24:G44)</f>
        <v>0</v>
      </c>
      <c r="H45" s="65">
        <f t="shared" ca="1" si="115"/>
        <v>0</v>
      </c>
      <c r="I45" s="65">
        <f t="shared" ca="1" si="115"/>
        <v>0</v>
      </c>
      <c r="J45" s="65">
        <f t="shared" ca="1" si="115"/>
        <v>0</v>
      </c>
      <c r="K45" s="65">
        <f t="shared" ca="1" si="115"/>
        <v>0</v>
      </c>
      <c r="L45" s="65">
        <f t="shared" ca="1" si="115"/>
        <v>0</v>
      </c>
      <c r="M45" s="65">
        <f t="shared" ca="1" si="115"/>
        <v>2.3980283000000001E-3</v>
      </c>
      <c r="N45" s="65">
        <f t="shared" ref="N45:R45" ca="1" si="116">SUM(N24:N44)</f>
        <v>2.3608308375834046E-2</v>
      </c>
      <c r="O45" s="65">
        <f t="shared" ca="1" si="116"/>
        <v>0</v>
      </c>
      <c r="P45" s="65">
        <f t="shared" ca="1" si="116"/>
        <v>0</v>
      </c>
      <c r="Q45" s="65">
        <f t="shared" ca="1" si="116"/>
        <v>1.0701961110000002E-3</v>
      </c>
      <c r="R45" s="65">
        <f t="shared" ca="1" si="116"/>
        <v>0</v>
      </c>
      <c r="S45" s="76">
        <f t="shared" ca="1" si="115"/>
        <v>0</v>
      </c>
      <c r="T45" s="76">
        <f t="shared" ca="1" si="115"/>
        <v>0</v>
      </c>
      <c r="U45" s="76">
        <f t="shared" ca="1" si="115"/>
        <v>0</v>
      </c>
      <c r="V45" s="76">
        <f t="shared" ca="1" si="115"/>
        <v>0</v>
      </c>
      <c r="W45" s="76">
        <f t="shared" ca="1" si="115"/>
        <v>0</v>
      </c>
      <c r="X45" s="76">
        <f t="shared" ca="1" si="115"/>
        <v>0</v>
      </c>
      <c r="Y45" s="76">
        <f t="shared" ca="1" si="115"/>
        <v>2.3980283000000001E-3</v>
      </c>
      <c r="Z45" s="76">
        <f t="shared" ref="Z45:AD45" ca="1" si="117">SUM(Z24:Z44)</f>
        <v>2.3608308375834046E-2</v>
      </c>
      <c r="AA45" s="76">
        <f t="shared" ca="1" si="117"/>
        <v>0</v>
      </c>
      <c r="AB45" s="76">
        <f t="shared" ca="1" si="117"/>
        <v>0</v>
      </c>
      <c r="AC45" s="76">
        <f t="shared" ca="1" si="117"/>
        <v>1.0701961110000002E-3</v>
      </c>
      <c r="AD45" s="76">
        <f t="shared" ca="1" si="117"/>
        <v>0</v>
      </c>
      <c r="AE45" s="65">
        <f t="shared" ref="AE45:BB45" ca="1" si="118">SUM(AE24:AE44)</f>
        <v>0</v>
      </c>
      <c r="AF45" s="65">
        <f t="shared" ca="1" si="118"/>
        <v>0</v>
      </c>
      <c r="AG45" s="65">
        <f t="shared" ca="1" si="118"/>
        <v>0</v>
      </c>
      <c r="AH45" s="65">
        <f t="shared" ca="1" si="118"/>
        <v>0</v>
      </c>
      <c r="AI45" s="65">
        <f t="shared" ca="1" si="118"/>
        <v>0</v>
      </c>
      <c r="AJ45" s="65">
        <f t="shared" ca="1" si="118"/>
        <v>0</v>
      </c>
      <c r="AK45" s="65">
        <f t="shared" ca="1" si="118"/>
        <v>2.4880519000000005E-3</v>
      </c>
      <c r="AL45" s="65">
        <f t="shared" ca="1" si="118"/>
        <v>2.1594029759779702E-2</v>
      </c>
      <c r="AM45" s="65">
        <f t="shared" ca="1" si="118"/>
        <v>0</v>
      </c>
      <c r="AN45" s="65">
        <f t="shared" ca="1" si="118"/>
        <v>0</v>
      </c>
      <c r="AO45" s="65">
        <f t="shared" ca="1" si="118"/>
        <v>1.06976994225E-3</v>
      </c>
      <c r="AP45" s="65">
        <f t="shared" ca="1" si="118"/>
        <v>0</v>
      </c>
      <c r="AQ45" s="76">
        <f t="shared" ca="1" si="118"/>
        <v>0</v>
      </c>
      <c r="AR45" s="76">
        <f t="shared" ca="1" si="118"/>
        <v>0</v>
      </c>
      <c r="AS45" s="76">
        <f t="shared" ca="1" si="118"/>
        <v>0</v>
      </c>
      <c r="AT45" s="76">
        <f t="shared" ca="1" si="118"/>
        <v>0</v>
      </c>
      <c r="AU45" s="76">
        <f t="shared" ca="1" si="118"/>
        <v>0</v>
      </c>
      <c r="AV45" s="76">
        <f t="shared" ca="1" si="118"/>
        <v>0</v>
      </c>
      <c r="AW45" s="76">
        <f t="shared" ca="1" si="118"/>
        <v>2.4880519000000005E-3</v>
      </c>
      <c r="AX45" s="76">
        <f t="shared" ca="1" si="118"/>
        <v>2.1594029759779702E-2</v>
      </c>
      <c r="AY45" s="76">
        <f t="shared" ca="1" si="118"/>
        <v>0</v>
      </c>
      <c r="AZ45" s="76">
        <f t="shared" ca="1" si="118"/>
        <v>0</v>
      </c>
      <c r="BA45" s="76">
        <f t="shared" ca="1" si="118"/>
        <v>1.06976994225E-3</v>
      </c>
      <c r="BB45" s="76">
        <f t="shared" ca="1" si="118"/>
        <v>0</v>
      </c>
      <c r="BC45" s="65">
        <f t="shared" ca="1" si="115"/>
        <v>0</v>
      </c>
      <c r="BD45" s="65">
        <f t="shared" ca="1" si="115"/>
        <v>0</v>
      </c>
      <c r="BE45" s="65">
        <f t="shared" ca="1" si="115"/>
        <v>0</v>
      </c>
      <c r="BF45" s="65">
        <f t="shared" ca="1" si="115"/>
        <v>0</v>
      </c>
      <c r="BG45" s="65">
        <f t="shared" ca="1" si="115"/>
        <v>0</v>
      </c>
      <c r="BH45" s="65">
        <f t="shared" ca="1" si="115"/>
        <v>0</v>
      </c>
      <c r="BI45" s="65">
        <f t="shared" ca="1" si="115"/>
        <v>2.5382371000000001E-3</v>
      </c>
      <c r="BJ45" s="65">
        <f t="shared" ref="BJ45:BN45" ca="1" si="119">SUM(BJ24:BJ44)</f>
        <v>2.0374418881025733E-2</v>
      </c>
      <c r="BK45" s="65">
        <f t="shared" ca="1" si="119"/>
        <v>0</v>
      </c>
      <c r="BL45" s="65">
        <f t="shared" ca="1" si="119"/>
        <v>0</v>
      </c>
      <c r="BM45" s="65">
        <f t="shared" ca="1" si="119"/>
        <v>1.0696238272500001E-3</v>
      </c>
      <c r="BN45" s="65">
        <f t="shared" ca="1" si="119"/>
        <v>0</v>
      </c>
      <c r="BO45" s="76">
        <f t="shared" ca="1" si="115"/>
        <v>0</v>
      </c>
      <c r="BP45" s="76">
        <f t="shared" ca="1" si="115"/>
        <v>0</v>
      </c>
      <c r="BQ45" s="76">
        <f t="shared" ca="1" si="115"/>
        <v>0</v>
      </c>
      <c r="BR45" s="76">
        <f t="shared" ca="1" si="115"/>
        <v>0</v>
      </c>
      <c r="BS45" s="76">
        <f t="shared" ca="1" si="115"/>
        <v>0</v>
      </c>
      <c r="BT45" s="76">
        <f t="shared" ca="1" si="115"/>
        <v>0</v>
      </c>
      <c r="BU45" s="76">
        <f t="shared" ca="1" si="115"/>
        <v>2.5382371000000001E-3</v>
      </c>
      <c r="BV45" s="76">
        <f t="shared" ref="BV45:BZ45" ca="1" si="120">SUM(BV24:BV44)</f>
        <v>2.0374418881025733E-2</v>
      </c>
      <c r="BW45" s="76">
        <f t="shared" ca="1" si="120"/>
        <v>0</v>
      </c>
      <c r="BX45" s="76">
        <f t="shared" ca="1" si="120"/>
        <v>0</v>
      </c>
      <c r="BY45" s="76">
        <f t="shared" ca="1" si="120"/>
        <v>1.0696238272500001E-3</v>
      </c>
      <c r="BZ45" s="76">
        <f t="shared" ca="1" si="120"/>
        <v>0</v>
      </c>
    </row>
    <row r="46" spans="6:78" ht="16.5" thickBot="1">
      <c r="F46" s="349" t="s">
        <v>27</v>
      </c>
      <c r="G46" s="1309">
        <f ca="1">SUM(G45:R45)</f>
        <v>2.7076532786834046E-2</v>
      </c>
      <c r="H46" s="1310"/>
      <c r="I46" s="1310"/>
      <c r="J46" s="1310"/>
      <c r="K46" s="1310"/>
      <c r="L46" s="1310"/>
      <c r="M46" s="1310"/>
      <c r="N46" s="1310"/>
      <c r="O46" s="1310"/>
      <c r="P46" s="1310"/>
      <c r="Q46" s="1310"/>
      <c r="R46" s="1311"/>
      <c r="S46" s="1309">
        <f ca="1">SUM(S45:AD45)</f>
        <v>2.7076532786834046E-2</v>
      </c>
      <c r="T46" s="1310"/>
      <c r="U46" s="1310"/>
      <c r="V46" s="1310"/>
      <c r="W46" s="1310"/>
      <c r="X46" s="1310"/>
      <c r="Y46" s="1310"/>
      <c r="Z46" s="1310"/>
      <c r="AA46" s="1310"/>
      <c r="AB46" s="1310"/>
      <c r="AC46" s="1310"/>
      <c r="AD46" s="1311"/>
      <c r="AE46" s="1309">
        <f t="shared" ref="AE46" ca="1" si="121">SUM(AE45:AP45)</f>
        <v>2.51518516020297E-2</v>
      </c>
      <c r="AF46" s="1310"/>
      <c r="AG46" s="1310"/>
      <c r="AH46" s="1310"/>
      <c r="AI46" s="1310"/>
      <c r="AJ46" s="1310"/>
      <c r="AK46" s="1310"/>
      <c r="AL46" s="1310"/>
      <c r="AM46" s="1310"/>
      <c r="AN46" s="1310"/>
      <c r="AO46" s="1310"/>
      <c r="AP46" s="1311"/>
      <c r="AQ46" s="1309">
        <f t="shared" ref="AQ46" ca="1" si="122">SUM(AQ45:BB45)</f>
        <v>2.51518516020297E-2</v>
      </c>
      <c r="AR46" s="1310"/>
      <c r="AS46" s="1310"/>
      <c r="AT46" s="1310"/>
      <c r="AU46" s="1310"/>
      <c r="AV46" s="1310"/>
      <c r="AW46" s="1310"/>
      <c r="AX46" s="1310"/>
      <c r="AY46" s="1310"/>
      <c r="AZ46" s="1310"/>
      <c r="BA46" s="1310"/>
      <c r="BB46" s="1311"/>
      <c r="BC46" s="1309">
        <f ca="1">SUM(BC45:BN45)</f>
        <v>2.3982279808275733E-2</v>
      </c>
      <c r="BD46" s="1310"/>
      <c r="BE46" s="1310"/>
      <c r="BF46" s="1310"/>
      <c r="BG46" s="1310"/>
      <c r="BH46" s="1310"/>
      <c r="BI46" s="1310"/>
      <c r="BJ46" s="1310"/>
      <c r="BK46" s="1310"/>
      <c r="BL46" s="1310"/>
      <c r="BM46" s="1310"/>
      <c r="BN46" s="1311"/>
      <c r="BO46" s="1309">
        <f ca="1">SUM(BO45:BZ45)</f>
        <v>2.3982279808275733E-2</v>
      </c>
      <c r="BP46" s="1310"/>
      <c r="BQ46" s="1310"/>
      <c r="BR46" s="1310"/>
      <c r="BS46" s="1310"/>
      <c r="BT46" s="1310"/>
      <c r="BU46" s="1310"/>
      <c r="BV46" s="1310"/>
      <c r="BW46" s="1310"/>
      <c r="BX46" s="1310"/>
      <c r="BY46" s="1310"/>
      <c r="BZ46" s="1311"/>
    </row>
    <row r="47" spans="6:78" ht="15.75" thickBot="1"/>
    <row r="48" spans="6:78" ht="16.5" thickBot="1">
      <c r="G48" s="1243" t="s">
        <v>499</v>
      </c>
      <c r="H48" s="1244"/>
      <c r="I48" s="1244"/>
      <c r="J48" s="1244"/>
      <c r="K48" s="1244"/>
      <c r="L48" s="1244"/>
      <c r="M48" s="1244"/>
      <c r="N48" s="1244"/>
      <c r="O48" s="1244"/>
      <c r="P48" s="1244"/>
      <c r="Q48" s="1244"/>
      <c r="R48" s="1244"/>
      <c r="S48" s="1244"/>
      <c r="T48" s="1244"/>
      <c r="U48" s="1244"/>
      <c r="V48" s="1244"/>
      <c r="W48" s="1244"/>
      <c r="X48" s="1244"/>
      <c r="Y48" s="1244"/>
      <c r="Z48" s="1244"/>
      <c r="AA48" s="1244"/>
      <c r="AB48" s="1244"/>
      <c r="AC48" s="1244"/>
      <c r="AD48" s="1244"/>
      <c r="AE48" s="1244"/>
      <c r="AF48" s="1244"/>
      <c r="AG48" s="1244"/>
      <c r="AH48" s="1244"/>
      <c r="AI48" s="1244"/>
      <c r="AJ48" s="1244"/>
      <c r="AK48" s="1244"/>
      <c r="AL48" s="1244"/>
      <c r="AM48" s="1244"/>
      <c r="AN48" s="1244"/>
      <c r="AO48" s="1244"/>
      <c r="AP48" s="1244"/>
      <c r="AQ48" s="1244"/>
      <c r="AR48" s="1244"/>
      <c r="AS48" s="1244"/>
      <c r="AT48" s="1244"/>
      <c r="AU48" s="1244"/>
      <c r="AV48" s="1244"/>
      <c r="AW48" s="1244"/>
      <c r="AX48" s="1244"/>
      <c r="AY48" s="1244"/>
      <c r="AZ48" s="1244"/>
      <c r="BA48" s="1244"/>
      <c r="BB48" s="1244"/>
      <c r="BC48" s="1244"/>
      <c r="BD48" s="1244"/>
      <c r="BE48" s="1244"/>
      <c r="BF48" s="1244"/>
      <c r="BG48" s="1244"/>
      <c r="BH48" s="1244"/>
      <c r="BI48" s="1244"/>
      <c r="BJ48" s="1244"/>
      <c r="BK48" s="1244"/>
      <c r="BL48" s="1244"/>
      <c r="BM48" s="1244"/>
      <c r="BN48" s="1244"/>
      <c r="BO48" s="1244"/>
      <c r="BP48" s="1244"/>
      <c r="BQ48" s="1244"/>
      <c r="BR48" s="1244"/>
      <c r="BS48" s="1244"/>
      <c r="BT48" s="1244"/>
      <c r="BU48" s="1244"/>
      <c r="BV48" s="1244"/>
      <c r="BW48" s="1244"/>
      <c r="BX48" s="1244"/>
      <c r="BY48" s="1244"/>
      <c r="BZ48" s="1245"/>
    </row>
    <row r="49" spans="6:78" ht="16.5" thickBot="1">
      <c r="G49" s="1289" t="s">
        <v>46</v>
      </c>
      <c r="H49" s="1290"/>
      <c r="I49" s="1290"/>
      <c r="J49" s="1290"/>
      <c r="K49" s="1290"/>
      <c r="L49" s="1290"/>
      <c r="M49" s="1290"/>
      <c r="N49" s="1290"/>
      <c r="O49" s="1290"/>
      <c r="P49" s="1290"/>
      <c r="Q49" s="1290"/>
      <c r="R49" s="1296"/>
      <c r="S49" s="1291" t="s">
        <v>47</v>
      </c>
      <c r="T49" s="1292"/>
      <c r="U49" s="1292"/>
      <c r="V49" s="1292"/>
      <c r="W49" s="1292"/>
      <c r="X49" s="1292"/>
      <c r="Y49" s="1292"/>
      <c r="Z49" s="1292"/>
      <c r="AA49" s="1292"/>
      <c r="AB49" s="1292"/>
      <c r="AC49" s="1292"/>
      <c r="AD49" s="1293"/>
      <c r="AE49" s="1289" t="s">
        <v>342</v>
      </c>
      <c r="AF49" s="1290"/>
      <c r="AG49" s="1290"/>
      <c r="AH49" s="1290"/>
      <c r="AI49" s="1290"/>
      <c r="AJ49" s="1290"/>
      <c r="AK49" s="1290"/>
      <c r="AL49" s="1290"/>
      <c r="AM49" s="1290"/>
      <c r="AN49" s="1290"/>
      <c r="AO49" s="1290"/>
      <c r="AP49" s="1296"/>
      <c r="AQ49" s="1291" t="s">
        <v>343</v>
      </c>
      <c r="AR49" s="1292"/>
      <c r="AS49" s="1292"/>
      <c r="AT49" s="1292"/>
      <c r="AU49" s="1292"/>
      <c r="AV49" s="1292"/>
      <c r="AW49" s="1292"/>
      <c r="AX49" s="1292"/>
      <c r="AY49" s="1292"/>
      <c r="AZ49" s="1292"/>
      <c r="BA49" s="1292"/>
      <c r="BB49" s="1293"/>
      <c r="BC49" s="1289" t="s">
        <v>344</v>
      </c>
      <c r="BD49" s="1290"/>
      <c r="BE49" s="1290"/>
      <c r="BF49" s="1290"/>
      <c r="BG49" s="1290"/>
      <c r="BH49" s="1290"/>
      <c r="BI49" s="1290"/>
      <c r="BJ49" s="1290"/>
      <c r="BK49" s="1290"/>
      <c r="BL49" s="1290"/>
      <c r="BM49" s="1290"/>
      <c r="BN49" s="1296"/>
      <c r="BO49" s="1291" t="s">
        <v>345</v>
      </c>
      <c r="BP49" s="1292"/>
      <c r="BQ49" s="1292"/>
      <c r="BR49" s="1292"/>
      <c r="BS49" s="1292"/>
      <c r="BT49" s="1292"/>
      <c r="BU49" s="1292"/>
      <c r="BV49" s="1292"/>
      <c r="BW49" s="1292"/>
      <c r="BX49" s="1292"/>
      <c r="BY49" s="1292"/>
      <c r="BZ49" s="1293"/>
    </row>
    <row r="50" spans="6:78" ht="48" customHeight="1" thickBot="1">
      <c r="F50" s="7" t="s">
        <v>0</v>
      </c>
      <c r="G50" s="38" t="str">
        <f ca="1">G23</f>
        <v>מוטה קרקע PV</v>
      </c>
      <c r="H50" s="38" t="str">
        <f t="shared" ref="H50:BU50" ca="1" si="123">H23</f>
        <v>מוטה דואלי PV</v>
      </c>
      <c r="I50" s="38" t="str">
        <f t="shared" ca="1" si="123"/>
        <v>רוח</v>
      </c>
      <c r="J50" s="38" t="str">
        <f t="shared" ca="1" si="123"/>
        <v>ביומסה/ביוגז</v>
      </c>
      <c r="K50" s="38" t="str">
        <f t="shared" ca="1" si="123"/>
        <v>תרמו סולארי</v>
      </c>
      <c r="L50" s="38" t="str">
        <f t="shared" si="123"/>
        <v>אחר</v>
      </c>
      <c r="M50" s="38" t="str">
        <f t="shared" ca="1" si="123"/>
        <v>גז פחמיות מוסבות</v>
      </c>
      <c r="N50" s="38" t="str">
        <f t="shared" ref="N50:R50" ca="1" si="124">N23</f>
        <v>גז חח"י מחזמים ופקירים ויח"פים</v>
      </c>
      <c r="O50" s="38" t="str">
        <f t="shared" ca="1" si="124"/>
        <v>אחר 1</v>
      </c>
      <c r="P50" s="38" t="str">
        <f t="shared" ca="1" si="124"/>
        <v>אחר 2</v>
      </c>
      <c r="Q50" s="38" t="str">
        <f t="shared" si="124"/>
        <v>יחידה פחמית</v>
      </c>
      <c r="R50" s="38" t="str">
        <f t="shared" si="124"/>
        <v>סולר ופצלי שמן</v>
      </c>
      <c r="S50" s="48" t="str">
        <f t="shared" ca="1" si="123"/>
        <v>מוטה קרקע PV</v>
      </c>
      <c r="T50" s="48" t="str">
        <f t="shared" ca="1" si="123"/>
        <v>מוטה דואלי PV</v>
      </c>
      <c r="U50" s="48" t="str">
        <f t="shared" ca="1" si="123"/>
        <v>רוח</v>
      </c>
      <c r="V50" s="48" t="str">
        <f t="shared" ca="1" si="123"/>
        <v>ביומסה/ביוגז</v>
      </c>
      <c r="W50" s="48" t="str">
        <f t="shared" ca="1" si="123"/>
        <v>תרמו סולארי</v>
      </c>
      <c r="X50" s="48" t="str">
        <f t="shared" si="123"/>
        <v>אחר</v>
      </c>
      <c r="Y50" s="48" t="str">
        <f t="shared" ca="1" si="123"/>
        <v>גז פחמיות מוסבות</v>
      </c>
      <c r="Z50" s="48" t="str">
        <f t="shared" ref="Z50:AD50" ca="1" si="125">Z23</f>
        <v>גז חח"י מחזמים ופקירים ויח"פים</v>
      </c>
      <c r="AA50" s="48" t="str">
        <f t="shared" ca="1" si="125"/>
        <v>אחר 1</v>
      </c>
      <c r="AB50" s="48" t="str">
        <f t="shared" ca="1" si="125"/>
        <v>אחר 2</v>
      </c>
      <c r="AC50" s="48" t="str">
        <f t="shared" si="125"/>
        <v>יחידה פחמית</v>
      </c>
      <c r="AD50" s="48" t="str">
        <f t="shared" si="125"/>
        <v>סולר ופצלי שמן</v>
      </c>
      <c r="AE50" s="38" t="str">
        <f t="shared" ref="AE50:BB50" ca="1" si="126">AE23</f>
        <v>מוטה קרקע PV</v>
      </c>
      <c r="AF50" s="38" t="str">
        <f t="shared" ca="1" si="126"/>
        <v>מוטה דואלי PV</v>
      </c>
      <c r="AG50" s="38" t="str">
        <f t="shared" ca="1" si="126"/>
        <v>רוח</v>
      </c>
      <c r="AH50" s="38" t="str">
        <f t="shared" ca="1" si="126"/>
        <v>ביומסה/ביוגז</v>
      </c>
      <c r="AI50" s="38" t="str">
        <f t="shared" ca="1" si="126"/>
        <v>תרמו סולארי</v>
      </c>
      <c r="AJ50" s="38" t="str">
        <f t="shared" si="126"/>
        <v>אחר</v>
      </c>
      <c r="AK50" s="38" t="str">
        <f t="shared" ca="1" si="126"/>
        <v>גז פחמיות מוסבות</v>
      </c>
      <c r="AL50" s="38" t="str">
        <f t="shared" ca="1" si="126"/>
        <v>גז חח"י מחזמים ופקירים ויח"פים</v>
      </c>
      <c r="AM50" s="38" t="str">
        <f t="shared" ca="1" si="126"/>
        <v>אחר 1</v>
      </c>
      <c r="AN50" s="38" t="str">
        <f t="shared" ca="1" si="126"/>
        <v>אחר 2</v>
      </c>
      <c r="AO50" s="38" t="str">
        <f t="shared" si="126"/>
        <v>יחידה פחמית</v>
      </c>
      <c r="AP50" s="38" t="str">
        <f t="shared" si="126"/>
        <v>סולר ופצלי שמן</v>
      </c>
      <c r="AQ50" s="48" t="str">
        <f t="shared" ca="1" si="126"/>
        <v>מוטה קרקע PV</v>
      </c>
      <c r="AR50" s="48" t="str">
        <f t="shared" ca="1" si="126"/>
        <v>מוטה דואלי PV</v>
      </c>
      <c r="AS50" s="48" t="str">
        <f t="shared" ca="1" si="126"/>
        <v>רוח</v>
      </c>
      <c r="AT50" s="48" t="str">
        <f t="shared" ca="1" si="126"/>
        <v>ביומסה/ביוגז</v>
      </c>
      <c r="AU50" s="48" t="str">
        <f t="shared" ca="1" si="126"/>
        <v>תרמו סולארי</v>
      </c>
      <c r="AV50" s="48" t="str">
        <f t="shared" si="126"/>
        <v>אחר</v>
      </c>
      <c r="AW50" s="48" t="str">
        <f t="shared" ca="1" si="126"/>
        <v>גז פחמיות מוסבות</v>
      </c>
      <c r="AX50" s="48" t="str">
        <f t="shared" ca="1" si="126"/>
        <v>גז חח"י מחזמים ופקירים ויח"פים</v>
      </c>
      <c r="AY50" s="48" t="str">
        <f t="shared" ca="1" si="126"/>
        <v>אחר 1</v>
      </c>
      <c r="AZ50" s="48" t="str">
        <f t="shared" ca="1" si="126"/>
        <v>אחר 2</v>
      </c>
      <c r="BA50" s="48" t="str">
        <f t="shared" si="126"/>
        <v>יחידה פחמית</v>
      </c>
      <c r="BB50" s="48" t="str">
        <f t="shared" si="126"/>
        <v>סולר ופצלי שמן</v>
      </c>
      <c r="BC50" s="38" t="str">
        <f t="shared" ca="1" si="123"/>
        <v>מוטה קרקע PV</v>
      </c>
      <c r="BD50" s="38" t="str">
        <f t="shared" ca="1" si="123"/>
        <v>מוטה דואלי PV</v>
      </c>
      <c r="BE50" s="38" t="str">
        <f t="shared" ca="1" si="123"/>
        <v>רוח</v>
      </c>
      <c r="BF50" s="38" t="str">
        <f t="shared" ca="1" si="123"/>
        <v>ביומסה/ביוגז</v>
      </c>
      <c r="BG50" s="38" t="str">
        <f t="shared" ca="1" si="123"/>
        <v>תרמו סולארי</v>
      </c>
      <c r="BH50" s="38" t="str">
        <f t="shared" si="123"/>
        <v>אחר</v>
      </c>
      <c r="BI50" s="38" t="str">
        <f t="shared" ca="1" si="123"/>
        <v>גז פחמיות מוסבות</v>
      </c>
      <c r="BJ50" s="38" t="str">
        <f t="shared" ref="BJ50:BN50" ca="1" si="127">BJ23</f>
        <v>גז חח"י מחזמים ופקירים ויח"פים</v>
      </c>
      <c r="BK50" s="38" t="str">
        <f t="shared" ca="1" si="127"/>
        <v>אחר 1</v>
      </c>
      <c r="BL50" s="38" t="str">
        <f t="shared" ca="1" si="127"/>
        <v>אחר 2</v>
      </c>
      <c r="BM50" s="38" t="str">
        <f t="shared" si="127"/>
        <v>יחידה פחמית</v>
      </c>
      <c r="BN50" s="38" t="str">
        <f t="shared" si="127"/>
        <v>סולר ופצלי שמן</v>
      </c>
      <c r="BO50" s="48" t="str">
        <f t="shared" ca="1" si="123"/>
        <v>מוטה קרקע PV</v>
      </c>
      <c r="BP50" s="48" t="str">
        <f t="shared" ca="1" si="123"/>
        <v>מוטה דואלי PV</v>
      </c>
      <c r="BQ50" s="48" t="str">
        <f t="shared" ca="1" si="123"/>
        <v>רוח</v>
      </c>
      <c r="BR50" s="48" t="str">
        <f t="shared" ca="1" si="123"/>
        <v>ביומסה/ביוגז</v>
      </c>
      <c r="BS50" s="48" t="str">
        <f t="shared" ca="1" si="123"/>
        <v>תרמו סולארי</v>
      </c>
      <c r="BT50" s="48" t="str">
        <f t="shared" si="123"/>
        <v>אחר</v>
      </c>
      <c r="BU50" s="48" t="str">
        <f t="shared" ca="1" si="123"/>
        <v>גז פחמיות מוסבות</v>
      </c>
      <c r="BV50" s="48" t="str">
        <f t="shared" ref="BV50:BZ50" ca="1" si="128">BV23</f>
        <v>גז חח"י מחזמים ופקירים ויח"פים</v>
      </c>
      <c r="BW50" s="48" t="str">
        <f t="shared" ca="1" si="128"/>
        <v>אחר 1</v>
      </c>
      <c r="BX50" s="48" t="str">
        <f t="shared" ca="1" si="128"/>
        <v>אחר 2</v>
      </c>
      <c r="BY50" s="48" t="str">
        <f t="shared" si="128"/>
        <v>יחידה פחמית</v>
      </c>
      <c r="BZ50" s="48" t="str">
        <f t="shared" si="128"/>
        <v>סולר ופצלי שמן</v>
      </c>
    </row>
    <row r="51" spans="6:78" ht="15.75">
      <c r="F51" s="8">
        <f>D4</f>
        <v>2020</v>
      </c>
      <c r="G51" s="39">
        <f ca="1">IF($F51&gt;$D$5,0,VLOOKUP($F51,$F$24:$BZ$44,G$2-$E$2,FALSE)*$D$11*$D$14*(1+$D$13)^($F51-'הנחות עבודה'!$C$5)/$D$11)</f>
        <v>0</v>
      </c>
      <c r="H51" s="41">
        <f ca="1">IF($F51&gt;$D$5,0,VLOOKUP($F51,$F$24:$BZ$44,H$2-$E$2,FALSE)*$D$11*$D$14*(1+$D$13)^($F51-'הנחות עבודה'!$C$5)/$D$11)</f>
        <v>0</v>
      </c>
      <c r="I51" s="41">
        <f ca="1">IF($F51&gt;$D$5,0,VLOOKUP($F51,$F$24:$BZ$44,I$2-$E$2,FALSE)*$D$11*$D$14*(1+$D$13)^($F51-'הנחות עבודה'!$C$5)/$D$11)</f>
        <v>0</v>
      </c>
      <c r="J51" s="41">
        <f ca="1">IF($F51&gt;$D$5,0,VLOOKUP($F51,$F$24:$BZ$44,J$2-$E$2,FALSE)*$D$11*$D$14*(1+$D$13)^($F51-'הנחות עבודה'!$C$5)/$D$11)</f>
        <v>0</v>
      </c>
      <c r="K51" s="41">
        <f ca="1">IF($F51&gt;$D$5,0,VLOOKUP($F51,$F$24:$BZ$44,K$2-$E$2,FALSE)*$D$11*$D$14*(1+$D$13)^($F51-'הנחות עבודה'!$C$5)/$D$11)</f>
        <v>0</v>
      </c>
      <c r="L51" s="41">
        <f ca="1">IF($F51&gt;$D$5,0,VLOOKUP($F51,$F$24:$BZ$44,L$2-$E$2,FALSE)*$D$11*$D$14*(1+$D$13)^($F51-'הנחות עבודה'!$C$5)/$D$11)</f>
        <v>0</v>
      </c>
      <c r="M51" s="39">
        <f ca="1">IF($F51&gt;$D$5,0,VLOOKUP($F51,$F$24:$BZ$44,M$2-$E$2,FALSE)*$D$11*$D$14*(1+$D$13)^($F51-'הנחות עבודה'!$C$5)/$D$11)</f>
        <v>0</v>
      </c>
      <c r="N51" s="39">
        <f ca="1">IF($F51&gt;$D$5,0,VLOOKUP($F51,$F$24:$BZ$44,N$2-$E$2,FALSE)*$D$11*$D$14*(1+$D$13)^($F51-'הנחות עבודה'!$C$5)/$D$11)</f>
        <v>211.01601711366402</v>
      </c>
      <c r="O51" s="39">
        <f ca="1">IF($F51&gt;$D$5,0,VLOOKUP($F51,$F$24:$BZ$44,O$2-$E$2,FALSE)*$D$11*$D$14*(1+$D$13)^($F51-'הנחות עבודה'!$C$5)/$D$11)</f>
        <v>0</v>
      </c>
      <c r="P51" s="39">
        <f ca="1">IF($F51&gt;$D$5,0,VLOOKUP($F51,$F$24:$BZ$44,P$2-$E$2,FALSE)*$D$11*$D$14*(1+$D$13)^($F51-'הנחות עבודה'!$C$5)/$D$11)</f>
        <v>0</v>
      </c>
      <c r="Q51" s="39">
        <f ca="1">IF($F51&gt;$D$5,0,VLOOKUP($F51,$F$24:$BZ$44,Q$2-$E$2,FALSE)*$D$11*$D$14*(1+$D$13)^($F51-'הנחות עבודה'!$C$5)/$D$11)</f>
        <v>67.719760856159994</v>
      </c>
      <c r="R51" s="39">
        <f ca="1">IF($F51&gt;$D$5,0,VLOOKUP($F51,$F$24:$BZ$44,R$2-$E$2,FALSE)*$D$11*$D$14*(1+$D$13)^($F51-'הנחות עבודה'!$C$5)/$D$11)</f>
        <v>0</v>
      </c>
      <c r="S51" s="49">
        <f ca="1">IF($F51&gt;$D$5,0,VLOOKUP($F51,$F$24:$BZ$44,S$2-$E$2,FALSE)*$D$11*$D$14*(1+$D$13)^($F51-'הנחות עבודה'!$C$5)/$D$11)</f>
        <v>0</v>
      </c>
      <c r="T51" s="126">
        <f ca="1">IF($F51&gt;$D$5,0,VLOOKUP($F51,$F$24:$BZ$44,T$2-$E$2,FALSE)*$D$11*$D$14*(1+$D$13)^($F51-'הנחות עבודה'!$C$5)/$D$11)</f>
        <v>0</v>
      </c>
      <c r="U51" s="126">
        <f ca="1">IF($F51&gt;$D$5,0,VLOOKUP($F51,$F$24:$BZ$44,U$2-$E$2,FALSE)*$D$11*$D$14*(1+$D$13)^($F51-'הנחות עבודה'!$C$5)/$D$11)</f>
        <v>0</v>
      </c>
      <c r="V51" s="126">
        <f ca="1">IF($F51&gt;$D$5,0,VLOOKUP($F51,$F$24:$BZ$44,V$2-$E$2,FALSE)*$D$11*$D$14*(1+$D$13)^($F51-'הנחות עבודה'!$C$5)/$D$11)</f>
        <v>0</v>
      </c>
      <c r="W51" s="126">
        <f ca="1">IF($F51&gt;$D$5,0,VLOOKUP($F51,$F$24:$BZ$44,W$2-$E$2,FALSE)*$D$11*$D$14*(1+$D$13)^($F51-'הנחות עבודה'!$C$5)/$D$11)</f>
        <v>0</v>
      </c>
      <c r="X51" s="126">
        <f ca="1">IF($F51&gt;$D$5,0,VLOOKUP($F51,$F$24:$BZ$44,X$2-$E$2,FALSE)*$D$11*$D$14*(1+$D$13)^($F51-'הנחות עבודה'!$C$5)/$D$11)</f>
        <v>0</v>
      </c>
      <c r="Y51" s="49">
        <f ca="1">IF($F51&gt;$D$5,0,VLOOKUP($F51,$F$24:$BZ$44,Y$2-$E$2,FALSE)*$D$11*$D$14*(1+$D$13)^($F51-'הנחות עבודה'!$C$5)/$D$11)</f>
        <v>0</v>
      </c>
      <c r="Z51" s="49">
        <f ca="1">IF($F51&gt;$D$5,0,VLOOKUP($F51,$F$24:$BZ$44,Z$2-$E$2,FALSE)*$D$11*$D$14*(1+$D$13)^($F51-'הנחות עבודה'!$C$5)/$D$11)</f>
        <v>211.01601711366402</v>
      </c>
      <c r="AA51" s="49">
        <f ca="1">IF($F51&gt;$D$5,0,VLOOKUP($F51,$F$24:$BZ$44,AA$2-$E$2,FALSE)*$D$11*$D$14*(1+$D$13)^($F51-'הנחות עבודה'!$C$5)/$D$11)</f>
        <v>0</v>
      </c>
      <c r="AB51" s="49">
        <f ca="1">IF($F51&gt;$D$5,0,VLOOKUP($F51,$F$24:$BZ$44,AB$2-$E$2,FALSE)*$D$11*$D$14*(1+$D$13)^($F51-'הנחות עבודה'!$C$5)/$D$11)</f>
        <v>0</v>
      </c>
      <c r="AC51" s="49">
        <f ca="1">IF($F51&gt;$D$5,0,VLOOKUP($F51,$F$24:$BZ$44,AC$2-$E$2,FALSE)*$D$11*$D$14*(1+$D$13)^($F51-'הנחות עבודה'!$C$5)/$D$11)</f>
        <v>67.719760856159994</v>
      </c>
      <c r="AD51" s="49">
        <f ca="1">IF($F51&gt;$D$5,0,VLOOKUP($F51,$F$24:$BZ$44,AD$2-$E$2,FALSE)*$D$11*$D$14*(1+$D$13)^($F51-'הנחות עבודה'!$C$5)/$D$11)</f>
        <v>0</v>
      </c>
      <c r="AE51" s="39">
        <f ca="1">IF($F51&gt;$D$5,0,VLOOKUP($F51,$F$24:$BZ$44,AE$2-$E$2,FALSE)*$D$11*$D$14*(1+$D$13)^($F51-'הנחות עבודה'!$C$5)/$D$11)</f>
        <v>0</v>
      </c>
      <c r="AF51" s="41">
        <f ca="1">IF($F51&gt;$D$5,0,VLOOKUP($F51,$F$24:$BZ$44,AF$2-$E$2,FALSE)*$D$11*$D$14*(1+$D$13)^($F51-'הנחות עבודה'!$C$5)/$D$11)</f>
        <v>0</v>
      </c>
      <c r="AG51" s="41">
        <f ca="1">IF($F51&gt;$D$5,0,VLOOKUP($F51,$F$24:$BZ$44,AG$2-$E$2,FALSE)*$D$11*$D$14*(1+$D$13)^($F51-'הנחות עבודה'!$C$5)/$D$11)</f>
        <v>0</v>
      </c>
      <c r="AH51" s="41">
        <f ca="1">IF($F51&gt;$D$5,0,VLOOKUP($F51,$F$24:$BZ$44,AH$2-$E$2,FALSE)*$D$11*$D$14*(1+$D$13)^($F51-'הנחות עבודה'!$C$5)/$D$11)</f>
        <v>0</v>
      </c>
      <c r="AI51" s="41">
        <f ca="1">IF($F51&gt;$D$5,0,VLOOKUP($F51,$F$24:$BZ$44,AI$2-$E$2,FALSE)*$D$11*$D$14*(1+$D$13)^($F51-'הנחות עבודה'!$C$5)/$D$11)</f>
        <v>0</v>
      </c>
      <c r="AJ51" s="41">
        <f ca="1">IF($F51&gt;$D$5,0,VLOOKUP($F51,$F$24:$BZ$44,AJ$2-$E$2,FALSE)*$D$11*$D$14*(1+$D$13)^($F51-'הנחות עבודה'!$C$5)/$D$11)</f>
        <v>0</v>
      </c>
      <c r="AK51" s="39">
        <f ca="1">IF($F51&gt;$D$5,0,VLOOKUP($F51,$F$24:$BZ$44,AK$2-$E$2,FALSE)*$D$11*$D$14*(1+$D$13)^($F51-'הנחות עבודה'!$C$5)/$D$11)</f>
        <v>0</v>
      </c>
      <c r="AL51" s="39">
        <f ca="1">IF($F51&gt;$D$5,0,VLOOKUP($F51,$F$24:$BZ$44,AL$2-$E$2,FALSE)*$D$11*$D$14*(1+$D$13)^($F51-'הנחות עבודה'!$C$5)/$D$11)</f>
        <v>211.01601711366402</v>
      </c>
      <c r="AM51" s="39">
        <f ca="1">IF($F51&gt;$D$5,0,VLOOKUP($F51,$F$24:$BZ$44,AM$2-$E$2,FALSE)*$D$11*$D$14*(1+$D$13)^($F51-'הנחות עבודה'!$C$5)/$D$11)</f>
        <v>0</v>
      </c>
      <c r="AN51" s="39">
        <f ca="1">IF($F51&gt;$D$5,0,VLOOKUP($F51,$F$24:$BZ$44,AN$2-$E$2,FALSE)*$D$11*$D$14*(1+$D$13)^($F51-'הנחות עבודה'!$C$5)/$D$11)</f>
        <v>0</v>
      </c>
      <c r="AO51" s="39">
        <f ca="1">IF($F51&gt;$D$5,0,VLOOKUP($F51,$F$24:$BZ$44,AO$2-$E$2,FALSE)*$D$11*$D$14*(1+$D$13)^($F51-'הנחות עבודה'!$C$5)/$D$11)</f>
        <v>67.719760856159994</v>
      </c>
      <c r="AP51" s="39">
        <f ca="1">IF($F51&gt;$D$5,0,VLOOKUP($F51,$F$24:$BZ$44,AP$2-$E$2,FALSE)*$D$11*$D$14*(1+$D$13)^($F51-'הנחות עבודה'!$C$5)/$D$11)</f>
        <v>0</v>
      </c>
      <c r="AQ51" s="49">
        <f ca="1">IF($F51&gt;$D$5,0,VLOOKUP($F51,$F$24:$BZ$44,AQ$2-$E$2,FALSE)*$D$11*$D$14*(1+$D$13)^($F51-'הנחות עבודה'!$C$5)/$D$11)</f>
        <v>0</v>
      </c>
      <c r="AR51" s="126">
        <f ca="1">IF($F51&gt;$D$5,0,VLOOKUP($F51,$F$24:$BZ$44,AR$2-$E$2,FALSE)*$D$11*$D$14*(1+$D$13)^($F51-'הנחות עבודה'!$C$5)/$D$11)</f>
        <v>0</v>
      </c>
      <c r="AS51" s="126">
        <f ca="1">IF($F51&gt;$D$5,0,VLOOKUP($F51,$F$24:$BZ$44,AS$2-$E$2,FALSE)*$D$11*$D$14*(1+$D$13)^($F51-'הנחות עבודה'!$C$5)/$D$11)</f>
        <v>0</v>
      </c>
      <c r="AT51" s="126">
        <f ca="1">IF($F51&gt;$D$5,0,VLOOKUP($F51,$F$24:$BZ$44,AT$2-$E$2,FALSE)*$D$11*$D$14*(1+$D$13)^($F51-'הנחות עבודה'!$C$5)/$D$11)</f>
        <v>0</v>
      </c>
      <c r="AU51" s="126">
        <f ca="1">IF($F51&gt;$D$5,0,VLOOKUP($F51,$F$24:$BZ$44,AU$2-$E$2,FALSE)*$D$11*$D$14*(1+$D$13)^($F51-'הנחות עבודה'!$C$5)/$D$11)</f>
        <v>0</v>
      </c>
      <c r="AV51" s="126">
        <f ca="1">IF($F51&gt;$D$5,0,VLOOKUP($F51,$F$24:$BZ$44,AV$2-$E$2,FALSE)*$D$11*$D$14*(1+$D$13)^($F51-'הנחות עבודה'!$C$5)/$D$11)</f>
        <v>0</v>
      </c>
      <c r="AW51" s="49">
        <f ca="1">IF($F51&gt;$D$5,0,VLOOKUP($F51,$F$24:$BZ$44,AW$2-$E$2,FALSE)*$D$11*$D$14*(1+$D$13)^($F51-'הנחות עבודה'!$C$5)/$D$11)</f>
        <v>0</v>
      </c>
      <c r="AX51" s="49">
        <f ca="1">IF($F51&gt;$D$5,0,VLOOKUP($F51,$F$24:$BZ$44,AX$2-$E$2,FALSE)*$D$11*$D$14*(1+$D$13)^($F51-'הנחות עבודה'!$C$5)/$D$11)</f>
        <v>211.01601711366402</v>
      </c>
      <c r="AY51" s="49">
        <f ca="1">IF($F51&gt;$D$5,0,VLOOKUP($F51,$F$24:$BZ$44,AY$2-$E$2,FALSE)*$D$11*$D$14*(1+$D$13)^($F51-'הנחות עבודה'!$C$5)/$D$11)</f>
        <v>0</v>
      </c>
      <c r="AZ51" s="49">
        <f ca="1">IF($F51&gt;$D$5,0,VLOOKUP($F51,$F$24:$BZ$44,AZ$2-$E$2,FALSE)*$D$11*$D$14*(1+$D$13)^($F51-'הנחות עבודה'!$C$5)/$D$11)</f>
        <v>0</v>
      </c>
      <c r="BA51" s="49">
        <f ca="1">IF($F51&gt;$D$5,0,VLOOKUP($F51,$F$24:$BZ$44,BA$2-$E$2,FALSE)*$D$11*$D$14*(1+$D$13)^($F51-'הנחות עבודה'!$C$5)/$D$11)</f>
        <v>67.719760856159994</v>
      </c>
      <c r="BB51" s="49">
        <f ca="1">IF($F51&gt;$D$5,0,VLOOKUP($F51,$F$24:$BZ$44,BB$2-$E$2,FALSE)*$D$11*$D$14*(1+$D$13)^($F51-'הנחות עבודה'!$C$5)/$D$11)</f>
        <v>0</v>
      </c>
      <c r="BC51" s="39">
        <f ca="1">IF($F51&gt;$D$5,0,VLOOKUP($F51,$F$24:$BZ$44,BC$2-$E$2,FALSE)*$D$11*$D$14*(1+$D$13)^($F51-'הנחות עבודה'!$C$5)/$D$11)</f>
        <v>0</v>
      </c>
      <c r="BD51" s="41">
        <f ca="1">IF($F51&gt;$D$5,0,VLOOKUP($F51,$F$24:$BZ$44,BD$2-$E$2,FALSE)*$D$11*$D$14*(1+$D$13)^($F51-'הנחות עבודה'!$C$5)/$D$11)</f>
        <v>0</v>
      </c>
      <c r="BE51" s="41">
        <f ca="1">IF($F51&gt;$D$5,0,VLOOKUP($F51,$F$24:$BZ$44,BE$2-$E$2,FALSE)*$D$11*$D$14*(1+$D$13)^($F51-'הנחות עבודה'!$C$5)/$D$11)</f>
        <v>0</v>
      </c>
      <c r="BF51" s="41">
        <f ca="1">IF($F51&gt;$D$5,0,VLOOKUP($F51,$F$24:$BZ$44,BF$2-$E$2,FALSE)*$D$11*$D$14*(1+$D$13)^($F51-'הנחות עבודה'!$C$5)/$D$11)</f>
        <v>0</v>
      </c>
      <c r="BG51" s="41">
        <f ca="1">IF($F51&gt;$D$5,0,VLOOKUP($F51,$F$24:$BZ$44,BG$2-$E$2,FALSE)*$D$11*$D$14*(1+$D$13)^($F51-'הנחות עבודה'!$C$5)/$D$11)</f>
        <v>0</v>
      </c>
      <c r="BH51" s="41">
        <f ca="1">IF($F51&gt;$D$5,0,VLOOKUP($F51,$F$24:$BZ$44,BH$2-$E$2,FALSE)*$D$11*$D$14*(1+$D$13)^($F51-'הנחות עבודה'!$C$5)/$D$11)</f>
        <v>0</v>
      </c>
      <c r="BI51" s="39">
        <f ca="1">IF($F51&gt;$D$5,0,VLOOKUP($F51,$F$24:$BZ$44,BI$2-$E$2,FALSE)*$D$11*$D$14*(1+$D$13)^($F51-'הנחות עבודה'!$C$5)/$D$11)</f>
        <v>0</v>
      </c>
      <c r="BJ51" s="39">
        <f ca="1">IF($F51&gt;$D$5,0,VLOOKUP($F51,$F$24:$BZ$44,BJ$2-$E$2,FALSE)*$D$11*$D$14*(1+$D$13)^($F51-'הנחות עבודה'!$C$5)/$D$11)</f>
        <v>211.01601711366402</v>
      </c>
      <c r="BK51" s="39">
        <f ca="1">IF($F51&gt;$D$5,0,VLOOKUP($F51,$F$24:$BZ$44,BK$2-$E$2,FALSE)*$D$11*$D$14*(1+$D$13)^($F51-'הנחות עבודה'!$C$5)/$D$11)</f>
        <v>0</v>
      </c>
      <c r="BL51" s="39">
        <f ca="1">IF($F51&gt;$D$5,0,VLOOKUP($F51,$F$24:$BZ$44,BL$2-$E$2,FALSE)*$D$11*$D$14*(1+$D$13)^($F51-'הנחות עבודה'!$C$5)/$D$11)</f>
        <v>0</v>
      </c>
      <c r="BM51" s="39">
        <f ca="1">IF($F51&gt;$D$5,0,VLOOKUP($F51,$F$24:$BZ$44,BM$2-$E$2,FALSE)*$D$11*$D$14*(1+$D$13)^($F51-'הנחות עבודה'!$C$5)/$D$11)</f>
        <v>67.719760856159994</v>
      </c>
      <c r="BN51" s="39">
        <f ca="1">IF($F51&gt;$D$5,0,VLOOKUP($F51,$F$24:$BZ$44,BN$2-$E$2,FALSE)*$D$11*$D$14*(1+$D$13)^($F51-'הנחות עבודה'!$C$5)/$D$11)</f>
        <v>0</v>
      </c>
      <c r="BO51" s="49">
        <f ca="1">IF($F51&gt;$D$5,0,VLOOKUP($F51,$F$24:$BZ$44,BO$2-$E$2,FALSE)*$D$11*$D$14*(1+$D$13)^($F51-'הנחות עבודה'!$C$5)/$D$11)</f>
        <v>0</v>
      </c>
      <c r="BP51" s="126">
        <f ca="1">IF($F51&gt;$D$5,0,VLOOKUP($F51,$F$24:$BZ$44,BP$2-$E$2,FALSE)*$D$11*$D$14*(1+$D$13)^($F51-'הנחות עבודה'!$C$5)/$D$11)</f>
        <v>0</v>
      </c>
      <c r="BQ51" s="126">
        <f ca="1">IF($F51&gt;$D$5,0,VLOOKUP($F51,$F$24:$BZ$44,BQ$2-$E$2,FALSE)*$D$11*$D$14*(1+$D$13)^($F51-'הנחות עבודה'!$C$5)/$D$11)</f>
        <v>0</v>
      </c>
      <c r="BR51" s="126">
        <f ca="1">IF($F51&gt;$D$5,0,VLOOKUP($F51,$F$24:$BZ$44,BR$2-$E$2,FALSE)*$D$11*$D$14*(1+$D$13)^($F51-'הנחות עבודה'!$C$5)/$D$11)</f>
        <v>0</v>
      </c>
      <c r="BS51" s="126">
        <f ca="1">IF($F51&gt;$D$5,0,VLOOKUP($F51,$F$24:$BZ$44,BS$2-$E$2,FALSE)*$D$11*$D$14*(1+$D$13)^($F51-'הנחות עבודה'!$C$5)/$D$11)</f>
        <v>0</v>
      </c>
      <c r="BT51" s="126">
        <f ca="1">IF($F51&gt;$D$5,0,VLOOKUP($F51,$F$24:$BZ$44,BT$2-$E$2,FALSE)*$D$11*$D$14*(1+$D$13)^($F51-'הנחות עבודה'!$C$5)/$D$11)</f>
        <v>0</v>
      </c>
      <c r="BU51" s="49">
        <f ca="1">IF($F51&gt;$D$5,0,VLOOKUP($F51,$F$24:$BZ$44,BU$2-$E$2,FALSE)*$D$11*$D$14*(1+$D$13)^($F51-'הנחות עבודה'!$C$5)/$D$11)</f>
        <v>0</v>
      </c>
      <c r="BV51" s="49">
        <f ca="1">IF($F51&gt;$D$5,0,VLOOKUP($F51,$F$24:$BZ$44,BV$2-$E$2,FALSE)*$D$11*$D$14*(1+$D$13)^($F51-'הנחות עבודה'!$C$5)/$D$11)</f>
        <v>211.01601711366402</v>
      </c>
      <c r="BW51" s="49">
        <f ca="1">IF($F51&gt;$D$5,0,VLOOKUP($F51,$F$24:$BZ$44,BW$2-$E$2,FALSE)*$D$11*$D$14*(1+$D$13)^($F51-'הנחות עבודה'!$C$5)/$D$11)</f>
        <v>0</v>
      </c>
      <c r="BX51" s="49">
        <f ca="1">IF($F51&gt;$D$5,0,VLOOKUP($F51,$F$24:$BZ$44,BX$2-$E$2,FALSE)*$D$11*$D$14*(1+$D$13)^($F51-'הנחות עבודה'!$C$5)/$D$11)</f>
        <v>0</v>
      </c>
      <c r="BY51" s="49">
        <f ca="1">IF($F51&gt;$D$5,0,VLOOKUP($F51,$F$24:$BZ$44,BY$2-$E$2,FALSE)*$D$11*$D$14*(1+$D$13)^($F51-'הנחות עבודה'!$C$5)/$D$11)</f>
        <v>67.719760856159994</v>
      </c>
      <c r="BZ51" s="49">
        <f ca="1">IF($F51&gt;$D$5,0,VLOOKUP($F51,$F$24:$BZ$44,BZ$2-$E$2,FALSE)*$D$11*$D$14*(1+$D$13)^($F51-'הנחות עבודה'!$C$5)/$D$11)</f>
        <v>0</v>
      </c>
    </row>
    <row r="52" spans="6:78" ht="15.75">
      <c r="F52" s="10">
        <f>F51+1</f>
        <v>2021</v>
      </c>
      <c r="G52" s="42">
        <f ca="1">IF($F52&gt;$D$5,0,VLOOKUP($F52,$F$24:$BZ$44,G$2-$E$2,FALSE)*$D$11*$D$14*(1+$D$13)^($F52-'הנחות עבודה'!$C$5)/$D$11)</f>
        <v>0</v>
      </c>
      <c r="H52" s="44">
        <f ca="1">IF($F52&gt;$D$5,0,VLOOKUP($F52,$F$24:$BZ$44,H$2-$E$2,FALSE)*$D$11*$D$14*(1+$D$13)^($F52-'הנחות עבודה'!$C$5)/$D$11)</f>
        <v>0</v>
      </c>
      <c r="I52" s="44">
        <f ca="1">IF($F52&gt;$D$5,0,VLOOKUP($F52,$F$24:$BZ$44,I$2-$E$2,FALSE)*$D$11*$D$14*(1+$D$13)^($F52-'הנחות עבודה'!$C$5)/$D$11)</f>
        <v>0</v>
      </c>
      <c r="J52" s="44">
        <f ca="1">IF($F52&gt;$D$5,0,VLOOKUP($F52,$F$24:$BZ$44,J$2-$E$2,FALSE)*$D$11*$D$14*(1+$D$13)^($F52-'הנחות עבודה'!$C$5)/$D$11)</f>
        <v>0</v>
      </c>
      <c r="K52" s="44">
        <f ca="1">IF($F52&gt;$D$5,0,VLOOKUP($F52,$F$24:$BZ$44,K$2-$E$2,FALSE)*$D$11*$D$14*(1+$D$13)^($F52-'הנחות עבודה'!$C$5)/$D$11)</f>
        <v>0</v>
      </c>
      <c r="L52" s="44">
        <f ca="1">IF($F52&gt;$D$5,0,VLOOKUP($F52,$F$24:$BZ$44,L$2-$E$2,FALSE)*$D$11*$D$14*(1+$D$13)^($F52-'הנחות עבודה'!$C$5)/$D$11)</f>
        <v>0</v>
      </c>
      <c r="M52" s="42">
        <f ca="1">IF($F52&gt;$D$5,0,VLOOKUP($F52,$F$24:$BZ$44,M$2-$E$2,FALSE)*$D$11*$D$14*(1+$D$13)^($F52-'הנחות עבודה'!$C$5)/$D$11)</f>
        <v>0</v>
      </c>
      <c r="N52" s="42">
        <f ca="1">IF($F52&gt;$D$5,0,VLOOKUP($F52,$F$24:$BZ$44,N$2-$E$2,FALSE)*$D$11*$D$14*(1+$D$13)^($F52-'הנחות עבודה'!$C$5)/$D$11)</f>
        <v>224.75844247722375</v>
      </c>
      <c r="O52" s="42">
        <f ca="1">IF($F52&gt;$D$5,0,VLOOKUP($F52,$F$24:$BZ$44,O$2-$E$2,FALSE)*$D$11*$D$14*(1+$D$13)^($F52-'הנחות עבודה'!$C$5)/$D$11)</f>
        <v>0</v>
      </c>
      <c r="P52" s="42">
        <f ca="1">IF($F52&gt;$D$5,0,VLOOKUP($F52,$F$24:$BZ$44,P$2-$E$2,FALSE)*$D$11*$D$14*(1+$D$13)^($F52-'הנחות עבודה'!$C$5)/$D$11)</f>
        <v>0</v>
      </c>
      <c r="Q52" s="42">
        <f ca="1">IF($F52&gt;$D$5,0,VLOOKUP($F52,$F$24:$BZ$44,Q$2-$E$2,FALSE)*$D$11*$D$14*(1+$D$13)^($F52-'הנחות עבודה'!$C$5)/$D$11)</f>
        <v>69.930811048113625</v>
      </c>
      <c r="R52" s="42">
        <f ca="1">IF($F52&gt;$D$5,0,VLOOKUP($F52,$F$24:$BZ$44,R$2-$E$2,FALSE)*$D$11*$D$14*(1+$D$13)^($F52-'הנחות עבודה'!$C$5)/$D$11)</f>
        <v>0</v>
      </c>
      <c r="S52" s="52">
        <f ca="1">IF($F52&gt;$D$5,0,VLOOKUP($F52,$F$24:$BZ$44,S$2-$E$2,FALSE)*$D$11*$D$14*(1+$D$13)^($F52-'הנחות עבודה'!$C$5)/$D$11)</f>
        <v>0</v>
      </c>
      <c r="T52" s="127">
        <f ca="1">IF($F52&gt;$D$5,0,VLOOKUP($F52,$F$24:$BZ$44,T$2-$E$2,FALSE)*$D$11*$D$14*(1+$D$13)^($F52-'הנחות עבודה'!$C$5)/$D$11)</f>
        <v>0</v>
      </c>
      <c r="U52" s="127">
        <f ca="1">IF($F52&gt;$D$5,0,VLOOKUP($F52,$F$24:$BZ$44,U$2-$E$2,FALSE)*$D$11*$D$14*(1+$D$13)^($F52-'הנחות עבודה'!$C$5)/$D$11)</f>
        <v>0</v>
      </c>
      <c r="V52" s="127">
        <f ca="1">IF($F52&gt;$D$5,0,VLOOKUP($F52,$F$24:$BZ$44,V$2-$E$2,FALSE)*$D$11*$D$14*(1+$D$13)^($F52-'הנחות עבודה'!$C$5)/$D$11)</f>
        <v>0</v>
      </c>
      <c r="W52" s="127">
        <f ca="1">IF($F52&gt;$D$5,0,VLOOKUP($F52,$F$24:$BZ$44,W$2-$E$2,FALSE)*$D$11*$D$14*(1+$D$13)^($F52-'הנחות עבודה'!$C$5)/$D$11)</f>
        <v>0</v>
      </c>
      <c r="X52" s="127">
        <f ca="1">IF($F52&gt;$D$5,0,VLOOKUP($F52,$F$24:$BZ$44,X$2-$E$2,FALSE)*$D$11*$D$14*(1+$D$13)^($F52-'הנחות עבודה'!$C$5)/$D$11)</f>
        <v>0</v>
      </c>
      <c r="Y52" s="52">
        <f ca="1">IF($F52&gt;$D$5,0,VLOOKUP($F52,$F$24:$BZ$44,Y$2-$E$2,FALSE)*$D$11*$D$14*(1+$D$13)^($F52-'הנחות עבודה'!$C$5)/$D$11)</f>
        <v>0</v>
      </c>
      <c r="Z52" s="52">
        <f ca="1">IF($F52&gt;$D$5,0,VLOOKUP($F52,$F$24:$BZ$44,Z$2-$E$2,FALSE)*$D$11*$D$14*(1+$D$13)^($F52-'הנחות עבודה'!$C$5)/$D$11)</f>
        <v>224.75844247722375</v>
      </c>
      <c r="AA52" s="52">
        <f ca="1">IF($F52&gt;$D$5,0,VLOOKUP($F52,$F$24:$BZ$44,AA$2-$E$2,FALSE)*$D$11*$D$14*(1+$D$13)^($F52-'הנחות עבודה'!$C$5)/$D$11)</f>
        <v>0</v>
      </c>
      <c r="AB52" s="52">
        <f ca="1">IF($F52&gt;$D$5,0,VLOOKUP($F52,$F$24:$BZ$44,AB$2-$E$2,FALSE)*$D$11*$D$14*(1+$D$13)^($F52-'הנחות עבודה'!$C$5)/$D$11)</f>
        <v>0</v>
      </c>
      <c r="AC52" s="52">
        <f ca="1">IF($F52&gt;$D$5,0,VLOOKUP($F52,$F$24:$BZ$44,AC$2-$E$2,FALSE)*$D$11*$D$14*(1+$D$13)^($F52-'הנחות עבודה'!$C$5)/$D$11)</f>
        <v>69.930811048113625</v>
      </c>
      <c r="AD52" s="52">
        <f ca="1">IF($F52&gt;$D$5,0,VLOOKUP($F52,$F$24:$BZ$44,AD$2-$E$2,FALSE)*$D$11*$D$14*(1+$D$13)^($F52-'הנחות עבודה'!$C$5)/$D$11)</f>
        <v>0</v>
      </c>
      <c r="AE52" s="42">
        <f ca="1">IF($F52&gt;$D$5,0,VLOOKUP($F52,$F$24:$BZ$44,AE$2-$E$2,FALSE)*$D$11*$D$14*(1+$D$13)^($F52-'הנחות עבודה'!$C$5)/$D$11)</f>
        <v>0</v>
      </c>
      <c r="AF52" s="44">
        <f ca="1">IF($F52&gt;$D$5,0,VLOOKUP($F52,$F$24:$BZ$44,AF$2-$E$2,FALSE)*$D$11*$D$14*(1+$D$13)^($F52-'הנחות עבודה'!$C$5)/$D$11)</f>
        <v>0</v>
      </c>
      <c r="AG52" s="44">
        <f ca="1">IF($F52&gt;$D$5,0,VLOOKUP($F52,$F$24:$BZ$44,AG$2-$E$2,FALSE)*$D$11*$D$14*(1+$D$13)^($F52-'הנחות עבודה'!$C$5)/$D$11)</f>
        <v>0</v>
      </c>
      <c r="AH52" s="44">
        <f ca="1">IF($F52&gt;$D$5,0,VLOOKUP($F52,$F$24:$BZ$44,AH$2-$E$2,FALSE)*$D$11*$D$14*(1+$D$13)^($F52-'הנחות עבודה'!$C$5)/$D$11)</f>
        <v>0</v>
      </c>
      <c r="AI52" s="44">
        <f ca="1">IF($F52&gt;$D$5,0,VLOOKUP($F52,$F$24:$BZ$44,AI$2-$E$2,FALSE)*$D$11*$D$14*(1+$D$13)^($F52-'הנחות עבודה'!$C$5)/$D$11)</f>
        <v>0</v>
      </c>
      <c r="AJ52" s="44">
        <f ca="1">IF($F52&gt;$D$5,0,VLOOKUP($F52,$F$24:$BZ$44,AJ$2-$E$2,FALSE)*$D$11*$D$14*(1+$D$13)^($F52-'הנחות עבודה'!$C$5)/$D$11)</f>
        <v>0</v>
      </c>
      <c r="AK52" s="42">
        <f ca="1">IF($F52&gt;$D$5,0,VLOOKUP($F52,$F$24:$BZ$44,AK$2-$E$2,FALSE)*$D$11*$D$14*(1+$D$13)^($F52-'הנחות עבודה'!$C$5)/$D$11)</f>
        <v>0</v>
      </c>
      <c r="AL52" s="42">
        <f ca="1">IF($F52&gt;$D$5,0,VLOOKUP($F52,$F$24:$BZ$44,AL$2-$E$2,FALSE)*$D$11*$D$14*(1+$D$13)^($F52-'הנחות עבודה'!$C$5)/$D$11)</f>
        <v>221.69400689501686</v>
      </c>
      <c r="AM52" s="42">
        <f ca="1">IF($F52&gt;$D$5,0,VLOOKUP($F52,$F$24:$BZ$44,AM$2-$E$2,FALSE)*$D$11*$D$14*(1+$D$13)^($F52-'הנחות עבודה'!$C$5)/$D$11)</f>
        <v>0</v>
      </c>
      <c r="AN52" s="42">
        <f ca="1">IF($F52&gt;$D$5,0,VLOOKUP($F52,$F$24:$BZ$44,AN$2-$E$2,FALSE)*$D$11*$D$14*(1+$D$13)^($F52-'הנחות עבודה'!$C$5)/$D$11)</f>
        <v>0</v>
      </c>
      <c r="AO52" s="42">
        <f ca="1">IF($F52&gt;$D$5,0,VLOOKUP($F52,$F$24:$BZ$44,AO$2-$E$2,FALSE)*$D$11*$D$14*(1+$D$13)^($F52-'הנחות עבודה'!$C$5)/$D$11)</f>
        <v>69.930811048113625</v>
      </c>
      <c r="AP52" s="42">
        <f ca="1">IF($F52&gt;$D$5,0,VLOOKUP($F52,$F$24:$BZ$44,AP$2-$E$2,FALSE)*$D$11*$D$14*(1+$D$13)^($F52-'הנחות עבודה'!$C$5)/$D$11)</f>
        <v>0</v>
      </c>
      <c r="AQ52" s="52">
        <f ca="1">IF($F52&gt;$D$5,0,VLOOKUP($F52,$F$24:$BZ$44,AQ$2-$E$2,FALSE)*$D$11*$D$14*(1+$D$13)^($F52-'הנחות עבודה'!$C$5)/$D$11)</f>
        <v>0</v>
      </c>
      <c r="AR52" s="127">
        <f ca="1">IF($F52&gt;$D$5,0,VLOOKUP($F52,$F$24:$BZ$44,AR$2-$E$2,FALSE)*$D$11*$D$14*(1+$D$13)^($F52-'הנחות עבודה'!$C$5)/$D$11)</f>
        <v>0</v>
      </c>
      <c r="AS52" s="127">
        <f ca="1">IF($F52&gt;$D$5,0,VLOOKUP($F52,$F$24:$BZ$44,AS$2-$E$2,FALSE)*$D$11*$D$14*(1+$D$13)^($F52-'הנחות עבודה'!$C$5)/$D$11)</f>
        <v>0</v>
      </c>
      <c r="AT52" s="127">
        <f ca="1">IF($F52&gt;$D$5,0,VLOOKUP($F52,$F$24:$BZ$44,AT$2-$E$2,FALSE)*$D$11*$D$14*(1+$D$13)^($F52-'הנחות עבודה'!$C$5)/$D$11)</f>
        <v>0</v>
      </c>
      <c r="AU52" s="127">
        <f ca="1">IF($F52&gt;$D$5,0,VLOOKUP($F52,$F$24:$BZ$44,AU$2-$E$2,FALSE)*$D$11*$D$14*(1+$D$13)^($F52-'הנחות עבודה'!$C$5)/$D$11)</f>
        <v>0</v>
      </c>
      <c r="AV52" s="127">
        <f ca="1">IF($F52&gt;$D$5,0,VLOOKUP($F52,$F$24:$BZ$44,AV$2-$E$2,FALSE)*$D$11*$D$14*(1+$D$13)^($F52-'הנחות עבודה'!$C$5)/$D$11)</f>
        <v>0</v>
      </c>
      <c r="AW52" s="52">
        <f ca="1">IF($F52&gt;$D$5,0,VLOOKUP($F52,$F$24:$BZ$44,AW$2-$E$2,FALSE)*$D$11*$D$14*(1+$D$13)^($F52-'הנחות עבודה'!$C$5)/$D$11)</f>
        <v>0</v>
      </c>
      <c r="AX52" s="52">
        <f ca="1">IF($F52&gt;$D$5,0,VLOOKUP($F52,$F$24:$BZ$44,AX$2-$E$2,FALSE)*$D$11*$D$14*(1+$D$13)^($F52-'הנחות עבודה'!$C$5)/$D$11)</f>
        <v>221.69400689501686</v>
      </c>
      <c r="AY52" s="52">
        <f ca="1">IF($F52&gt;$D$5,0,VLOOKUP($F52,$F$24:$BZ$44,AY$2-$E$2,FALSE)*$D$11*$D$14*(1+$D$13)^($F52-'הנחות עבודה'!$C$5)/$D$11)</f>
        <v>0</v>
      </c>
      <c r="AZ52" s="52">
        <f ca="1">IF($F52&gt;$D$5,0,VLOOKUP($F52,$F$24:$BZ$44,AZ$2-$E$2,FALSE)*$D$11*$D$14*(1+$D$13)^($F52-'הנחות עבודה'!$C$5)/$D$11)</f>
        <v>0</v>
      </c>
      <c r="BA52" s="52">
        <f ca="1">IF($F52&gt;$D$5,0,VLOOKUP($F52,$F$24:$BZ$44,BA$2-$E$2,FALSE)*$D$11*$D$14*(1+$D$13)^($F52-'הנחות עבודה'!$C$5)/$D$11)</f>
        <v>69.930811048113625</v>
      </c>
      <c r="BB52" s="52">
        <f ca="1">IF($F52&gt;$D$5,0,VLOOKUP($F52,$F$24:$BZ$44,BB$2-$E$2,FALSE)*$D$11*$D$14*(1+$D$13)^($F52-'הנחות עבודה'!$C$5)/$D$11)</f>
        <v>0</v>
      </c>
      <c r="BC52" s="42">
        <f ca="1">IF($F52&gt;$D$5,0,VLOOKUP($F52,$F$24:$BZ$44,BC$2-$E$2,FALSE)*$D$11*$D$14*(1+$D$13)^($F52-'הנחות עבודה'!$C$5)/$D$11)</f>
        <v>0</v>
      </c>
      <c r="BD52" s="44">
        <f ca="1">IF($F52&gt;$D$5,0,VLOOKUP($F52,$F$24:$BZ$44,BD$2-$E$2,FALSE)*$D$11*$D$14*(1+$D$13)^($F52-'הנחות עבודה'!$C$5)/$D$11)</f>
        <v>0</v>
      </c>
      <c r="BE52" s="44">
        <f ca="1">IF($F52&gt;$D$5,0,VLOOKUP($F52,$F$24:$BZ$44,BE$2-$E$2,FALSE)*$D$11*$D$14*(1+$D$13)^($F52-'הנחות עבודה'!$C$5)/$D$11)</f>
        <v>0</v>
      </c>
      <c r="BF52" s="44">
        <f ca="1">IF($F52&gt;$D$5,0,VLOOKUP($F52,$F$24:$BZ$44,BF$2-$E$2,FALSE)*$D$11*$D$14*(1+$D$13)^($F52-'הנחות עבודה'!$C$5)/$D$11)</f>
        <v>0</v>
      </c>
      <c r="BG52" s="44">
        <f ca="1">IF($F52&gt;$D$5,0,VLOOKUP($F52,$F$24:$BZ$44,BG$2-$E$2,FALSE)*$D$11*$D$14*(1+$D$13)^($F52-'הנחות עבודה'!$C$5)/$D$11)</f>
        <v>0</v>
      </c>
      <c r="BH52" s="44">
        <f ca="1">IF($F52&gt;$D$5,0,VLOOKUP($F52,$F$24:$BZ$44,BH$2-$E$2,FALSE)*$D$11*$D$14*(1+$D$13)^($F52-'הנחות עבודה'!$C$5)/$D$11)</f>
        <v>0</v>
      </c>
      <c r="BI52" s="42">
        <f ca="1">IF($F52&gt;$D$5,0,VLOOKUP($F52,$F$24:$BZ$44,BI$2-$E$2,FALSE)*$D$11*$D$14*(1+$D$13)^($F52-'הנחות עבודה'!$C$5)/$D$11)</f>
        <v>0</v>
      </c>
      <c r="BJ52" s="42">
        <f ca="1">IF($F52&gt;$D$5,0,VLOOKUP($F52,$F$24:$BZ$44,BJ$2-$E$2,FALSE)*$D$11*$D$14*(1+$D$13)^($F52-'הנחות עבודה'!$C$5)/$D$11)</f>
        <v>220.81450706289456</v>
      </c>
      <c r="BK52" s="42">
        <f ca="1">IF($F52&gt;$D$5,0,VLOOKUP($F52,$F$24:$BZ$44,BK$2-$E$2,FALSE)*$D$11*$D$14*(1+$D$13)^($F52-'הנחות עבודה'!$C$5)/$D$11)</f>
        <v>0</v>
      </c>
      <c r="BL52" s="42">
        <f ca="1">IF($F52&gt;$D$5,0,VLOOKUP($F52,$F$24:$BZ$44,BL$2-$E$2,FALSE)*$D$11*$D$14*(1+$D$13)^($F52-'הנחות עבודה'!$C$5)/$D$11)</f>
        <v>0</v>
      </c>
      <c r="BM52" s="42">
        <f ca="1">IF($F52&gt;$D$5,0,VLOOKUP($F52,$F$24:$BZ$44,BM$2-$E$2,FALSE)*$D$11*$D$14*(1+$D$13)^($F52-'הנחות עבודה'!$C$5)/$D$11)</f>
        <v>69.930811048113625</v>
      </c>
      <c r="BN52" s="42">
        <f ca="1">IF($F52&gt;$D$5,0,VLOOKUP($F52,$F$24:$BZ$44,BN$2-$E$2,FALSE)*$D$11*$D$14*(1+$D$13)^($F52-'הנחות עבודה'!$C$5)/$D$11)</f>
        <v>0</v>
      </c>
      <c r="BO52" s="52">
        <f ca="1">IF($F52&gt;$D$5,0,VLOOKUP($F52,$F$24:$BZ$44,BO$2-$E$2,FALSE)*$D$11*$D$14*(1+$D$13)^($F52-'הנחות עבודה'!$C$5)/$D$11)</f>
        <v>0</v>
      </c>
      <c r="BP52" s="127">
        <f ca="1">IF($F52&gt;$D$5,0,VLOOKUP($F52,$F$24:$BZ$44,BP$2-$E$2,FALSE)*$D$11*$D$14*(1+$D$13)^($F52-'הנחות עבודה'!$C$5)/$D$11)</f>
        <v>0</v>
      </c>
      <c r="BQ52" s="127">
        <f ca="1">IF($F52&gt;$D$5,0,VLOOKUP($F52,$F$24:$BZ$44,BQ$2-$E$2,FALSE)*$D$11*$D$14*(1+$D$13)^($F52-'הנחות עבודה'!$C$5)/$D$11)</f>
        <v>0</v>
      </c>
      <c r="BR52" s="127">
        <f ca="1">IF($F52&gt;$D$5,0,VLOOKUP($F52,$F$24:$BZ$44,BR$2-$E$2,FALSE)*$D$11*$D$14*(1+$D$13)^($F52-'הנחות עבודה'!$C$5)/$D$11)</f>
        <v>0</v>
      </c>
      <c r="BS52" s="127">
        <f ca="1">IF($F52&gt;$D$5,0,VLOOKUP($F52,$F$24:$BZ$44,BS$2-$E$2,FALSE)*$D$11*$D$14*(1+$D$13)^($F52-'הנחות עבודה'!$C$5)/$D$11)</f>
        <v>0</v>
      </c>
      <c r="BT52" s="127">
        <f ca="1">IF($F52&gt;$D$5,0,VLOOKUP($F52,$F$24:$BZ$44,BT$2-$E$2,FALSE)*$D$11*$D$14*(1+$D$13)^($F52-'הנחות עבודה'!$C$5)/$D$11)</f>
        <v>0</v>
      </c>
      <c r="BU52" s="52">
        <f ca="1">IF($F52&gt;$D$5,0,VLOOKUP($F52,$F$24:$BZ$44,BU$2-$E$2,FALSE)*$D$11*$D$14*(1+$D$13)^($F52-'הנחות עבודה'!$C$5)/$D$11)</f>
        <v>0</v>
      </c>
      <c r="BV52" s="52">
        <f ca="1">IF($F52&gt;$D$5,0,VLOOKUP($F52,$F$24:$BZ$44,BV$2-$E$2,FALSE)*$D$11*$D$14*(1+$D$13)^($F52-'הנחות עבודה'!$C$5)/$D$11)</f>
        <v>220.81450706289456</v>
      </c>
      <c r="BW52" s="52">
        <f ca="1">IF($F52&gt;$D$5,0,VLOOKUP($F52,$F$24:$BZ$44,BW$2-$E$2,FALSE)*$D$11*$D$14*(1+$D$13)^($F52-'הנחות עבודה'!$C$5)/$D$11)</f>
        <v>0</v>
      </c>
      <c r="BX52" s="52">
        <f ca="1">IF($F52&gt;$D$5,0,VLOOKUP($F52,$F$24:$BZ$44,BX$2-$E$2,FALSE)*$D$11*$D$14*(1+$D$13)^($F52-'הנחות עבודה'!$C$5)/$D$11)</f>
        <v>0</v>
      </c>
      <c r="BY52" s="52">
        <f ca="1">IF($F52&gt;$D$5,0,VLOOKUP($F52,$F$24:$BZ$44,BY$2-$E$2,FALSE)*$D$11*$D$14*(1+$D$13)^($F52-'הנחות עבודה'!$C$5)/$D$11)</f>
        <v>69.930811048113625</v>
      </c>
      <c r="BZ52" s="52">
        <f ca="1">IF($F52&gt;$D$5,0,VLOOKUP($F52,$F$24:$BZ$44,BZ$2-$E$2,FALSE)*$D$11*$D$14*(1+$D$13)^($F52-'הנחות עבודה'!$C$5)/$D$11)</f>
        <v>0</v>
      </c>
    </row>
    <row r="53" spans="6:78" ht="15.75">
      <c r="F53" s="10">
        <f t="shared" ref="F53:F71" si="129">F52+1</f>
        <v>2022</v>
      </c>
      <c r="G53" s="42">
        <f ca="1">IF($F53&gt;$D$5,0,VLOOKUP($F53,$F$24:$BZ$44,G$2-$E$2,FALSE)*$D$11*$D$14*(1+$D$13)^($F53-'הנחות עבודה'!$C$5)/$D$11)</f>
        <v>0</v>
      </c>
      <c r="H53" s="44">
        <f ca="1">IF($F53&gt;$D$5,0,VLOOKUP($F53,$F$24:$BZ$44,H$2-$E$2,FALSE)*$D$11*$D$14*(1+$D$13)^($F53-'הנחות עבודה'!$C$5)/$D$11)</f>
        <v>0</v>
      </c>
      <c r="I53" s="44">
        <f ca="1">IF($F53&gt;$D$5,0,VLOOKUP($F53,$F$24:$BZ$44,I$2-$E$2,FALSE)*$D$11*$D$14*(1+$D$13)^($F53-'הנחות עבודה'!$C$5)/$D$11)</f>
        <v>0</v>
      </c>
      <c r="J53" s="44">
        <f ca="1">IF($F53&gt;$D$5,0,VLOOKUP($F53,$F$24:$BZ$44,J$2-$E$2,FALSE)*$D$11*$D$14*(1+$D$13)^($F53-'הנחות עבודה'!$C$5)/$D$11)</f>
        <v>0</v>
      </c>
      <c r="K53" s="44">
        <f ca="1">IF($F53&gt;$D$5,0,VLOOKUP($F53,$F$24:$BZ$44,K$2-$E$2,FALSE)*$D$11*$D$14*(1+$D$13)^($F53-'הנחות עבודה'!$C$5)/$D$11)</f>
        <v>0</v>
      </c>
      <c r="L53" s="44">
        <f ca="1">IF($F53&gt;$D$5,0,VLOOKUP($F53,$F$24:$BZ$44,L$2-$E$2,FALSE)*$D$11*$D$14*(1+$D$13)^($F53-'הנחות עבודה'!$C$5)/$D$11)</f>
        <v>0</v>
      </c>
      <c r="M53" s="42">
        <f ca="1">IF($F53&gt;$D$5,0,VLOOKUP($F53,$F$24:$BZ$44,M$2-$E$2,FALSE)*$D$11*$D$14*(1+$D$13)^($F53-'הנחות עבודה'!$C$5)/$D$11)</f>
        <v>3.7701112408982218</v>
      </c>
      <c r="N53" s="42">
        <f ca="1">IF($F53&gt;$D$5,0,VLOOKUP($F53,$F$24:$BZ$44,N$2-$E$2,FALSE)*$D$11*$D$14*(1+$D$13)^($F53-'הנחות עבודה'!$C$5)/$D$11)</f>
        <v>238.30862923924332</v>
      </c>
      <c r="O53" s="42">
        <f ca="1">IF($F53&gt;$D$5,0,VLOOKUP($F53,$F$24:$BZ$44,O$2-$E$2,FALSE)*$D$11*$D$14*(1+$D$13)^($F53-'הנחות עבודה'!$C$5)/$D$11)</f>
        <v>0</v>
      </c>
      <c r="P53" s="42">
        <f ca="1">IF($F53&gt;$D$5,0,VLOOKUP($F53,$F$24:$BZ$44,P$2-$E$2,FALSE)*$D$11*$D$14*(1+$D$13)^($F53-'הנחות עבודה'!$C$5)/$D$11)</f>
        <v>0</v>
      </c>
      <c r="Q53" s="42">
        <f ca="1">IF($F53&gt;$D$5,0,VLOOKUP($F53,$F$24:$BZ$44,Q$2-$E$2,FALSE)*$D$11*$D$14*(1+$D$13)^($F53-'הנחות עבודה'!$C$5)/$D$11)</f>
        <v>67.015992604590892</v>
      </c>
      <c r="R53" s="42">
        <f ca="1">IF($F53&gt;$D$5,0,VLOOKUP($F53,$F$24:$BZ$44,R$2-$E$2,FALSE)*$D$11*$D$14*(1+$D$13)^($F53-'הנחות עבודה'!$C$5)/$D$11)</f>
        <v>0</v>
      </c>
      <c r="S53" s="52">
        <f ca="1">IF($F53&gt;$D$5,0,VLOOKUP($F53,$F$24:$BZ$44,S$2-$E$2,FALSE)*$D$11*$D$14*(1+$D$13)^($F53-'הנחות עבודה'!$C$5)/$D$11)</f>
        <v>0</v>
      </c>
      <c r="T53" s="127">
        <f ca="1">IF($F53&gt;$D$5,0,VLOOKUP($F53,$F$24:$BZ$44,T$2-$E$2,FALSE)*$D$11*$D$14*(1+$D$13)^($F53-'הנחות עבודה'!$C$5)/$D$11)</f>
        <v>0</v>
      </c>
      <c r="U53" s="127">
        <f ca="1">IF($F53&gt;$D$5,0,VLOOKUP($F53,$F$24:$BZ$44,U$2-$E$2,FALSE)*$D$11*$D$14*(1+$D$13)^($F53-'הנחות עבודה'!$C$5)/$D$11)</f>
        <v>0</v>
      </c>
      <c r="V53" s="127">
        <f ca="1">IF($F53&gt;$D$5,0,VLOOKUP($F53,$F$24:$BZ$44,V$2-$E$2,FALSE)*$D$11*$D$14*(1+$D$13)^($F53-'הנחות עבודה'!$C$5)/$D$11)</f>
        <v>0</v>
      </c>
      <c r="W53" s="127">
        <f ca="1">IF($F53&gt;$D$5,0,VLOOKUP($F53,$F$24:$BZ$44,W$2-$E$2,FALSE)*$D$11*$D$14*(1+$D$13)^($F53-'הנחות עבודה'!$C$5)/$D$11)</f>
        <v>0</v>
      </c>
      <c r="X53" s="127">
        <f ca="1">IF($F53&gt;$D$5,0,VLOOKUP($F53,$F$24:$BZ$44,X$2-$E$2,FALSE)*$D$11*$D$14*(1+$D$13)^($F53-'הנחות עבודה'!$C$5)/$D$11)</f>
        <v>0</v>
      </c>
      <c r="Y53" s="52">
        <f ca="1">IF($F53&gt;$D$5,0,VLOOKUP($F53,$F$24:$BZ$44,Y$2-$E$2,FALSE)*$D$11*$D$14*(1+$D$13)^($F53-'הנחות עבודה'!$C$5)/$D$11)</f>
        <v>3.7701112408982218</v>
      </c>
      <c r="Z53" s="52">
        <f ca="1">IF($F53&gt;$D$5,0,VLOOKUP($F53,$F$24:$BZ$44,Z$2-$E$2,FALSE)*$D$11*$D$14*(1+$D$13)^($F53-'הנחות עבודה'!$C$5)/$D$11)</f>
        <v>238.30862923924332</v>
      </c>
      <c r="AA53" s="52">
        <f ca="1">IF($F53&gt;$D$5,0,VLOOKUP($F53,$F$24:$BZ$44,AA$2-$E$2,FALSE)*$D$11*$D$14*(1+$D$13)^($F53-'הנחות עבודה'!$C$5)/$D$11)</f>
        <v>0</v>
      </c>
      <c r="AB53" s="52">
        <f ca="1">IF($F53&gt;$D$5,0,VLOOKUP($F53,$F$24:$BZ$44,AB$2-$E$2,FALSE)*$D$11*$D$14*(1+$D$13)^($F53-'הנחות עבודה'!$C$5)/$D$11)</f>
        <v>0</v>
      </c>
      <c r="AC53" s="52">
        <f ca="1">IF($F53&gt;$D$5,0,VLOOKUP($F53,$F$24:$BZ$44,AC$2-$E$2,FALSE)*$D$11*$D$14*(1+$D$13)^($F53-'הנחות עבודה'!$C$5)/$D$11)</f>
        <v>67.015992604590892</v>
      </c>
      <c r="AD53" s="52">
        <f ca="1">IF($F53&gt;$D$5,0,VLOOKUP($F53,$F$24:$BZ$44,AD$2-$E$2,FALSE)*$D$11*$D$14*(1+$D$13)^($F53-'הנחות עבודה'!$C$5)/$D$11)</f>
        <v>0</v>
      </c>
      <c r="AE53" s="42">
        <f ca="1">IF($F53&gt;$D$5,0,VLOOKUP($F53,$F$24:$BZ$44,AE$2-$E$2,FALSE)*$D$11*$D$14*(1+$D$13)^($F53-'הנחות עבודה'!$C$5)/$D$11)</f>
        <v>0</v>
      </c>
      <c r="AF53" s="44">
        <f ca="1">IF($F53&gt;$D$5,0,VLOOKUP($F53,$F$24:$BZ$44,AF$2-$E$2,FALSE)*$D$11*$D$14*(1+$D$13)^($F53-'הנחות עבודה'!$C$5)/$D$11)</f>
        <v>0</v>
      </c>
      <c r="AG53" s="44">
        <f ca="1">IF($F53&gt;$D$5,0,VLOOKUP($F53,$F$24:$BZ$44,AG$2-$E$2,FALSE)*$D$11*$D$14*(1+$D$13)^($F53-'הנחות עבודה'!$C$5)/$D$11)</f>
        <v>0</v>
      </c>
      <c r="AH53" s="44">
        <f ca="1">IF($F53&gt;$D$5,0,VLOOKUP($F53,$F$24:$BZ$44,AH$2-$E$2,FALSE)*$D$11*$D$14*(1+$D$13)^($F53-'הנחות עבודה'!$C$5)/$D$11)</f>
        <v>0</v>
      </c>
      <c r="AI53" s="44">
        <f ca="1">IF($F53&gt;$D$5,0,VLOOKUP($F53,$F$24:$BZ$44,AI$2-$E$2,FALSE)*$D$11*$D$14*(1+$D$13)^($F53-'הנחות עבודה'!$C$5)/$D$11)</f>
        <v>0</v>
      </c>
      <c r="AJ53" s="44">
        <f ca="1">IF($F53&gt;$D$5,0,VLOOKUP($F53,$F$24:$BZ$44,AJ$2-$E$2,FALSE)*$D$11*$D$14*(1+$D$13)^($F53-'הנחות עבודה'!$C$5)/$D$11)</f>
        <v>0</v>
      </c>
      <c r="AK53" s="42">
        <f ca="1">IF($F53&gt;$D$5,0,VLOOKUP($F53,$F$24:$BZ$44,AK$2-$E$2,FALSE)*$D$11*$D$14*(1+$D$13)^($F53-'הנחות עבודה'!$C$5)/$D$11)</f>
        <v>3.6656778660182372</v>
      </c>
      <c r="AL53" s="42">
        <f ca="1">IF($F53&gt;$D$5,0,VLOOKUP($F53,$F$24:$BZ$44,AL$2-$E$2,FALSE)*$D$11*$D$14*(1+$D$13)^($F53-'הנחות עבודה'!$C$5)/$D$11)</f>
        <v>231.97328937914483</v>
      </c>
      <c r="AM53" s="42">
        <f ca="1">IF($F53&gt;$D$5,0,VLOOKUP($F53,$F$24:$BZ$44,AM$2-$E$2,FALSE)*$D$11*$D$14*(1+$D$13)^($F53-'הנחות עבודה'!$C$5)/$D$11)</f>
        <v>0</v>
      </c>
      <c r="AN53" s="42">
        <f ca="1">IF($F53&gt;$D$5,0,VLOOKUP($F53,$F$24:$BZ$44,AN$2-$E$2,FALSE)*$D$11*$D$14*(1+$D$13)^($F53-'הנחות עבודה'!$C$5)/$D$11)</f>
        <v>0</v>
      </c>
      <c r="AO53" s="42">
        <f ca="1">IF($F53&gt;$D$5,0,VLOOKUP($F53,$F$24:$BZ$44,AO$2-$E$2,FALSE)*$D$11*$D$14*(1+$D$13)^($F53-'הנחות עבודה'!$C$5)/$D$11)</f>
        <v>67.018391511682921</v>
      </c>
      <c r="AP53" s="42">
        <f ca="1">IF($F53&gt;$D$5,0,VLOOKUP($F53,$F$24:$BZ$44,AP$2-$E$2,FALSE)*$D$11*$D$14*(1+$D$13)^($F53-'הנחות עבודה'!$C$5)/$D$11)</f>
        <v>0</v>
      </c>
      <c r="AQ53" s="52">
        <f ca="1">IF($F53&gt;$D$5,0,VLOOKUP($F53,$F$24:$BZ$44,AQ$2-$E$2,FALSE)*$D$11*$D$14*(1+$D$13)^($F53-'הנחות עבודה'!$C$5)/$D$11)</f>
        <v>0</v>
      </c>
      <c r="AR53" s="127">
        <f ca="1">IF($F53&gt;$D$5,0,VLOOKUP($F53,$F$24:$BZ$44,AR$2-$E$2,FALSE)*$D$11*$D$14*(1+$D$13)^($F53-'הנחות עבודה'!$C$5)/$D$11)</f>
        <v>0</v>
      </c>
      <c r="AS53" s="127">
        <f ca="1">IF($F53&gt;$D$5,0,VLOOKUP($F53,$F$24:$BZ$44,AS$2-$E$2,FALSE)*$D$11*$D$14*(1+$D$13)^($F53-'הנחות עבודה'!$C$5)/$D$11)</f>
        <v>0</v>
      </c>
      <c r="AT53" s="127">
        <f ca="1">IF($F53&gt;$D$5,0,VLOOKUP($F53,$F$24:$BZ$44,AT$2-$E$2,FALSE)*$D$11*$D$14*(1+$D$13)^($F53-'הנחות עבודה'!$C$5)/$D$11)</f>
        <v>0</v>
      </c>
      <c r="AU53" s="127">
        <f ca="1">IF($F53&gt;$D$5,0,VLOOKUP($F53,$F$24:$BZ$44,AU$2-$E$2,FALSE)*$D$11*$D$14*(1+$D$13)^($F53-'הנחות עבודה'!$C$5)/$D$11)</f>
        <v>0</v>
      </c>
      <c r="AV53" s="127">
        <f ca="1">IF($F53&gt;$D$5,0,VLOOKUP($F53,$F$24:$BZ$44,AV$2-$E$2,FALSE)*$D$11*$D$14*(1+$D$13)^($F53-'הנחות עבודה'!$C$5)/$D$11)</f>
        <v>0</v>
      </c>
      <c r="AW53" s="52">
        <f ca="1">IF($F53&gt;$D$5,0,VLOOKUP($F53,$F$24:$BZ$44,AW$2-$E$2,FALSE)*$D$11*$D$14*(1+$D$13)^($F53-'הנחות עבודה'!$C$5)/$D$11)</f>
        <v>3.6656778660182372</v>
      </c>
      <c r="AX53" s="52">
        <f ca="1">IF($F53&gt;$D$5,0,VLOOKUP($F53,$F$24:$BZ$44,AX$2-$E$2,FALSE)*$D$11*$D$14*(1+$D$13)^($F53-'הנחות עבודה'!$C$5)/$D$11)</f>
        <v>231.97328937914483</v>
      </c>
      <c r="AY53" s="52">
        <f ca="1">IF($F53&gt;$D$5,0,VLOOKUP($F53,$F$24:$BZ$44,AY$2-$E$2,FALSE)*$D$11*$D$14*(1+$D$13)^($F53-'הנחות עבודה'!$C$5)/$D$11)</f>
        <v>0</v>
      </c>
      <c r="AZ53" s="52">
        <f ca="1">IF($F53&gt;$D$5,0,VLOOKUP($F53,$F$24:$BZ$44,AZ$2-$E$2,FALSE)*$D$11*$D$14*(1+$D$13)^($F53-'הנחות עבודה'!$C$5)/$D$11)</f>
        <v>0</v>
      </c>
      <c r="BA53" s="52">
        <f ca="1">IF($F53&gt;$D$5,0,VLOOKUP($F53,$F$24:$BZ$44,BA$2-$E$2,FALSE)*$D$11*$D$14*(1+$D$13)^($F53-'הנחות עבודה'!$C$5)/$D$11)</f>
        <v>67.018391511682921</v>
      </c>
      <c r="BB53" s="52">
        <f ca="1">IF($F53&gt;$D$5,0,VLOOKUP($F53,$F$24:$BZ$44,BB$2-$E$2,FALSE)*$D$11*$D$14*(1+$D$13)^($F53-'הנחות עבודה'!$C$5)/$D$11)</f>
        <v>0</v>
      </c>
      <c r="BC53" s="42">
        <f ca="1">IF($F53&gt;$D$5,0,VLOOKUP($F53,$F$24:$BZ$44,BC$2-$E$2,FALSE)*$D$11*$D$14*(1+$D$13)^($F53-'הנחות עבודה'!$C$5)/$D$11)</f>
        <v>0</v>
      </c>
      <c r="BD53" s="44">
        <f ca="1">IF($F53&gt;$D$5,0,VLOOKUP($F53,$F$24:$BZ$44,BD$2-$E$2,FALSE)*$D$11*$D$14*(1+$D$13)^($F53-'הנחות עבודה'!$C$5)/$D$11)</f>
        <v>0</v>
      </c>
      <c r="BE53" s="44">
        <f ca="1">IF($F53&gt;$D$5,0,VLOOKUP($F53,$F$24:$BZ$44,BE$2-$E$2,FALSE)*$D$11*$D$14*(1+$D$13)^($F53-'הנחות עבודה'!$C$5)/$D$11)</f>
        <v>0</v>
      </c>
      <c r="BF53" s="44">
        <f ca="1">IF($F53&gt;$D$5,0,VLOOKUP($F53,$F$24:$BZ$44,BF$2-$E$2,FALSE)*$D$11*$D$14*(1+$D$13)^($F53-'הנחות עבודה'!$C$5)/$D$11)</f>
        <v>0</v>
      </c>
      <c r="BG53" s="44">
        <f ca="1">IF($F53&gt;$D$5,0,VLOOKUP($F53,$F$24:$BZ$44,BG$2-$E$2,FALSE)*$D$11*$D$14*(1+$D$13)^($F53-'הנחות עבודה'!$C$5)/$D$11)</f>
        <v>0</v>
      </c>
      <c r="BH53" s="44">
        <f ca="1">IF($F53&gt;$D$5,0,VLOOKUP($F53,$F$24:$BZ$44,BH$2-$E$2,FALSE)*$D$11*$D$14*(1+$D$13)^($F53-'הנחות עבודה'!$C$5)/$D$11)</f>
        <v>0</v>
      </c>
      <c r="BI53" s="42">
        <f ca="1">IF($F53&gt;$D$5,0,VLOOKUP($F53,$F$24:$BZ$44,BI$2-$E$2,FALSE)*$D$11*$D$14*(1+$D$13)^($F53-'הנחות עבודה'!$C$5)/$D$11)</f>
        <v>3.6287205201939678</v>
      </c>
      <c r="BJ53" s="42">
        <f ca="1">IF($F53&gt;$D$5,0,VLOOKUP($F53,$F$24:$BZ$44,BJ$2-$E$2,FALSE)*$D$11*$D$14*(1+$D$13)^($F53-'הנחות עבודה'!$C$5)/$D$11)</f>
        <v>228.56435364020754</v>
      </c>
      <c r="BK53" s="42">
        <f ca="1">IF($F53&gt;$D$5,0,VLOOKUP($F53,$F$24:$BZ$44,BK$2-$E$2,FALSE)*$D$11*$D$14*(1+$D$13)^($F53-'הנחות עבודה'!$C$5)/$D$11)</f>
        <v>0</v>
      </c>
      <c r="BL53" s="42">
        <f ca="1">IF($F53&gt;$D$5,0,VLOOKUP($F53,$F$24:$BZ$44,BL$2-$E$2,FALSE)*$D$11*$D$14*(1+$D$13)^($F53-'הנחות עבודה'!$C$5)/$D$11)</f>
        <v>0</v>
      </c>
      <c r="BM53" s="42">
        <f ca="1">IF($F53&gt;$D$5,0,VLOOKUP($F53,$F$24:$BZ$44,BM$2-$E$2,FALSE)*$D$11*$D$14*(1+$D$13)^($F53-'הנחות עבודה'!$C$5)/$D$11)</f>
        <v>67.015909883656676</v>
      </c>
      <c r="BN53" s="42">
        <f ca="1">IF($F53&gt;$D$5,0,VLOOKUP($F53,$F$24:$BZ$44,BN$2-$E$2,FALSE)*$D$11*$D$14*(1+$D$13)^($F53-'הנחות עבודה'!$C$5)/$D$11)</f>
        <v>0</v>
      </c>
      <c r="BO53" s="52">
        <f ca="1">IF($F53&gt;$D$5,0,VLOOKUP($F53,$F$24:$BZ$44,BO$2-$E$2,FALSE)*$D$11*$D$14*(1+$D$13)^($F53-'הנחות עבודה'!$C$5)/$D$11)</f>
        <v>0</v>
      </c>
      <c r="BP53" s="127">
        <f ca="1">IF($F53&gt;$D$5,0,VLOOKUP($F53,$F$24:$BZ$44,BP$2-$E$2,FALSE)*$D$11*$D$14*(1+$D$13)^($F53-'הנחות עבודה'!$C$5)/$D$11)</f>
        <v>0</v>
      </c>
      <c r="BQ53" s="127">
        <f ca="1">IF($F53&gt;$D$5,0,VLOOKUP($F53,$F$24:$BZ$44,BQ$2-$E$2,FALSE)*$D$11*$D$14*(1+$D$13)^($F53-'הנחות עבודה'!$C$5)/$D$11)</f>
        <v>0</v>
      </c>
      <c r="BR53" s="127">
        <f ca="1">IF($F53&gt;$D$5,0,VLOOKUP($F53,$F$24:$BZ$44,BR$2-$E$2,FALSE)*$D$11*$D$14*(1+$D$13)^($F53-'הנחות עבודה'!$C$5)/$D$11)</f>
        <v>0</v>
      </c>
      <c r="BS53" s="127">
        <f ca="1">IF($F53&gt;$D$5,0,VLOOKUP($F53,$F$24:$BZ$44,BS$2-$E$2,FALSE)*$D$11*$D$14*(1+$D$13)^($F53-'הנחות עבודה'!$C$5)/$D$11)</f>
        <v>0</v>
      </c>
      <c r="BT53" s="127">
        <f ca="1">IF($F53&gt;$D$5,0,VLOOKUP($F53,$F$24:$BZ$44,BT$2-$E$2,FALSE)*$D$11*$D$14*(1+$D$13)^($F53-'הנחות עבודה'!$C$5)/$D$11)</f>
        <v>0</v>
      </c>
      <c r="BU53" s="52">
        <f ca="1">IF($F53&gt;$D$5,0,VLOOKUP($F53,$F$24:$BZ$44,BU$2-$E$2,FALSE)*$D$11*$D$14*(1+$D$13)^($F53-'הנחות עבודה'!$C$5)/$D$11)</f>
        <v>3.6287205201939678</v>
      </c>
      <c r="BV53" s="52">
        <f ca="1">IF($F53&gt;$D$5,0,VLOOKUP($F53,$F$24:$BZ$44,BV$2-$E$2,FALSE)*$D$11*$D$14*(1+$D$13)^($F53-'הנחות עבודה'!$C$5)/$D$11)</f>
        <v>228.56435364020754</v>
      </c>
      <c r="BW53" s="52">
        <f ca="1">IF($F53&gt;$D$5,0,VLOOKUP($F53,$F$24:$BZ$44,BW$2-$E$2,FALSE)*$D$11*$D$14*(1+$D$13)^($F53-'הנחות עבודה'!$C$5)/$D$11)</f>
        <v>0</v>
      </c>
      <c r="BX53" s="52">
        <f ca="1">IF($F53&gt;$D$5,0,VLOOKUP($F53,$F$24:$BZ$44,BX$2-$E$2,FALSE)*$D$11*$D$14*(1+$D$13)^($F53-'הנחות עבודה'!$C$5)/$D$11)</f>
        <v>0</v>
      </c>
      <c r="BY53" s="52">
        <f ca="1">IF($F53&gt;$D$5,0,VLOOKUP($F53,$F$24:$BZ$44,BY$2-$E$2,FALSE)*$D$11*$D$14*(1+$D$13)^($F53-'הנחות עבודה'!$C$5)/$D$11)</f>
        <v>67.015909883656676</v>
      </c>
      <c r="BZ53" s="52">
        <f ca="1">IF($F53&gt;$D$5,0,VLOOKUP($F53,$F$24:$BZ$44,BZ$2-$E$2,FALSE)*$D$11*$D$14*(1+$D$13)^($F53-'הנחות עבודה'!$C$5)/$D$11)</f>
        <v>0</v>
      </c>
    </row>
    <row r="54" spans="6:78" ht="15.75">
      <c r="F54" s="10">
        <f t="shared" si="129"/>
        <v>2023</v>
      </c>
      <c r="G54" s="42">
        <f ca="1">IF($F54&gt;$D$5,0,VLOOKUP($F54,$F$24:$BZ$44,G$2-$E$2,FALSE)*$D$11*$D$14*(1+$D$13)^($F54-'הנחות עבודה'!$C$5)/$D$11)</f>
        <v>0</v>
      </c>
      <c r="H54" s="44">
        <f ca="1">IF($F54&gt;$D$5,0,VLOOKUP($F54,$F$24:$BZ$44,H$2-$E$2,FALSE)*$D$11*$D$14*(1+$D$13)^($F54-'הנחות עבודה'!$C$5)/$D$11)</f>
        <v>0</v>
      </c>
      <c r="I54" s="44">
        <f ca="1">IF($F54&gt;$D$5,0,VLOOKUP($F54,$F$24:$BZ$44,I$2-$E$2,FALSE)*$D$11*$D$14*(1+$D$13)^($F54-'הנחות עבודה'!$C$5)/$D$11)</f>
        <v>0</v>
      </c>
      <c r="J54" s="44">
        <f ca="1">IF($F54&gt;$D$5,0,VLOOKUP($F54,$F$24:$BZ$44,J$2-$E$2,FALSE)*$D$11*$D$14*(1+$D$13)^($F54-'הנחות עבודה'!$C$5)/$D$11)</f>
        <v>0</v>
      </c>
      <c r="K54" s="44">
        <f ca="1">IF($F54&gt;$D$5,0,VLOOKUP($F54,$F$24:$BZ$44,K$2-$E$2,FALSE)*$D$11*$D$14*(1+$D$13)^($F54-'הנחות עבודה'!$C$5)/$D$11)</f>
        <v>0</v>
      </c>
      <c r="L54" s="44">
        <f ca="1">IF($F54&gt;$D$5,0,VLOOKUP($F54,$F$24:$BZ$44,L$2-$E$2,FALSE)*$D$11*$D$14*(1+$D$13)^($F54-'הנחות עבודה'!$C$5)/$D$11)</f>
        <v>0</v>
      </c>
      <c r="M54" s="42">
        <f ca="1">IF($F54&gt;$D$5,0,VLOOKUP($F54,$F$24:$BZ$44,M$2-$E$2,FALSE)*$D$11*$D$14*(1+$D$13)^($F54-'הנחות עבודה'!$C$5)/$D$11)</f>
        <v>5.9775860739230247</v>
      </c>
      <c r="N54" s="42">
        <f ca="1">IF($F54&gt;$D$5,0,VLOOKUP($F54,$F$24:$BZ$44,N$2-$E$2,FALSE)*$D$11*$D$14*(1+$D$13)^($F54-'הנחות עבודה'!$C$5)/$D$11)</f>
        <v>273.13538285367804</v>
      </c>
      <c r="O54" s="42">
        <f ca="1">IF($F54&gt;$D$5,0,VLOOKUP($F54,$F$24:$BZ$44,O$2-$E$2,FALSE)*$D$11*$D$14*(1+$D$13)^($F54-'הנחות עבודה'!$C$5)/$D$11)</f>
        <v>0</v>
      </c>
      <c r="P54" s="42">
        <f ca="1">IF($F54&gt;$D$5,0,VLOOKUP($F54,$F$24:$BZ$44,P$2-$E$2,FALSE)*$D$11*$D$14*(1+$D$13)^($F54-'הנחות עבודה'!$C$5)/$D$11)</f>
        <v>0</v>
      </c>
      <c r="Q54" s="42">
        <f ca="1">IF($F54&gt;$D$5,0,VLOOKUP($F54,$F$24:$BZ$44,Q$2-$E$2,FALSE)*$D$11*$D$14*(1+$D$13)^($F54-'הנחות עבודה'!$C$5)/$D$11)</f>
        <v>48.095618641390807</v>
      </c>
      <c r="R54" s="42">
        <f ca="1">IF($F54&gt;$D$5,0,VLOOKUP($F54,$F$24:$BZ$44,R$2-$E$2,FALSE)*$D$11*$D$14*(1+$D$13)^($F54-'הנחות עבודה'!$C$5)/$D$11)</f>
        <v>0</v>
      </c>
      <c r="S54" s="52">
        <f ca="1">IF($F54&gt;$D$5,0,VLOOKUP($F54,$F$24:$BZ$44,S$2-$E$2,FALSE)*$D$11*$D$14*(1+$D$13)^($F54-'הנחות עבודה'!$C$5)/$D$11)</f>
        <v>0</v>
      </c>
      <c r="T54" s="127">
        <f ca="1">IF($F54&gt;$D$5,0,VLOOKUP($F54,$F$24:$BZ$44,T$2-$E$2,FALSE)*$D$11*$D$14*(1+$D$13)^($F54-'הנחות עבודה'!$C$5)/$D$11)</f>
        <v>0</v>
      </c>
      <c r="U54" s="127">
        <f ca="1">IF($F54&gt;$D$5,0,VLOOKUP($F54,$F$24:$BZ$44,U$2-$E$2,FALSE)*$D$11*$D$14*(1+$D$13)^($F54-'הנחות עבודה'!$C$5)/$D$11)</f>
        <v>0</v>
      </c>
      <c r="V54" s="127">
        <f ca="1">IF($F54&gt;$D$5,0,VLOOKUP($F54,$F$24:$BZ$44,V$2-$E$2,FALSE)*$D$11*$D$14*(1+$D$13)^($F54-'הנחות עבודה'!$C$5)/$D$11)</f>
        <v>0</v>
      </c>
      <c r="W54" s="127">
        <f ca="1">IF($F54&gt;$D$5,0,VLOOKUP($F54,$F$24:$BZ$44,W$2-$E$2,FALSE)*$D$11*$D$14*(1+$D$13)^($F54-'הנחות עבודה'!$C$5)/$D$11)</f>
        <v>0</v>
      </c>
      <c r="X54" s="127">
        <f ca="1">IF($F54&gt;$D$5,0,VLOOKUP($F54,$F$24:$BZ$44,X$2-$E$2,FALSE)*$D$11*$D$14*(1+$D$13)^($F54-'הנחות עבודה'!$C$5)/$D$11)</f>
        <v>0</v>
      </c>
      <c r="Y54" s="52">
        <f ca="1">IF($F54&gt;$D$5,0,VLOOKUP($F54,$F$24:$BZ$44,Y$2-$E$2,FALSE)*$D$11*$D$14*(1+$D$13)^($F54-'הנחות עבודה'!$C$5)/$D$11)</f>
        <v>5.9775860739230247</v>
      </c>
      <c r="Z54" s="52">
        <f ca="1">IF($F54&gt;$D$5,0,VLOOKUP($F54,$F$24:$BZ$44,Z$2-$E$2,FALSE)*$D$11*$D$14*(1+$D$13)^($F54-'הנחות עבודה'!$C$5)/$D$11)</f>
        <v>273.13538285367804</v>
      </c>
      <c r="AA54" s="52">
        <f ca="1">IF($F54&gt;$D$5,0,VLOOKUP($F54,$F$24:$BZ$44,AA$2-$E$2,FALSE)*$D$11*$D$14*(1+$D$13)^($F54-'הנחות עבודה'!$C$5)/$D$11)</f>
        <v>0</v>
      </c>
      <c r="AB54" s="52">
        <f ca="1">IF($F54&gt;$D$5,0,VLOOKUP($F54,$F$24:$BZ$44,AB$2-$E$2,FALSE)*$D$11*$D$14*(1+$D$13)^($F54-'הנחות עבודה'!$C$5)/$D$11)</f>
        <v>0</v>
      </c>
      <c r="AC54" s="52">
        <f ca="1">IF($F54&gt;$D$5,0,VLOOKUP($F54,$F$24:$BZ$44,AC$2-$E$2,FALSE)*$D$11*$D$14*(1+$D$13)^($F54-'הנחות עבודה'!$C$5)/$D$11)</f>
        <v>48.095618641390807</v>
      </c>
      <c r="AD54" s="52">
        <f ca="1">IF($F54&gt;$D$5,0,VLOOKUP($F54,$F$24:$BZ$44,AD$2-$E$2,FALSE)*$D$11*$D$14*(1+$D$13)^($F54-'הנחות עבודה'!$C$5)/$D$11)</f>
        <v>0</v>
      </c>
      <c r="AE54" s="42">
        <f ca="1">IF($F54&gt;$D$5,0,VLOOKUP($F54,$F$24:$BZ$44,AE$2-$E$2,FALSE)*$D$11*$D$14*(1+$D$13)^($F54-'הנחות עבודה'!$C$5)/$D$11)</f>
        <v>0</v>
      </c>
      <c r="AF54" s="44">
        <f ca="1">IF($F54&gt;$D$5,0,VLOOKUP($F54,$F$24:$BZ$44,AF$2-$E$2,FALSE)*$D$11*$D$14*(1+$D$13)^($F54-'הנחות עבודה'!$C$5)/$D$11)</f>
        <v>0</v>
      </c>
      <c r="AG54" s="44">
        <f ca="1">IF($F54&gt;$D$5,0,VLOOKUP($F54,$F$24:$BZ$44,AG$2-$E$2,FALSE)*$D$11*$D$14*(1+$D$13)^($F54-'הנחות עבודה'!$C$5)/$D$11)</f>
        <v>0</v>
      </c>
      <c r="AH54" s="44">
        <f ca="1">IF($F54&gt;$D$5,0,VLOOKUP($F54,$F$24:$BZ$44,AH$2-$E$2,FALSE)*$D$11*$D$14*(1+$D$13)^($F54-'הנחות עבודה'!$C$5)/$D$11)</f>
        <v>0</v>
      </c>
      <c r="AI54" s="44">
        <f ca="1">IF($F54&gt;$D$5,0,VLOOKUP($F54,$F$24:$BZ$44,AI$2-$E$2,FALSE)*$D$11*$D$14*(1+$D$13)^($F54-'הנחות עבודה'!$C$5)/$D$11)</f>
        <v>0</v>
      </c>
      <c r="AJ54" s="44">
        <f ca="1">IF($F54&gt;$D$5,0,VLOOKUP($F54,$F$24:$BZ$44,AJ$2-$E$2,FALSE)*$D$11*$D$14*(1+$D$13)^($F54-'הנחות עבודה'!$C$5)/$D$11)</f>
        <v>0</v>
      </c>
      <c r="AK54" s="42">
        <f ca="1">IF($F54&gt;$D$5,0,VLOOKUP($F54,$F$24:$BZ$44,AK$2-$E$2,FALSE)*$D$11*$D$14*(1+$D$13)^($F54-'הנחות עבודה'!$C$5)/$D$11)</f>
        <v>5.8355742402691577</v>
      </c>
      <c r="AL54" s="42">
        <f ca="1">IF($F54&gt;$D$5,0,VLOOKUP($F54,$F$24:$BZ$44,AL$2-$E$2,FALSE)*$D$11*$D$14*(1+$D$13)^($F54-'הנחות עבודה'!$C$5)/$D$11)</f>
        <v>263.0310789092498</v>
      </c>
      <c r="AM54" s="42">
        <f ca="1">IF($F54&gt;$D$5,0,VLOOKUP($F54,$F$24:$BZ$44,AM$2-$E$2,FALSE)*$D$11*$D$14*(1+$D$13)^($F54-'הנחות עבודה'!$C$5)/$D$11)</f>
        <v>0</v>
      </c>
      <c r="AN54" s="42">
        <f ca="1">IF($F54&gt;$D$5,0,VLOOKUP($F54,$F$24:$BZ$44,AN$2-$E$2,FALSE)*$D$11*$D$14*(1+$D$13)^($F54-'הנחות עבודה'!$C$5)/$D$11)</f>
        <v>0</v>
      </c>
      <c r="AO54" s="42">
        <f ca="1">IF($F54&gt;$D$5,0,VLOOKUP($F54,$F$24:$BZ$44,AO$2-$E$2,FALSE)*$D$11*$D$14*(1+$D$13)^($F54-'הנחות עבודה'!$C$5)/$D$11)</f>
        <v>48.079473926348584</v>
      </c>
      <c r="AP54" s="42">
        <f ca="1">IF($F54&gt;$D$5,0,VLOOKUP($F54,$F$24:$BZ$44,AP$2-$E$2,FALSE)*$D$11*$D$14*(1+$D$13)^($F54-'הנחות עבודה'!$C$5)/$D$11)</f>
        <v>0</v>
      </c>
      <c r="AQ54" s="52">
        <f ca="1">IF($F54&gt;$D$5,0,VLOOKUP($F54,$F$24:$BZ$44,AQ$2-$E$2,FALSE)*$D$11*$D$14*(1+$D$13)^($F54-'הנחות עבודה'!$C$5)/$D$11)</f>
        <v>0</v>
      </c>
      <c r="AR54" s="127">
        <f ca="1">IF($F54&gt;$D$5,0,VLOOKUP($F54,$F$24:$BZ$44,AR$2-$E$2,FALSE)*$D$11*$D$14*(1+$D$13)^($F54-'הנחות עבודה'!$C$5)/$D$11)</f>
        <v>0</v>
      </c>
      <c r="AS54" s="127">
        <f ca="1">IF($F54&gt;$D$5,0,VLOOKUP($F54,$F$24:$BZ$44,AS$2-$E$2,FALSE)*$D$11*$D$14*(1+$D$13)^($F54-'הנחות עבודה'!$C$5)/$D$11)</f>
        <v>0</v>
      </c>
      <c r="AT54" s="127">
        <f ca="1">IF($F54&gt;$D$5,0,VLOOKUP($F54,$F$24:$BZ$44,AT$2-$E$2,FALSE)*$D$11*$D$14*(1+$D$13)^($F54-'הנחות עבודה'!$C$5)/$D$11)</f>
        <v>0</v>
      </c>
      <c r="AU54" s="127">
        <f ca="1">IF($F54&gt;$D$5,0,VLOOKUP($F54,$F$24:$BZ$44,AU$2-$E$2,FALSE)*$D$11*$D$14*(1+$D$13)^($F54-'הנחות עבודה'!$C$5)/$D$11)</f>
        <v>0</v>
      </c>
      <c r="AV54" s="127">
        <f ca="1">IF($F54&gt;$D$5,0,VLOOKUP($F54,$F$24:$BZ$44,AV$2-$E$2,FALSE)*$D$11*$D$14*(1+$D$13)^($F54-'הנחות עבודה'!$C$5)/$D$11)</f>
        <v>0</v>
      </c>
      <c r="AW54" s="52">
        <f ca="1">IF($F54&gt;$D$5,0,VLOOKUP($F54,$F$24:$BZ$44,AW$2-$E$2,FALSE)*$D$11*$D$14*(1+$D$13)^($F54-'הנחות עבודה'!$C$5)/$D$11)</f>
        <v>5.8355742402691577</v>
      </c>
      <c r="AX54" s="52">
        <f ca="1">IF($F54&gt;$D$5,0,VLOOKUP($F54,$F$24:$BZ$44,AX$2-$E$2,FALSE)*$D$11*$D$14*(1+$D$13)^($F54-'הנחות עבודה'!$C$5)/$D$11)</f>
        <v>263.0310789092498</v>
      </c>
      <c r="AY54" s="52">
        <f ca="1">IF($F54&gt;$D$5,0,VLOOKUP($F54,$F$24:$BZ$44,AY$2-$E$2,FALSE)*$D$11*$D$14*(1+$D$13)^($F54-'הנחות עבודה'!$C$5)/$D$11)</f>
        <v>0</v>
      </c>
      <c r="AZ54" s="52">
        <f ca="1">IF($F54&gt;$D$5,0,VLOOKUP($F54,$F$24:$BZ$44,AZ$2-$E$2,FALSE)*$D$11*$D$14*(1+$D$13)^($F54-'הנחות עבודה'!$C$5)/$D$11)</f>
        <v>0</v>
      </c>
      <c r="BA54" s="52">
        <f ca="1">IF($F54&gt;$D$5,0,VLOOKUP($F54,$F$24:$BZ$44,BA$2-$E$2,FALSE)*$D$11*$D$14*(1+$D$13)^($F54-'הנחות עבודה'!$C$5)/$D$11)</f>
        <v>48.079473926348584</v>
      </c>
      <c r="BB54" s="52">
        <f ca="1">IF($F54&gt;$D$5,0,VLOOKUP($F54,$F$24:$BZ$44,BB$2-$E$2,FALSE)*$D$11*$D$14*(1+$D$13)^($F54-'הנחות עבודה'!$C$5)/$D$11)</f>
        <v>0</v>
      </c>
      <c r="BC54" s="42">
        <f ca="1">IF($F54&gt;$D$5,0,VLOOKUP($F54,$F$24:$BZ$44,BC$2-$E$2,FALSE)*$D$11*$D$14*(1+$D$13)^($F54-'הנחות עבודה'!$C$5)/$D$11)</f>
        <v>0</v>
      </c>
      <c r="BD54" s="44">
        <f ca="1">IF($F54&gt;$D$5,0,VLOOKUP($F54,$F$24:$BZ$44,BD$2-$E$2,FALSE)*$D$11*$D$14*(1+$D$13)^($F54-'הנחות עבודה'!$C$5)/$D$11)</f>
        <v>0</v>
      </c>
      <c r="BE54" s="44">
        <f ca="1">IF($F54&gt;$D$5,0,VLOOKUP($F54,$F$24:$BZ$44,BE$2-$E$2,FALSE)*$D$11*$D$14*(1+$D$13)^($F54-'הנחות עבודה'!$C$5)/$D$11)</f>
        <v>0</v>
      </c>
      <c r="BF54" s="44">
        <f ca="1">IF($F54&gt;$D$5,0,VLOOKUP($F54,$F$24:$BZ$44,BF$2-$E$2,FALSE)*$D$11*$D$14*(1+$D$13)^($F54-'הנחות עבודה'!$C$5)/$D$11)</f>
        <v>0</v>
      </c>
      <c r="BG54" s="44">
        <f ca="1">IF($F54&gt;$D$5,0,VLOOKUP($F54,$F$24:$BZ$44,BG$2-$E$2,FALSE)*$D$11*$D$14*(1+$D$13)^($F54-'הנחות עבודה'!$C$5)/$D$11)</f>
        <v>0</v>
      </c>
      <c r="BH54" s="44">
        <f ca="1">IF($F54&gt;$D$5,0,VLOOKUP($F54,$F$24:$BZ$44,BH$2-$E$2,FALSE)*$D$11*$D$14*(1+$D$13)^($F54-'הנחות עבודה'!$C$5)/$D$11)</f>
        <v>0</v>
      </c>
      <c r="BI54" s="42">
        <f ca="1">IF($F54&gt;$D$5,0,VLOOKUP($F54,$F$24:$BZ$44,BI$2-$E$2,FALSE)*$D$11*$D$14*(1+$D$13)^($F54-'הנחות עבודה'!$C$5)/$D$11)</f>
        <v>5.7968437401817425</v>
      </c>
      <c r="BJ54" s="42">
        <f ca="1">IF($F54&gt;$D$5,0,VLOOKUP($F54,$F$24:$BZ$44,BJ$2-$E$2,FALSE)*$D$11*$D$14*(1+$D$13)^($F54-'הנחות עבודה'!$C$5)/$D$11)</f>
        <v>257.49062898062658</v>
      </c>
      <c r="BK54" s="42">
        <f ca="1">IF($F54&gt;$D$5,0,VLOOKUP($F54,$F$24:$BZ$44,BK$2-$E$2,FALSE)*$D$11*$D$14*(1+$D$13)^($F54-'הנחות עבודה'!$C$5)/$D$11)</f>
        <v>0</v>
      </c>
      <c r="BL54" s="42">
        <f ca="1">IF($F54&gt;$D$5,0,VLOOKUP($F54,$F$24:$BZ$44,BL$2-$E$2,FALSE)*$D$11*$D$14*(1+$D$13)^($F54-'הנחות עבודה'!$C$5)/$D$11)</f>
        <v>0</v>
      </c>
      <c r="BM54" s="42">
        <f ca="1">IF($F54&gt;$D$5,0,VLOOKUP($F54,$F$24:$BZ$44,BM$2-$E$2,FALSE)*$D$11*$D$14*(1+$D$13)^($F54-'הנחות עבודה'!$C$5)/$D$11)</f>
        <v>48.08049898762112</v>
      </c>
      <c r="BN54" s="42">
        <f ca="1">IF($F54&gt;$D$5,0,VLOOKUP($F54,$F$24:$BZ$44,BN$2-$E$2,FALSE)*$D$11*$D$14*(1+$D$13)^($F54-'הנחות עבודה'!$C$5)/$D$11)</f>
        <v>0</v>
      </c>
      <c r="BO54" s="52">
        <f ca="1">IF($F54&gt;$D$5,0,VLOOKUP($F54,$F$24:$BZ$44,BO$2-$E$2,FALSE)*$D$11*$D$14*(1+$D$13)^($F54-'הנחות עבודה'!$C$5)/$D$11)</f>
        <v>0</v>
      </c>
      <c r="BP54" s="127">
        <f ca="1">IF($F54&gt;$D$5,0,VLOOKUP($F54,$F$24:$BZ$44,BP$2-$E$2,FALSE)*$D$11*$D$14*(1+$D$13)^($F54-'הנחות עבודה'!$C$5)/$D$11)</f>
        <v>0</v>
      </c>
      <c r="BQ54" s="127">
        <f ca="1">IF($F54&gt;$D$5,0,VLOOKUP($F54,$F$24:$BZ$44,BQ$2-$E$2,FALSE)*$D$11*$D$14*(1+$D$13)^($F54-'הנחות עבודה'!$C$5)/$D$11)</f>
        <v>0</v>
      </c>
      <c r="BR54" s="127">
        <f ca="1">IF($F54&gt;$D$5,0,VLOOKUP($F54,$F$24:$BZ$44,BR$2-$E$2,FALSE)*$D$11*$D$14*(1+$D$13)^($F54-'הנחות עבודה'!$C$5)/$D$11)</f>
        <v>0</v>
      </c>
      <c r="BS54" s="127">
        <f ca="1">IF($F54&gt;$D$5,0,VLOOKUP($F54,$F$24:$BZ$44,BS$2-$E$2,FALSE)*$D$11*$D$14*(1+$D$13)^($F54-'הנחות עבודה'!$C$5)/$D$11)</f>
        <v>0</v>
      </c>
      <c r="BT54" s="127">
        <f ca="1">IF($F54&gt;$D$5,0,VLOOKUP($F54,$F$24:$BZ$44,BT$2-$E$2,FALSE)*$D$11*$D$14*(1+$D$13)^($F54-'הנחות עבודה'!$C$5)/$D$11)</f>
        <v>0</v>
      </c>
      <c r="BU54" s="52">
        <f ca="1">IF($F54&gt;$D$5,0,VLOOKUP($F54,$F$24:$BZ$44,BU$2-$E$2,FALSE)*$D$11*$D$14*(1+$D$13)^($F54-'הנחות עבודה'!$C$5)/$D$11)</f>
        <v>5.7968437401817425</v>
      </c>
      <c r="BV54" s="52">
        <f ca="1">IF($F54&gt;$D$5,0,VLOOKUP($F54,$F$24:$BZ$44,BV$2-$E$2,FALSE)*$D$11*$D$14*(1+$D$13)^($F54-'הנחות עבודה'!$C$5)/$D$11)</f>
        <v>257.49062898062658</v>
      </c>
      <c r="BW54" s="52">
        <f ca="1">IF($F54&gt;$D$5,0,VLOOKUP($F54,$F$24:$BZ$44,BW$2-$E$2,FALSE)*$D$11*$D$14*(1+$D$13)^($F54-'הנחות עבודה'!$C$5)/$D$11)</f>
        <v>0</v>
      </c>
      <c r="BX54" s="52">
        <f ca="1">IF($F54&gt;$D$5,0,VLOOKUP($F54,$F$24:$BZ$44,BX$2-$E$2,FALSE)*$D$11*$D$14*(1+$D$13)^($F54-'הנחות עבודה'!$C$5)/$D$11)</f>
        <v>0</v>
      </c>
      <c r="BY54" s="52">
        <f ca="1">IF($F54&gt;$D$5,0,VLOOKUP($F54,$F$24:$BZ$44,BY$2-$E$2,FALSE)*$D$11*$D$14*(1+$D$13)^($F54-'הנחות עבודה'!$C$5)/$D$11)</f>
        <v>48.08049898762112</v>
      </c>
      <c r="BZ54" s="52">
        <f ca="1">IF($F54&gt;$D$5,0,VLOOKUP($F54,$F$24:$BZ$44,BZ$2-$E$2,FALSE)*$D$11*$D$14*(1+$D$13)^($F54-'הנחות עבודה'!$C$5)/$D$11)</f>
        <v>0</v>
      </c>
    </row>
    <row r="55" spans="6:78" ht="15.75">
      <c r="F55" s="10">
        <f t="shared" si="129"/>
        <v>2024</v>
      </c>
      <c r="G55" s="42">
        <f ca="1">IF($F55&gt;$D$5,0,VLOOKUP($F55,$F$24:$BZ$44,G$2-$E$2,FALSE)*$D$11*$D$14*(1+$D$13)^($F55-'הנחות עבודה'!$C$5)/$D$11)</f>
        <v>0</v>
      </c>
      <c r="H55" s="44">
        <f ca="1">IF($F55&gt;$D$5,0,VLOOKUP($F55,$F$24:$BZ$44,H$2-$E$2,FALSE)*$D$11*$D$14*(1+$D$13)^($F55-'הנחות עבודה'!$C$5)/$D$11)</f>
        <v>0</v>
      </c>
      <c r="I55" s="44">
        <f ca="1">IF($F55&gt;$D$5,0,VLOOKUP($F55,$F$24:$BZ$44,I$2-$E$2,FALSE)*$D$11*$D$14*(1+$D$13)^($F55-'הנחות עבודה'!$C$5)/$D$11)</f>
        <v>0</v>
      </c>
      <c r="J55" s="44">
        <f ca="1">IF($F55&gt;$D$5,0,VLOOKUP($F55,$F$24:$BZ$44,J$2-$E$2,FALSE)*$D$11*$D$14*(1+$D$13)^($F55-'הנחות עבודה'!$C$5)/$D$11)</f>
        <v>0</v>
      </c>
      <c r="K55" s="44">
        <f ca="1">IF($F55&gt;$D$5,0,VLOOKUP($F55,$F$24:$BZ$44,K$2-$E$2,FALSE)*$D$11*$D$14*(1+$D$13)^($F55-'הנחות עבודה'!$C$5)/$D$11)</f>
        <v>0</v>
      </c>
      <c r="L55" s="44">
        <f ca="1">IF($F55&gt;$D$5,0,VLOOKUP($F55,$F$24:$BZ$44,L$2-$E$2,FALSE)*$D$11*$D$14*(1+$D$13)^($F55-'הנחות עבודה'!$C$5)/$D$11)</f>
        <v>0</v>
      </c>
      <c r="M55" s="42">
        <f ca="1">IF($F55&gt;$D$5,0,VLOOKUP($F55,$F$24:$BZ$44,M$2-$E$2,FALSE)*$D$11*$D$14*(1+$D$13)^($F55-'הנחות עבודה'!$C$5)/$D$11)</f>
        <v>8.1301409927912847</v>
      </c>
      <c r="N55" s="42">
        <f ca="1">IF($F55&gt;$D$5,0,VLOOKUP($F55,$F$24:$BZ$44,N$2-$E$2,FALSE)*$D$11*$D$14*(1+$D$13)^($F55-'הנחות עבודה'!$C$5)/$D$11)</f>
        <v>293.50109302903638</v>
      </c>
      <c r="O55" s="42">
        <f ca="1">IF($F55&gt;$D$5,0,VLOOKUP($F55,$F$24:$BZ$44,O$2-$E$2,FALSE)*$D$11*$D$14*(1+$D$13)^($F55-'הנחות עבודה'!$C$5)/$D$11)</f>
        <v>0</v>
      </c>
      <c r="P55" s="42">
        <f ca="1">IF($F55&gt;$D$5,0,VLOOKUP($F55,$F$24:$BZ$44,P$2-$E$2,FALSE)*$D$11*$D$14*(1+$D$13)^($F55-'הנחות עבודה'!$C$5)/$D$11)</f>
        <v>0</v>
      </c>
      <c r="Q55" s="42">
        <f ca="1">IF($F55&gt;$D$5,0,VLOOKUP($F55,$F$24:$BZ$44,Q$2-$E$2,FALSE)*$D$11*$D$14*(1+$D$13)^($F55-'הנחות עבודה'!$C$5)/$D$11)</f>
        <v>42.143809272117586</v>
      </c>
      <c r="R55" s="42">
        <f ca="1">IF($F55&gt;$D$5,0,VLOOKUP($F55,$F$24:$BZ$44,R$2-$E$2,FALSE)*$D$11*$D$14*(1+$D$13)^($F55-'הנחות עבודה'!$C$5)/$D$11)</f>
        <v>0</v>
      </c>
      <c r="S55" s="52">
        <f ca="1">IF($F55&gt;$D$5,0,VLOOKUP($F55,$F$24:$BZ$44,S$2-$E$2,FALSE)*$D$11*$D$14*(1+$D$13)^($F55-'הנחות עבודה'!$C$5)/$D$11)</f>
        <v>0</v>
      </c>
      <c r="T55" s="127">
        <f ca="1">IF($F55&gt;$D$5,0,VLOOKUP($F55,$F$24:$BZ$44,T$2-$E$2,FALSE)*$D$11*$D$14*(1+$D$13)^($F55-'הנחות עבודה'!$C$5)/$D$11)</f>
        <v>0</v>
      </c>
      <c r="U55" s="127">
        <f ca="1">IF($F55&gt;$D$5,0,VLOOKUP($F55,$F$24:$BZ$44,U$2-$E$2,FALSE)*$D$11*$D$14*(1+$D$13)^($F55-'הנחות עבודה'!$C$5)/$D$11)</f>
        <v>0</v>
      </c>
      <c r="V55" s="127">
        <f ca="1">IF($F55&gt;$D$5,0,VLOOKUP($F55,$F$24:$BZ$44,V$2-$E$2,FALSE)*$D$11*$D$14*(1+$D$13)^($F55-'הנחות עבודה'!$C$5)/$D$11)</f>
        <v>0</v>
      </c>
      <c r="W55" s="127">
        <f ca="1">IF($F55&gt;$D$5,0,VLOOKUP($F55,$F$24:$BZ$44,W$2-$E$2,FALSE)*$D$11*$D$14*(1+$D$13)^($F55-'הנחות עבודה'!$C$5)/$D$11)</f>
        <v>0</v>
      </c>
      <c r="X55" s="127">
        <f ca="1">IF($F55&gt;$D$5,0,VLOOKUP($F55,$F$24:$BZ$44,X$2-$E$2,FALSE)*$D$11*$D$14*(1+$D$13)^($F55-'הנחות עבודה'!$C$5)/$D$11)</f>
        <v>0</v>
      </c>
      <c r="Y55" s="52">
        <f ca="1">IF($F55&gt;$D$5,0,VLOOKUP($F55,$F$24:$BZ$44,Y$2-$E$2,FALSE)*$D$11*$D$14*(1+$D$13)^($F55-'הנחות עבודה'!$C$5)/$D$11)</f>
        <v>8.1301409927912847</v>
      </c>
      <c r="Z55" s="52">
        <f ca="1">IF($F55&gt;$D$5,0,VLOOKUP($F55,$F$24:$BZ$44,Z$2-$E$2,FALSE)*$D$11*$D$14*(1+$D$13)^($F55-'הנחות עבודה'!$C$5)/$D$11)</f>
        <v>293.50109302903638</v>
      </c>
      <c r="AA55" s="52">
        <f ca="1">IF($F55&gt;$D$5,0,VLOOKUP($F55,$F$24:$BZ$44,AA$2-$E$2,FALSE)*$D$11*$D$14*(1+$D$13)^($F55-'הנחות עבודה'!$C$5)/$D$11)</f>
        <v>0</v>
      </c>
      <c r="AB55" s="52">
        <f ca="1">IF($F55&gt;$D$5,0,VLOOKUP($F55,$F$24:$BZ$44,AB$2-$E$2,FALSE)*$D$11*$D$14*(1+$D$13)^($F55-'הנחות עבודה'!$C$5)/$D$11)</f>
        <v>0</v>
      </c>
      <c r="AC55" s="52">
        <f ca="1">IF($F55&gt;$D$5,0,VLOOKUP($F55,$F$24:$BZ$44,AC$2-$E$2,FALSE)*$D$11*$D$14*(1+$D$13)^($F55-'הנחות עבודה'!$C$5)/$D$11)</f>
        <v>42.143809272117586</v>
      </c>
      <c r="AD55" s="52">
        <f ca="1">IF($F55&gt;$D$5,0,VLOOKUP($F55,$F$24:$BZ$44,AD$2-$E$2,FALSE)*$D$11*$D$14*(1+$D$13)^($F55-'הנחות עבודה'!$C$5)/$D$11)</f>
        <v>0</v>
      </c>
      <c r="AE55" s="42">
        <f ca="1">IF($F55&gt;$D$5,0,VLOOKUP($F55,$F$24:$BZ$44,AE$2-$E$2,FALSE)*$D$11*$D$14*(1+$D$13)^($F55-'הנחות עבודה'!$C$5)/$D$11)</f>
        <v>0</v>
      </c>
      <c r="AF55" s="44">
        <f ca="1">IF($F55&gt;$D$5,0,VLOOKUP($F55,$F$24:$BZ$44,AF$2-$E$2,FALSE)*$D$11*$D$14*(1+$D$13)^($F55-'הנחות עבודה'!$C$5)/$D$11)</f>
        <v>0</v>
      </c>
      <c r="AG55" s="44">
        <f ca="1">IF($F55&gt;$D$5,0,VLOOKUP($F55,$F$24:$BZ$44,AG$2-$E$2,FALSE)*$D$11*$D$14*(1+$D$13)^($F55-'הנחות עבודה'!$C$5)/$D$11)</f>
        <v>0</v>
      </c>
      <c r="AH55" s="44">
        <f ca="1">IF($F55&gt;$D$5,0,VLOOKUP($F55,$F$24:$BZ$44,AH$2-$E$2,FALSE)*$D$11*$D$14*(1+$D$13)^($F55-'הנחות עבודה'!$C$5)/$D$11)</f>
        <v>0</v>
      </c>
      <c r="AI55" s="44">
        <f ca="1">IF($F55&gt;$D$5,0,VLOOKUP($F55,$F$24:$BZ$44,AI$2-$E$2,FALSE)*$D$11*$D$14*(1+$D$13)^($F55-'הנחות עבודה'!$C$5)/$D$11)</f>
        <v>0</v>
      </c>
      <c r="AJ55" s="44">
        <f ca="1">IF($F55&gt;$D$5,0,VLOOKUP($F55,$F$24:$BZ$44,AJ$2-$E$2,FALSE)*$D$11*$D$14*(1+$D$13)^($F55-'הנחות עבודה'!$C$5)/$D$11)</f>
        <v>0</v>
      </c>
      <c r="AK55" s="42">
        <f ca="1">IF($F55&gt;$D$5,0,VLOOKUP($F55,$F$24:$BZ$44,AK$2-$E$2,FALSE)*$D$11*$D$14*(1+$D$13)^($F55-'הנחות עבודה'!$C$5)/$D$11)</f>
        <v>7.9362619815415005</v>
      </c>
      <c r="AL55" s="42">
        <f ca="1">IF($F55&gt;$D$5,0,VLOOKUP($F55,$F$24:$BZ$44,AL$2-$E$2,FALSE)*$D$11*$D$14*(1+$D$13)^($F55-'הנחות עבודה'!$C$5)/$D$11)</f>
        <v>279.3233338538754</v>
      </c>
      <c r="AM55" s="42">
        <f ca="1">IF($F55&gt;$D$5,0,VLOOKUP($F55,$F$24:$BZ$44,AM$2-$E$2,FALSE)*$D$11*$D$14*(1+$D$13)^($F55-'הנחות עבודה'!$C$5)/$D$11)</f>
        <v>0</v>
      </c>
      <c r="AN55" s="42">
        <f ca="1">IF($F55&gt;$D$5,0,VLOOKUP($F55,$F$24:$BZ$44,AN$2-$E$2,FALSE)*$D$11*$D$14*(1+$D$13)^($F55-'הנחות עבודה'!$C$5)/$D$11)</f>
        <v>0</v>
      </c>
      <c r="AO55" s="42">
        <f ca="1">IF($F55&gt;$D$5,0,VLOOKUP($F55,$F$24:$BZ$44,AO$2-$E$2,FALSE)*$D$11*$D$14*(1+$D$13)^($F55-'הנחות עבודה'!$C$5)/$D$11)</f>
        <v>42.045189604884968</v>
      </c>
      <c r="AP55" s="42">
        <f ca="1">IF($F55&gt;$D$5,0,VLOOKUP($F55,$F$24:$BZ$44,AP$2-$E$2,FALSE)*$D$11*$D$14*(1+$D$13)^($F55-'הנחות עבודה'!$C$5)/$D$11)</f>
        <v>0</v>
      </c>
      <c r="AQ55" s="52">
        <f ca="1">IF($F55&gt;$D$5,0,VLOOKUP($F55,$F$24:$BZ$44,AQ$2-$E$2,FALSE)*$D$11*$D$14*(1+$D$13)^($F55-'הנחות עבודה'!$C$5)/$D$11)</f>
        <v>0</v>
      </c>
      <c r="AR55" s="127">
        <f ca="1">IF($F55&gt;$D$5,0,VLOOKUP($F55,$F$24:$BZ$44,AR$2-$E$2,FALSE)*$D$11*$D$14*(1+$D$13)^($F55-'הנחות עבודה'!$C$5)/$D$11)</f>
        <v>0</v>
      </c>
      <c r="AS55" s="127">
        <f ca="1">IF($F55&gt;$D$5,0,VLOOKUP($F55,$F$24:$BZ$44,AS$2-$E$2,FALSE)*$D$11*$D$14*(1+$D$13)^($F55-'הנחות עבודה'!$C$5)/$D$11)</f>
        <v>0</v>
      </c>
      <c r="AT55" s="127">
        <f ca="1">IF($F55&gt;$D$5,0,VLOOKUP($F55,$F$24:$BZ$44,AT$2-$E$2,FALSE)*$D$11*$D$14*(1+$D$13)^($F55-'הנחות עבודה'!$C$5)/$D$11)</f>
        <v>0</v>
      </c>
      <c r="AU55" s="127">
        <f ca="1">IF($F55&gt;$D$5,0,VLOOKUP($F55,$F$24:$BZ$44,AU$2-$E$2,FALSE)*$D$11*$D$14*(1+$D$13)^($F55-'הנחות עבודה'!$C$5)/$D$11)</f>
        <v>0</v>
      </c>
      <c r="AV55" s="127">
        <f ca="1">IF($F55&gt;$D$5,0,VLOOKUP($F55,$F$24:$BZ$44,AV$2-$E$2,FALSE)*$D$11*$D$14*(1+$D$13)^($F55-'הנחות עבודה'!$C$5)/$D$11)</f>
        <v>0</v>
      </c>
      <c r="AW55" s="52">
        <f ca="1">IF($F55&gt;$D$5,0,VLOOKUP($F55,$F$24:$BZ$44,AW$2-$E$2,FALSE)*$D$11*$D$14*(1+$D$13)^($F55-'הנחות עבודה'!$C$5)/$D$11)</f>
        <v>7.9362619815415005</v>
      </c>
      <c r="AX55" s="52">
        <f ca="1">IF($F55&gt;$D$5,0,VLOOKUP($F55,$F$24:$BZ$44,AX$2-$E$2,FALSE)*$D$11*$D$14*(1+$D$13)^($F55-'הנחות עבודה'!$C$5)/$D$11)</f>
        <v>279.3233338538754</v>
      </c>
      <c r="AY55" s="52">
        <f ca="1">IF($F55&gt;$D$5,0,VLOOKUP($F55,$F$24:$BZ$44,AY$2-$E$2,FALSE)*$D$11*$D$14*(1+$D$13)^($F55-'הנחות עבודה'!$C$5)/$D$11)</f>
        <v>0</v>
      </c>
      <c r="AZ55" s="52">
        <f ca="1">IF($F55&gt;$D$5,0,VLOOKUP($F55,$F$24:$BZ$44,AZ$2-$E$2,FALSE)*$D$11*$D$14*(1+$D$13)^($F55-'הנחות עבודה'!$C$5)/$D$11)</f>
        <v>0</v>
      </c>
      <c r="BA55" s="52">
        <f ca="1">IF($F55&gt;$D$5,0,VLOOKUP($F55,$F$24:$BZ$44,BA$2-$E$2,FALSE)*$D$11*$D$14*(1+$D$13)^($F55-'הנחות עבודה'!$C$5)/$D$11)</f>
        <v>42.045189604884968</v>
      </c>
      <c r="BB55" s="52">
        <f ca="1">IF($F55&gt;$D$5,0,VLOOKUP($F55,$F$24:$BZ$44,BB$2-$E$2,FALSE)*$D$11*$D$14*(1+$D$13)^($F55-'הנחות עבודה'!$C$5)/$D$11)</f>
        <v>0</v>
      </c>
      <c r="BC55" s="42">
        <f ca="1">IF($F55&gt;$D$5,0,VLOOKUP($F55,$F$24:$BZ$44,BC$2-$E$2,FALSE)*$D$11*$D$14*(1+$D$13)^($F55-'הנחות עבודה'!$C$5)/$D$11)</f>
        <v>0</v>
      </c>
      <c r="BD55" s="44">
        <f ca="1">IF($F55&gt;$D$5,0,VLOOKUP($F55,$F$24:$BZ$44,BD$2-$E$2,FALSE)*$D$11*$D$14*(1+$D$13)^($F55-'הנחות עבודה'!$C$5)/$D$11)</f>
        <v>0</v>
      </c>
      <c r="BE55" s="44">
        <f ca="1">IF($F55&gt;$D$5,0,VLOOKUP($F55,$F$24:$BZ$44,BE$2-$E$2,FALSE)*$D$11*$D$14*(1+$D$13)^($F55-'הנחות עבודה'!$C$5)/$D$11)</f>
        <v>0</v>
      </c>
      <c r="BF55" s="44">
        <f ca="1">IF($F55&gt;$D$5,0,VLOOKUP($F55,$F$24:$BZ$44,BF$2-$E$2,FALSE)*$D$11*$D$14*(1+$D$13)^($F55-'הנחות עבודה'!$C$5)/$D$11)</f>
        <v>0</v>
      </c>
      <c r="BG55" s="44">
        <f ca="1">IF($F55&gt;$D$5,0,VLOOKUP($F55,$F$24:$BZ$44,BG$2-$E$2,FALSE)*$D$11*$D$14*(1+$D$13)^($F55-'הנחות עבודה'!$C$5)/$D$11)</f>
        <v>0</v>
      </c>
      <c r="BH55" s="44">
        <f ca="1">IF($F55&gt;$D$5,0,VLOOKUP($F55,$F$24:$BZ$44,BH$2-$E$2,FALSE)*$D$11*$D$14*(1+$D$13)^($F55-'הנחות עבודה'!$C$5)/$D$11)</f>
        <v>0</v>
      </c>
      <c r="BI55" s="42">
        <f ca="1">IF($F55&gt;$D$5,0,VLOOKUP($F55,$F$24:$BZ$44,BI$2-$E$2,FALSE)*$D$11*$D$14*(1+$D$13)^($F55-'הנחות עבודה'!$C$5)/$D$11)</f>
        <v>7.8941732713019475</v>
      </c>
      <c r="BJ55" s="42">
        <f ca="1">IF($F55&gt;$D$5,0,VLOOKUP($F55,$F$24:$BZ$44,BJ$2-$E$2,FALSE)*$D$11*$D$14*(1+$D$13)^($F55-'הנחות עבודה'!$C$5)/$D$11)</f>
        <v>271.45575581971269</v>
      </c>
      <c r="BK55" s="42">
        <f ca="1">IF($F55&gt;$D$5,0,VLOOKUP($F55,$F$24:$BZ$44,BK$2-$E$2,FALSE)*$D$11*$D$14*(1+$D$13)^($F55-'הנחות עבודה'!$C$5)/$D$11)</f>
        <v>0</v>
      </c>
      <c r="BL55" s="42">
        <f ca="1">IF($F55&gt;$D$5,0,VLOOKUP($F55,$F$24:$BZ$44,BL$2-$E$2,FALSE)*$D$11*$D$14*(1+$D$13)^($F55-'הנחות עבודה'!$C$5)/$D$11)</f>
        <v>0</v>
      </c>
      <c r="BM55" s="42">
        <f ca="1">IF($F55&gt;$D$5,0,VLOOKUP($F55,$F$24:$BZ$44,BM$2-$E$2,FALSE)*$D$11*$D$14*(1+$D$13)^($F55-'הנחות עבודה'!$C$5)/$D$11)</f>
        <v>42.023533855058837</v>
      </c>
      <c r="BN55" s="42">
        <f ca="1">IF($F55&gt;$D$5,0,VLOOKUP($F55,$F$24:$BZ$44,BN$2-$E$2,FALSE)*$D$11*$D$14*(1+$D$13)^($F55-'הנחות עבודה'!$C$5)/$D$11)</f>
        <v>0</v>
      </c>
      <c r="BO55" s="52">
        <f ca="1">IF($F55&gt;$D$5,0,VLOOKUP($F55,$F$24:$BZ$44,BO$2-$E$2,FALSE)*$D$11*$D$14*(1+$D$13)^($F55-'הנחות עבודה'!$C$5)/$D$11)</f>
        <v>0</v>
      </c>
      <c r="BP55" s="127">
        <f ca="1">IF($F55&gt;$D$5,0,VLOOKUP($F55,$F$24:$BZ$44,BP$2-$E$2,FALSE)*$D$11*$D$14*(1+$D$13)^($F55-'הנחות עבודה'!$C$5)/$D$11)</f>
        <v>0</v>
      </c>
      <c r="BQ55" s="127">
        <f ca="1">IF($F55&gt;$D$5,0,VLOOKUP($F55,$F$24:$BZ$44,BQ$2-$E$2,FALSE)*$D$11*$D$14*(1+$D$13)^($F55-'הנחות עבודה'!$C$5)/$D$11)</f>
        <v>0</v>
      </c>
      <c r="BR55" s="127">
        <f ca="1">IF($F55&gt;$D$5,0,VLOOKUP($F55,$F$24:$BZ$44,BR$2-$E$2,FALSE)*$D$11*$D$14*(1+$D$13)^($F55-'הנחות עבודה'!$C$5)/$D$11)</f>
        <v>0</v>
      </c>
      <c r="BS55" s="127">
        <f ca="1">IF($F55&gt;$D$5,0,VLOOKUP($F55,$F$24:$BZ$44,BS$2-$E$2,FALSE)*$D$11*$D$14*(1+$D$13)^($F55-'הנחות עבודה'!$C$5)/$D$11)</f>
        <v>0</v>
      </c>
      <c r="BT55" s="127">
        <f ca="1">IF($F55&gt;$D$5,0,VLOOKUP($F55,$F$24:$BZ$44,BT$2-$E$2,FALSE)*$D$11*$D$14*(1+$D$13)^($F55-'הנחות עבודה'!$C$5)/$D$11)</f>
        <v>0</v>
      </c>
      <c r="BU55" s="52">
        <f ca="1">IF($F55&gt;$D$5,0,VLOOKUP($F55,$F$24:$BZ$44,BU$2-$E$2,FALSE)*$D$11*$D$14*(1+$D$13)^($F55-'הנחות עבודה'!$C$5)/$D$11)</f>
        <v>7.8941732713019475</v>
      </c>
      <c r="BV55" s="52">
        <f ca="1">IF($F55&gt;$D$5,0,VLOOKUP($F55,$F$24:$BZ$44,BV$2-$E$2,FALSE)*$D$11*$D$14*(1+$D$13)^($F55-'הנחות עבודה'!$C$5)/$D$11)</f>
        <v>271.45575581971269</v>
      </c>
      <c r="BW55" s="52">
        <f ca="1">IF($F55&gt;$D$5,0,VLOOKUP($F55,$F$24:$BZ$44,BW$2-$E$2,FALSE)*$D$11*$D$14*(1+$D$13)^($F55-'הנחות עבודה'!$C$5)/$D$11)</f>
        <v>0</v>
      </c>
      <c r="BX55" s="52">
        <f ca="1">IF($F55&gt;$D$5,0,VLOOKUP($F55,$F$24:$BZ$44,BX$2-$E$2,FALSE)*$D$11*$D$14*(1+$D$13)^($F55-'הנחות עבודה'!$C$5)/$D$11)</f>
        <v>0</v>
      </c>
      <c r="BY55" s="52">
        <f ca="1">IF($F55&gt;$D$5,0,VLOOKUP($F55,$F$24:$BZ$44,BY$2-$E$2,FALSE)*$D$11*$D$14*(1+$D$13)^($F55-'הנחות עבודה'!$C$5)/$D$11)</f>
        <v>42.023533855058837</v>
      </c>
      <c r="BZ55" s="52">
        <f ca="1">IF($F55&gt;$D$5,0,VLOOKUP($F55,$F$24:$BZ$44,BZ$2-$E$2,FALSE)*$D$11*$D$14*(1+$D$13)^($F55-'הנחות עבודה'!$C$5)/$D$11)</f>
        <v>0</v>
      </c>
    </row>
    <row r="56" spans="6:78" ht="15.75">
      <c r="F56" s="10">
        <f t="shared" si="129"/>
        <v>2025</v>
      </c>
      <c r="G56" s="42">
        <f ca="1">IF($F56&gt;$D$5,0,VLOOKUP($F56,$F$24:$BZ$44,G$2-$E$2,FALSE)*$D$11*$D$14*(1+$D$13)^($F56-'הנחות עבודה'!$C$5)/$D$11)</f>
        <v>0</v>
      </c>
      <c r="H56" s="44">
        <f ca="1">IF($F56&gt;$D$5,0,VLOOKUP($F56,$F$24:$BZ$44,H$2-$E$2,FALSE)*$D$11*$D$14*(1+$D$13)^($F56-'הנחות עבודה'!$C$5)/$D$11)</f>
        <v>0</v>
      </c>
      <c r="I56" s="44">
        <f ca="1">IF($F56&gt;$D$5,0,VLOOKUP($F56,$F$24:$BZ$44,I$2-$E$2,FALSE)*$D$11*$D$14*(1+$D$13)^($F56-'הנחות עבודה'!$C$5)/$D$11)</f>
        <v>0</v>
      </c>
      <c r="J56" s="44">
        <f ca="1">IF($F56&gt;$D$5,0,VLOOKUP($F56,$F$24:$BZ$44,J$2-$E$2,FALSE)*$D$11*$D$14*(1+$D$13)^($F56-'הנחות עבודה'!$C$5)/$D$11)</f>
        <v>0</v>
      </c>
      <c r="K56" s="44">
        <f ca="1">IF($F56&gt;$D$5,0,VLOOKUP($F56,$F$24:$BZ$44,K$2-$E$2,FALSE)*$D$11*$D$14*(1+$D$13)^($F56-'הנחות עבודה'!$C$5)/$D$11)</f>
        <v>0</v>
      </c>
      <c r="L56" s="44">
        <f ca="1">IF($F56&gt;$D$5,0,VLOOKUP($F56,$F$24:$BZ$44,L$2-$E$2,FALSE)*$D$11*$D$14*(1+$D$13)^($F56-'הנחות עבודה'!$C$5)/$D$11)</f>
        <v>0</v>
      </c>
      <c r="M56" s="42">
        <f ca="1">IF($F56&gt;$D$5,0,VLOOKUP($F56,$F$24:$BZ$44,M$2-$E$2,FALSE)*$D$11*$D$14*(1+$D$13)^($F56-'הנחות עבודה'!$C$5)/$D$11)</f>
        <v>29.406582939383853</v>
      </c>
      <c r="N56" s="42">
        <f ca="1">IF($F56&gt;$D$5,0,VLOOKUP($F56,$F$24:$BZ$44,N$2-$E$2,FALSE)*$D$11*$D$14*(1+$D$13)^($F56-'הנחות עבודה'!$C$5)/$D$11)</f>
        <v>312.44707594421027</v>
      </c>
      <c r="O56" s="42">
        <f ca="1">IF($F56&gt;$D$5,0,VLOOKUP($F56,$F$24:$BZ$44,O$2-$E$2,FALSE)*$D$11*$D$14*(1+$D$13)^($F56-'הנחות עבודה'!$C$5)/$D$11)</f>
        <v>0</v>
      </c>
      <c r="P56" s="42">
        <f ca="1">IF($F56&gt;$D$5,0,VLOOKUP($F56,$F$24:$BZ$44,P$2-$E$2,FALSE)*$D$11*$D$14*(1+$D$13)^($F56-'הנחות עבודה'!$C$5)/$D$11)</f>
        <v>0</v>
      </c>
      <c r="Q56" s="42">
        <f ca="1">IF($F56&gt;$D$5,0,VLOOKUP($F56,$F$24:$BZ$44,Q$2-$E$2,FALSE)*$D$11*$D$14*(1+$D$13)^($F56-'הנחות עבודה'!$C$5)/$D$11)</f>
        <v>12.616177416847655</v>
      </c>
      <c r="R56" s="42">
        <f ca="1">IF($F56&gt;$D$5,0,VLOOKUP($F56,$F$24:$BZ$44,R$2-$E$2,FALSE)*$D$11*$D$14*(1+$D$13)^($F56-'הנחות עבודה'!$C$5)/$D$11)</f>
        <v>0</v>
      </c>
      <c r="S56" s="52">
        <f ca="1">IF($F56&gt;$D$5,0,VLOOKUP($F56,$F$24:$BZ$44,S$2-$E$2,FALSE)*$D$11*$D$14*(1+$D$13)^($F56-'הנחות עבודה'!$C$5)/$D$11)</f>
        <v>0</v>
      </c>
      <c r="T56" s="127">
        <f ca="1">IF($F56&gt;$D$5,0,VLOOKUP($F56,$F$24:$BZ$44,T$2-$E$2,FALSE)*$D$11*$D$14*(1+$D$13)^($F56-'הנחות עבודה'!$C$5)/$D$11)</f>
        <v>0</v>
      </c>
      <c r="U56" s="127">
        <f ca="1">IF($F56&gt;$D$5,0,VLOOKUP($F56,$F$24:$BZ$44,U$2-$E$2,FALSE)*$D$11*$D$14*(1+$D$13)^($F56-'הנחות עבודה'!$C$5)/$D$11)</f>
        <v>0</v>
      </c>
      <c r="V56" s="127">
        <f ca="1">IF($F56&gt;$D$5,0,VLOOKUP($F56,$F$24:$BZ$44,V$2-$E$2,FALSE)*$D$11*$D$14*(1+$D$13)^($F56-'הנחות עבודה'!$C$5)/$D$11)</f>
        <v>0</v>
      </c>
      <c r="W56" s="127">
        <f ca="1">IF($F56&gt;$D$5,0,VLOOKUP($F56,$F$24:$BZ$44,W$2-$E$2,FALSE)*$D$11*$D$14*(1+$D$13)^($F56-'הנחות עבודה'!$C$5)/$D$11)</f>
        <v>0</v>
      </c>
      <c r="X56" s="127">
        <f ca="1">IF($F56&gt;$D$5,0,VLOOKUP($F56,$F$24:$BZ$44,X$2-$E$2,FALSE)*$D$11*$D$14*(1+$D$13)^($F56-'הנחות עבודה'!$C$5)/$D$11)</f>
        <v>0</v>
      </c>
      <c r="Y56" s="52">
        <f ca="1">IF($F56&gt;$D$5,0,VLOOKUP($F56,$F$24:$BZ$44,Y$2-$E$2,FALSE)*$D$11*$D$14*(1+$D$13)^($F56-'הנחות עבודה'!$C$5)/$D$11)</f>
        <v>29.406582939383853</v>
      </c>
      <c r="Z56" s="52">
        <f ca="1">IF($F56&gt;$D$5,0,VLOOKUP($F56,$F$24:$BZ$44,Z$2-$E$2,FALSE)*$D$11*$D$14*(1+$D$13)^($F56-'הנחות עבודה'!$C$5)/$D$11)</f>
        <v>312.44707594421027</v>
      </c>
      <c r="AA56" s="52">
        <f ca="1">IF($F56&gt;$D$5,0,VLOOKUP($F56,$F$24:$BZ$44,AA$2-$E$2,FALSE)*$D$11*$D$14*(1+$D$13)^($F56-'הנחות עבודה'!$C$5)/$D$11)</f>
        <v>0</v>
      </c>
      <c r="AB56" s="52">
        <f ca="1">IF($F56&gt;$D$5,0,VLOOKUP($F56,$F$24:$BZ$44,AB$2-$E$2,FALSE)*$D$11*$D$14*(1+$D$13)^($F56-'הנחות עבודה'!$C$5)/$D$11)</f>
        <v>0</v>
      </c>
      <c r="AC56" s="52">
        <f ca="1">IF($F56&gt;$D$5,0,VLOOKUP($F56,$F$24:$BZ$44,AC$2-$E$2,FALSE)*$D$11*$D$14*(1+$D$13)^($F56-'הנחות עבודה'!$C$5)/$D$11)</f>
        <v>12.616177416847655</v>
      </c>
      <c r="AD56" s="52">
        <f ca="1">IF($F56&gt;$D$5,0,VLOOKUP($F56,$F$24:$BZ$44,AD$2-$E$2,FALSE)*$D$11*$D$14*(1+$D$13)^($F56-'הנחות עבודה'!$C$5)/$D$11)</f>
        <v>0</v>
      </c>
      <c r="AE56" s="42">
        <f ca="1">IF($F56&gt;$D$5,0,VLOOKUP($F56,$F$24:$BZ$44,AE$2-$E$2,FALSE)*$D$11*$D$14*(1+$D$13)^($F56-'הנחות עבודה'!$C$5)/$D$11)</f>
        <v>0</v>
      </c>
      <c r="AF56" s="44">
        <f ca="1">IF($F56&gt;$D$5,0,VLOOKUP($F56,$F$24:$BZ$44,AF$2-$E$2,FALSE)*$D$11*$D$14*(1+$D$13)^($F56-'הנחות עבודה'!$C$5)/$D$11)</f>
        <v>0</v>
      </c>
      <c r="AG56" s="44">
        <f ca="1">IF($F56&gt;$D$5,0,VLOOKUP($F56,$F$24:$BZ$44,AG$2-$E$2,FALSE)*$D$11*$D$14*(1+$D$13)^($F56-'הנחות עבודה'!$C$5)/$D$11)</f>
        <v>0</v>
      </c>
      <c r="AH56" s="44">
        <f ca="1">IF($F56&gt;$D$5,0,VLOOKUP($F56,$F$24:$BZ$44,AH$2-$E$2,FALSE)*$D$11*$D$14*(1+$D$13)^($F56-'הנחות עבודה'!$C$5)/$D$11)</f>
        <v>0</v>
      </c>
      <c r="AI56" s="44">
        <f ca="1">IF($F56&gt;$D$5,0,VLOOKUP($F56,$F$24:$BZ$44,AI$2-$E$2,FALSE)*$D$11*$D$14*(1+$D$13)^($F56-'הנחות עבודה'!$C$5)/$D$11)</f>
        <v>0</v>
      </c>
      <c r="AJ56" s="44">
        <f ca="1">IF($F56&gt;$D$5,0,VLOOKUP($F56,$F$24:$BZ$44,AJ$2-$E$2,FALSE)*$D$11*$D$14*(1+$D$13)^($F56-'הנחות עבודה'!$C$5)/$D$11)</f>
        <v>0</v>
      </c>
      <c r="AK56" s="42">
        <f ca="1">IF($F56&gt;$D$5,0,VLOOKUP($F56,$F$24:$BZ$44,AK$2-$E$2,FALSE)*$D$11*$D$14*(1+$D$13)^($F56-'הנחות עבודה'!$C$5)/$D$11)</f>
        <v>28.339500223745052</v>
      </c>
      <c r="AL56" s="42">
        <f ca="1">IF($F56&gt;$D$5,0,VLOOKUP($F56,$F$24:$BZ$44,AL$2-$E$2,FALSE)*$D$11*$D$14*(1+$D$13)^($F56-'הנחות עבודה'!$C$5)/$D$11)</f>
        <v>294.77424920921408</v>
      </c>
      <c r="AM56" s="42">
        <f ca="1">IF($F56&gt;$D$5,0,VLOOKUP($F56,$F$24:$BZ$44,AM$2-$E$2,FALSE)*$D$11*$D$14*(1+$D$13)^($F56-'הנחות עבודה'!$C$5)/$D$11)</f>
        <v>0</v>
      </c>
      <c r="AN56" s="42">
        <f ca="1">IF($F56&gt;$D$5,0,VLOOKUP($F56,$F$24:$BZ$44,AN$2-$E$2,FALSE)*$D$11*$D$14*(1+$D$13)^($F56-'הנחות עבודה'!$C$5)/$D$11)</f>
        <v>0</v>
      </c>
      <c r="AO56" s="42">
        <f ca="1">IF($F56&gt;$D$5,0,VLOOKUP($F56,$F$24:$BZ$44,AO$2-$E$2,FALSE)*$D$11*$D$14*(1+$D$13)^($F56-'הנחות עבודה'!$C$5)/$D$11)</f>
        <v>12.597093878325701</v>
      </c>
      <c r="AP56" s="42">
        <f ca="1">IF($F56&gt;$D$5,0,VLOOKUP($F56,$F$24:$BZ$44,AP$2-$E$2,FALSE)*$D$11*$D$14*(1+$D$13)^($F56-'הנחות עבודה'!$C$5)/$D$11)</f>
        <v>0</v>
      </c>
      <c r="AQ56" s="52">
        <f ca="1">IF($F56&gt;$D$5,0,VLOOKUP($F56,$F$24:$BZ$44,AQ$2-$E$2,FALSE)*$D$11*$D$14*(1+$D$13)^($F56-'הנחות עבודה'!$C$5)/$D$11)</f>
        <v>0</v>
      </c>
      <c r="AR56" s="127">
        <f ca="1">IF($F56&gt;$D$5,0,VLOOKUP($F56,$F$24:$BZ$44,AR$2-$E$2,FALSE)*$D$11*$D$14*(1+$D$13)^($F56-'הנחות עבודה'!$C$5)/$D$11)</f>
        <v>0</v>
      </c>
      <c r="AS56" s="127">
        <f ca="1">IF($F56&gt;$D$5,0,VLOOKUP($F56,$F$24:$BZ$44,AS$2-$E$2,FALSE)*$D$11*$D$14*(1+$D$13)^($F56-'הנחות עבודה'!$C$5)/$D$11)</f>
        <v>0</v>
      </c>
      <c r="AT56" s="127">
        <f ca="1">IF($F56&gt;$D$5,0,VLOOKUP($F56,$F$24:$BZ$44,AT$2-$E$2,FALSE)*$D$11*$D$14*(1+$D$13)^($F56-'הנחות עבודה'!$C$5)/$D$11)</f>
        <v>0</v>
      </c>
      <c r="AU56" s="127">
        <f ca="1">IF($F56&gt;$D$5,0,VLOOKUP($F56,$F$24:$BZ$44,AU$2-$E$2,FALSE)*$D$11*$D$14*(1+$D$13)^($F56-'הנחות עבודה'!$C$5)/$D$11)</f>
        <v>0</v>
      </c>
      <c r="AV56" s="127">
        <f ca="1">IF($F56&gt;$D$5,0,VLOOKUP($F56,$F$24:$BZ$44,AV$2-$E$2,FALSE)*$D$11*$D$14*(1+$D$13)^($F56-'הנחות עבודה'!$C$5)/$D$11)</f>
        <v>0</v>
      </c>
      <c r="AW56" s="52">
        <f ca="1">IF($F56&gt;$D$5,0,VLOOKUP($F56,$F$24:$BZ$44,AW$2-$E$2,FALSE)*$D$11*$D$14*(1+$D$13)^($F56-'הנחות עבודה'!$C$5)/$D$11)</f>
        <v>28.339500223745052</v>
      </c>
      <c r="AX56" s="52">
        <f ca="1">IF($F56&gt;$D$5,0,VLOOKUP($F56,$F$24:$BZ$44,AX$2-$E$2,FALSE)*$D$11*$D$14*(1+$D$13)^($F56-'הנחות עבודה'!$C$5)/$D$11)</f>
        <v>294.77424920921408</v>
      </c>
      <c r="AY56" s="52">
        <f ca="1">IF($F56&gt;$D$5,0,VLOOKUP($F56,$F$24:$BZ$44,AY$2-$E$2,FALSE)*$D$11*$D$14*(1+$D$13)^($F56-'הנחות עבודה'!$C$5)/$D$11)</f>
        <v>0</v>
      </c>
      <c r="AZ56" s="52">
        <f ca="1">IF($F56&gt;$D$5,0,VLOOKUP($F56,$F$24:$BZ$44,AZ$2-$E$2,FALSE)*$D$11*$D$14*(1+$D$13)^($F56-'הנחות עבודה'!$C$5)/$D$11)</f>
        <v>0</v>
      </c>
      <c r="BA56" s="52">
        <f ca="1">IF($F56&gt;$D$5,0,VLOOKUP($F56,$F$24:$BZ$44,BA$2-$E$2,FALSE)*$D$11*$D$14*(1+$D$13)^($F56-'הנחות עבודה'!$C$5)/$D$11)</f>
        <v>12.597093878325701</v>
      </c>
      <c r="BB56" s="52">
        <f ca="1">IF($F56&gt;$D$5,0,VLOOKUP($F56,$F$24:$BZ$44,BB$2-$E$2,FALSE)*$D$11*$D$14*(1+$D$13)^($F56-'הנחות עבודה'!$C$5)/$D$11)</f>
        <v>0</v>
      </c>
      <c r="BC56" s="42">
        <f ca="1">IF($F56&gt;$D$5,0,VLOOKUP($F56,$F$24:$BZ$44,BC$2-$E$2,FALSE)*$D$11*$D$14*(1+$D$13)^($F56-'הנחות עבודה'!$C$5)/$D$11)</f>
        <v>0</v>
      </c>
      <c r="BD56" s="44">
        <f ca="1">IF($F56&gt;$D$5,0,VLOOKUP($F56,$F$24:$BZ$44,BD$2-$E$2,FALSE)*$D$11*$D$14*(1+$D$13)^($F56-'הנחות עבודה'!$C$5)/$D$11)</f>
        <v>0</v>
      </c>
      <c r="BE56" s="44">
        <f ca="1">IF($F56&gt;$D$5,0,VLOOKUP($F56,$F$24:$BZ$44,BE$2-$E$2,FALSE)*$D$11*$D$14*(1+$D$13)^($F56-'הנחות עבודה'!$C$5)/$D$11)</f>
        <v>0</v>
      </c>
      <c r="BF56" s="44">
        <f ca="1">IF($F56&gt;$D$5,0,VLOOKUP($F56,$F$24:$BZ$44,BF$2-$E$2,FALSE)*$D$11*$D$14*(1+$D$13)^($F56-'הנחות עבודה'!$C$5)/$D$11)</f>
        <v>0</v>
      </c>
      <c r="BG56" s="44">
        <f ca="1">IF($F56&gt;$D$5,0,VLOOKUP($F56,$F$24:$BZ$44,BG$2-$E$2,FALSE)*$D$11*$D$14*(1+$D$13)^($F56-'הנחות עבודה'!$C$5)/$D$11)</f>
        <v>0</v>
      </c>
      <c r="BH56" s="44">
        <f ca="1">IF($F56&gt;$D$5,0,VLOOKUP($F56,$F$24:$BZ$44,BH$2-$E$2,FALSE)*$D$11*$D$14*(1+$D$13)^($F56-'הנחות עבודה'!$C$5)/$D$11)</f>
        <v>0</v>
      </c>
      <c r="BI56" s="42">
        <f ca="1">IF($F56&gt;$D$5,0,VLOOKUP($F56,$F$24:$BZ$44,BI$2-$E$2,FALSE)*$D$11*$D$14*(1+$D$13)^($F56-'הנחות עבודה'!$C$5)/$D$11)</f>
        <v>28.436059731742052</v>
      </c>
      <c r="BJ56" s="42">
        <f ca="1">IF($F56&gt;$D$5,0,VLOOKUP($F56,$F$24:$BZ$44,BJ$2-$E$2,FALSE)*$D$11*$D$14*(1+$D$13)^($F56-'הנחות עבודה'!$C$5)/$D$11)</f>
        <v>284.01761184049576</v>
      </c>
      <c r="BK56" s="42">
        <f ca="1">IF($F56&gt;$D$5,0,VLOOKUP($F56,$F$24:$BZ$44,BK$2-$E$2,FALSE)*$D$11*$D$14*(1+$D$13)^($F56-'הנחות עבודה'!$C$5)/$D$11)</f>
        <v>0</v>
      </c>
      <c r="BL56" s="42">
        <f ca="1">IF($F56&gt;$D$5,0,VLOOKUP($F56,$F$24:$BZ$44,BL$2-$E$2,FALSE)*$D$11*$D$14*(1+$D$13)^($F56-'הנחות עבודה'!$C$5)/$D$11)</f>
        <v>0</v>
      </c>
      <c r="BM56" s="42">
        <f ca="1">IF($F56&gt;$D$5,0,VLOOKUP($F56,$F$24:$BZ$44,BM$2-$E$2,FALSE)*$D$11*$D$14*(1+$D$13)^($F56-'הנחות עבודה'!$C$5)/$D$11)</f>
        <v>12.574639977391749</v>
      </c>
      <c r="BN56" s="42">
        <f ca="1">IF($F56&gt;$D$5,0,VLOOKUP($F56,$F$24:$BZ$44,BN$2-$E$2,FALSE)*$D$11*$D$14*(1+$D$13)^($F56-'הנחות עבודה'!$C$5)/$D$11)</f>
        <v>0</v>
      </c>
      <c r="BO56" s="52">
        <f ca="1">IF($F56&gt;$D$5,0,VLOOKUP($F56,$F$24:$BZ$44,BO$2-$E$2,FALSE)*$D$11*$D$14*(1+$D$13)^($F56-'הנחות עבודה'!$C$5)/$D$11)</f>
        <v>0</v>
      </c>
      <c r="BP56" s="127">
        <f ca="1">IF($F56&gt;$D$5,0,VLOOKUP($F56,$F$24:$BZ$44,BP$2-$E$2,FALSE)*$D$11*$D$14*(1+$D$13)^($F56-'הנחות עבודה'!$C$5)/$D$11)</f>
        <v>0</v>
      </c>
      <c r="BQ56" s="127">
        <f ca="1">IF($F56&gt;$D$5,0,VLOOKUP($F56,$F$24:$BZ$44,BQ$2-$E$2,FALSE)*$D$11*$D$14*(1+$D$13)^($F56-'הנחות עבודה'!$C$5)/$D$11)</f>
        <v>0</v>
      </c>
      <c r="BR56" s="127">
        <f ca="1">IF($F56&gt;$D$5,0,VLOOKUP($F56,$F$24:$BZ$44,BR$2-$E$2,FALSE)*$D$11*$D$14*(1+$D$13)^($F56-'הנחות עבודה'!$C$5)/$D$11)</f>
        <v>0</v>
      </c>
      <c r="BS56" s="127">
        <f ca="1">IF($F56&gt;$D$5,0,VLOOKUP($F56,$F$24:$BZ$44,BS$2-$E$2,FALSE)*$D$11*$D$14*(1+$D$13)^($F56-'הנחות עבודה'!$C$5)/$D$11)</f>
        <v>0</v>
      </c>
      <c r="BT56" s="127">
        <f ca="1">IF($F56&gt;$D$5,0,VLOOKUP($F56,$F$24:$BZ$44,BT$2-$E$2,FALSE)*$D$11*$D$14*(1+$D$13)^($F56-'הנחות עבודה'!$C$5)/$D$11)</f>
        <v>0</v>
      </c>
      <c r="BU56" s="52">
        <f ca="1">IF($F56&gt;$D$5,0,VLOOKUP($F56,$F$24:$BZ$44,BU$2-$E$2,FALSE)*$D$11*$D$14*(1+$D$13)^($F56-'הנחות עבודה'!$C$5)/$D$11)</f>
        <v>28.436059731742052</v>
      </c>
      <c r="BV56" s="52">
        <f ca="1">IF($F56&gt;$D$5,0,VLOOKUP($F56,$F$24:$BZ$44,BV$2-$E$2,FALSE)*$D$11*$D$14*(1+$D$13)^($F56-'הנחות עבודה'!$C$5)/$D$11)</f>
        <v>284.01761184049576</v>
      </c>
      <c r="BW56" s="52">
        <f ca="1">IF($F56&gt;$D$5,0,VLOOKUP($F56,$F$24:$BZ$44,BW$2-$E$2,FALSE)*$D$11*$D$14*(1+$D$13)^($F56-'הנחות עבודה'!$C$5)/$D$11)</f>
        <v>0</v>
      </c>
      <c r="BX56" s="52">
        <f ca="1">IF($F56&gt;$D$5,0,VLOOKUP($F56,$F$24:$BZ$44,BX$2-$E$2,FALSE)*$D$11*$D$14*(1+$D$13)^($F56-'הנחות עבודה'!$C$5)/$D$11)</f>
        <v>0</v>
      </c>
      <c r="BY56" s="52">
        <f ca="1">IF($F56&gt;$D$5,0,VLOOKUP($F56,$F$24:$BZ$44,BY$2-$E$2,FALSE)*$D$11*$D$14*(1+$D$13)^($F56-'הנחות עבודה'!$C$5)/$D$11)</f>
        <v>12.574639977391749</v>
      </c>
      <c r="BZ56" s="52">
        <f ca="1">IF($F56&gt;$D$5,0,VLOOKUP($F56,$F$24:$BZ$44,BZ$2-$E$2,FALSE)*$D$11*$D$14*(1+$D$13)^($F56-'הנחות עבודה'!$C$5)/$D$11)</f>
        <v>0</v>
      </c>
    </row>
    <row r="57" spans="6:78" ht="15.75">
      <c r="F57" s="10">
        <f t="shared" si="129"/>
        <v>2026</v>
      </c>
      <c r="G57" s="42">
        <f ca="1">IF($F57&gt;$D$5,0,VLOOKUP($F57,$F$24:$BZ$44,G$2-$E$2,FALSE)*$D$11*$D$14*(1+$D$13)^($F57-'הנחות עבודה'!$C$5)/$D$11)</f>
        <v>0</v>
      </c>
      <c r="H57" s="44">
        <f ca="1">IF($F57&gt;$D$5,0,VLOOKUP($F57,$F$24:$BZ$44,H$2-$E$2,FALSE)*$D$11*$D$14*(1+$D$13)^($F57-'הנחות עבודה'!$C$5)/$D$11)</f>
        <v>0</v>
      </c>
      <c r="I57" s="44">
        <f ca="1">IF($F57&gt;$D$5,0,VLOOKUP($F57,$F$24:$BZ$44,I$2-$E$2,FALSE)*$D$11*$D$14*(1+$D$13)^($F57-'הנחות עבודה'!$C$5)/$D$11)</f>
        <v>0</v>
      </c>
      <c r="J57" s="44">
        <f ca="1">IF($F57&gt;$D$5,0,VLOOKUP($F57,$F$24:$BZ$44,J$2-$E$2,FALSE)*$D$11*$D$14*(1+$D$13)^($F57-'הנחות עבודה'!$C$5)/$D$11)</f>
        <v>0</v>
      </c>
      <c r="K57" s="44">
        <f ca="1">IF($F57&gt;$D$5,0,VLOOKUP($F57,$F$24:$BZ$44,K$2-$E$2,FALSE)*$D$11*$D$14*(1+$D$13)^($F57-'הנחות עבודה'!$C$5)/$D$11)</f>
        <v>0</v>
      </c>
      <c r="L57" s="44">
        <f ca="1">IF($F57&gt;$D$5,0,VLOOKUP($F57,$F$24:$BZ$44,L$2-$E$2,FALSE)*$D$11*$D$14*(1+$D$13)^($F57-'הנחות עבודה'!$C$5)/$D$11)</f>
        <v>0</v>
      </c>
      <c r="M57" s="42">
        <f ca="1">IF($F57&gt;$D$5,0,VLOOKUP($F57,$F$24:$BZ$44,M$2-$E$2,FALSE)*$D$11*$D$14*(1+$D$13)^($F57-'הנחות עבודה'!$C$5)/$D$11)</f>
        <v>50.238192116532879</v>
      </c>
      <c r="N57" s="42">
        <f ca="1">IF($F57&gt;$D$5,0,VLOOKUP($F57,$F$24:$BZ$44,N$2-$E$2,FALSE)*$D$11*$D$14*(1+$D$13)^($F57-'הנחות עבודה'!$C$5)/$D$11)</f>
        <v>312.44333341306594</v>
      </c>
      <c r="O57" s="42">
        <f ca="1">IF($F57&gt;$D$5,0,VLOOKUP($F57,$F$24:$BZ$44,O$2-$E$2,FALSE)*$D$11*$D$14*(1+$D$13)^($F57-'הנחות עבודה'!$C$5)/$D$11)</f>
        <v>0</v>
      </c>
      <c r="P57" s="42">
        <f ca="1">IF($F57&gt;$D$5,0,VLOOKUP($F57,$F$24:$BZ$44,P$2-$E$2,FALSE)*$D$11*$D$14*(1+$D$13)^($F57-'הנחות עבודה'!$C$5)/$D$11)</f>
        <v>0</v>
      </c>
      <c r="Q57" s="42">
        <f ca="1">IF($F57&gt;$D$5,0,VLOOKUP($F57,$F$24:$BZ$44,Q$2-$E$2,FALSE)*$D$11*$D$14*(1+$D$13)^($F57-'הנחות עבודה'!$C$5)/$D$11)</f>
        <v>0</v>
      </c>
      <c r="R57" s="42">
        <f ca="1">IF($F57&gt;$D$5,0,VLOOKUP($F57,$F$24:$BZ$44,R$2-$E$2,FALSE)*$D$11*$D$14*(1+$D$13)^($F57-'הנחות עבודה'!$C$5)/$D$11)</f>
        <v>0</v>
      </c>
      <c r="S57" s="52">
        <f ca="1">IF($F57&gt;$D$5,0,VLOOKUP($F57,$F$24:$BZ$44,S$2-$E$2,FALSE)*$D$11*$D$14*(1+$D$13)^($F57-'הנחות עבודה'!$C$5)/$D$11)</f>
        <v>0</v>
      </c>
      <c r="T57" s="127">
        <f ca="1">IF($F57&gt;$D$5,0,VLOOKUP($F57,$F$24:$BZ$44,T$2-$E$2,FALSE)*$D$11*$D$14*(1+$D$13)^($F57-'הנחות עבודה'!$C$5)/$D$11)</f>
        <v>0</v>
      </c>
      <c r="U57" s="127">
        <f ca="1">IF($F57&gt;$D$5,0,VLOOKUP($F57,$F$24:$BZ$44,U$2-$E$2,FALSE)*$D$11*$D$14*(1+$D$13)^($F57-'הנחות עבודה'!$C$5)/$D$11)</f>
        <v>0</v>
      </c>
      <c r="V57" s="127">
        <f ca="1">IF($F57&gt;$D$5,0,VLOOKUP($F57,$F$24:$BZ$44,V$2-$E$2,FALSE)*$D$11*$D$14*(1+$D$13)^($F57-'הנחות עבודה'!$C$5)/$D$11)</f>
        <v>0</v>
      </c>
      <c r="W57" s="127">
        <f ca="1">IF($F57&gt;$D$5,0,VLOOKUP($F57,$F$24:$BZ$44,W$2-$E$2,FALSE)*$D$11*$D$14*(1+$D$13)^($F57-'הנחות עבודה'!$C$5)/$D$11)</f>
        <v>0</v>
      </c>
      <c r="X57" s="127">
        <f ca="1">IF($F57&gt;$D$5,0,VLOOKUP($F57,$F$24:$BZ$44,X$2-$E$2,FALSE)*$D$11*$D$14*(1+$D$13)^($F57-'הנחות עבודה'!$C$5)/$D$11)</f>
        <v>0</v>
      </c>
      <c r="Y57" s="52">
        <f ca="1">IF($F57&gt;$D$5,0,VLOOKUP($F57,$F$24:$BZ$44,Y$2-$E$2,FALSE)*$D$11*$D$14*(1+$D$13)^($F57-'הנחות עבודה'!$C$5)/$D$11)</f>
        <v>50.238192116532879</v>
      </c>
      <c r="Z57" s="52">
        <f ca="1">IF($F57&gt;$D$5,0,VLOOKUP($F57,$F$24:$BZ$44,Z$2-$E$2,FALSE)*$D$11*$D$14*(1+$D$13)^($F57-'הנחות עבודה'!$C$5)/$D$11)</f>
        <v>312.44333341306594</v>
      </c>
      <c r="AA57" s="52">
        <f ca="1">IF($F57&gt;$D$5,0,VLOOKUP($F57,$F$24:$BZ$44,AA$2-$E$2,FALSE)*$D$11*$D$14*(1+$D$13)^($F57-'הנחות עבודה'!$C$5)/$D$11)</f>
        <v>0</v>
      </c>
      <c r="AB57" s="52">
        <f ca="1">IF($F57&gt;$D$5,0,VLOOKUP($F57,$F$24:$BZ$44,AB$2-$E$2,FALSE)*$D$11*$D$14*(1+$D$13)^($F57-'הנחות עבודה'!$C$5)/$D$11)</f>
        <v>0</v>
      </c>
      <c r="AC57" s="52">
        <f ca="1">IF($F57&gt;$D$5,0,VLOOKUP($F57,$F$24:$BZ$44,AC$2-$E$2,FALSE)*$D$11*$D$14*(1+$D$13)^($F57-'הנחות עבודה'!$C$5)/$D$11)</f>
        <v>0</v>
      </c>
      <c r="AD57" s="52">
        <f ca="1">IF($F57&gt;$D$5,0,VLOOKUP($F57,$F$24:$BZ$44,AD$2-$E$2,FALSE)*$D$11*$D$14*(1+$D$13)^($F57-'הנחות עבודה'!$C$5)/$D$11)</f>
        <v>0</v>
      </c>
      <c r="AE57" s="42">
        <f ca="1">IF($F57&gt;$D$5,0,VLOOKUP($F57,$F$24:$BZ$44,AE$2-$E$2,FALSE)*$D$11*$D$14*(1+$D$13)^($F57-'הנחות עבודה'!$C$5)/$D$11)</f>
        <v>0</v>
      </c>
      <c r="AF57" s="44">
        <f ca="1">IF($F57&gt;$D$5,0,VLOOKUP($F57,$F$24:$BZ$44,AF$2-$E$2,FALSE)*$D$11*$D$14*(1+$D$13)^($F57-'הנחות עבודה'!$C$5)/$D$11)</f>
        <v>0</v>
      </c>
      <c r="AG57" s="44">
        <f ca="1">IF($F57&gt;$D$5,0,VLOOKUP($F57,$F$24:$BZ$44,AG$2-$E$2,FALSE)*$D$11*$D$14*(1+$D$13)^($F57-'הנחות עבודה'!$C$5)/$D$11)</f>
        <v>0</v>
      </c>
      <c r="AH57" s="44">
        <f ca="1">IF($F57&gt;$D$5,0,VLOOKUP($F57,$F$24:$BZ$44,AH$2-$E$2,FALSE)*$D$11*$D$14*(1+$D$13)^($F57-'הנחות עבודה'!$C$5)/$D$11)</f>
        <v>0</v>
      </c>
      <c r="AI57" s="44">
        <f ca="1">IF($F57&gt;$D$5,0,VLOOKUP($F57,$F$24:$BZ$44,AI$2-$E$2,FALSE)*$D$11*$D$14*(1+$D$13)^($F57-'הנחות עבודה'!$C$5)/$D$11)</f>
        <v>0</v>
      </c>
      <c r="AJ57" s="44">
        <f ca="1">IF($F57&gt;$D$5,0,VLOOKUP($F57,$F$24:$BZ$44,AJ$2-$E$2,FALSE)*$D$11*$D$14*(1+$D$13)^($F57-'הנחות עבודה'!$C$5)/$D$11)</f>
        <v>0</v>
      </c>
      <c r="AK57" s="42">
        <f ca="1">IF($F57&gt;$D$5,0,VLOOKUP($F57,$F$24:$BZ$44,AK$2-$E$2,FALSE)*$D$11*$D$14*(1+$D$13)^($F57-'הנחות עבודה'!$C$5)/$D$11)</f>
        <v>49.125007617023002</v>
      </c>
      <c r="AL57" s="42">
        <f ca="1">IF($F57&gt;$D$5,0,VLOOKUP($F57,$F$24:$BZ$44,AL$2-$E$2,FALSE)*$D$11*$D$14*(1+$D$13)^($F57-'הנחות עבודה'!$C$5)/$D$11)</f>
        <v>290.4297506890656</v>
      </c>
      <c r="AM57" s="42">
        <f ca="1">IF($F57&gt;$D$5,0,VLOOKUP($F57,$F$24:$BZ$44,AM$2-$E$2,FALSE)*$D$11*$D$14*(1+$D$13)^($F57-'הנחות עבודה'!$C$5)/$D$11)</f>
        <v>0</v>
      </c>
      <c r="AN57" s="42">
        <f ca="1">IF($F57&gt;$D$5,0,VLOOKUP($F57,$F$24:$BZ$44,AN$2-$E$2,FALSE)*$D$11*$D$14*(1+$D$13)^($F57-'הנחות עבודה'!$C$5)/$D$11)</f>
        <v>0</v>
      </c>
      <c r="AO57" s="42">
        <f ca="1">IF($F57&gt;$D$5,0,VLOOKUP($F57,$F$24:$BZ$44,AO$2-$E$2,FALSE)*$D$11*$D$14*(1+$D$13)^($F57-'הנחות עבודה'!$C$5)/$D$11)</f>
        <v>0</v>
      </c>
      <c r="AP57" s="42">
        <f ca="1">IF($F57&gt;$D$5,0,VLOOKUP($F57,$F$24:$BZ$44,AP$2-$E$2,FALSE)*$D$11*$D$14*(1+$D$13)^($F57-'הנחות עבודה'!$C$5)/$D$11)</f>
        <v>0</v>
      </c>
      <c r="AQ57" s="52">
        <f ca="1">IF($F57&gt;$D$5,0,VLOOKUP($F57,$F$24:$BZ$44,AQ$2-$E$2,FALSE)*$D$11*$D$14*(1+$D$13)^($F57-'הנחות עבודה'!$C$5)/$D$11)</f>
        <v>0</v>
      </c>
      <c r="AR57" s="127">
        <f ca="1">IF($F57&gt;$D$5,0,VLOOKUP($F57,$F$24:$BZ$44,AR$2-$E$2,FALSE)*$D$11*$D$14*(1+$D$13)^($F57-'הנחות עבודה'!$C$5)/$D$11)</f>
        <v>0</v>
      </c>
      <c r="AS57" s="127">
        <f ca="1">IF($F57&gt;$D$5,0,VLOOKUP($F57,$F$24:$BZ$44,AS$2-$E$2,FALSE)*$D$11*$D$14*(1+$D$13)^($F57-'הנחות עבודה'!$C$5)/$D$11)</f>
        <v>0</v>
      </c>
      <c r="AT57" s="127">
        <f ca="1">IF($F57&gt;$D$5,0,VLOOKUP($F57,$F$24:$BZ$44,AT$2-$E$2,FALSE)*$D$11*$D$14*(1+$D$13)^($F57-'הנחות עבודה'!$C$5)/$D$11)</f>
        <v>0</v>
      </c>
      <c r="AU57" s="127">
        <f ca="1">IF($F57&gt;$D$5,0,VLOOKUP($F57,$F$24:$BZ$44,AU$2-$E$2,FALSE)*$D$11*$D$14*(1+$D$13)^($F57-'הנחות עבודה'!$C$5)/$D$11)</f>
        <v>0</v>
      </c>
      <c r="AV57" s="127">
        <f ca="1">IF($F57&gt;$D$5,0,VLOOKUP($F57,$F$24:$BZ$44,AV$2-$E$2,FALSE)*$D$11*$D$14*(1+$D$13)^($F57-'הנחות עבודה'!$C$5)/$D$11)</f>
        <v>0</v>
      </c>
      <c r="AW57" s="52">
        <f ca="1">IF($F57&gt;$D$5,0,VLOOKUP($F57,$F$24:$BZ$44,AW$2-$E$2,FALSE)*$D$11*$D$14*(1+$D$13)^($F57-'הנחות עבודה'!$C$5)/$D$11)</f>
        <v>49.125007617023002</v>
      </c>
      <c r="AX57" s="52">
        <f ca="1">IF($F57&gt;$D$5,0,VLOOKUP($F57,$F$24:$BZ$44,AX$2-$E$2,FALSE)*$D$11*$D$14*(1+$D$13)^($F57-'הנחות עבודה'!$C$5)/$D$11)</f>
        <v>290.4297506890656</v>
      </c>
      <c r="AY57" s="52">
        <f ca="1">IF($F57&gt;$D$5,0,VLOOKUP($F57,$F$24:$BZ$44,AY$2-$E$2,FALSE)*$D$11*$D$14*(1+$D$13)^($F57-'הנחות עבודה'!$C$5)/$D$11)</f>
        <v>0</v>
      </c>
      <c r="AZ57" s="52">
        <f ca="1">IF($F57&gt;$D$5,0,VLOOKUP($F57,$F$24:$BZ$44,AZ$2-$E$2,FALSE)*$D$11*$D$14*(1+$D$13)^($F57-'הנחות עבודה'!$C$5)/$D$11)</f>
        <v>0</v>
      </c>
      <c r="BA57" s="52">
        <f ca="1">IF($F57&gt;$D$5,0,VLOOKUP($F57,$F$24:$BZ$44,BA$2-$E$2,FALSE)*$D$11*$D$14*(1+$D$13)^($F57-'הנחות עבודה'!$C$5)/$D$11)</f>
        <v>0</v>
      </c>
      <c r="BB57" s="52">
        <f ca="1">IF($F57&gt;$D$5,0,VLOOKUP($F57,$F$24:$BZ$44,BB$2-$E$2,FALSE)*$D$11*$D$14*(1+$D$13)^($F57-'הנחות עבודה'!$C$5)/$D$11)</f>
        <v>0</v>
      </c>
      <c r="BC57" s="42">
        <f ca="1">IF($F57&gt;$D$5,0,VLOOKUP($F57,$F$24:$BZ$44,BC$2-$E$2,FALSE)*$D$11*$D$14*(1+$D$13)^($F57-'הנחות עבודה'!$C$5)/$D$11)</f>
        <v>0</v>
      </c>
      <c r="BD57" s="44">
        <f ca="1">IF($F57&gt;$D$5,0,VLOOKUP($F57,$F$24:$BZ$44,BD$2-$E$2,FALSE)*$D$11*$D$14*(1+$D$13)^($F57-'הנחות עבודה'!$C$5)/$D$11)</f>
        <v>0</v>
      </c>
      <c r="BE57" s="44">
        <f ca="1">IF($F57&gt;$D$5,0,VLOOKUP($F57,$F$24:$BZ$44,BE$2-$E$2,FALSE)*$D$11*$D$14*(1+$D$13)^($F57-'הנחות עבודה'!$C$5)/$D$11)</f>
        <v>0</v>
      </c>
      <c r="BF57" s="44">
        <f ca="1">IF($F57&gt;$D$5,0,VLOOKUP($F57,$F$24:$BZ$44,BF$2-$E$2,FALSE)*$D$11*$D$14*(1+$D$13)^($F57-'הנחות עבודה'!$C$5)/$D$11)</f>
        <v>0</v>
      </c>
      <c r="BG57" s="44">
        <f ca="1">IF($F57&gt;$D$5,0,VLOOKUP($F57,$F$24:$BZ$44,BG$2-$E$2,FALSE)*$D$11*$D$14*(1+$D$13)^($F57-'הנחות עבודה'!$C$5)/$D$11)</f>
        <v>0</v>
      </c>
      <c r="BH57" s="44">
        <f ca="1">IF($F57&gt;$D$5,0,VLOOKUP($F57,$F$24:$BZ$44,BH$2-$E$2,FALSE)*$D$11*$D$14*(1+$D$13)^($F57-'הנחות עבודה'!$C$5)/$D$11)</f>
        <v>0</v>
      </c>
      <c r="BI57" s="42">
        <f ca="1">IF($F57&gt;$D$5,0,VLOOKUP($F57,$F$24:$BZ$44,BI$2-$E$2,FALSE)*$D$11*$D$14*(1+$D$13)^($F57-'הנחות עבודה'!$C$5)/$D$11)</f>
        <v>49.517913645798529</v>
      </c>
      <c r="BJ57" s="42">
        <f ca="1">IF($F57&gt;$D$5,0,VLOOKUP($F57,$F$24:$BZ$44,BJ$2-$E$2,FALSE)*$D$11*$D$14*(1+$D$13)^($F57-'הנחות עבודה'!$C$5)/$D$11)</f>
        <v>276.22880786360173</v>
      </c>
      <c r="BK57" s="42">
        <f ca="1">IF($F57&gt;$D$5,0,VLOOKUP($F57,$F$24:$BZ$44,BK$2-$E$2,FALSE)*$D$11*$D$14*(1+$D$13)^($F57-'הנחות עבודה'!$C$5)/$D$11)</f>
        <v>0</v>
      </c>
      <c r="BL57" s="42">
        <f ca="1">IF($F57&gt;$D$5,0,VLOOKUP($F57,$F$24:$BZ$44,BL$2-$E$2,FALSE)*$D$11*$D$14*(1+$D$13)^($F57-'הנחות עבודה'!$C$5)/$D$11)</f>
        <v>0</v>
      </c>
      <c r="BM57" s="42">
        <f ca="1">IF($F57&gt;$D$5,0,VLOOKUP($F57,$F$24:$BZ$44,BM$2-$E$2,FALSE)*$D$11*$D$14*(1+$D$13)^($F57-'הנחות עבודה'!$C$5)/$D$11)</f>
        <v>0</v>
      </c>
      <c r="BN57" s="42">
        <f ca="1">IF($F57&gt;$D$5,0,VLOOKUP($F57,$F$24:$BZ$44,BN$2-$E$2,FALSE)*$D$11*$D$14*(1+$D$13)^($F57-'הנחות עבודה'!$C$5)/$D$11)</f>
        <v>0</v>
      </c>
      <c r="BO57" s="52">
        <f ca="1">IF($F57&gt;$D$5,0,VLOOKUP($F57,$F$24:$BZ$44,BO$2-$E$2,FALSE)*$D$11*$D$14*(1+$D$13)^($F57-'הנחות עבודה'!$C$5)/$D$11)</f>
        <v>0</v>
      </c>
      <c r="BP57" s="127">
        <f ca="1">IF($F57&gt;$D$5,0,VLOOKUP($F57,$F$24:$BZ$44,BP$2-$E$2,FALSE)*$D$11*$D$14*(1+$D$13)^($F57-'הנחות עבודה'!$C$5)/$D$11)</f>
        <v>0</v>
      </c>
      <c r="BQ57" s="127">
        <f ca="1">IF($F57&gt;$D$5,0,VLOOKUP($F57,$F$24:$BZ$44,BQ$2-$E$2,FALSE)*$D$11*$D$14*(1+$D$13)^($F57-'הנחות עבודה'!$C$5)/$D$11)</f>
        <v>0</v>
      </c>
      <c r="BR57" s="127">
        <f ca="1">IF($F57&gt;$D$5,0,VLOOKUP($F57,$F$24:$BZ$44,BR$2-$E$2,FALSE)*$D$11*$D$14*(1+$D$13)^($F57-'הנחות עבודה'!$C$5)/$D$11)</f>
        <v>0</v>
      </c>
      <c r="BS57" s="127">
        <f ca="1">IF($F57&gt;$D$5,0,VLOOKUP($F57,$F$24:$BZ$44,BS$2-$E$2,FALSE)*$D$11*$D$14*(1+$D$13)^($F57-'הנחות עבודה'!$C$5)/$D$11)</f>
        <v>0</v>
      </c>
      <c r="BT57" s="127">
        <f ca="1">IF($F57&gt;$D$5,0,VLOOKUP($F57,$F$24:$BZ$44,BT$2-$E$2,FALSE)*$D$11*$D$14*(1+$D$13)^($F57-'הנחות עבודה'!$C$5)/$D$11)</f>
        <v>0</v>
      </c>
      <c r="BU57" s="52">
        <f ca="1">IF($F57&gt;$D$5,0,VLOOKUP($F57,$F$24:$BZ$44,BU$2-$E$2,FALSE)*$D$11*$D$14*(1+$D$13)^($F57-'הנחות עבודה'!$C$5)/$D$11)</f>
        <v>49.517913645798529</v>
      </c>
      <c r="BV57" s="52">
        <f ca="1">IF($F57&gt;$D$5,0,VLOOKUP($F57,$F$24:$BZ$44,BV$2-$E$2,FALSE)*$D$11*$D$14*(1+$D$13)^($F57-'הנחות עבודה'!$C$5)/$D$11)</f>
        <v>276.22880786360173</v>
      </c>
      <c r="BW57" s="52">
        <f ca="1">IF($F57&gt;$D$5,0,VLOOKUP($F57,$F$24:$BZ$44,BW$2-$E$2,FALSE)*$D$11*$D$14*(1+$D$13)^($F57-'הנחות עבודה'!$C$5)/$D$11)</f>
        <v>0</v>
      </c>
      <c r="BX57" s="52">
        <f ca="1">IF($F57&gt;$D$5,0,VLOOKUP($F57,$F$24:$BZ$44,BX$2-$E$2,FALSE)*$D$11*$D$14*(1+$D$13)^($F57-'הנחות עבודה'!$C$5)/$D$11)</f>
        <v>0</v>
      </c>
      <c r="BY57" s="52">
        <f ca="1">IF($F57&gt;$D$5,0,VLOOKUP($F57,$F$24:$BZ$44,BY$2-$E$2,FALSE)*$D$11*$D$14*(1+$D$13)^($F57-'הנחות עבודה'!$C$5)/$D$11)</f>
        <v>0</v>
      </c>
      <c r="BZ57" s="52">
        <f ca="1">IF($F57&gt;$D$5,0,VLOOKUP($F57,$F$24:$BZ$44,BZ$2-$E$2,FALSE)*$D$11*$D$14*(1+$D$13)^($F57-'הנחות עבודה'!$C$5)/$D$11)</f>
        <v>0</v>
      </c>
    </row>
    <row r="58" spans="6:78" ht="15.75">
      <c r="F58" s="10">
        <f t="shared" si="129"/>
        <v>2027</v>
      </c>
      <c r="G58" s="42">
        <f ca="1">IF($F58&gt;$D$5,0,VLOOKUP($F58,$F$24:$BZ$44,G$2-$E$2,FALSE)*$D$11*$D$14*(1+$D$13)^($F58-'הנחות עבודה'!$C$5)/$D$11)</f>
        <v>0</v>
      </c>
      <c r="H58" s="44">
        <f ca="1">IF($F58&gt;$D$5,0,VLOOKUP($F58,$F$24:$BZ$44,H$2-$E$2,FALSE)*$D$11*$D$14*(1+$D$13)^($F58-'הנחות עבודה'!$C$5)/$D$11)</f>
        <v>0</v>
      </c>
      <c r="I58" s="44">
        <f ca="1">IF($F58&gt;$D$5,0,VLOOKUP($F58,$F$24:$BZ$44,I$2-$E$2,FALSE)*$D$11*$D$14*(1+$D$13)^($F58-'הנחות עבודה'!$C$5)/$D$11)</f>
        <v>0</v>
      </c>
      <c r="J58" s="44">
        <f ca="1">IF($F58&gt;$D$5,0,VLOOKUP($F58,$F$24:$BZ$44,J$2-$E$2,FALSE)*$D$11*$D$14*(1+$D$13)^($F58-'הנחות עבודה'!$C$5)/$D$11)</f>
        <v>0</v>
      </c>
      <c r="K58" s="44">
        <f ca="1">IF($F58&gt;$D$5,0,VLOOKUP($F58,$F$24:$BZ$44,K$2-$E$2,FALSE)*$D$11*$D$14*(1+$D$13)^($F58-'הנחות עבודה'!$C$5)/$D$11)</f>
        <v>0</v>
      </c>
      <c r="L58" s="44">
        <f ca="1">IF($F58&gt;$D$5,0,VLOOKUP($F58,$F$24:$BZ$44,L$2-$E$2,FALSE)*$D$11*$D$14*(1+$D$13)^($F58-'הנחות עבודה'!$C$5)/$D$11)</f>
        <v>0</v>
      </c>
      <c r="M58" s="42">
        <f ca="1">IF($F58&gt;$D$5,0,VLOOKUP($F58,$F$24:$BZ$44,M$2-$E$2,FALSE)*$D$11*$D$14*(1+$D$13)^($F58-'הנחות עבודה'!$C$5)/$D$11)</f>
        <v>50.672386512985781</v>
      </c>
      <c r="N58" s="42">
        <f ca="1">IF($F58&gt;$D$5,0,VLOOKUP($F58,$F$24:$BZ$44,N$2-$E$2,FALSE)*$D$11*$D$14*(1+$D$13)^($F58-'הנחות עבודה'!$C$5)/$D$11)</f>
        <v>332.00324865653909</v>
      </c>
      <c r="O58" s="42">
        <f ca="1">IF($F58&gt;$D$5,0,VLOOKUP($F58,$F$24:$BZ$44,O$2-$E$2,FALSE)*$D$11*$D$14*(1+$D$13)^($F58-'הנחות עבודה'!$C$5)/$D$11)</f>
        <v>0</v>
      </c>
      <c r="P58" s="42">
        <f ca="1">IF($F58&gt;$D$5,0,VLOOKUP($F58,$F$24:$BZ$44,P$2-$E$2,FALSE)*$D$11*$D$14*(1+$D$13)^($F58-'הנחות עבודה'!$C$5)/$D$11)</f>
        <v>0</v>
      </c>
      <c r="Q58" s="42">
        <f ca="1">IF($F58&gt;$D$5,0,VLOOKUP($F58,$F$24:$BZ$44,Q$2-$E$2,FALSE)*$D$11*$D$14*(1+$D$13)^($F58-'הנחות עבודה'!$C$5)/$D$11)</f>
        <v>0</v>
      </c>
      <c r="R58" s="42">
        <f ca="1">IF($F58&gt;$D$5,0,VLOOKUP($F58,$F$24:$BZ$44,R$2-$E$2,FALSE)*$D$11*$D$14*(1+$D$13)^($F58-'הנחות עבודה'!$C$5)/$D$11)</f>
        <v>0</v>
      </c>
      <c r="S58" s="52">
        <f ca="1">IF($F58&gt;$D$5,0,VLOOKUP($F58,$F$24:$BZ$44,S$2-$E$2,FALSE)*$D$11*$D$14*(1+$D$13)^($F58-'הנחות עבודה'!$C$5)/$D$11)</f>
        <v>0</v>
      </c>
      <c r="T58" s="127">
        <f ca="1">IF($F58&gt;$D$5,0,VLOOKUP($F58,$F$24:$BZ$44,T$2-$E$2,FALSE)*$D$11*$D$14*(1+$D$13)^($F58-'הנחות עבודה'!$C$5)/$D$11)</f>
        <v>0</v>
      </c>
      <c r="U58" s="127">
        <f ca="1">IF($F58&gt;$D$5,0,VLOOKUP($F58,$F$24:$BZ$44,U$2-$E$2,FALSE)*$D$11*$D$14*(1+$D$13)^($F58-'הנחות עבודה'!$C$5)/$D$11)</f>
        <v>0</v>
      </c>
      <c r="V58" s="127">
        <f ca="1">IF($F58&gt;$D$5,0,VLOOKUP($F58,$F$24:$BZ$44,V$2-$E$2,FALSE)*$D$11*$D$14*(1+$D$13)^($F58-'הנחות עבודה'!$C$5)/$D$11)</f>
        <v>0</v>
      </c>
      <c r="W58" s="127">
        <f ca="1">IF($F58&gt;$D$5,0,VLOOKUP($F58,$F$24:$BZ$44,W$2-$E$2,FALSE)*$D$11*$D$14*(1+$D$13)^($F58-'הנחות עבודה'!$C$5)/$D$11)</f>
        <v>0</v>
      </c>
      <c r="X58" s="127">
        <f ca="1">IF($F58&gt;$D$5,0,VLOOKUP($F58,$F$24:$BZ$44,X$2-$E$2,FALSE)*$D$11*$D$14*(1+$D$13)^($F58-'הנחות עבודה'!$C$5)/$D$11)</f>
        <v>0</v>
      </c>
      <c r="Y58" s="52">
        <f ca="1">IF($F58&gt;$D$5,0,VLOOKUP($F58,$F$24:$BZ$44,Y$2-$E$2,FALSE)*$D$11*$D$14*(1+$D$13)^($F58-'הנחות עבודה'!$C$5)/$D$11)</f>
        <v>50.672386512985781</v>
      </c>
      <c r="Z58" s="52">
        <f ca="1">IF($F58&gt;$D$5,0,VLOOKUP($F58,$F$24:$BZ$44,Z$2-$E$2,FALSE)*$D$11*$D$14*(1+$D$13)^($F58-'הנחות עבודה'!$C$5)/$D$11)</f>
        <v>332.00324865653909</v>
      </c>
      <c r="AA58" s="52">
        <f ca="1">IF($F58&gt;$D$5,0,VLOOKUP($F58,$F$24:$BZ$44,AA$2-$E$2,FALSE)*$D$11*$D$14*(1+$D$13)^($F58-'הנחות עבודה'!$C$5)/$D$11)</f>
        <v>0</v>
      </c>
      <c r="AB58" s="52">
        <f ca="1">IF($F58&gt;$D$5,0,VLOOKUP($F58,$F$24:$BZ$44,AB$2-$E$2,FALSE)*$D$11*$D$14*(1+$D$13)^($F58-'הנחות עבודה'!$C$5)/$D$11)</f>
        <v>0</v>
      </c>
      <c r="AC58" s="52">
        <f ca="1">IF($F58&gt;$D$5,0,VLOOKUP($F58,$F$24:$BZ$44,AC$2-$E$2,FALSE)*$D$11*$D$14*(1+$D$13)^($F58-'הנחות עבודה'!$C$5)/$D$11)</f>
        <v>0</v>
      </c>
      <c r="AD58" s="52">
        <f ca="1">IF($F58&gt;$D$5,0,VLOOKUP($F58,$F$24:$BZ$44,AD$2-$E$2,FALSE)*$D$11*$D$14*(1+$D$13)^($F58-'הנחות עבודה'!$C$5)/$D$11)</f>
        <v>0</v>
      </c>
      <c r="AE58" s="42">
        <f ca="1">IF($F58&gt;$D$5,0,VLOOKUP($F58,$F$24:$BZ$44,AE$2-$E$2,FALSE)*$D$11*$D$14*(1+$D$13)^($F58-'הנחות עבודה'!$C$5)/$D$11)</f>
        <v>0</v>
      </c>
      <c r="AF58" s="44">
        <f ca="1">IF($F58&gt;$D$5,0,VLOOKUP($F58,$F$24:$BZ$44,AF$2-$E$2,FALSE)*$D$11*$D$14*(1+$D$13)^($F58-'הנחות עבודה'!$C$5)/$D$11)</f>
        <v>0</v>
      </c>
      <c r="AG58" s="44">
        <f ca="1">IF($F58&gt;$D$5,0,VLOOKUP($F58,$F$24:$BZ$44,AG$2-$E$2,FALSE)*$D$11*$D$14*(1+$D$13)^($F58-'הנחות עבודה'!$C$5)/$D$11)</f>
        <v>0</v>
      </c>
      <c r="AH58" s="44">
        <f ca="1">IF($F58&gt;$D$5,0,VLOOKUP($F58,$F$24:$BZ$44,AH$2-$E$2,FALSE)*$D$11*$D$14*(1+$D$13)^($F58-'הנחות עבודה'!$C$5)/$D$11)</f>
        <v>0</v>
      </c>
      <c r="AI58" s="44">
        <f ca="1">IF($F58&gt;$D$5,0,VLOOKUP($F58,$F$24:$BZ$44,AI$2-$E$2,FALSE)*$D$11*$D$14*(1+$D$13)^($F58-'הנחות עבודה'!$C$5)/$D$11)</f>
        <v>0</v>
      </c>
      <c r="AJ58" s="44">
        <f ca="1">IF($F58&gt;$D$5,0,VLOOKUP($F58,$F$24:$BZ$44,AJ$2-$E$2,FALSE)*$D$11*$D$14*(1+$D$13)^($F58-'הנחות עבודה'!$C$5)/$D$11)</f>
        <v>0</v>
      </c>
      <c r="AK58" s="42">
        <f ca="1">IF($F58&gt;$D$5,0,VLOOKUP($F58,$F$24:$BZ$44,AK$2-$E$2,FALSE)*$D$11*$D$14*(1+$D$13)^($F58-'הנחות עבודה'!$C$5)/$D$11)</f>
        <v>50.276518293854728</v>
      </c>
      <c r="AL58" s="42">
        <f ca="1">IF($F58&gt;$D$5,0,VLOOKUP($F58,$F$24:$BZ$44,AL$2-$E$2,FALSE)*$D$11*$D$14*(1+$D$13)^($F58-'הנחות עבודה'!$C$5)/$D$11)</f>
        <v>303.97430721892528</v>
      </c>
      <c r="AM58" s="42">
        <f ca="1">IF($F58&gt;$D$5,0,VLOOKUP($F58,$F$24:$BZ$44,AM$2-$E$2,FALSE)*$D$11*$D$14*(1+$D$13)^($F58-'הנחות עבודה'!$C$5)/$D$11)</f>
        <v>0</v>
      </c>
      <c r="AN58" s="42">
        <f ca="1">IF($F58&gt;$D$5,0,VLOOKUP($F58,$F$24:$BZ$44,AN$2-$E$2,FALSE)*$D$11*$D$14*(1+$D$13)^($F58-'הנחות עבודה'!$C$5)/$D$11)</f>
        <v>0</v>
      </c>
      <c r="AO58" s="42">
        <f ca="1">IF($F58&gt;$D$5,0,VLOOKUP($F58,$F$24:$BZ$44,AO$2-$E$2,FALSE)*$D$11*$D$14*(1+$D$13)^($F58-'הנחות עבודה'!$C$5)/$D$11)</f>
        <v>0</v>
      </c>
      <c r="AP58" s="42">
        <f ca="1">IF($F58&gt;$D$5,0,VLOOKUP($F58,$F$24:$BZ$44,AP$2-$E$2,FALSE)*$D$11*$D$14*(1+$D$13)^($F58-'הנחות עבודה'!$C$5)/$D$11)</f>
        <v>0</v>
      </c>
      <c r="AQ58" s="52">
        <f ca="1">IF($F58&gt;$D$5,0,VLOOKUP($F58,$F$24:$BZ$44,AQ$2-$E$2,FALSE)*$D$11*$D$14*(1+$D$13)^($F58-'הנחות עבודה'!$C$5)/$D$11)</f>
        <v>0</v>
      </c>
      <c r="AR58" s="127">
        <f ca="1">IF($F58&gt;$D$5,0,VLOOKUP($F58,$F$24:$BZ$44,AR$2-$E$2,FALSE)*$D$11*$D$14*(1+$D$13)^($F58-'הנחות עבודה'!$C$5)/$D$11)</f>
        <v>0</v>
      </c>
      <c r="AS58" s="127">
        <f ca="1">IF($F58&gt;$D$5,0,VLOOKUP($F58,$F$24:$BZ$44,AS$2-$E$2,FALSE)*$D$11*$D$14*(1+$D$13)^($F58-'הנחות עבודה'!$C$5)/$D$11)</f>
        <v>0</v>
      </c>
      <c r="AT58" s="127">
        <f ca="1">IF($F58&gt;$D$5,0,VLOOKUP($F58,$F$24:$BZ$44,AT$2-$E$2,FALSE)*$D$11*$D$14*(1+$D$13)^($F58-'הנחות עבודה'!$C$5)/$D$11)</f>
        <v>0</v>
      </c>
      <c r="AU58" s="127">
        <f ca="1">IF($F58&gt;$D$5,0,VLOOKUP($F58,$F$24:$BZ$44,AU$2-$E$2,FALSE)*$D$11*$D$14*(1+$D$13)^($F58-'הנחות עבודה'!$C$5)/$D$11)</f>
        <v>0</v>
      </c>
      <c r="AV58" s="127">
        <f ca="1">IF($F58&gt;$D$5,0,VLOOKUP($F58,$F$24:$BZ$44,AV$2-$E$2,FALSE)*$D$11*$D$14*(1+$D$13)^($F58-'הנחות עבודה'!$C$5)/$D$11)</f>
        <v>0</v>
      </c>
      <c r="AW58" s="52">
        <f ca="1">IF($F58&gt;$D$5,0,VLOOKUP($F58,$F$24:$BZ$44,AW$2-$E$2,FALSE)*$D$11*$D$14*(1+$D$13)^($F58-'הנחות עבודה'!$C$5)/$D$11)</f>
        <v>50.276518293854728</v>
      </c>
      <c r="AX58" s="52">
        <f ca="1">IF($F58&gt;$D$5,0,VLOOKUP($F58,$F$24:$BZ$44,AX$2-$E$2,FALSE)*$D$11*$D$14*(1+$D$13)^($F58-'הנחות עבודה'!$C$5)/$D$11)</f>
        <v>303.97430721892528</v>
      </c>
      <c r="AY58" s="52">
        <f ca="1">IF($F58&gt;$D$5,0,VLOOKUP($F58,$F$24:$BZ$44,AY$2-$E$2,FALSE)*$D$11*$D$14*(1+$D$13)^($F58-'הנחות עבודה'!$C$5)/$D$11)</f>
        <v>0</v>
      </c>
      <c r="AZ58" s="52">
        <f ca="1">IF($F58&gt;$D$5,0,VLOOKUP($F58,$F$24:$BZ$44,AZ$2-$E$2,FALSE)*$D$11*$D$14*(1+$D$13)^($F58-'הנחות עבודה'!$C$5)/$D$11)</f>
        <v>0</v>
      </c>
      <c r="BA58" s="52">
        <f ca="1">IF($F58&gt;$D$5,0,VLOOKUP($F58,$F$24:$BZ$44,BA$2-$E$2,FALSE)*$D$11*$D$14*(1+$D$13)^($F58-'הנחות עבודה'!$C$5)/$D$11)</f>
        <v>0</v>
      </c>
      <c r="BB58" s="52">
        <f ca="1">IF($F58&gt;$D$5,0,VLOOKUP($F58,$F$24:$BZ$44,BB$2-$E$2,FALSE)*$D$11*$D$14*(1+$D$13)^($F58-'הנחות עבודה'!$C$5)/$D$11)</f>
        <v>0</v>
      </c>
      <c r="BC58" s="42">
        <f ca="1">IF($F58&gt;$D$5,0,VLOOKUP($F58,$F$24:$BZ$44,BC$2-$E$2,FALSE)*$D$11*$D$14*(1+$D$13)^($F58-'הנחות עבודה'!$C$5)/$D$11)</f>
        <v>0</v>
      </c>
      <c r="BD58" s="44">
        <f ca="1">IF($F58&gt;$D$5,0,VLOOKUP($F58,$F$24:$BZ$44,BD$2-$E$2,FALSE)*$D$11*$D$14*(1+$D$13)^($F58-'הנחות עבודה'!$C$5)/$D$11)</f>
        <v>0</v>
      </c>
      <c r="BE58" s="44">
        <f ca="1">IF($F58&gt;$D$5,0,VLOOKUP($F58,$F$24:$BZ$44,BE$2-$E$2,FALSE)*$D$11*$D$14*(1+$D$13)^($F58-'הנחות עבודה'!$C$5)/$D$11)</f>
        <v>0</v>
      </c>
      <c r="BF58" s="44">
        <f ca="1">IF($F58&gt;$D$5,0,VLOOKUP($F58,$F$24:$BZ$44,BF$2-$E$2,FALSE)*$D$11*$D$14*(1+$D$13)^($F58-'הנחות עבודה'!$C$5)/$D$11)</f>
        <v>0</v>
      </c>
      <c r="BG58" s="44">
        <f ca="1">IF($F58&gt;$D$5,0,VLOOKUP($F58,$F$24:$BZ$44,BG$2-$E$2,FALSE)*$D$11*$D$14*(1+$D$13)^($F58-'הנחות עבודה'!$C$5)/$D$11)</f>
        <v>0</v>
      </c>
      <c r="BH58" s="44">
        <f ca="1">IF($F58&gt;$D$5,0,VLOOKUP($F58,$F$24:$BZ$44,BH$2-$E$2,FALSE)*$D$11*$D$14*(1+$D$13)^($F58-'הנחות עבודה'!$C$5)/$D$11)</f>
        <v>0</v>
      </c>
      <c r="BI58" s="42">
        <f ca="1">IF($F58&gt;$D$5,0,VLOOKUP($F58,$F$24:$BZ$44,BI$2-$E$2,FALSE)*$D$11*$D$14*(1+$D$13)^($F58-'הנחות עבודה'!$C$5)/$D$11)</f>
        <v>50.988884442549733</v>
      </c>
      <c r="BJ58" s="42">
        <f ca="1">IF($F58&gt;$D$5,0,VLOOKUP($F58,$F$24:$BZ$44,BJ$2-$E$2,FALSE)*$D$11*$D$14*(1+$D$13)^($F58-'הנחות עבודה'!$C$5)/$D$11)</f>
        <v>285.99700514605854</v>
      </c>
      <c r="BK58" s="42">
        <f ca="1">IF($F58&gt;$D$5,0,VLOOKUP($F58,$F$24:$BZ$44,BK$2-$E$2,FALSE)*$D$11*$D$14*(1+$D$13)^($F58-'הנחות עבודה'!$C$5)/$D$11)</f>
        <v>0</v>
      </c>
      <c r="BL58" s="42">
        <f ca="1">IF($F58&gt;$D$5,0,VLOOKUP($F58,$F$24:$BZ$44,BL$2-$E$2,FALSE)*$D$11*$D$14*(1+$D$13)^($F58-'הנחות עבודה'!$C$5)/$D$11)</f>
        <v>0</v>
      </c>
      <c r="BM58" s="42">
        <f ca="1">IF($F58&gt;$D$5,0,VLOOKUP($F58,$F$24:$BZ$44,BM$2-$E$2,FALSE)*$D$11*$D$14*(1+$D$13)^($F58-'הנחות עבודה'!$C$5)/$D$11)</f>
        <v>0</v>
      </c>
      <c r="BN58" s="42">
        <f ca="1">IF($F58&gt;$D$5,0,VLOOKUP($F58,$F$24:$BZ$44,BN$2-$E$2,FALSE)*$D$11*$D$14*(1+$D$13)^($F58-'הנחות עבודה'!$C$5)/$D$11)</f>
        <v>0</v>
      </c>
      <c r="BO58" s="52">
        <f ca="1">IF($F58&gt;$D$5,0,VLOOKUP($F58,$F$24:$BZ$44,BO$2-$E$2,FALSE)*$D$11*$D$14*(1+$D$13)^($F58-'הנחות עבודה'!$C$5)/$D$11)</f>
        <v>0</v>
      </c>
      <c r="BP58" s="127">
        <f ca="1">IF($F58&gt;$D$5,0,VLOOKUP($F58,$F$24:$BZ$44,BP$2-$E$2,FALSE)*$D$11*$D$14*(1+$D$13)^($F58-'הנחות עבודה'!$C$5)/$D$11)</f>
        <v>0</v>
      </c>
      <c r="BQ58" s="127">
        <f ca="1">IF($F58&gt;$D$5,0,VLOOKUP($F58,$F$24:$BZ$44,BQ$2-$E$2,FALSE)*$D$11*$D$14*(1+$D$13)^($F58-'הנחות עבודה'!$C$5)/$D$11)</f>
        <v>0</v>
      </c>
      <c r="BR58" s="127">
        <f ca="1">IF($F58&gt;$D$5,0,VLOOKUP($F58,$F$24:$BZ$44,BR$2-$E$2,FALSE)*$D$11*$D$14*(1+$D$13)^($F58-'הנחות עבודה'!$C$5)/$D$11)</f>
        <v>0</v>
      </c>
      <c r="BS58" s="127">
        <f ca="1">IF($F58&gt;$D$5,0,VLOOKUP($F58,$F$24:$BZ$44,BS$2-$E$2,FALSE)*$D$11*$D$14*(1+$D$13)^($F58-'הנחות עבודה'!$C$5)/$D$11)</f>
        <v>0</v>
      </c>
      <c r="BT58" s="127">
        <f ca="1">IF($F58&gt;$D$5,0,VLOOKUP($F58,$F$24:$BZ$44,BT$2-$E$2,FALSE)*$D$11*$D$14*(1+$D$13)^($F58-'הנחות עבודה'!$C$5)/$D$11)</f>
        <v>0</v>
      </c>
      <c r="BU58" s="52">
        <f ca="1">IF($F58&gt;$D$5,0,VLOOKUP($F58,$F$24:$BZ$44,BU$2-$E$2,FALSE)*$D$11*$D$14*(1+$D$13)^($F58-'הנחות עבודה'!$C$5)/$D$11)</f>
        <v>50.988884442549733</v>
      </c>
      <c r="BV58" s="52">
        <f ca="1">IF($F58&gt;$D$5,0,VLOOKUP($F58,$F$24:$BZ$44,BV$2-$E$2,FALSE)*$D$11*$D$14*(1+$D$13)^($F58-'הנחות עבודה'!$C$5)/$D$11)</f>
        <v>285.99700514605854</v>
      </c>
      <c r="BW58" s="52">
        <f ca="1">IF($F58&gt;$D$5,0,VLOOKUP($F58,$F$24:$BZ$44,BW$2-$E$2,FALSE)*$D$11*$D$14*(1+$D$13)^($F58-'הנחות עבודה'!$C$5)/$D$11)</f>
        <v>0</v>
      </c>
      <c r="BX58" s="52">
        <f ca="1">IF($F58&gt;$D$5,0,VLOOKUP($F58,$F$24:$BZ$44,BX$2-$E$2,FALSE)*$D$11*$D$14*(1+$D$13)^($F58-'הנחות עבודה'!$C$5)/$D$11)</f>
        <v>0</v>
      </c>
      <c r="BY58" s="52">
        <f ca="1">IF($F58&gt;$D$5,0,VLOOKUP($F58,$F$24:$BZ$44,BY$2-$E$2,FALSE)*$D$11*$D$14*(1+$D$13)^($F58-'הנחות עבודה'!$C$5)/$D$11)</f>
        <v>0</v>
      </c>
      <c r="BZ58" s="52">
        <f ca="1">IF($F58&gt;$D$5,0,VLOOKUP($F58,$F$24:$BZ$44,BZ$2-$E$2,FALSE)*$D$11*$D$14*(1+$D$13)^($F58-'הנחות עבודה'!$C$5)/$D$11)</f>
        <v>0</v>
      </c>
    </row>
    <row r="59" spans="6:78" ht="15.75">
      <c r="F59" s="10">
        <f t="shared" si="129"/>
        <v>2028</v>
      </c>
      <c r="G59" s="42">
        <f ca="1">IF($F59&gt;$D$5,0,VLOOKUP($F59,$F$24:$BZ$44,G$2-$E$2,FALSE)*$D$11*$D$14*(1+$D$13)^($F59-'הנחות עבודה'!$C$5)/$D$11)</f>
        <v>0</v>
      </c>
      <c r="H59" s="44">
        <f ca="1">IF($F59&gt;$D$5,0,VLOOKUP($F59,$F$24:$BZ$44,H$2-$E$2,FALSE)*$D$11*$D$14*(1+$D$13)^($F59-'הנחות עבודה'!$C$5)/$D$11)</f>
        <v>0</v>
      </c>
      <c r="I59" s="44">
        <f ca="1">IF($F59&gt;$D$5,0,VLOOKUP($F59,$F$24:$BZ$44,I$2-$E$2,FALSE)*$D$11*$D$14*(1+$D$13)^($F59-'הנחות עבודה'!$C$5)/$D$11)</f>
        <v>0</v>
      </c>
      <c r="J59" s="44">
        <f ca="1">IF($F59&gt;$D$5,0,VLOOKUP($F59,$F$24:$BZ$44,J$2-$E$2,FALSE)*$D$11*$D$14*(1+$D$13)^($F59-'הנחות עבודה'!$C$5)/$D$11)</f>
        <v>0</v>
      </c>
      <c r="K59" s="44">
        <f ca="1">IF($F59&gt;$D$5,0,VLOOKUP($F59,$F$24:$BZ$44,K$2-$E$2,FALSE)*$D$11*$D$14*(1+$D$13)^($F59-'הנחות עבודה'!$C$5)/$D$11)</f>
        <v>0</v>
      </c>
      <c r="L59" s="44">
        <f ca="1">IF($F59&gt;$D$5,0,VLOOKUP($F59,$F$24:$BZ$44,L$2-$E$2,FALSE)*$D$11*$D$14*(1+$D$13)^($F59-'הנחות עבודה'!$C$5)/$D$11)</f>
        <v>0</v>
      </c>
      <c r="M59" s="42">
        <f ca="1">IF($F59&gt;$D$5,0,VLOOKUP($F59,$F$24:$BZ$44,M$2-$E$2,FALSE)*$D$11*$D$14*(1+$D$13)^($F59-'הנחות עבודה'!$C$5)/$D$11)</f>
        <v>51.246072470610372</v>
      </c>
      <c r="N59" s="42">
        <f ca="1">IF($F59&gt;$D$5,0,VLOOKUP($F59,$F$24:$BZ$44,N$2-$E$2,FALSE)*$D$11*$D$14*(1+$D$13)^($F59-'הנחות עבודה'!$C$5)/$D$11)</f>
        <v>351.14374756774635</v>
      </c>
      <c r="O59" s="42">
        <f ca="1">IF($F59&gt;$D$5,0,VLOOKUP($F59,$F$24:$BZ$44,O$2-$E$2,FALSE)*$D$11*$D$14*(1+$D$13)^($F59-'הנחות עבודה'!$C$5)/$D$11)</f>
        <v>0</v>
      </c>
      <c r="P59" s="42">
        <f ca="1">IF($F59&gt;$D$5,0,VLOOKUP($F59,$F$24:$BZ$44,P$2-$E$2,FALSE)*$D$11*$D$14*(1+$D$13)^($F59-'הנחות עבודה'!$C$5)/$D$11)</f>
        <v>0</v>
      </c>
      <c r="Q59" s="42">
        <f ca="1">IF($F59&gt;$D$5,0,VLOOKUP($F59,$F$24:$BZ$44,Q$2-$E$2,FALSE)*$D$11*$D$14*(1+$D$13)^($F59-'הנחות עבודה'!$C$5)/$D$11)</f>
        <v>0</v>
      </c>
      <c r="R59" s="42">
        <f ca="1">IF($F59&gt;$D$5,0,VLOOKUP($F59,$F$24:$BZ$44,R$2-$E$2,FALSE)*$D$11*$D$14*(1+$D$13)^($F59-'הנחות עבודה'!$C$5)/$D$11)</f>
        <v>0</v>
      </c>
      <c r="S59" s="52">
        <f ca="1">IF($F59&gt;$D$5,0,VLOOKUP($F59,$F$24:$BZ$44,S$2-$E$2,FALSE)*$D$11*$D$14*(1+$D$13)^($F59-'הנחות עבודה'!$C$5)/$D$11)</f>
        <v>0</v>
      </c>
      <c r="T59" s="127">
        <f ca="1">IF($F59&gt;$D$5,0,VLOOKUP($F59,$F$24:$BZ$44,T$2-$E$2,FALSE)*$D$11*$D$14*(1+$D$13)^($F59-'הנחות עבודה'!$C$5)/$D$11)</f>
        <v>0</v>
      </c>
      <c r="U59" s="127">
        <f ca="1">IF($F59&gt;$D$5,0,VLOOKUP($F59,$F$24:$BZ$44,U$2-$E$2,FALSE)*$D$11*$D$14*(1+$D$13)^($F59-'הנחות עבודה'!$C$5)/$D$11)</f>
        <v>0</v>
      </c>
      <c r="V59" s="127">
        <f ca="1">IF($F59&gt;$D$5,0,VLOOKUP($F59,$F$24:$BZ$44,V$2-$E$2,FALSE)*$D$11*$D$14*(1+$D$13)^($F59-'הנחות עבודה'!$C$5)/$D$11)</f>
        <v>0</v>
      </c>
      <c r="W59" s="127">
        <f ca="1">IF($F59&gt;$D$5,0,VLOOKUP($F59,$F$24:$BZ$44,W$2-$E$2,FALSE)*$D$11*$D$14*(1+$D$13)^($F59-'הנחות עבודה'!$C$5)/$D$11)</f>
        <v>0</v>
      </c>
      <c r="X59" s="127">
        <f ca="1">IF($F59&gt;$D$5,0,VLOOKUP($F59,$F$24:$BZ$44,X$2-$E$2,FALSE)*$D$11*$D$14*(1+$D$13)^($F59-'הנחות עבודה'!$C$5)/$D$11)</f>
        <v>0</v>
      </c>
      <c r="Y59" s="52">
        <f ca="1">IF($F59&gt;$D$5,0,VLOOKUP($F59,$F$24:$BZ$44,Y$2-$E$2,FALSE)*$D$11*$D$14*(1+$D$13)^($F59-'הנחות עבודה'!$C$5)/$D$11)</f>
        <v>51.246072470610372</v>
      </c>
      <c r="Z59" s="52">
        <f ca="1">IF($F59&gt;$D$5,0,VLOOKUP($F59,$F$24:$BZ$44,Z$2-$E$2,FALSE)*$D$11*$D$14*(1+$D$13)^($F59-'הנחות עבודה'!$C$5)/$D$11)</f>
        <v>351.14374756774635</v>
      </c>
      <c r="AA59" s="52">
        <f ca="1">IF($F59&gt;$D$5,0,VLOOKUP($F59,$F$24:$BZ$44,AA$2-$E$2,FALSE)*$D$11*$D$14*(1+$D$13)^($F59-'הנחות עבודה'!$C$5)/$D$11)</f>
        <v>0</v>
      </c>
      <c r="AB59" s="52">
        <f ca="1">IF($F59&gt;$D$5,0,VLOOKUP($F59,$F$24:$BZ$44,AB$2-$E$2,FALSE)*$D$11*$D$14*(1+$D$13)^($F59-'הנחות עבודה'!$C$5)/$D$11)</f>
        <v>0</v>
      </c>
      <c r="AC59" s="52">
        <f ca="1">IF($F59&gt;$D$5,0,VLOOKUP($F59,$F$24:$BZ$44,AC$2-$E$2,FALSE)*$D$11*$D$14*(1+$D$13)^($F59-'הנחות עבודה'!$C$5)/$D$11)</f>
        <v>0</v>
      </c>
      <c r="AD59" s="52">
        <f ca="1">IF($F59&gt;$D$5,0,VLOOKUP($F59,$F$24:$BZ$44,AD$2-$E$2,FALSE)*$D$11*$D$14*(1+$D$13)^($F59-'הנחות עבודה'!$C$5)/$D$11)</f>
        <v>0</v>
      </c>
      <c r="AE59" s="42">
        <f ca="1">IF($F59&gt;$D$5,0,VLOOKUP($F59,$F$24:$BZ$44,AE$2-$E$2,FALSE)*$D$11*$D$14*(1+$D$13)^($F59-'הנחות עבודה'!$C$5)/$D$11)</f>
        <v>0</v>
      </c>
      <c r="AF59" s="44">
        <f ca="1">IF($F59&gt;$D$5,0,VLOOKUP($F59,$F$24:$BZ$44,AF$2-$E$2,FALSE)*$D$11*$D$14*(1+$D$13)^($F59-'הנחות עבודה'!$C$5)/$D$11)</f>
        <v>0</v>
      </c>
      <c r="AG59" s="44">
        <f ca="1">IF($F59&gt;$D$5,0,VLOOKUP($F59,$F$24:$BZ$44,AG$2-$E$2,FALSE)*$D$11*$D$14*(1+$D$13)^($F59-'הנחות עבודה'!$C$5)/$D$11)</f>
        <v>0</v>
      </c>
      <c r="AH59" s="44">
        <f ca="1">IF($F59&gt;$D$5,0,VLOOKUP($F59,$F$24:$BZ$44,AH$2-$E$2,FALSE)*$D$11*$D$14*(1+$D$13)^($F59-'הנחות עבודה'!$C$5)/$D$11)</f>
        <v>0</v>
      </c>
      <c r="AI59" s="44">
        <f ca="1">IF($F59&gt;$D$5,0,VLOOKUP($F59,$F$24:$BZ$44,AI$2-$E$2,FALSE)*$D$11*$D$14*(1+$D$13)^($F59-'הנחות עבודה'!$C$5)/$D$11)</f>
        <v>0</v>
      </c>
      <c r="AJ59" s="44">
        <f ca="1">IF($F59&gt;$D$5,0,VLOOKUP($F59,$F$24:$BZ$44,AJ$2-$E$2,FALSE)*$D$11*$D$14*(1+$D$13)^($F59-'הנחות עבודה'!$C$5)/$D$11)</f>
        <v>0</v>
      </c>
      <c r="AK59" s="42">
        <f ca="1">IF($F59&gt;$D$5,0,VLOOKUP($F59,$F$24:$BZ$44,AK$2-$E$2,FALSE)*$D$11*$D$14*(1+$D$13)^($F59-'הנחות עבודה'!$C$5)/$D$11)</f>
        <v>52.347811772012562</v>
      </c>
      <c r="AL59" s="42">
        <f ca="1">IF($F59&gt;$D$5,0,VLOOKUP($F59,$F$24:$BZ$44,AL$2-$E$2,FALSE)*$D$11*$D$14*(1+$D$13)^($F59-'הנחות עבודה'!$C$5)/$D$11)</f>
        <v>315.42554805220584</v>
      </c>
      <c r="AM59" s="42">
        <f ca="1">IF($F59&gt;$D$5,0,VLOOKUP($F59,$F$24:$BZ$44,AM$2-$E$2,FALSE)*$D$11*$D$14*(1+$D$13)^($F59-'הנחות עבודה'!$C$5)/$D$11)</f>
        <v>0</v>
      </c>
      <c r="AN59" s="42">
        <f ca="1">IF($F59&gt;$D$5,0,VLOOKUP($F59,$F$24:$BZ$44,AN$2-$E$2,FALSE)*$D$11*$D$14*(1+$D$13)^($F59-'הנחות עבודה'!$C$5)/$D$11)</f>
        <v>0</v>
      </c>
      <c r="AO59" s="42">
        <f ca="1">IF($F59&gt;$D$5,0,VLOOKUP($F59,$F$24:$BZ$44,AO$2-$E$2,FALSE)*$D$11*$D$14*(1+$D$13)^($F59-'הנחות עבודה'!$C$5)/$D$11)</f>
        <v>0</v>
      </c>
      <c r="AP59" s="42">
        <f ca="1">IF($F59&gt;$D$5,0,VLOOKUP($F59,$F$24:$BZ$44,AP$2-$E$2,FALSE)*$D$11*$D$14*(1+$D$13)^($F59-'הנחות עבודה'!$C$5)/$D$11)</f>
        <v>0</v>
      </c>
      <c r="AQ59" s="52">
        <f ca="1">IF($F59&gt;$D$5,0,VLOOKUP($F59,$F$24:$BZ$44,AQ$2-$E$2,FALSE)*$D$11*$D$14*(1+$D$13)^($F59-'הנחות עבודה'!$C$5)/$D$11)</f>
        <v>0</v>
      </c>
      <c r="AR59" s="127">
        <f ca="1">IF($F59&gt;$D$5,0,VLOOKUP($F59,$F$24:$BZ$44,AR$2-$E$2,FALSE)*$D$11*$D$14*(1+$D$13)^($F59-'הנחות עבודה'!$C$5)/$D$11)</f>
        <v>0</v>
      </c>
      <c r="AS59" s="127">
        <f ca="1">IF($F59&gt;$D$5,0,VLOOKUP($F59,$F$24:$BZ$44,AS$2-$E$2,FALSE)*$D$11*$D$14*(1+$D$13)^($F59-'הנחות עבודה'!$C$5)/$D$11)</f>
        <v>0</v>
      </c>
      <c r="AT59" s="127">
        <f ca="1">IF($F59&gt;$D$5,0,VLOOKUP($F59,$F$24:$BZ$44,AT$2-$E$2,FALSE)*$D$11*$D$14*(1+$D$13)^($F59-'הנחות עבודה'!$C$5)/$D$11)</f>
        <v>0</v>
      </c>
      <c r="AU59" s="127">
        <f ca="1">IF($F59&gt;$D$5,0,VLOOKUP($F59,$F$24:$BZ$44,AU$2-$E$2,FALSE)*$D$11*$D$14*(1+$D$13)^($F59-'הנחות עבודה'!$C$5)/$D$11)</f>
        <v>0</v>
      </c>
      <c r="AV59" s="127">
        <f ca="1">IF($F59&gt;$D$5,0,VLOOKUP($F59,$F$24:$BZ$44,AV$2-$E$2,FALSE)*$D$11*$D$14*(1+$D$13)^($F59-'הנחות עבודה'!$C$5)/$D$11)</f>
        <v>0</v>
      </c>
      <c r="AW59" s="52">
        <f ca="1">IF($F59&gt;$D$5,0,VLOOKUP($F59,$F$24:$BZ$44,AW$2-$E$2,FALSE)*$D$11*$D$14*(1+$D$13)^($F59-'הנחות עבודה'!$C$5)/$D$11)</f>
        <v>52.347811772012562</v>
      </c>
      <c r="AX59" s="52">
        <f ca="1">IF($F59&gt;$D$5,0,VLOOKUP($F59,$F$24:$BZ$44,AX$2-$E$2,FALSE)*$D$11*$D$14*(1+$D$13)^($F59-'הנחות עבודה'!$C$5)/$D$11)</f>
        <v>315.42554805220584</v>
      </c>
      <c r="AY59" s="52">
        <f ca="1">IF($F59&gt;$D$5,0,VLOOKUP($F59,$F$24:$BZ$44,AY$2-$E$2,FALSE)*$D$11*$D$14*(1+$D$13)^($F59-'הנחות עבודה'!$C$5)/$D$11)</f>
        <v>0</v>
      </c>
      <c r="AZ59" s="52">
        <f ca="1">IF($F59&gt;$D$5,0,VLOOKUP($F59,$F$24:$BZ$44,AZ$2-$E$2,FALSE)*$D$11*$D$14*(1+$D$13)^($F59-'הנחות עבודה'!$C$5)/$D$11)</f>
        <v>0</v>
      </c>
      <c r="BA59" s="52">
        <f ca="1">IF($F59&gt;$D$5,0,VLOOKUP($F59,$F$24:$BZ$44,BA$2-$E$2,FALSE)*$D$11*$D$14*(1+$D$13)^($F59-'הנחות עבודה'!$C$5)/$D$11)</f>
        <v>0</v>
      </c>
      <c r="BB59" s="52">
        <f ca="1">IF($F59&gt;$D$5,0,VLOOKUP($F59,$F$24:$BZ$44,BB$2-$E$2,FALSE)*$D$11*$D$14*(1+$D$13)^($F59-'הנחות עבודה'!$C$5)/$D$11)</f>
        <v>0</v>
      </c>
      <c r="BC59" s="42">
        <f ca="1">IF($F59&gt;$D$5,0,VLOOKUP($F59,$F$24:$BZ$44,BC$2-$E$2,FALSE)*$D$11*$D$14*(1+$D$13)^($F59-'הנחות עבודה'!$C$5)/$D$11)</f>
        <v>0</v>
      </c>
      <c r="BD59" s="44">
        <f ca="1">IF($F59&gt;$D$5,0,VLOOKUP($F59,$F$24:$BZ$44,BD$2-$E$2,FALSE)*$D$11*$D$14*(1+$D$13)^($F59-'הנחות עבודה'!$C$5)/$D$11)</f>
        <v>0</v>
      </c>
      <c r="BE59" s="44">
        <f ca="1">IF($F59&gt;$D$5,0,VLOOKUP($F59,$F$24:$BZ$44,BE$2-$E$2,FALSE)*$D$11*$D$14*(1+$D$13)^($F59-'הנחות עבודה'!$C$5)/$D$11)</f>
        <v>0</v>
      </c>
      <c r="BF59" s="44">
        <f ca="1">IF($F59&gt;$D$5,0,VLOOKUP($F59,$F$24:$BZ$44,BF$2-$E$2,FALSE)*$D$11*$D$14*(1+$D$13)^($F59-'הנחות עבודה'!$C$5)/$D$11)</f>
        <v>0</v>
      </c>
      <c r="BG59" s="44">
        <f ca="1">IF($F59&gt;$D$5,0,VLOOKUP($F59,$F$24:$BZ$44,BG$2-$E$2,FALSE)*$D$11*$D$14*(1+$D$13)^($F59-'הנחות עבודה'!$C$5)/$D$11)</f>
        <v>0</v>
      </c>
      <c r="BH59" s="44">
        <f ca="1">IF($F59&gt;$D$5,0,VLOOKUP($F59,$F$24:$BZ$44,BH$2-$E$2,FALSE)*$D$11*$D$14*(1+$D$13)^($F59-'הנחות עבודה'!$C$5)/$D$11)</f>
        <v>0</v>
      </c>
      <c r="BI59" s="42">
        <f ca="1">IF($F59&gt;$D$5,0,VLOOKUP($F59,$F$24:$BZ$44,BI$2-$E$2,FALSE)*$D$11*$D$14*(1+$D$13)^($F59-'הנחות עבודה'!$C$5)/$D$11)</f>
        <v>53.525455827623446</v>
      </c>
      <c r="BJ59" s="42">
        <f ca="1">IF($F59&gt;$D$5,0,VLOOKUP($F59,$F$24:$BZ$44,BJ$2-$E$2,FALSE)*$D$11*$D$14*(1+$D$13)^($F59-'הנחות עבודה'!$C$5)/$D$11)</f>
        <v>293.13613412040621</v>
      </c>
      <c r="BK59" s="42">
        <f ca="1">IF($F59&gt;$D$5,0,VLOOKUP($F59,$F$24:$BZ$44,BK$2-$E$2,FALSE)*$D$11*$D$14*(1+$D$13)^($F59-'הנחות עבודה'!$C$5)/$D$11)</f>
        <v>0</v>
      </c>
      <c r="BL59" s="42">
        <f ca="1">IF($F59&gt;$D$5,0,VLOOKUP($F59,$F$24:$BZ$44,BL$2-$E$2,FALSE)*$D$11*$D$14*(1+$D$13)^($F59-'הנחות עבודה'!$C$5)/$D$11)</f>
        <v>0</v>
      </c>
      <c r="BM59" s="42">
        <f ca="1">IF($F59&gt;$D$5,0,VLOOKUP($F59,$F$24:$BZ$44,BM$2-$E$2,FALSE)*$D$11*$D$14*(1+$D$13)^($F59-'הנחות עבודה'!$C$5)/$D$11)</f>
        <v>0</v>
      </c>
      <c r="BN59" s="42">
        <f ca="1">IF($F59&gt;$D$5,0,VLOOKUP($F59,$F$24:$BZ$44,BN$2-$E$2,FALSE)*$D$11*$D$14*(1+$D$13)^($F59-'הנחות עבודה'!$C$5)/$D$11)</f>
        <v>0</v>
      </c>
      <c r="BO59" s="52">
        <f ca="1">IF($F59&gt;$D$5,0,VLOOKUP($F59,$F$24:$BZ$44,BO$2-$E$2,FALSE)*$D$11*$D$14*(1+$D$13)^($F59-'הנחות עבודה'!$C$5)/$D$11)</f>
        <v>0</v>
      </c>
      <c r="BP59" s="127">
        <f ca="1">IF($F59&gt;$D$5,0,VLOOKUP($F59,$F$24:$BZ$44,BP$2-$E$2,FALSE)*$D$11*$D$14*(1+$D$13)^($F59-'הנחות עבודה'!$C$5)/$D$11)</f>
        <v>0</v>
      </c>
      <c r="BQ59" s="127">
        <f ca="1">IF($F59&gt;$D$5,0,VLOOKUP($F59,$F$24:$BZ$44,BQ$2-$E$2,FALSE)*$D$11*$D$14*(1+$D$13)^($F59-'הנחות עבודה'!$C$5)/$D$11)</f>
        <v>0</v>
      </c>
      <c r="BR59" s="127">
        <f ca="1">IF($F59&gt;$D$5,0,VLOOKUP($F59,$F$24:$BZ$44,BR$2-$E$2,FALSE)*$D$11*$D$14*(1+$D$13)^($F59-'הנחות עבודה'!$C$5)/$D$11)</f>
        <v>0</v>
      </c>
      <c r="BS59" s="127">
        <f ca="1">IF($F59&gt;$D$5,0,VLOOKUP($F59,$F$24:$BZ$44,BS$2-$E$2,FALSE)*$D$11*$D$14*(1+$D$13)^($F59-'הנחות עבודה'!$C$5)/$D$11)</f>
        <v>0</v>
      </c>
      <c r="BT59" s="127">
        <f ca="1">IF($F59&gt;$D$5,0,VLOOKUP($F59,$F$24:$BZ$44,BT$2-$E$2,FALSE)*$D$11*$D$14*(1+$D$13)^($F59-'הנחות עבודה'!$C$5)/$D$11)</f>
        <v>0</v>
      </c>
      <c r="BU59" s="52">
        <f ca="1">IF($F59&gt;$D$5,0,VLOOKUP($F59,$F$24:$BZ$44,BU$2-$E$2,FALSE)*$D$11*$D$14*(1+$D$13)^($F59-'הנחות עבודה'!$C$5)/$D$11)</f>
        <v>53.525455827623446</v>
      </c>
      <c r="BV59" s="52">
        <f ca="1">IF($F59&gt;$D$5,0,VLOOKUP($F59,$F$24:$BZ$44,BV$2-$E$2,FALSE)*$D$11*$D$14*(1+$D$13)^($F59-'הנחות עבודה'!$C$5)/$D$11)</f>
        <v>293.13613412040621</v>
      </c>
      <c r="BW59" s="52">
        <f ca="1">IF($F59&gt;$D$5,0,VLOOKUP($F59,$F$24:$BZ$44,BW$2-$E$2,FALSE)*$D$11*$D$14*(1+$D$13)^($F59-'הנחות עבודה'!$C$5)/$D$11)</f>
        <v>0</v>
      </c>
      <c r="BX59" s="52">
        <f ca="1">IF($F59&gt;$D$5,0,VLOOKUP($F59,$F$24:$BZ$44,BX$2-$E$2,FALSE)*$D$11*$D$14*(1+$D$13)^($F59-'הנחות עבודה'!$C$5)/$D$11)</f>
        <v>0</v>
      </c>
      <c r="BY59" s="52">
        <f ca="1">IF($F59&gt;$D$5,0,VLOOKUP($F59,$F$24:$BZ$44,BY$2-$E$2,FALSE)*$D$11*$D$14*(1+$D$13)^($F59-'הנחות עבודה'!$C$5)/$D$11)</f>
        <v>0</v>
      </c>
      <c r="BZ59" s="52">
        <f ca="1">IF($F59&gt;$D$5,0,VLOOKUP($F59,$F$24:$BZ$44,BZ$2-$E$2,FALSE)*$D$11*$D$14*(1+$D$13)^($F59-'הנחות עבודה'!$C$5)/$D$11)</f>
        <v>0</v>
      </c>
    </row>
    <row r="60" spans="6:78" ht="15.75">
      <c r="F60" s="10">
        <f t="shared" si="129"/>
        <v>2029</v>
      </c>
      <c r="G60" s="42">
        <f ca="1">IF($F60&gt;$D$5,0,VLOOKUP($F60,$F$24:$BZ$44,G$2-$E$2,FALSE)*$D$11*$D$14*(1+$D$13)^($F60-'הנחות עבודה'!$C$5)/$D$11)</f>
        <v>0</v>
      </c>
      <c r="H60" s="44">
        <f ca="1">IF($F60&gt;$D$5,0,VLOOKUP($F60,$F$24:$BZ$44,H$2-$E$2,FALSE)*$D$11*$D$14*(1+$D$13)^($F60-'הנחות עבודה'!$C$5)/$D$11)</f>
        <v>0</v>
      </c>
      <c r="I60" s="44">
        <f ca="1">IF($F60&gt;$D$5,0,VLOOKUP($F60,$F$24:$BZ$44,I$2-$E$2,FALSE)*$D$11*$D$14*(1+$D$13)^($F60-'הנחות עבודה'!$C$5)/$D$11)</f>
        <v>0</v>
      </c>
      <c r="J60" s="44">
        <f ca="1">IF($F60&gt;$D$5,0,VLOOKUP($F60,$F$24:$BZ$44,J$2-$E$2,FALSE)*$D$11*$D$14*(1+$D$13)^($F60-'הנחות עבודה'!$C$5)/$D$11)</f>
        <v>0</v>
      </c>
      <c r="K60" s="44">
        <f ca="1">IF($F60&gt;$D$5,0,VLOOKUP($F60,$F$24:$BZ$44,K$2-$E$2,FALSE)*$D$11*$D$14*(1+$D$13)^($F60-'הנחות עבודה'!$C$5)/$D$11)</f>
        <v>0</v>
      </c>
      <c r="L60" s="44">
        <f ca="1">IF($F60&gt;$D$5,0,VLOOKUP($F60,$F$24:$BZ$44,L$2-$E$2,FALSE)*$D$11*$D$14*(1+$D$13)^($F60-'הנחות עבודה'!$C$5)/$D$11)</f>
        <v>0</v>
      </c>
      <c r="M60" s="42">
        <f ca="1">IF($F60&gt;$D$5,0,VLOOKUP($F60,$F$24:$BZ$44,M$2-$E$2,FALSE)*$D$11*$D$14*(1+$D$13)^($F60-'הנחות עבודה'!$C$5)/$D$11)</f>
        <v>53.13303853646957</v>
      </c>
      <c r="N60" s="42">
        <f ca="1">IF($F60&gt;$D$5,0,VLOOKUP($F60,$F$24:$BZ$44,N$2-$E$2,FALSE)*$D$11*$D$14*(1+$D$13)^($F60-'הנחות עבודה'!$C$5)/$D$11)</f>
        <v>371.59377035645525</v>
      </c>
      <c r="O60" s="42">
        <f ca="1">IF($F60&gt;$D$5,0,VLOOKUP($F60,$F$24:$BZ$44,O$2-$E$2,FALSE)*$D$11*$D$14*(1+$D$13)^($F60-'הנחות עבודה'!$C$5)/$D$11)</f>
        <v>0</v>
      </c>
      <c r="P60" s="42">
        <f ca="1">IF($F60&gt;$D$5,0,VLOOKUP($F60,$F$24:$BZ$44,P$2-$E$2,FALSE)*$D$11*$D$14*(1+$D$13)^($F60-'הנחות עבודה'!$C$5)/$D$11)</f>
        <v>0</v>
      </c>
      <c r="Q60" s="42">
        <f ca="1">IF($F60&gt;$D$5,0,VLOOKUP($F60,$F$24:$BZ$44,Q$2-$E$2,FALSE)*$D$11*$D$14*(1+$D$13)^($F60-'הנחות עבודה'!$C$5)/$D$11)</f>
        <v>0</v>
      </c>
      <c r="R60" s="42">
        <f ca="1">IF($F60&gt;$D$5,0,VLOOKUP($F60,$F$24:$BZ$44,R$2-$E$2,FALSE)*$D$11*$D$14*(1+$D$13)^($F60-'הנחות עבודה'!$C$5)/$D$11)</f>
        <v>0</v>
      </c>
      <c r="S60" s="52">
        <f ca="1">IF($F60&gt;$D$5,0,VLOOKUP($F60,$F$24:$BZ$44,S$2-$E$2,FALSE)*$D$11*$D$14*(1+$D$13)^($F60-'הנחות עבודה'!$C$5)/$D$11)</f>
        <v>0</v>
      </c>
      <c r="T60" s="127">
        <f ca="1">IF($F60&gt;$D$5,0,VLOOKUP($F60,$F$24:$BZ$44,T$2-$E$2,FALSE)*$D$11*$D$14*(1+$D$13)^($F60-'הנחות עבודה'!$C$5)/$D$11)</f>
        <v>0</v>
      </c>
      <c r="U60" s="127">
        <f ca="1">IF($F60&gt;$D$5,0,VLOOKUP($F60,$F$24:$BZ$44,U$2-$E$2,FALSE)*$D$11*$D$14*(1+$D$13)^($F60-'הנחות עבודה'!$C$5)/$D$11)</f>
        <v>0</v>
      </c>
      <c r="V60" s="127">
        <f ca="1">IF($F60&gt;$D$5,0,VLOOKUP($F60,$F$24:$BZ$44,V$2-$E$2,FALSE)*$D$11*$D$14*(1+$D$13)^($F60-'הנחות עבודה'!$C$5)/$D$11)</f>
        <v>0</v>
      </c>
      <c r="W60" s="127">
        <f ca="1">IF($F60&gt;$D$5,0,VLOOKUP($F60,$F$24:$BZ$44,W$2-$E$2,FALSE)*$D$11*$D$14*(1+$D$13)^($F60-'הנחות עבודה'!$C$5)/$D$11)</f>
        <v>0</v>
      </c>
      <c r="X60" s="127">
        <f ca="1">IF($F60&gt;$D$5,0,VLOOKUP($F60,$F$24:$BZ$44,X$2-$E$2,FALSE)*$D$11*$D$14*(1+$D$13)^($F60-'הנחות עבודה'!$C$5)/$D$11)</f>
        <v>0</v>
      </c>
      <c r="Y60" s="52">
        <f ca="1">IF($F60&gt;$D$5,0,VLOOKUP($F60,$F$24:$BZ$44,Y$2-$E$2,FALSE)*$D$11*$D$14*(1+$D$13)^($F60-'הנחות עבודה'!$C$5)/$D$11)</f>
        <v>53.13303853646957</v>
      </c>
      <c r="Z60" s="52">
        <f ca="1">IF($F60&gt;$D$5,0,VLOOKUP($F60,$F$24:$BZ$44,Z$2-$E$2,FALSE)*$D$11*$D$14*(1+$D$13)^($F60-'הנחות עבודה'!$C$5)/$D$11)</f>
        <v>371.59377035645525</v>
      </c>
      <c r="AA60" s="52">
        <f ca="1">IF($F60&gt;$D$5,0,VLOOKUP($F60,$F$24:$BZ$44,AA$2-$E$2,FALSE)*$D$11*$D$14*(1+$D$13)^($F60-'הנחות עבודה'!$C$5)/$D$11)</f>
        <v>0</v>
      </c>
      <c r="AB60" s="52">
        <f ca="1">IF($F60&gt;$D$5,0,VLOOKUP($F60,$F$24:$BZ$44,AB$2-$E$2,FALSE)*$D$11*$D$14*(1+$D$13)^($F60-'הנחות עבודה'!$C$5)/$D$11)</f>
        <v>0</v>
      </c>
      <c r="AC60" s="52">
        <f ca="1">IF($F60&gt;$D$5,0,VLOOKUP($F60,$F$24:$BZ$44,AC$2-$E$2,FALSE)*$D$11*$D$14*(1+$D$13)^($F60-'הנחות עבודה'!$C$5)/$D$11)</f>
        <v>0</v>
      </c>
      <c r="AD60" s="52">
        <f ca="1">IF($F60&gt;$D$5,0,VLOOKUP($F60,$F$24:$BZ$44,AD$2-$E$2,FALSE)*$D$11*$D$14*(1+$D$13)^($F60-'הנחות עבודה'!$C$5)/$D$11)</f>
        <v>0</v>
      </c>
      <c r="AE60" s="42">
        <f ca="1">IF($F60&gt;$D$5,0,VLOOKUP($F60,$F$24:$BZ$44,AE$2-$E$2,FALSE)*$D$11*$D$14*(1+$D$13)^($F60-'הנחות עבודה'!$C$5)/$D$11)</f>
        <v>0</v>
      </c>
      <c r="AF60" s="44">
        <f ca="1">IF($F60&gt;$D$5,0,VLOOKUP($F60,$F$24:$BZ$44,AF$2-$E$2,FALSE)*$D$11*$D$14*(1+$D$13)^($F60-'הנחות עבודה'!$C$5)/$D$11)</f>
        <v>0</v>
      </c>
      <c r="AG60" s="44">
        <f ca="1">IF($F60&gt;$D$5,0,VLOOKUP($F60,$F$24:$BZ$44,AG$2-$E$2,FALSE)*$D$11*$D$14*(1+$D$13)^($F60-'הנחות עבודה'!$C$5)/$D$11)</f>
        <v>0</v>
      </c>
      <c r="AH60" s="44">
        <f ca="1">IF($F60&gt;$D$5,0,VLOOKUP($F60,$F$24:$BZ$44,AH$2-$E$2,FALSE)*$D$11*$D$14*(1+$D$13)^($F60-'הנחות עבודה'!$C$5)/$D$11)</f>
        <v>0</v>
      </c>
      <c r="AI60" s="44">
        <f ca="1">IF($F60&gt;$D$5,0,VLOOKUP($F60,$F$24:$BZ$44,AI$2-$E$2,FALSE)*$D$11*$D$14*(1+$D$13)^($F60-'הנחות עבודה'!$C$5)/$D$11)</f>
        <v>0</v>
      </c>
      <c r="AJ60" s="44">
        <f ca="1">IF($F60&gt;$D$5,0,VLOOKUP($F60,$F$24:$BZ$44,AJ$2-$E$2,FALSE)*$D$11*$D$14*(1+$D$13)^($F60-'הנחות עבודה'!$C$5)/$D$11)</f>
        <v>0</v>
      </c>
      <c r="AK60" s="42">
        <f ca="1">IF($F60&gt;$D$5,0,VLOOKUP($F60,$F$24:$BZ$44,AK$2-$E$2,FALSE)*$D$11*$D$14*(1+$D$13)^($F60-'הנחות עבודה'!$C$5)/$D$11)</f>
        <v>55.009531512573993</v>
      </c>
      <c r="AL60" s="42">
        <f ca="1">IF($F60&gt;$D$5,0,VLOOKUP($F60,$F$24:$BZ$44,AL$2-$E$2,FALSE)*$D$11*$D$14*(1+$D$13)^($F60-'הנחות עבודה'!$C$5)/$D$11)</f>
        <v>328.62824187956744</v>
      </c>
      <c r="AM60" s="42">
        <f ca="1">IF($F60&gt;$D$5,0,VLOOKUP($F60,$F$24:$BZ$44,AM$2-$E$2,FALSE)*$D$11*$D$14*(1+$D$13)^($F60-'הנחות עבודה'!$C$5)/$D$11)</f>
        <v>0</v>
      </c>
      <c r="AN60" s="42">
        <f ca="1">IF($F60&gt;$D$5,0,VLOOKUP($F60,$F$24:$BZ$44,AN$2-$E$2,FALSE)*$D$11*$D$14*(1+$D$13)^($F60-'הנחות עבודה'!$C$5)/$D$11)</f>
        <v>0</v>
      </c>
      <c r="AO60" s="42">
        <f ca="1">IF($F60&gt;$D$5,0,VLOOKUP($F60,$F$24:$BZ$44,AO$2-$E$2,FALSE)*$D$11*$D$14*(1+$D$13)^($F60-'הנחות עבודה'!$C$5)/$D$11)</f>
        <v>0</v>
      </c>
      <c r="AP60" s="42">
        <f ca="1">IF($F60&gt;$D$5,0,VLOOKUP($F60,$F$24:$BZ$44,AP$2-$E$2,FALSE)*$D$11*$D$14*(1+$D$13)^($F60-'הנחות עבודה'!$C$5)/$D$11)</f>
        <v>0</v>
      </c>
      <c r="AQ60" s="52">
        <f ca="1">IF($F60&gt;$D$5,0,VLOOKUP($F60,$F$24:$BZ$44,AQ$2-$E$2,FALSE)*$D$11*$D$14*(1+$D$13)^($F60-'הנחות עבודה'!$C$5)/$D$11)</f>
        <v>0</v>
      </c>
      <c r="AR60" s="127">
        <f ca="1">IF($F60&gt;$D$5,0,VLOOKUP($F60,$F$24:$BZ$44,AR$2-$E$2,FALSE)*$D$11*$D$14*(1+$D$13)^($F60-'הנחות עבודה'!$C$5)/$D$11)</f>
        <v>0</v>
      </c>
      <c r="AS60" s="127">
        <f ca="1">IF($F60&gt;$D$5,0,VLOOKUP($F60,$F$24:$BZ$44,AS$2-$E$2,FALSE)*$D$11*$D$14*(1+$D$13)^($F60-'הנחות עבודה'!$C$5)/$D$11)</f>
        <v>0</v>
      </c>
      <c r="AT60" s="127">
        <f ca="1">IF($F60&gt;$D$5,0,VLOOKUP($F60,$F$24:$BZ$44,AT$2-$E$2,FALSE)*$D$11*$D$14*(1+$D$13)^($F60-'הנחות עבודה'!$C$5)/$D$11)</f>
        <v>0</v>
      </c>
      <c r="AU60" s="127">
        <f ca="1">IF($F60&gt;$D$5,0,VLOOKUP($F60,$F$24:$BZ$44,AU$2-$E$2,FALSE)*$D$11*$D$14*(1+$D$13)^($F60-'הנחות עבודה'!$C$5)/$D$11)</f>
        <v>0</v>
      </c>
      <c r="AV60" s="127">
        <f ca="1">IF($F60&gt;$D$5,0,VLOOKUP($F60,$F$24:$BZ$44,AV$2-$E$2,FALSE)*$D$11*$D$14*(1+$D$13)^($F60-'הנחות עבודה'!$C$5)/$D$11)</f>
        <v>0</v>
      </c>
      <c r="AW60" s="52">
        <f ca="1">IF($F60&gt;$D$5,0,VLOOKUP($F60,$F$24:$BZ$44,AW$2-$E$2,FALSE)*$D$11*$D$14*(1+$D$13)^($F60-'הנחות עבודה'!$C$5)/$D$11)</f>
        <v>55.009531512573993</v>
      </c>
      <c r="AX60" s="52">
        <f ca="1">IF($F60&gt;$D$5,0,VLOOKUP($F60,$F$24:$BZ$44,AX$2-$E$2,FALSE)*$D$11*$D$14*(1+$D$13)^($F60-'הנחות עבודה'!$C$5)/$D$11)</f>
        <v>328.62824187956744</v>
      </c>
      <c r="AY60" s="52">
        <f ca="1">IF($F60&gt;$D$5,0,VLOOKUP($F60,$F$24:$BZ$44,AY$2-$E$2,FALSE)*$D$11*$D$14*(1+$D$13)^($F60-'הנחות עבודה'!$C$5)/$D$11)</f>
        <v>0</v>
      </c>
      <c r="AZ60" s="52">
        <f ca="1">IF($F60&gt;$D$5,0,VLOOKUP($F60,$F$24:$BZ$44,AZ$2-$E$2,FALSE)*$D$11*$D$14*(1+$D$13)^($F60-'הנחות עבודה'!$C$5)/$D$11)</f>
        <v>0</v>
      </c>
      <c r="BA60" s="52">
        <f ca="1">IF($F60&gt;$D$5,0,VLOOKUP($F60,$F$24:$BZ$44,BA$2-$E$2,FALSE)*$D$11*$D$14*(1+$D$13)^($F60-'הנחות עבודה'!$C$5)/$D$11)</f>
        <v>0</v>
      </c>
      <c r="BB60" s="52">
        <f ca="1">IF($F60&gt;$D$5,0,VLOOKUP($F60,$F$24:$BZ$44,BB$2-$E$2,FALSE)*$D$11*$D$14*(1+$D$13)^($F60-'הנחות עבודה'!$C$5)/$D$11)</f>
        <v>0</v>
      </c>
      <c r="BC60" s="42">
        <f ca="1">IF($F60&gt;$D$5,0,VLOOKUP($F60,$F$24:$BZ$44,BC$2-$E$2,FALSE)*$D$11*$D$14*(1+$D$13)^($F60-'הנחות עבודה'!$C$5)/$D$11)</f>
        <v>0</v>
      </c>
      <c r="BD60" s="44">
        <f ca="1">IF($F60&gt;$D$5,0,VLOOKUP($F60,$F$24:$BZ$44,BD$2-$E$2,FALSE)*$D$11*$D$14*(1+$D$13)^($F60-'הנחות עבודה'!$C$5)/$D$11)</f>
        <v>0</v>
      </c>
      <c r="BE60" s="44">
        <f ca="1">IF($F60&gt;$D$5,0,VLOOKUP($F60,$F$24:$BZ$44,BE$2-$E$2,FALSE)*$D$11*$D$14*(1+$D$13)^($F60-'הנחות עבודה'!$C$5)/$D$11)</f>
        <v>0</v>
      </c>
      <c r="BF60" s="44">
        <f ca="1">IF($F60&gt;$D$5,0,VLOOKUP($F60,$F$24:$BZ$44,BF$2-$E$2,FALSE)*$D$11*$D$14*(1+$D$13)^($F60-'הנחות עבודה'!$C$5)/$D$11)</f>
        <v>0</v>
      </c>
      <c r="BG60" s="44">
        <f ca="1">IF($F60&gt;$D$5,0,VLOOKUP($F60,$F$24:$BZ$44,BG$2-$E$2,FALSE)*$D$11*$D$14*(1+$D$13)^($F60-'הנחות עבודה'!$C$5)/$D$11)</f>
        <v>0</v>
      </c>
      <c r="BH60" s="44">
        <f ca="1">IF($F60&gt;$D$5,0,VLOOKUP($F60,$F$24:$BZ$44,BH$2-$E$2,FALSE)*$D$11*$D$14*(1+$D$13)^($F60-'הנחות עבודה'!$C$5)/$D$11)</f>
        <v>0</v>
      </c>
      <c r="BI60" s="42">
        <f ca="1">IF($F60&gt;$D$5,0,VLOOKUP($F60,$F$24:$BZ$44,BI$2-$E$2,FALSE)*$D$11*$D$14*(1+$D$13)^($F60-'הנחות עבודה'!$C$5)/$D$11)</f>
        <v>56.419160903451711</v>
      </c>
      <c r="BJ60" s="42">
        <f ca="1">IF($F60&gt;$D$5,0,VLOOKUP($F60,$F$24:$BZ$44,BJ$2-$E$2,FALSE)*$D$11*$D$14*(1+$D$13)^($F60-'הנחות עבודה'!$C$5)/$D$11)</f>
        <v>301.89126248397741</v>
      </c>
      <c r="BK60" s="42">
        <f ca="1">IF($F60&gt;$D$5,0,VLOOKUP($F60,$F$24:$BZ$44,BK$2-$E$2,FALSE)*$D$11*$D$14*(1+$D$13)^($F60-'הנחות עבודה'!$C$5)/$D$11)</f>
        <v>0</v>
      </c>
      <c r="BL60" s="42">
        <f ca="1">IF($F60&gt;$D$5,0,VLOOKUP($F60,$F$24:$BZ$44,BL$2-$E$2,FALSE)*$D$11*$D$14*(1+$D$13)^($F60-'הנחות עבודה'!$C$5)/$D$11)</f>
        <v>0</v>
      </c>
      <c r="BM60" s="42">
        <f ca="1">IF($F60&gt;$D$5,0,VLOOKUP($F60,$F$24:$BZ$44,BM$2-$E$2,FALSE)*$D$11*$D$14*(1+$D$13)^($F60-'הנחות עבודה'!$C$5)/$D$11)</f>
        <v>0</v>
      </c>
      <c r="BN60" s="42">
        <f ca="1">IF($F60&gt;$D$5,0,VLOOKUP($F60,$F$24:$BZ$44,BN$2-$E$2,FALSE)*$D$11*$D$14*(1+$D$13)^($F60-'הנחות עבודה'!$C$5)/$D$11)</f>
        <v>0</v>
      </c>
      <c r="BO60" s="52">
        <f ca="1">IF($F60&gt;$D$5,0,VLOOKUP($F60,$F$24:$BZ$44,BO$2-$E$2,FALSE)*$D$11*$D$14*(1+$D$13)^($F60-'הנחות עבודה'!$C$5)/$D$11)</f>
        <v>0</v>
      </c>
      <c r="BP60" s="127">
        <f ca="1">IF($F60&gt;$D$5,0,VLOOKUP($F60,$F$24:$BZ$44,BP$2-$E$2,FALSE)*$D$11*$D$14*(1+$D$13)^($F60-'הנחות עבודה'!$C$5)/$D$11)</f>
        <v>0</v>
      </c>
      <c r="BQ60" s="127">
        <f ca="1">IF($F60&gt;$D$5,0,VLOOKUP($F60,$F$24:$BZ$44,BQ$2-$E$2,FALSE)*$D$11*$D$14*(1+$D$13)^($F60-'הנחות עבודה'!$C$5)/$D$11)</f>
        <v>0</v>
      </c>
      <c r="BR60" s="127">
        <f ca="1">IF($F60&gt;$D$5,0,VLOOKUP($F60,$F$24:$BZ$44,BR$2-$E$2,FALSE)*$D$11*$D$14*(1+$D$13)^($F60-'הנחות עבודה'!$C$5)/$D$11)</f>
        <v>0</v>
      </c>
      <c r="BS60" s="127">
        <f ca="1">IF($F60&gt;$D$5,0,VLOOKUP($F60,$F$24:$BZ$44,BS$2-$E$2,FALSE)*$D$11*$D$14*(1+$D$13)^($F60-'הנחות עבודה'!$C$5)/$D$11)</f>
        <v>0</v>
      </c>
      <c r="BT60" s="127">
        <f ca="1">IF($F60&gt;$D$5,0,VLOOKUP($F60,$F$24:$BZ$44,BT$2-$E$2,FALSE)*$D$11*$D$14*(1+$D$13)^($F60-'הנחות עבודה'!$C$5)/$D$11)</f>
        <v>0</v>
      </c>
      <c r="BU60" s="52">
        <f ca="1">IF($F60&gt;$D$5,0,VLOOKUP($F60,$F$24:$BZ$44,BU$2-$E$2,FALSE)*$D$11*$D$14*(1+$D$13)^($F60-'הנחות עבודה'!$C$5)/$D$11)</f>
        <v>56.419160903451711</v>
      </c>
      <c r="BV60" s="52">
        <f ca="1">IF($F60&gt;$D$5,0,VLOOKUP($F60,$F$24:$BZ$44,BV$2-$E$2,FALSE)*$D$11*$D$14*(1+$D$13)^($F60-'הנחות עבודה'!$C$5)/$D$11)</f>
        <v>301.89126248397741</v>
      </c>
      <c r="BW60" s="52">
        <f ca="1">IF($F60&gt;$D$5,0,VLOOKUP($F60,$F$24:$BZ$44,BW$2-$E$2,FALSE)*$D$11*$D$14*(1+$D$13)^($F60-'הנחות עבודה'!$C$5)/$D$11)</f>
        <v>0</v>
      </c>
      <c r="BX60" s="52">
        <f ca="1">IF($F60&gt;$D$5,0,VLOOKUP($F60,$F$24:$BZ$44,BX$2-$E$2,FALSE)*$D$11*$D$14*(1+$D$13)^($F60-'הנחות עבודה'!$C$5)/$D$11)</f>
        <v>0</v>
      </c>
      <c r="BY60" s="52">
        <f ca="1">IF($F60&gt;$D$5,0,VLOOKUP($F60,$F$24:$BZ$44,BY$2-$E$2,FALSE)*$D$11*$D$14*(1+$D$13)^($F60-'הנחות עבודה'!$C$5)/$D$11)</f>
        <v>0</v>
      </c>
      <c r="BZ60" s="52">
        <f ca="1">IF($F60&gt;$D$5,0,VLOOKUP($F60,$F$24:$BZ$44,BZ$2-$E$2,FALSE)*$D$11*$D$14*(1+$D$13)^($F60-'הנחות עבודה'!$C$5)/$D$11)</f>
        <v>0</v>
      </c>
    </row>
    <row r="61" spans="6:78" ht="15.75">
      <c r="F61" s="10">
        <f t="shared" si="129"/>
        <v>2030</v>
      </c>
      <c r="G61" s="42">
        <f ca="1">IF($F61&gt;$D$5,0,VLOOKUP($F61,$F$24:$BZ$44,G$2-$E$2,FALSE)*$D$11*$D$14*(1+$D$13)^($F61-'הנחות עבודה'!$C$5)/$D$11)</f>
        <v>0</v>
      </c>
      <c r="H61" s="44">
        <f ca="1">IF($F61&gt;$D$5,0,VLOOKUP($F61,$F$24:$BZ$44,H$2-$E$2,FALSE)*$D$11*$D$14*(1+$D$13)^($F61-'הנחות עבודה'!$C$5)/$D$11)</f>
        <v>0</v>
      </c>
      <c r="I61" s="44">
        <f ca="1">IF($F61&gt;$D$5,0,VLOOKUP($F61,$F$24:$BZ$44,I$2-$E$2,FALSE)*$D$11*$D$14*(1+$D$13)^($F61-'הנחות עבודה'!$C$5)/$D$11)</f>
        <v>0</v>
      </c>
      <c r="J61" s="44">
        <f ca="1">IF($F61&gt;$D$5,0,VLOOKUP($F61,$F$24:$BZ$44,J$2-$E$2,FALSE)*$D$11*$D$14*(1+$D$13)^($F61-'הנחות עבודה'!$C$5)/$D$11)</f>
        <v>0</v>
      </c>
      <c r="K61" s="44">
        <f ca="1">IF($F61&gt;$D$5,0,VLOOKUP($F61,$F$24:$BZ$44,K$2-$E$2,FALSE)*$D$11*$D$14*(1+$D$13)^($F61-'הנחות עבודה'!$C$5)/$D$11)</f>
        <v>0</v>
      </c>
      <c r="L61" s="44">
        <f ca="1">IF($F61&gt;$D$5,0,VLOOKUP($F61,$F$24:$BZ$44,L$2-$E$2,FALSE)*$D$11*$D$14*(1+$D$13)^($F61-'הנחות עבודה'!$C$5)/$D$11)</f>
        <v>0</v>
      </c>
      <c r="M61" s="42">
        <f ca="1">IF($F61&gt;$D$5,0,VLOOKUP($F61,$F$24:$BZ$44,M$2-$E$2,FALSE)*$D$11*$D$14*(1+$D$13)^($F61-'הנחות עבודה'!$C$5)/$D$11)</f>
        <v>54.325056210261693</v>
      </c>
      <c r="N61" s="42">
        <f ca="1">IF($F61&gt;$D$5,0,VLOOKUP($F61,$F$24:$BZ$44,N$2-$E$2,FALSE)*$D$11*$D$14*(1+$D$13)^($F61-'הנחות עבודה'!$C$5)/$D$11)</f>
        <v>393.17146818436703</v>
      </c>
      <c r="O61" s="42">
        <f ca="1">IF($F61&gt;$D$5,0,VLOOKUP($F61,$F$24:$BZ$44,O$2-$E$2,FALSE)*$D$11*$D$14*(1+$D$13)^($F61-'הנחות עבודה'!$C$5)/$D$11)</f>
        <v>0</v>
      </c>
      <c r="P61" s="42">
        <f ca="1">IF($F61&gt;$D$5,0,VLOOKUP($F61,$F$24:$BZ$44,P$2-$E$2,FALSE)*$D$11*$D$14*(1+$D$13)^($F61-'הנחות עבודה'!$C$5)/$D$11)</f>
        <v>0</v>
      </c>
      <c r="Q61" s="42">
        <f ca="1">IF($F61&gt;$D$5,0,VLOOKUP($F61,$F$24:$BZ$44,Q$2-$E$2,FALSE)*$D$11*$D$14*(1+$D$13)^($F61-'הנחות עבודה'!$C$5)/$D$11)</f>
        <v>0</v>
      </c>
      <c r="R61" s="42">
        <f ca="1">IF($F61&gt;$D$5,0,VLOOKUP($F61,$F$24:$BZ$44,R$2-$E$2,FALSE)*$D$11*$D$14*(1+$D$13)^($F61-'הנחות עבודה'!$C$5)/$D$11)</f>
        <v>0</v>
      </c>
      <c r="S61" s="52">
        <f ca="1">IF($F61&gt;$D$5,0,VLOOKUP($F61,$F$24:$BZ$44,S$2-$E$2,FALSE)*$D$11*$D$14*(1+$D$13)^($F61-'הנחות עבודה'!$C$5)/$D$11)</f>
        <v>0</v>
      </c>
      <c r="T61" s="127">
        <f ca="1">IF($F61&gt;$D$5,0,VLOOKUP($F61,$F$24:$BZ$44,T$2-$E$2,FALSE)*$D$11*$D$14*(1+$D$13)^($F61-'הנחות עבודה'!$C$5)/$D$11)</f>
        <v>0</v>
      </c>
      <c r="U61" s="127">
        <f ca="1">IF($F61&gt;$D$5,0,VLOOKUP($F61,$F$24:$BZ$44,U$2-$E$2,FALSE)*$D$11*$D$14*(1+$D$13)^($F61-'הנחות עבודה'!$C$5)/$D$11)</f>
        <v>0</v>
      </c>
      <c r="V61" s="127">
        <f ca="1">IF($F61&gt;$D$5,0,VLOOKUP($F61,$F$24:$BZ$44,V$2-$E$2,FALSE)*$D$11*$D$14*(1+$D$13)^($F61-'הנחות עבודה'!$C$5)/$D$11)</f>
        <v>0</v>
      </c>
      <c r="W61" s="127">
        <f ca="1">IF($F61&gt;$D$5,0,VLOOKUP($F61,$F$24:$BZ$44,W$2-$E$2,FALSE)*$D$11*$D$14*(1+$D$13)^($F61-'הנחות עבודה'!$C$5)/$D$11)</f>
        <v>0</v>
      </c>
      <c r="X61" s="127">
        <f ca="1">IF($F61&gt;$D$5,0,VLOOKUP($F61,$F$24:$BZ$44,X$2-$E$2,FALSE)*$D$11*$D$14*(1+$D$13)^($F61-'הנחות עבודה'!$C$5)/$D$11)</f>
        <v>0</v>
      </c>
      <c r="Y61" s="52">
        <f ca="1">IF($F61&gt;$D$5,0,VLOOKUP($F61,$F$24:$BZ$44,Y$2-$E$2,FALSE)*$D$11*$D$14*(1+$D$13)^($F61-'הנחות עבודה'!$C$5)/$D$11)</f>
        <v>54.325056210261693</v>
      </c>
      <c r="Z61" s="52">
        <f ca="1">IF($F61&gt;$D$5,0,VLOOKUP($F61,$F$24:$BZ$44,Z$2-$E$2,FALSE)*$D$11*$D$14*(1+$D$13)^($F61-'הנחות עבודה'!$C$5)/$D$11)</f>
        <v>393.17146818436703</v>
      </c>
      <c r="AA61" s="52">
        <f ca="1">IF($F61&gt;$D$5,0,VLOOKUP($F61,$F$24:$BZ$44,AA$2-$E$2,FALSE)*$D$11*$D$14*(1+$D$13)^($F61-'הנחות עבודה'!$C$5)/$D$11)</f>
        <v>0</v>
      </c>
      <c r="AB61" s="52">
        <f ca="1">IF($F61&gt;$D$5,0,VLOOKUP($F61,$F$24:$BZ$44,AB$2-$E$2,FALSE)*$D$11*$D$14*(1+$D$13)^($F61-'הנחות עבודה'!$C$5)/$D$11)</f>
        <v>0</v>
      </c>
      <c r="AC61" s="52">
        <f ca="1">IF($F61&gt;$D$5,0,VLOOKUP($F61,$F$24:$BZ$44,AC$2-$E$2,FALSE)*$D$11*$D$14*(1+$D$13)^($F61-'הנחות עבודה'!$C$5)/$D$11)</f>
        <v>0</v>
      </c>
      <c r="AD61" s="52">
        <f ca="1">IF($F61&gt;$D$5,0,VLOOKUP($F61,$F$24:$BZ$44,AD$2-$E$2,FALSE)*$D$11*$D$14*(1+$D$13)^($F61-'הנחות עבודה'!$C$5)/$D$11)</f>
        <v>0</v>
      </c>
      <c r="AE61" s="42">
        <f ca="1">IF($F61&gt;$D$5,0,VLOOKUP($F61,$F$24:$BZ$44,AE$2-$E$2,FALSE)*$D$11*$D$14*(1+$D$13)^($F61-'הנחות עבודה'!$C$5)/$D$11)</f>
        <v>0</v>
      </c>
      <c r="AF61" s="44">
        <f ca="1">IF($F61&gt;$D$5,0,VLOOKUP($F61,$F$24:$BZ$44,AF$2-$E$2,FALSE)*$D$11*$D$14*(1+$D$13)^($F61-'הנחות עבודה'!$C$5)/$D$11)</f>
        <v>0</v>
      </c>
      <c r="AG61" s="44">
        <f ca="1">IF($F61&gt;$D$5,0,VLOOKUP($F61,$F$24:$BZ$44,AG$2-$E$2,FALSE)*$D$11*$D$14*(1+$D$13)^($F61-'הנחות עבודה'!$C$5)/$D$11)</f>
        <v>0</v>
      </c>
      <c r="AH61" s="44">
        <f ca="1">IF($F61&gt;$D$5,0,VLOOKUP($F61,$F$24:$BZ$44,AH$2-$E$2,FALSE)*$D$11*$D$14*(1+$D$13)^($F61-'הנחות עבודה'!$C$5)/$D$11)</f>
        <v>0</v>
      </c>
      <c r="AI61" s="44">
        <f ca="1">IF($F61&gt;$D$5,0,VLOOKUP($F61,$F$24:$BZ$44,AI$2-$E$2,FALSE)*$D$11*$D$14*(1+$D$13)^($F61-'הנחות עבודה'!$C$5)/$D$11)</f>
        <v>0</v>
      </c>
      <c r="AJ61" s="44">
        <f ca="1">IF($F61&gt;$D$5,0,VLOOKUP($F61,$F$24:$BZ$44,AJ$2-$E$2,FALSE)*$D$11*$D$14*(1+$D$13)^($F61-'הנחות עבודה'!$C$5)/$D$11)</f>
        <v>0</v>
      </c>
      <c r="AK61" s="42">
        <f ca="1">IF($F61&gt;$D$5,0,VLOOKUP($F61,$F$24:$BZ$44,AK$2-$E$2,FALSE)*$D$11*$D$14*(1+$D$13)^($F61-'הנחות עבודה'!$C$5)/$D$11)</f>
        <v>57.550052348211253</v>
      </c>
      <c r="AL61" s="42">
        <f ca="1">IF($F61&gt;$D$5,0,VLOOKUP($F61,$F$24:$BZ$44,AL$2-$E$2,FALSE)*$D$11*$D$14*(1+$D$13)^($F61-'הנחות עבודה'!$C$5)/$D$11)</f>
        <v>341.50959284736359</v>
      </c>
      <c r="AM61" s="42">
        <f ca="1">IF($F61&gt;$D$5,0,VLOOKUP($F61,$F$24:$BZ$44,AM$2-$E$2,FALSE)*$D$11*$D$14*(1+$D$13)^($F61-'הנחות עבודה'!$C$5)/$D$11)</f>
        <v>0</v>
      </c>
      <c r="AN61" s="42">
        <f ca="1">IF($F61&gt;$D$5,0,VLOOKUP($F61,$F$24:$BZ$44,AN$2-$E$2,FALSE)*$D$11*$D$14*(1+$D$13)^($F61-'הנחות עבודה'!$C$5)/$D$11)</f>
        <v>0</v>
      </c>
      <c r="AO61" s="42">
        <f ca="1">IF($F61&gt;$D$5,0,VLOOKUP($F61,$F$24:$BZ$44,AO$2-$E$2,FALSE)*$D$11*$D$14*(1+$D$13)^($F61-'הנחות עבודה'!$C$5)/$D$11)</f>
        <v>0</v>
      </c>
      <c r="AP61" s="42">
        <f ca="1">IF($F61&gt;$D$5,0,VLOOKUP($F61,$F$24:$BZ$44,AP$2-$E$2,FALSE)*$D$11*$D$14*(1+$D$13)^($F61-'הנחות עבודה'!$C$5)/$D$11)</f>
        <v>0</v>
      </c>
      <c r="AQ61" s="52">
        <f ca="1">IF($F61&gt;$D$5,0,VLOOKUP($F61,$F$24:$BZ$44,AQ$2-$E$2,FALSE)*$D$11*$D$14*(1+$D$13)^($F61-'הנחות עבודה'!$C$5)/$D$11)</f>
        <v>0</v>
      </c>
      <c r="AR61" s="127">
        <f ca="1">IF($F61&gt;$D$5,0,VLOOKUP($F61,$F$24:$BZ$44,AR$2-$E$2,FALSE)*$D$11*$D$14*(1+$D$13)^($F61-'הנחות עבודה'!$C$5)/$D$11)</f>
        <v>0</v>
      </c>
      <c r="AS61" s="127">
        <f ca="1">IF($F61&gt;$D$5,0,VLOOKUP($F61,$F$24:$BZ$44,AS$2-$E$2,FALSE)*$D$11*$D$14*(1+$D$13)^($F61-'הנחות עבודה'!$C$5)/$D$11)</f>
        <v>0</v>
      </c>
      <c r="AT61" s="127">
        <f ca="1">IF($F61&gt;$D$5,0,VLOOKUP($F61,$F$24:$BZ$44,AT$2-$E$2,FALSE)*$D$11*$D$14*(1+$D$13)^($F61-'הנחות עבודה'!$C$5)/$D$11)</f>
        <v>0</v>
      </c>
      <c r="AU61" s="127">
        <f ca="1">IF($F61&gt;$D$5,0,VLOOKUP($F61,$F$24:$BZ$44,AU$2-$E$2,FALSE)*$D$11*$D$14*(1+$D$13)^($F61-'הנחות עבודה'!$C$5)/$D$11)</f>
        <v>0</v>
      </c>
      <c r="AV61" s="127">
        <f ca="1">IF($F61&gt;$D$5,0,VLOOKUP($F61,$F$24:$BZ$44,AV$2-$E$2,FALSE)*$D$11*$D$14*(1+$D$13)^($F61-'הנחות עבודה'!$C$5)/$D$11)</f>
        <v>0</v>
      </c>
      <c r="AW61" s="52">
        <f ca="1">IF($F61&gt;$D$5,0,VLOOKUP($F61,$F$24:$BZ$44,AW$2-$E$2,FALSE)*$D$11*$D$14*(1+$D$13)^($F61-'הנחות עבודה'!$C$5)/$D$11)</f>
        <v>57.550052348211253</v>
      </c>
      <c r="AX61" s="52">
        <f ca="1">IF($F61&gt;$D$5,0,VLOOKUP($F61,$F$24:$BZ$44,AX$2-$E$2,FALSE)*$D$11*$D$14*(1+$D$13)^($F61-'הנחות עבודה'!$C$5)/$D$11)</f>
        <v>341.50959284736359</v>
      </c>
      <c r="AY61" s="52">
        <f ca="1">IF($F61&gt;$D$5,0,VLOOKUP($F61,$F$24:$BZ$44,AY$2-$E$2,FALSE)*$D$11*$D$14*(1+$D$13)^($F61-'הנחות עבודה'!$C$5)/$D$11)</f>
        <v>0</v>
      </c>
      <c r="AZ61" s="52">
        <f ca="1">IF($F61&gt;$D$5,0,VLOOKUP($F61,$F$24:$BZ$44,AZ$2-$E$2,FALSE)*$D$11*$D$14*(1+$D$13)^($F61-'הנחות עבודה'!$C$5)/$D$11)</f>
        <v>0</v>
      </c>
      <c r="BA61" s="52">
        <f ca="1">IF($F61&gt;$D$5,0,VLOOKUP($F61,$F$24:$BZ$44,BA$2-$E$2,FALSE)*$D$11*$D$14*(1+$D$13)^($F61-'הנחות עבודה'!$C$5)/$D$11)</f>
        <v>0</v>
      </c>
      <c r="BB61" s="52">
        <f ca="1">IF($F61&gt;$D$5,0,VLOOKUP($F61,$F$24:$BZ$44,BB$2-$E$2,FALSE)*$D$11*$D$14*(1+$D$13)^($F61-'הנחות עבודה'!$C$5)/$D$11)</f>
        <v>0</v>
      </c>
      <c r="BC61" s="42">
        <f ca="1">IF($F61&gt;$D$5,0,VLOOKUP($F61,$F$24:$BZ$44,BC$2-$E$2,FALSE)*$D$11*$D$14*(1+$D$13)^($F61-'הנחות עבודה'!$C$5)/$D$11)</f>
        <v>0</v>
      </c>
      <c r="BD61" s="44">
        <f ca="1">IF($F61&gt;$D$5,0,VLOOKUP($F61,$F$24:$BZ$44,BD$2-$E$2,FALSE)*$D$11*$D$14*(1+$D$13)^($F61-'הנחות עבודה'!$C$5)/$D$11)</f>
        <v>0</v>
      </c>
      <c r="BE61" s="44">
        <f ca="1">IF($F61&gt;$D$5,0,VLOOKUP($F61,$F$24:$BZ$44,BE$2-$E$2,FALSE)*$D$11*$D$14*(1+$D$13)^($F61-'הנחות עבודה'!$C$5)/$D$11)</f>
        <v>0</v>
      </c>
      <c r="BF61" s="44">
        <f ca="1">IF($F61&gt;$D$5,0,VLOOKUP($F61,$F$24:$BZ$44,BF$2-$E$2,FALSE)*$D$11*$D$14*(1+$D$13)^($F61-'הנחות עבודה'!$C$5)/$D$11)</f>
        <v>0</v>
      </c>
      <c r="BG61" s="44">
        <f ca="1">IF($F61&gt;$D$5,0,VLOOKUP($F61,$F$24:$BZ$44,BG$2-$E$2,FALSE)*$D$11*$D$14*(1+$D$13)^($F61-'הנחות עבודה'!$C$5)/$D$11)</f>
        <v>0</v>
      </c>
      <c r="BH61" s="44">
        <f ca="1">IF($F61&gt;$D$5,0,VLOOKUP($F61,$F$24:$BZ$44,BH$2-$E$2,FALSE)*$D$11*$D$14*(1+$D$13)^($F61-'הנחות עבודה'!$C$5)/$D$11)</f>
        <v>0</v>
      </c>
      <c r="BI61" s="42">
        <f ca="1">IF($F61&gt;$D$5,0,VLOOKUP($F61,$F$24:$BZ$44,BI$2-$E$2,FALSE)*$D$11*$D$14*(1+$D$13)^($F61-'הנחות עבודה'!$C$5)/$D$11)</f>
        <v>58.623395876457529</v>
      </c>
      <c r="BJ61" s="42">
        <f ca="1">IF($F61&gt;$D$5,0,VLOOKUP($F61,$F$24:$BZ$44,BJ$2-$E$2,FALSE)*$D$11*$D$14*(1+$D$13)^($F61-'הנחות עבודה'!$C$5)/$D$11)</f>
        <v>310.93306590980563</v>
      </c>
      <c r="BK61" s="42">
        <f ca="1">IF($F61&gt;$D$5,0,VLOOKUP($F61,$F$24:$BZ$44,BK$2-$E$2,FALSE)*$D$11*$D$14*(1+$D$13)^($F61-'הנחות עבודה'!$C$5)/$D$11)</f>
        <v>0</v>
      </c>
      <c r="BL61" s="42">
        <f ca="1">IF($F61&gt;$D$5,0,VLOOKUP($F61,$F$24:$BZ$44,BL$2-$E$2,FALSE)*$D$11*$D$14*(1+$D$13)^($F61-'הנחות עבודה'!$C$5)/$D$11)</f>
        <v>0</v>
      </c>
      <c r="BM61" s="42">
        <f ca="1">IF($F61&gt;$D$5,0,VLOOKUP($F61,$F$24:$BZ$44,BM$2-$E$2,FALSE)*$D$11*$D$14*(1+$D$13)^($F61-'הנחות עבודה'!$C$5)/$D$11)</f>
        <v>0</v>
      </c>
      <c r="BN61" s="42">
        <f ca="1">IF($F61&gt;$D$5,0,VLOOKUP($F61,$F$24:$BZ$44,BN$2-$E$2,FALSE)*$D$11*$D$14*(1+$D$13)^($F61-'הנחות עבודה'!$C$5)/$D$11)</f>
        <v>0</v>
      </c>
      <c r="BO61" s="52">
        <f ca="1">IF($F61&gt;$D$5,0,VLOOKUP($F61,$F$24:$BZ$44,BO$2-$E$2,FALSE)*$D$11*$D$14*(1+$D$13)^($F61-'הנחות עבודה'!$C$5)/$D$11)</f>
        <v>0</v>
      </c>
      <c r="BP61" s="127">
        <f ca="1">IF($F61&gt;$D$5,0,VLOOKUP($F61,$F$24:$BZ$44,BP$2-$E$2,FALSE)*$D$11*$D$14*(1+$D$13)^($F61-'הנחות עבודה'!$C$5)/$D$11)</f>
        <v>0</v>
      </c>
      <c r="BQ61" s="127">
        <f ca="1">IF($F61&gt;$D$5,0,VLOOKUP($F61,$F$24:$BZ$44,BQ$2-$E$2,FALSE)*$D$11*$D$14*(1+$D$13)^($F61-'הנחות עבודה'!$C$5)/$D$11)</f>
        <v>0</v>
      </c>
      <c r="BR61" s="127">
        <f ca="1">IF($F61&gt;$D$5,0,VLOOKUP($F61,$F$24:$BZ$44,BR$2-$E$2,FALSE)*$D$11*$D$14*(1+$D$13)^($F61-'הנחות עבודה'!$C$5)/$D$11)</f>
        <v>0</v>
      </c>
      <c r="BS61" s="127">
        <f ca="1">IF($F61&gt;$D$5,0,VLOOKUP($F61,$F$24:$BZ$44,BS$2-$E$2,FALSE)*$D$11*$D$14*(1+$D$13)^($F61-'הנחות עבודה'!$C$5)/$D$11)</f>
        <v>0</v>
      </c>
      <c r="BT61" s="127">
        <f ca="1">IF($F61&gt;$D$5,0,VLOOKUP($F61,$F$24:$BZ$44,BT$2-$E$2,FALSE)*$D$11*$D$14*(1+$D$13)^($F61-'הנחות עבודה'!$C$5)/$D$11)</f>
        <v>0</v>
      </c>
      <c r="BU61" s="52">
        <f ca="1">IF($F61&gt;$D$5,0,VLOOKUP($F61,$F$24:$BZ$44,BU$2-$E$2,FALSE)*$D$11*$D$14*(1+$D$13)^($F61-'הנחות עבודה'!$C$5)/$D$11)</f>
        <v>58.623395876457529</v>
      </c>
      <c r="BV61" s="52">
        <f ca="1">IF($F61&gt;$D$5,0,VLOOKUP($F61,$F$24:$BZ$44,BV$2-$E$2,FALSE)*$D$11*$D$14*(1+$D$13)^($F61-'הנחות עבודה'!$C$5)/$D$11)</f>
        <v>310.93306590980563</v>
      </c>
      <c r="BW61" s="52">
        <f ca="1">IF($F61&gt;$D$5,0,VLOOKUP($F61,$F$24:$BZ$44,BW$2-$E$2,FALSE)*$D$11*$D$14*(1+$D$13)^($F61-'הנחות עבודה'!$C$5)/$D$11)</f>
        <v>0</v>
      </c>
      <c r="BX61" s="52">
        <f ca="1">IF($F61&gt;$D$5,0,VLOOKUP($F61,$F$24:$BZ$44,BX$2-$E$2,FALSE)*$D$11*$D$14*(1+$D$13)^($F61-'הנחות עבודה'!$C$5)/$D$11)</f>
        <v>0</v>
      </c>
      <c r="BY61" s="52">
        <f ca="1">IF($F61&gt;$D$5,0,VLOOKUP($F61,$F$24:$BZ$44,BY$2-$E$2,FALSE)*$D$11*$D$14*(1+$D$13)^($F61-'הנחות עבודה'!$C$5)/$D$11)</f>
        <v>0</v>
      </c>
      <c r="BZ61" s="52">
        <f ca="1">IF($F61&gt;$D$5,0,VLOOKUP($F61,$F$24:$BZ$44,BZ$2-$E$2,FALSE)*$D$11*$D$14*(1+$D$13)^($F61-'הנחות עבודה'!$C$5)/$D$11)</f>
        <v>0</v>
      </c>
    </row>
    <row r="62" spans="6:78" ht="15.75">
      <c r="F62" s="10">
        <f t="shared" si="129"/>
        <v>2031</v>
      </c>
      <c r="G62" s="42">
        <f ca="1">IF($F62&gt;$D$5,0,VLOOKUP($F62,$F$24:$BZ$44,G$2-$E$2,FALSE)*$D$11*$D$14*(1+$D$13)^($F62-'הנחות עבודה'!$C$5)/$D$11)</f>
        <v>0</v>
      </c>
      <c r="H62" s="44">
        <f ca="1">IF($F62&gt;$D$5,0,VLOOKUP($F62,$F$24:$BZ$44,H$2-$E$2,FALSE)*$D$11*$D$14*(1+$D$13)^($F62-'הנחות עבודה'!$C$5)/$D$11)</f>
        <v>0</v>
      </c>
      <c r="I62" s="44">
        <f ca="1">IF($F62&gt;$D$5,0,VLOOKUP($F62,$F$24:$BZ$44,I$2-$E$2,FALSE)*$D$11*$D$14*(1+$D$13)^($F62-'הנחות עבודה'!$C$5)/$D$11)</f>
        <v>0</v>
      </c>
      <c r="J62" s="44">
        <f ca="1">IF($F62&gt;$D$5,0,VLOOKUP($F62,$F$24:$BZ$44,J$2-$E$2,FALSE)*$D$11*$D$14*(1+$D$13)^($F62-'הנחות עבודה'!$C$5)/$D$11)</f>
        <v>0</v>
      </c>
      <c r="K62" s="44">
        <f ca="1">IF($F62&gt;$D$5,0,VLOOKUP($F62,$F$24:$BZ$44,K$2-$E$2,FALSE)*$D$11*$D$14*(1+$D$13)^($F62-'הנחות עבודה'!$C$5)/$D$11)</f>
        <v>0</v>
      </c>
      <c r="L62" s="44">
        <f ca="1">IF($F62&gt;$D$5,0,VLOOKUP($F62,$F$24:$BZ$44,L$2-$E$2,FALSE)*$D$11*$D$14*(1+$D$13)^($F62-'הנחות עבודה'!$C$5)/$D$11)</f>
        <v>0</v>
      </c>
      <c r="M62" s="42">
        <f ca="1">IF($F62&gt;$D$5,0,VLOOKUP($F62,$F$24:$BZ$44,M$2-$E$2,FALSE)*$D$11*$D$14*(1+$D$13)^($F62-'הנחות עבודה'!$C$5)/$D$11)</f>
        <v>55.891426024118452</v>
      </c>
      <c r="N62" s="42">
        <f ca="1">IF($F62&gt;$D$5,0,VLOOKUP($F62,$F$24:$BZ$44,N$2-$E$2,FALSE)*$D$11*$D$14*(1+$D$13)^($F62-'הנחות עבודה'!$C$5)/$D$11)</f>
        <v>424.84699479032474</v>
      </c>
      <c r="O62" s="42">
        <f ca="1">IF($F62&gt;$D$5,0,VLOOKUP($F62,$F$24:$BZ$44,O$2-$E$2,FALSE)*$D$11*$D$14*(1+$D$13)^($F62-'הנחות עבודה'!$C$5)/$D$11)</f>
        <v>0</v>
      </c>
      <c r="P62" s="42">
        <f ca="1">IF($F62&gt;$D$5,0,VLOOKUP($F62,$F$24:$BZ$44,P$2-$E$2,FALSE)*$D$11*$D$14*(1+$D$13)^($F62-'הנחות עבודה'!$C$5)/$D$11)</f>
        <v>0</v>
      </c>
      <c r="Q62" s="42">
        <f ca="1">IF($F62&gt;$D$5,0,VLOOKUP($F62,$F$24:$BZ$44,Q$2-$E$2,FALSE)*$D$11*$D$14*(1+$D$13)^($F62-'הנחות עבודה'!$C$5)/$D$11)</f>
        <v>0</v>
      </c>
      <c r="R62" s="42">
        <f ca="1">IF($F62&gt;$D$5,0,VLOOKUP($F62,$F$24:$BZ$44,R$2-$E$2,FALSE)*$D$11*$D$14*(1+$D$13)^($F62-'הנחות עבודה'!$C$5)/$D$11)</f>
        <v>0</v>
      </c>
      <c r="S62" s="52">
        <f ca="1">IF($F62&gt;$D$5,0,VLOOKUP($F62,$F$24:$BZ$44,S$2-$E$2,FALSE)*$D$11*$D$14*(1+$D$13)^($F62-'הנחות עבודה'!$C$5)/$D$11)</f>
        <v>0</v>
      </c>
      <c r="T62" s="127">
        <f ca="1">IF($F62&gt;$D$5,0,VLOOKUP($F62,$F$24:$BZ$44,T$2-$E$2,FALSE)*$D$11*$D$14*(1+$D$13)^($F62-'הנחות עבודה'!$C$5)/$D$11)</f>
        <v>0</v>
      </c>
      <c r="U62" s="127">
        <f ca="1">IF($F62&gt;$D$5,0,VLOOKUP($F62,$F$24:$BZ$44,U$2-$E$2,FALSE)*$D$11*$D$14*(1+$D$13)^($F62-'הנחות עבודה'!$C$5)/$D$11)</f>
        <v>0</v>
      </c>
      <c r="V62" s="127">
        <f ca="1">IF($F62&gt;$D$5,0,VLOOKUP($F62,$F$24:$BZ$44,V$2-$E$2,FALSE)*$D$11*$D$14*(1+$D$13)^($F62-'הנחות עבודה'!$C$5)/$D$11)</f>
        <v>0</v>
      </c>
      <c r="W62" s="127">
        <f ca="1">IF($F62&gt;$D$5,0,VLOOKUP($F62,$F$24:$BZ$44,W$2-$E$2,FALSE)*$D$11*$D$14*(1+$D$13)^($F62-'הנחות עבודה'!$C$5)/$D$11)</f>
        <v>0</v>
      </c>
      <c r="X62" s="127">
        <f ca="1">IF($F62&gt;$D$5,0,VLOOKUP($F62,$F$24:$BZ$44,X$2-$E$2,FALSE)*$D$11*$D$14*(1+$D$13)^($F62-'הנחות עבודה'!$C$5)/$D$11)</f>
        <v>0</v>
      </c>
      <c r="Y62" s="52">
        <f ca="1">IF($F62&gt;$D$5,0,VLOOKUP($F62,$F$24:$BZ$44,Y$2-$E$2,FALSE)*$D$11*$D$14*(1+$D$13)^($F62-'הנחות עבודה'!$C$5)/$D$11)</f>
        <v>55.891426024118452</v>
      </c>
      <c r="Z62" s="52">
        <f ca="1">IF($F62&gt;$D$5,0,VLOOKUP($F62,$F$24:$BZ$44,Z$2-$E$2,FALSE)*$D$11*$D$14*(1+$D$13)^($F62-'הנחות עבודה'!$C$5)/$D$11)</f>
        <v>424.84699479032474</v>
      </c>
      <c r="AA62" s="52">
        <f ca="1">IF($F62&gt;$D$5,0,VLOOKUP($F62,$F$24:$BZ$44,AA$2-$E$2,FALSE)*$D$11*$D$14*(1+$D$13)^($F62-'הנחות עבודה'!$C$5)/$D$11)</f>
        <v>0</v>
      </c>
      <c r="AB62" s="52">
        <f ca="1">IF($F62&gt;$D$5,0,VLOOKUP($F62,$F$24:$BZ$44,AB$2-$E$2,FALSE)*$D$11*$D$14*(1+$D$13)^($F62-'הנחות עבודה'!$C$5)/$D$11)</f>
        <v>0</v>
      </c>
      <c r="AC62" s="52">
        <f ca="1">IF($F62&gt;$D$5,0,VLOOKUP($F62,$F$24:$BZ$44,AC$2-$E$2,FALSE)*$D$11*$D$14*(1+$D$13)^($F62-'הנחות עבודה'!$C$5)/$D$11)</f>
        <v>0</v>
      </c>
      <c r="AD62" s="52">
        <f ca="1">IF($F62&gt;$D$5,0,VLOOKUP($F62,$F$24:$BZ$44,AD$2-$E$2,FALSE)*$D$11*$D$14*(1+$D$13)^($F62-'הנחות עבודה'!$C$5)/$D$11)</f>
        <v>0</v>
      </c>
      <c r="AE62" s="42">
        <f ca="1">IF($F62&gt;$D$5,0,VLOOKUP($F62,$F$24:$BZ$44,AE$2-$E$2,FALSE)*$D$11*$D$14*(1+$D$13)^($F62-'הנחות עבודה'!$C$5)/$D$11)</f>
        <v>0</v>
      </c>
      <c r="AF62" s="44">
        <f ca="1">IF($F62&gt;$D$5,0,VLOOKUP($F62,$F$24:$BZ$44,AF$2-$E$2,FALSE)*$D$11*$D$14*(1+$D$13)^($F62-'הנחות עבודה'!$C$5)/$D$11)</f>
        <v>0</v>
      </c>
      <c r="AG62" s="44">
        <f ca="1">IF($F62&gt;$D$5,0,VLOOKUP($F62,$F$24:$BZ$44,AG$2-$E$2,FALSE)*$D$11*$D$14*(1+$D$13)^($F62-'הנחות עבודה'!$C$5)/$D$11)</f>
        <v>0</v>
      </c>
      <c r="AH62" s="44">
        <f ca="1">IF($F62&gt;$D$5,0,VLOOKUP($F62,$F$24:$BZ$44,AH$2-$E$2,FALSE)*$D$11*$D$14*(1+$D$13)^($F62-'הנחות עבודה'!$C$5)/$D$11)</f>
        <v>0</v>
      </c>
      <c r="AI62" s="44">
        <f ca="1">IF($F62&gt;$D$5,0,VLOOKUP($F62,$F$24:$BZ$44,AI$2-$E$2,FALSE)*$D$11*$D$14*(1+$D$13)^($F62-'הנחות עבודה'!$C$5)/$D$11)</f>
        <v>0</v>
      </c>
      <c r="AJ62" s="44">
        <f ca="1">IF($F62&gt;$D$5,0,VLOOKUP($F62,$F$24:$BZ$44,AJ$2-$E$2,FALSE)*$D$11*$D$14*(1+$D$13)^($F62-'הנחות עבודה'!$C$5)/$D$11)</f>
        <v>0</v>
      </c>
      <c r="AK62" s="42">
        <f ca="1">IF($F62&gt;$D$5,0,VLOOKUP($F62,$F$24:$BZ$44,AK$2-$E$2,FALSE)*$D$11*$D$14*(1+$D$13)^($F62-'הנחות עבודה'!$C$5)/$D$11)</f>
        <v>59.371192042619519</v>
      </c>
      <c r="AL62" s="42">
        <f ca="1">IF($F62&gt;$D$5,0,VLOOKUP($F62,$F$24:$BZ$44,AL$2-$E$2,FALSE)*$D$11*$D$14*(1+$D$13)^($F62-'הנחות עבודה'!$C$5)/$D$11)</f>
        <v>371.5739434619793</v>
      </c>
      <c r="AM62" s="42">
        <f ca="1">IF($F62&gt;$D$5,0,VLOOKUP($F62,$F$24:$BZ$44,AM$2-$E$2,FALSE)*$D$11*$D$14*(1+$D$13)^($F62-'הנחות עבודה'!$C$5)/$D$11)</f>
        <v>0</v>
      </c>
      <c r="AN62" s="42">
        <f ca="1">IF($F62&gt;$D$5,0,VLOOKUP($F62,$F$24:$BZ$44,AN$2-$E$2,FALSE)*$D$11*$D$14*(1+$D$13)^($F62-'הנחות עבודה'!$C$5)/$D$11)</f>
        <v>0</v>
      </c>
      <c r="AO62" s="42">
        <f ca="1">IF($F62&gt;$D$5,0,VLOOKUP($F62,$F$24:$BZ$44,AO$2-$E$2,FALSE)*$D$11*$D$14*(1+$D$13)^($F62-'הנחות עבודה'!$C$5)/$D$11)</f>
        <v>0</v>
      </c>
      <c r="AP62" s="42">
        <f ca="1">IF($F62&gt;$D$5,0,VLOOKUP($F62,$F$24:$BZ$44,AP$2-$E$2,FALSE)*$D$11*$D$14*(1+$D$13)^($F62-'הנחות עבודה'!$C$5)/$D$11)</f>
        <v>0</v>
      </c>
      <c r="AQ62" s="52">
        <f ca="1">IF($F62&gt;$D$5,0,VLOOKUP($F62,$F$24:$BZ$44,AQ$2-$E$2,FALSE)*$D$11*$D$14*(1+$D$13)^($F62-'הנחות עבודה'!$C$5)/$D$11)</f>
        <v>0</v>
      </c>
      <c r="AR62" s="127">
        <f ca="1">IF($F62&gt;$D$5,0,VLOOKUP($F62,$F$24:$BZ$44,AR$2-$E$2,FALSE)*$D$11*$D$14*(1+$D$13)^($F62-'הנחות עבודה'!$C$5)/$D$11)</f>
        <v>0</v>
      </c>
      <c r="AS62" s="127">
        <f ca="1">IF($F62&gt;$D$5,0,VLOOKUP($F62,$F$24:$BZ$44,AS$2-$E$2,FALSE)*$D$11*$D$14*(1+$D$13)^($F62-'הנחות עבודה'!$C$5)/$D$11)</f>
        <v>0</v>
      </c>
      <c r="AT62" s="127">
        <f ca="1">IF($F62&gt;$D$5,0,VLOOKUP($F62,$F$24:$BZ$44,AT$2-$E$2,FALSE)*$D$11*$D$14*(1+$D$13)^($F62-'הנחות עבודה'!$C$5)/$D$11)</f>
        <v>0</v>
      </c>
      <c r="AU62" s="127">
        <f ca="1">IF($F62&gt;$D$5,0,VLOOKUP($F62,$F$24:$BZ$44,AU$2-$E$2,FALSE)*$D$11*$D$14*(1+$D$13)^($F62-'הנחות עבודה'!$C$5)/$D$11)</f>
        <v>0</v>
      </c>
      <c r="AV62" s="127">
        <f ca="1">IF($F62&gt;$D$5,0,VLOOKUP($F62,$F$24:$BZ$44,AV$2-$E$2,FALSE)*$D$11*$D$14*(1+$D$13)^($F62-'הנחות עבודה'!$C$5)/$D$11)</f>
        <v>0</v>
      </c>
      <c r="AW62" s="52">
        <f ca="1">IF($F62&gt;$D$5,0,VLOOKUP($F62,$F$24:$BZ$44,AW$2-$E$2,FALSE)*$D$11*$D$14*(1+$D$13)^($F62-'הנחות עבודה'!$C$5)/$D$11)</f>
        <v>59.371192042619519</v>
      </c>
      <c r="AX62" s="52">
        <f ca="1">IF($F62&gt;$D$5,0,VLOOKUP($F62,$F$24:$BZ$44,AX$2-$E$2,FALSE)*$D$11*$D$14*(1+$D$13)^($F62-'הנחות עבודה'!$C$5)/$D$11)</f>
        <v>371.5739434619793</v>
      </c>
      <c r="AY62" s="52">
        <f ca="1">IF($F62&gt;$D$5,0,VLOOKUP($F62,$F$24:$BZ$44,AY$2-$E$2,FALSE)*$D$11*$D$14*(1+$D$13)^($F62-'הנחות עבודה'!$C$5)/$D$11)</f>
        <v>0</v>
      </c>
      <c r="AZ62" s="52">
        <f ca="1">IF($F62&gt;$D$5,0,VLOOKUP($F62,$F$24:$BZ$44,AZ$2-$E$2,FALSE)*$D$11*$D$14*(1+$D$13)^($F62-'הנחות עבודה'!$C$5)/$D$11)</f>
        <v>0</v>
      </c>
      <c r="BA62" s="52">
        <f ca="1">IF($F62&gt;$D$5,0,VLOOKUP($F62,$F$24:$BZ$44,BA$2-$E$2,FALSE)*$D$11*$D$14*(1+$D$13)^($F62-'הנחות עבודה'!$C$5)/$D$11)</f>
        <v>0</v>
      </c>
      <c r="BB62" s="52">
        <f ca="1">IF($F62&gt;$D$5,0,VLOOKUP($F62,$F$24:$BZ$44,BB$2-$E$2,FALSE)*$D$11*$D$14*(1+$D$13)^($F62-'הנחות עבודה'!$C$5)/$D$11)</f>
        <v>0</v>
      </c>
      <c r="BC62" s="42">
        <f ca="1">IF($F62&gt;$D$5,0,VLOOKUP($F62,$F$24:$BZ$44,BC$2-$E$2,FALSE)*$D$11*$D$14*(1+$D$13)^($F62-'הנחות עבודה'!$C$5)/$D$11)</f>
        <v>0</v>
      </c>
      <c r="BD62" s="44">
        <f ca="1">IF($F62&gt;$D$5,0,VLOOKUP($F62,$F$24:$BZ$44,BD$2-$E$2,FALSE)*$D$11*$D$14*(1+$D$13)^($F62-'הנחות עבודה'!$C$5)/$D$11)</f>
        <v>0</v>
      </c>
      <c r="BE62" s="44">
        <f ca="1">IF($F62&gt;$D$5,0,VLOOKUP($F62,$F$24:$BZ$44,BE$2-$E$2,FALSE)*$D$11*$D$14*(1+$D$13)^($F62-'הנחות עבודה'!$C$5)/$D$11)</f>
        <v>0</v>
      </c>
      <c r="BF62" s="44">
        <f ca="1">IF($F62&gt;$D$5,0,VLOOKUP($F62,$F$24:$BZ$44,BF$2-$E$2,FALSE)*$D$11*$D$14*(1+$D$13)^($F62-'הנחות עבודה'!$C$5)/$D$11)</f>
        <v>0</v>
      </c>
      <c r="BG62" s="44">
        <f ca="1">IF($F62&gt;$D$5,0,VLOOKUP($F62,$F$24:$BZ$44,BG$2-$E$2,FALSE)*$D$11*$D$14*(1+$D$13)^($F62-'הנחות עבודה'!$C$5)/$D$11)</f>
        <v>0</v>
      </c>
      <c r="BH62" s="44">
        <f ca="1">IF($F62&gt;$D$5,0,VLOOKUP($F62,$F$24:$BZ$44,BH$2-$E$2,FALSE)*$D$11*$D$14*(1+$D$13)^($F62-'הנחות עבודה'!$C$5)/$D$11)</f>
        <v>0</v>
      </c>
      <c r="BI62" s="42">
        <f ca="1">IF($F62&gt;$D$5,0,VLOOKUP($F62,$F$24:$BZ$44,BI$2-$E$2,FALSE)*$D$11*$D$14*(1+$D$13)^($F62-'הנחות עבודה'!$C$5)/$D$11)</f>
        <v>60.599136109996671</v>
      </c>
      <c r="BJ62" s="42">
        <f ca="1">IF($F62&gt;$D$5,0,VLOOKUP($F62,$F$24:$BZ$44,BJ$2-$E$2,FALSE)*$D$11*$D$14*(1+$D$13)^($F62-'הנחות עבודה'!$C$5)/$D$11)</f>
        <v>339.80858613372453</v>
      </c>
      <c r="BK62" s="42">
        <f ca="1">IF($F62&gt;$D$5,0,VLOOKUP($F62,$F$24:$BZ$44,BK$2-$E$2,FALSE)*$D$11*$D$14*(1+$D$13)^($F62-'הנחות עבודה'!$C$5)/$D$11)</f>
        <v>0</v>
      </c>
      <c r="BL62" s="42">
        <f ca="1">IF($F62&gt;$D$5,0,VLOOKUP($F62,$F$24:$BZ$44,BL$2-$E$2,FALSE)*$D$11*$D$14*(1+$D$13)^($F62-'הנחות עבודה'!$C$5)/$D$11)</f>
        <v>0</v>
      </c>
      <c r="BM62" s="42">
        <f ca="1">IF($F62&gt;$D$5,0,VLOOKUP($F62,$F$24:$BZ$44,BM$2-$E$2,FALSE)*$D$11*$D$14*(1+$D$13)^($F62-'הנחות עבודה'!$C$5)/$D$11)</f>
        <v>0</v>
      </c>
      <c r="BN62" s="42">
        <f ca="1">IF($F62&gt;$D$5,0,VLOOKUP($F62,$F$24:$BZ$44,BN$2-$E$2,FALSE)*$D$11*$D$14*(1+$D$13)^($F62-'הנחות עבודה'!$C$5)/$D$11)</f>
        <v>0</v>
      </c>
      <c r="BO62" s="52">
        <f ca="1">IF($F62&gt;$D$5,0,VLOOKUP($F62,$F$24:$BZ$44,BO$2-$E$2,FALSE)*$D$11*$D$14*(1+$D$13)^($F62-'הנחות עבודה'!$C$5)/$D$11)</f>
        <v>0</v>
      </c>
      <c r="BP62" s="127">
        <f ca="1">IF($F62&gt;$D$5,0,VLOOKUP($F62,$F$24:$BZ$44,BP$2-$E$2,FALSE)*$D$11*$D$14*(1+$D$13)^($F62-'הנחות עבודה'!$C$5)/$D$11)</f>
        <v>0</v>
      </c>
      <c r="BQ62" s="127">
        <f ca="1">IF($F62&gt;$D$5,0,VLOOKUP($F62,$F$24:$BZ$44,BQ$2-$E$2,FALSE)*$D$11*$D$14*(1+$D$13)^($F62-'הנחות עבודה'!$C$5)/$D$11)</f>
        <v>0</v>
      </c>
      <c r="BR62" s="127">
        <f ca="1">IF($F62&gt;$D$5,0,VLOOKUP($F62,$F$24:$BZ$44,BR$2-$E$2,FALSE)*$D$11*$D$14*(1+$D$13)^($F62-'הנחות עבודה'!$C$5)/$D$11)</f>
        <v>0</v>
      </c>
      <c r="BS62" s="127">
        <f ca="1">IF($F62&gt;$D$5,0,VLOOKUP($F62,$F$24:$BZ$44,BS$2-$E$2,FALSE)*$D$11*$D$14*(1+$D$13)^($F62-'הנחות עבודה'!$C$5)/$D$11)</f>
        <v>0</v>
      </c>
      <c r="BT62" s="127">
        <f ca="1">IF($F62&gt;$D$5,0,VLOOKUP($F62,$F$24:$BZ$44,BT$2-$E$2,FALSE)*$D$11*$D$14*(1+$D$13)^($F62-'הנחות עבודה'!$C$5)/$D$11)</f>
        <v>0</v>
      </c>
      <c r="BU62" s="52">
        <f ca="1">IF($F62&gt;$D$5,0,VLOOKUP($F62,$F$24:$BZ$44,BU$2-$E$2,FALSE)*$D$11*$D$14*(1+$D$13)^($F62-'הנחות עבודה'!$C$5)/$D$11)</f>
        <v>60.599136109996671</v>
      </c>
      <c r="BV62" s="52">
        <f ca="1">IF($F62&gt;$D$5,0,VLOOKUP($F62,$F$24:$BZ$44,BV$2-$E$2,FALSE)*$D$11*$D$14*(1+$D$13)^($F62-'הנחות עבודה'!$C$5)/$D$11)</f>
        <v>339.80858613372453</v>
      </c>
      <c r="BW62" s="52">
        <f ca="1">IF($F62&gt;$D$5,0,VLOOKUP($F62,$F$24:$BZ$44,BW$2-$E$2,FALSE)*$D$11*$D$14*(1+$D$13)^($F62-'הנחות עבודה'!$C$5)/$D$11)</f>
        <v>0</v>
      </c>
      <c r="BX62" s="52">
        <f ca="1">IF($F62&gt;$D$5,0,VLOOKUP($F62,$F$24:$BZ$44,BX$2-$E$2,FALSE)*$D$11*$D$14*(1+$D$13)^($F62-'הנחות עבודה'!$C$5)/$D$11)</f>
        <v>0</v>
      </c>
      <c r="BY62" s="52">
        <f ca="1">IF($F62&gt;$D$5,0,VLOOKUP($F62,$F$24:$BZ$44,BY$2-$E$2,FALSE)*$D$11*$D$14*(1+$D$13)^($F62-'הנחות עבודה'!$C$5)/$D$11)</f>
        <v>0</v>
      </c>
      <c r="BZ62" s="52">
        <f ca="1">IF($F62&gt;$D$5,0,VLOOKUP($F62,$F$24:$BZ$44,BZ$2-$E$2,FALSE)*$D$11*$D$14*(1+$D$13)^($F62-'הנחות עבודה'!$C$5)/$D$11)</f>
        <v>0</v>
      </c>
    </row>
    <row r="63" spans="6:78" ht="15.75">
      <c r="F63" s="10">
        <f t="shared" si="129"/>
        <v>2032</v>
      </c>
      <c r="G63" s="42">
        <f ca="1">IF($F63&gt;$D$5,0,VLOOKUP($F63,$F$24:$BZ$44,G$2-$E$2,FALSE)*$D$11*$D$14*(1+$D$13)^($F63-'הנחות עבודה'!$C$5)/$D$11)</f>
        <v>0</v>
      </c>
      <c r="H63" s="44">
        <f ca="1">IF($F63&gt;$D$5,0,VLOOKUP($F63,$F$24:$BZ$44,H$2-$E$2,FALSE)*$D$11*$D$14*(1+$D$13)^($F63-'הנחות עבודה'!$C$5)/$D$11)</f>
        <v>0</v>
      </c>
      <c r="I63" s="44">
        <f ca="1">IF($F63&gt;$D$5,0,VLOOKUP($F63,$F$24:$BZ$44,I$2-$E$2,FALSE)*$D$11*$D$14*(1+$D$13)^($F63-'הנחות עבודה'!$C$5)/$D$11)</f>
        <v>0</v>
      </c>
      <c r="J63" s="44">
        <f ca="1">IF($F63&gt;$D$5,0,VLOOKUP($F63,$F$24:$BZ$44,J$2-$E$2,FALSE)*$D$11*$D$14*(1+$D$13)^($F63-'הנחות עבודה'!$C$5)/$D$11)</f>
        <v>0</v>
      </c>
      <c r="K63" s="44">
        <f ca="1">IF($F63&gt;$D$5,0,VLOOKUP($F63,$F$24:$BZ$44,K$2-$E$2,FALSE)*$D$11*$D$14*(1+$D$13)^($F63-'הנחות עבודה'!$C$5)/$D$11)</f>
        <v>0</v>
      </c>
      <c r="L63" s="44">
        <f ca="1">IF($F63&gt;$D$5,0,VLOOKUP($F63,$F$24:$BZ$44,L$2-$E$2,FALSE)*$D$11*$D$14*(1+$D$13)^($F63-'הנחות עבודה'!$C$5)/$D$11)</f>
        <v>0</v>
      </c>
      <c r="M63" s="42">
        <f ca="1">IF($F63&gt;$D$5,0,VLOOKUP($F63,$F$24:$BZ$44,M$2-$E$2,FALSE)*$D$11*$D$14*(1+$D$13)^($F63-'הנחות עבודה'!$C$5)/$D$11)</f>
        <v>57.689526908343737</v>
      </c>
      <c r="N63" s="42">
        <f ca="1">IF($F63&gt;$D$5,0,VLOOKUP($F63,$F$24:$BZ$44,N$2-$E$2,FALSE)*$D$11*$D$14*(1+$D$13)^($F63-'הנחות עבודה'!$C$5)/$D$11)</f>
        <v>458.42375938260341</v>
      </c>
      <c r="O63" s="42">
        <f ca="1">IF($F63&gt;$D$5,0,VLOOKUP($F63,$F$24:$BZ$44,O$2-$E$2,FALSE)*$D$11*$D$14*(1+$D$13)^($F63-'הנחות עבודה'!$C$5)/$D$11)</f>
        <v>0</v>
      </c>
      <c r="P63" s="42">
        <f ca="1">IF($F63&gt;$D$5,0,VLOOKUP($F63,$F$24:$BZ$44,P$2-$E$2,FALSE)*$D$11*$D$14*(1+$D$13)^($F63-'הנחות עבודה'!$C$5)/$D$11)</f>
        <v>0</v>
      </c>
      <c r="Q63" s="42">
        <f ca="1">IF($F63&gt;$D$5,0,VLOOKUP($F63,$F$24:$BZ$44,Q$2-$E$2,FALSE)*$D$11*$D$14*(1+$D$13)^($F63-'הנחות עבודה'!$C$5)/$D$11)</f>
        <v>0</v>
      </c>
      <c r="R63" s="42">
        <f ca="1">IF($F63&gt;$D$5,0,VLOOKUP($F63,$F$24:$BZ$44,R$2-$E$2,FALSE)*$D$11*$D$14*(1+$D$13)^($F63-'הנחות עבודה'!$C$5)/$D$11)</f>
        <v>0</v>
      </c>
      <c r="S63" s="52">
        <f ca="1">IF($F63&gt;$D$5,0,VLOOKUP($F63,$F$24:$BZ$44,S$2-$E$2,FALSE)*$D$11*$D$14*(1+$D$13)^($F63-'הנחות עבודה'!$C$5)/$D$11)</f>
        <v>0</v>
      </c>
      <c r="T63" s="127">
        <f ca="1">IF($F63&gt;$D$5,0,VLOOKUP($F63,$F$24:$BZ$44,T$2-$E$2,FALSE)*$D$11*$D$14*(1+$D$13)^($F63-'הנחות עבודה'!$C$5)/$D$11)</f>
        <v>0</v>
      </c>
      <c r="U63" s="127">
        <f ca="1">IF($F63&gt;$D$5,0,VLOOKUP($F63,$F$24:$BZ$44,U$2-$E$2,FALSE)*$D$11*$D$14*(1+$D$13)^($F63-'הנחות עבודה'!$C$5)/$D$11)</f>
        <v>0</v>
      </c>
      <c r="V63" s="127">
        <f ca="1">IF($F63&gt;$D$5,0,VLOOKUP($F63,$F$24:$BZ$44,V$2-$E$2,FALSE)*$D$11*$D$14*(1+$D$13)^($F63-'הנחות עבודה'!$C$5)/$D$11)</f>
        <v>0</v>
      </c>
      <c r="W63" s="127">
        <f ca="1">IF($F63&gt;$D$5,0,VLOOKUP($F63,$F$24:$BZ$44,W$2-$E$2,FALSE)*$D$11*$D$14*(1+$D$13)^($F63-'הנחות עבודה'!$C$5)/$D$11)</f>
        <v>0</v>
      </c>
      <c r="X63" s="127">
        <f ca="1">IF($F63&gt;$D$5,0,VLOOKUP($F63,$F$24:$BZ$44,X$2-$E$2,FALSE)*$D$11*$D$14*(1+$D$13)^($F63-'הנחות עבודה'!$C$5)/$D$11)</f>
        <v>0</v>
      </c>
      <c r="Y63" s="52">
        <f ca="1">IF($F63&gt;$D$5,0,VLOOKUP($F63,$F$24:$BZ$44,Y$2-$E$2,FALSE)*$D$11*$D$14*(1+$D$13)^($F63-'הנחות עבודה'!$C$5)/$D$11)</f>
        <v>57.689526908343737</v>
      </c>
      <c r="Z63" s="52">
        <f ca="1">IF($F63&gt;$D$5,0,VLOOKUP($F63,$F$24:$BZ$44,Z$2-$E$2,FALSE)*$D$11*$D$14*(1+$D$13)^($F63-'הנחות עבודה'!$C$5)/$D$11)</f>
        <v>458.42375938260341</v>
      </c>
      <c r="AA63" s="52">
        <f ca="1">IF($F63&gt;$D$5,0,VLOOKUP($F63,$F$24:$BZ$44,AA$2-$E$2,FALSE)*$D$11*$D$14*(1+$D$13)^($F63-'הנחות עבודה'!$C$5)/$D$11)</f>
        <v>0</v>
      </c>
      <c r="AB63" s="52">
        <f ca="1">IF($F63&gt;$D$5,0,VLOOKUP($F63,$F$24:$BZ$44,AB$2-$E$2,FALSE)*$D$11*$D$14*(1+$D$13)^($F63-'הנחות עבודה'!$C$5)/$D$11)</f>
        <v>0</v>
      </c>
      <c r="AC63" s="52">
        <f ca="1">IF($F63&gt;$D$5,0,VLOOKUP($F63,$F$24:$BZ$44,AC$2-$E$2,FALSE)*$D$11*$D$14*(1+$D$13)^($F63-'הנחות עבודה'!$C$5)/$D$11)</f>
        <v>0</v>
      </c>
      <c r="AD63" s="52">
        <f ca="1">IF($F63&gt;$D$5,0,VLOOKUP($F63,$F$24:$BZ$44,AD$2-$E$2,FALSE)*$D$11*$D$14*(1+$D$13)^($F63-'הנחות עבודה'!$C$5)/$D$11)</f>
        <v>0</v>
      </c>
      <c r="AE63" s="42">
        <f ca="1">IF($F63&gt;$D$5,0,VLOOKUP($F63,$F$24:$BZ$44,AE$2-$E$2,FALSE)*$D$11*$D$14*(1+$D$13)^($F63-'הנחות עבודה'!$C$5)/$D$11)</f>
        <v>0</v>
      </c>
      <c r="AF63" s="44">
        <f ca="1">IF($F63&gt;$D$5,0,VLOOKUP($F63,$F$24:$BZ$44,AF$2-$E$2,FALSE)*$D$11*$D$14*(1+$D$13)^($F63-'הנחות עבודה'!$C$5)/$D$11)</f>
        <v>0</v>
      </c>
      <c r="AG63" s="44">
        <f ca="1">IF($F63&gt;$D$5,0,VLOOKUP($F63,$F$24:$BZ$44,AG$2-$E$2,FALSE)*$D$11*$D$14*(1+$D$13)^($F63-'הנחות עבודה'!$C$5)/$D$11)</f>
        <v>0</v>
      </c>
      <c r="AH63" s="44">
        <f ca="1">IF($F63&gt;$D$5,0,VLOOKUP($F63,$F$24:$BZ$44,AH$2-$E$2,FALSE)*$D$11*$D$14*(1+$D$13)^($F63-'הנחות עבודה'!$C$5)/$D$11)</f>
        <v>0</v>
      </c>
      <c r="AI63" s="44">
        <f ca="1">IF($F63&gt;$D$5,0,VLOOKUP($F63,$F$24:$BZ$44,AI$2-$E$2,FALSE)*$D$11*$D$14*(1+$D$13)^($F63-'הנחות עבודה'!$C$5)/$D$11)</f>
        <v>0</v>
      </c>
      <c r="AJ63" s="44">
        <f ca="1">IF($F63&gt;$D$5,0,VLOOKUP($F63,$F$24:$BZ$44,AJ$2-$E$2,FALSE)*$D$11*$D$14*(1+$D$13)^($F63-'הנחות עבודה'!$C$5)/$D$11)</f>
        <v>0</v>
      </c>
      <c r="AK63" s="42">
        <f ca="1">IF($F63&gt;$D$5,0,VLOOKUP($F63,$F$24:$BZ$44,AK$2-$E$2,FALSE)*$D$11*$D$14*(1+$D$13)^($F63-'הנחות עבודה'!$C$5)/$D$11)</f>
        <v>61.546945518993638</v>
      </c>
      <c r="AL63" s="42">
        <f ca="1">IF($F63&gt;$D$5,0,VLOOKUP($F63,$F$24:$BZ$44,AL$2-$E$2,FALSE)*$D$11*$D$14*(1+$D$13)^($F63-'הנחות עבודה'!$C$5)/$D$11)</f>
        <v>403.27822748336916</v>
      </c>
      <c r="AM63" s="42">
        <f ca="1">IF($F63&gt;$D$5,0,VLOOKUP($F63,$F$24:$BZ$44,AM$2-$E$2,FALSE)*$D$11*$D$14*(1+$D$13)^($F63-'הנחות עבודה'!$C$5)/$D$11)</f>
        <v>0</v>
      </c>
      <c r="AN63" s="42">
        <f ca="1">IF($F63&gt;$D$5,0,VLOOKUP($F63,$F$24:$BZ$44,AN$2-$E$2,FALSE)*$D$11*$D$14*(1+$D$13)^($F63-'הנחות עבודה'!$C$5)/$D$11)</f>
        <v>0</v>
      </c>
      <c r="AO63" s="42">
        <f ca="1">IF($F63&gt;$D$5,0,VLOOKUP($F63,$F$24:$BZ$44,AO$2-$E$2,FALSE)*$D$11*$D$14*(1+$D$13)^($F63-'הנחות עבודה'!$C$5)/$D$11)</f>
        <v>0</v>
      </c>
      <c r="AP63" s="42">
        <f ca="1">IF($F63&gt;$D$5,0,VLOOKUP($F63,$F$24:$BZ$44,AP$2-$E$2,FALSE)*$D$11*$D$14*(1+$D$13)^($F63-'הנחות עבודה'!$C$5)/$D$11)</f>
        <v>0</v>
      </c>
      <c r="AQ63" s="52">
        <f ca="1">IF($F63&gt;$D$5,0,VLOOKUP($F63,$F$24:$BZ$44,AQ$2-$E$2,FALSE)*$D$11*$D$14*(1+$D$13)^($F63-'הנחות עבודה'!$C$5)/$D$11)</f>
        <v>0</v>
      </c>
      <c r="AR63" s="127">
        <f ca="1">IF($F63&gt;$D$5,0,VLOOKUP($F63,$F$24:$BZ$44,AR$2-$E$2,FALSE)*$D$11*$D$14*(1+$D$13)^($F63-'הנחות עבודה'!$C$5)/$D$11)</f>
        <v>0</v>
      </c>
      <c r="AS63" s="127">
        <f ca="1">IF($F63&gt;$D$5,0,VLOOKUP($F63,$F$24:$BZ$44,AS$2-$E$2,FALSE)*$D$11*$D$14*(1+$D$13)^($F63-'הנחות עבודה'!$C$5)/$D$11)</f>
        <v>0</v>
      </c>
      <c r="AT63" s="127">
        <f ca="1">IF($F63&gt;$D$5,0,VLOOKUP($F63,$F$24:$BZ$44,AT$2-$E$2,FALSE)*$D$11*$D$14*(1+$D$13)^($F63-'הנחות עבודה'!$C$5)/$D$11)</f>
        <v>0</v>
      </c>
      <c r="AU63" s="127">
        <f ca="1">IF($F63&gt;$D$5,0,VLOOKUP($F63,$F$24:$BZ$44,AU$2-$E$2,FALSE)*$D$11*$D$14*(1+$D$13)^($F63-'הנחות עבודה'!$C$5)/$D$11)</f>
        <v>0</v>
      </c>
      <c r="AV63" s="127">
        <f ca="1">IF($F63&gt;$D$5,0,VLOOKUP($F63,$F$24:$BZ$44,AV$2-$E$2,FALSE)*$D$11*$D$14*(1+$D$13)^($F63-'הנחות עבודה'!$C$5)/$D$11)</f>
        <v>0</v>
      </c>
      <c r="AW63" s="52">
        <f ca="1">IF($F63&gt;$D$5,0,VLOOKUP($F63,$F$24:$BZ$44,AW$2-$E$2,FALSE)*$D$11*$D$14*(1+$D$13)^($F63-'הנחות עבודה'!$C$5)/$D$11)</f>
        <v>61.546945518993638</v>
      </c>
      <c r="AX63" s="52">
        <f ca="1">IF($F63&gt;$D$5,0,VLOOKUP($F63,$F$24:$BZ$44,AX$2-$E$2,FALSE)*$D$11*$D$14*(1+$D$13)^($F63-'הנחות עבודה'!$C$5)/$D$11)</f>
        <v>403.27822748336916</v>
      </c>
      <c r="AY63" s="52">
        <f ca="1">IF($F63&gt;$D$5,0,VLOOKUP($F63,$F$24:$BZ$44,AY$2-$E$2,FALSE)*$D$11*$D$14*(1+$D$13)^($F63-'הנחות עבודה'!$C$5)/$D$11)</f>
        <v>0</v>
      </c>
      <c r="AZ63" s="52">
        <f ca="1">IF($F63&gt;$D$5,0,VLOOKUP($F63,$F$24:$BZ$44,AZ$2-$E$2,FALSE)*$D$11*$D$14*(1+$D$13)^($F63-'הנחות עבודה'!$C$5)/$D$11)</f>
        <v>0</v>
      </c>
      <c r="BA63" s="52">
        <f ca="1">IF($F63&gt;$D$5,0,VLOOKUP($F63,$F$24:$BZ$44,BA$2-$E$2,FALSE)*$D$11*$D$14*(1+$D$13)^($F63-'הנחות עבודה'!$C$5)/$D$11)</f>
        <v>0</v>
      </c>
      <c r="BB63" s="52">
        <f ca="1">IF($F63&gt;$D$5,0,VLOOKUP($F63,$F$24:$BZ$44,BB$2-$E$2,FALSE)*$D$11*$D$14*(1+$D$13)^($F63-'הנחות עבודה'!$C$5)/$D$11)</f>
        <v>0</v>
      </c>
      <c r="BC63" s="42">
        <f ca="1">IF($F63&gt;$D$5,0,VLOOKUP($F63,$F$24:$BZ$44,BC$2-$E$2,FALSE)*$D$11*$D$14*(1+$D$13)^($F63-'הנחות עבודה'!$C$5)/$D$11)</f>
        <v>0</v>
      </c>
      <c r="BD63" s="44">
        <f ca="1">IF($F63&gt;$D$5,0,VLOOKUP($F63,$F$24:$BZ$44,BD$2-$E$2,FALSE)*$D$11*$D$14*(1+$D$13)^($F63-'הנחות עבודה'!$C$5)/$D$11)</f>
        <v>0</v>
      </c>
      <c r="BE63" s="44">
        <f ca="1">IF($F63&gt;$D$5,0,VLOOKUP($F63,$F$24:$BZ$44,BE$2-$E$2,FALSE)*$D$11*$D$14*(1+$D$13)^($F63-'הנחות עבודה'!$C$5)/$D$11)</f>
        <v>0</v>
      </c>
      <c r="BF63" s="44">
        <f ca="1">IF($F63&gt;$D$5,0,VLOOKUP($F63,$F$24:$BZ$44,BF$2-$E$2,FALSE)*$D$11*$D$14*(1+$D$13)^($F63-'הנחות עבודה'!$C$5)/$D$11)</f>
        <v>0</v>
      </c>
      <c r="BG63" s="44">
        <f ca="1">IF($F63&gt;$D$5,0,VLOOKUP($F63,$F$24:$BZ$44,BG$2-$E$2,FALSE)*$D$11*$D$14*(1+$D$13)^($F63-'הנחות עבודה'!$C$5)/$D$11)</f>
        <v>0</v>
      </c>
      <c r="BH63" s="44">
        <f ca="1">IF($F63&gt;$D$5,0,VLOOKUP($F63,$F$24:$BZ$44,BH$2-$E$2,FALSE)*$D$11*$D$14*(1+$D$13)^($F63-'הנחות עבודה'!$C$5)/$D$11)</f>
        <v>0</v>
      </c>
      <c r="BI63" s="42">
        <f ca="1">IF($F63&gt;$D$5,0,VLOOKUP($F63,$F$24:$BZ$44,BI$2-$E$2,FALSE)*$D$11*$D$14*(1+$D$13)^($F63-'הנחות עבודה'!$C$5)/$D$11)</f>
        <v>62.959900410590869</v>
      </c>
      <c r="BJ63" s="42">
        <f ca="1">IF($F63&gt;$D$5,0,VLOOKUP($F63,$F$24:$BZ$44,BJ$2-$E$2,FALSE)*$D$11*$D$14*(1+$D$13)^($F63-'הנחות עבודה'!$C$5)/$D$11)</f>
        <v>370.44886117962096</v>
      </c>
      <c r="BK63" s="42">
        <f ca="1">IF($F63&gt;$D$5,0,VLOOKUP($F63,$F$24:$BZ$44,BK$2-$E$2,FALSE)*$D$11*$D$14*(1+$D$13)^($F63-'הנחות עבודה'!$C$5)/$D$11)</f>
        <v>0</v>
      </c>
      <c r="BL63" s="42">
        <f ca="1">IF($F63&gt;$D$5,0,VLOOKUP($F63,$F$24:$BZ$44,BL$2-$E$2,FALSE)*$D$11*$D$14*(1+$D$13)^($F63-'הנחות עבודה'!$C$5)/$D$11)</f>
        <v>0</v>
      </c>
      <c r="BM63" s="42">
        <f ca="1">IF($F63&gt;$D$5,0,VLOOKUP($F63,$F$24:$BZ$44,BM$2-$E$2,FALSE)*$D$11*$D$14*(1+$D$13)^($F63-'הנחות עבודה'!$C$5)/$D$11)</f>
        <v>0</v>
      </c>
      <c r="BN63" s="42">
        <f ca="1">IF($F63&gt;$D$5,0,VLOOKUP($F63,$F$24:$BZ$44,BN$2-$E$2,FALSE)*$D$11*$D$14*(1+$D$13)^($F63-'הנחות עבודה'!$C$5)/$D$11)</f>
        <v>0</v>
      </c>
      <c r="BO63" s="52">
        <f ca="1">IF($F63&gt;$D$5,0,VLOOKUP($F63,$F$24:$BZ$44,BO$2-$E$2,FALSE)*$D$11*$D$14*(1+$D$13)^($F63-'הנחות עבודה'!$C$5)/$D$11)</f>
        <v>0</v>
      </c>
      <c r="BP63" s="127">
        <f ca="1">IF($F63&gt;$D$5,0,VLOOKUP($F63,$F$24:$BZ$44,BP$2-$E$2,FALSE)*$D$11*$D$14*(1+$D$13)^($F63-'הנחות עבודה'!$C$5)/$D$11)</f>
        <v>0</v>
      </c>
      <c r="BQ63" s="127">
        <f ca="1">IF($F63&gt;$D$5,0,VLOOKUP($F63,$F$24:$BZ$44,BQ$2-$E$2,FALSE)*$D$11*$D$14*(1+$D$13)^($F63-'הנחות עבודה'!$C$5)/$D$11)</f>
        <v>0</v>
      </c>
      <c r="BR63" s="127">
        <f ca="1">IF($F63&gt;$D$5,0,VLOOKUP($F63,$F$24:$BZ$44,BR$2-$E$2,FALSE)*$D$11*$D$14*(1+$D$13)^($F63-'הנחות עבודה'!$C$5)/$D$11)</f>
        <v>0</v>
      </c>
      <c r="BS63" s="127">
        <f ca="1">IF($F63&gt;$D$5,0,VLOOKUP($F63,$F$24:$BZ$44,BS$2-$E$2,FALSE)*$D$11*$D$14*(1+$D$13)^($F63-'הנחות עבודה'!$C$5)/$D$11)</f>
        <v>0</v>
      </c>
      <c r="BT63" s="127">
        <f ca="1">IF($F63&gt;$D$5,0,VLOOKUP($F63,$F$24:$BZ$44,BT$2-$E$2,FALSE)*$D$11*$D$14*(1+$D$13)^($F63-'הנחות עבודה'!$C$5)/$D$11)</f>
        <v>0</v>
      </c>
      <c r="BU63" s="52">
        <f ca="1">IF($F63&gt;$D$5,0,VLOOKUP($F63,$F$24:$BZ$44,BU$2-$E$2,FALSE)*$D$11*$D$14*(1+$D$13)^($F63-'הנחות עבודה'!$C$5)/$D$11)</f>
        <v>62.959900410590869</v>
      </c>
      <c r="BV63" s="52">
        <f ca="1">IF($F63&gt;$D$5,0,VLOOKUP($F63,$F$24:$BZ$44,BV$2-$E$2,FALSE)*$D$11*$D$14*(1+$D$13)^($F63-'הנחות עבודה'!$C$5)/$D$11)</f>
        <v>370.44886117962096</v>
      </c>
      <c r="BW63" s="52">
        <f ca="1">IF($F63&gt;$D$5,0,VLOOKUP($F63,$F$24:$BZ$44,BW$2-$E$2,FALSE)*$D$11*$D$14*(1+$D$13)^($F63-'הנחות עבודה'!$C$5)/$D$11)</f>
        <v>0</v>
      </c>
      <c r="BX63" s="52">
        <f ca="1">IF($F63&gt;$D$5,0,VLOOKUP($F63,$F$24:$BZ$44,BX$2-$E$2,FALSE)*$D$11*$D$14*(1+$D$13)^($F63-'הנחות עבודה'!$C$5)/$D$11)</f>
        <v>0</v>
      </c>
      <c r="BY63" s="52">
        <f ca="1">IF($F63&gt;$D$5,0,VLOOKUP($F63,$F$24:$BZ$44,BY$2-$E$2,FALSE)*$D$11*$D$14*(1+$D$13)^($F63-'הנחות עבודה'!$C$5)/$D$11)</f>
        <v>0</v>
      </c>
      <c r="BZ63" s="52">
        <f ca="1">IF($F63&gt;$D$5,0,VLOOKUP($F63,$F$24:$BZ$44,BZ$2-$E$2,FALSE)*$D$11*$D$14*(1+$D$13)^($F63-'הנחות עבודה'!$C$5)/$D$11)</f>
        <v>0</v>
      </c>
    </row>
    <row r="64" spans="6:78" ht="15.75">
      <c r="F64" s="10">
        <f t="shared" si="129"/>
        <v>2033</v>
      </c>
      <c r="G64" s="42">
        <f ca="1">IF($F64&gt;$D$5,0,VLOOKUP($F64,$F$24:$BZ$44,G$2-$E$2,FALSE)*$D$11*$D$14*(1+$D$13)^($F64-'הנחות עבודה'!$C$5)/$D$11)</f>
        <v>0</v>
      </c>
      <c r="H64" s="44">
        <f ca="1">IF($F64&gt;$D$5,0,VLOOKUP($F64,$F$24:$BZ$44,H$2-$E$2,FALSE)*$D$11*$D$14*(1+$D$13)^($F64-'הנחות עבודה'!$C$5)/$D$11)</f>
        <v>0</v>
      </c>
      <c r="I64" s="44">
        <f ca="1">IF($F64&gt;$D$5,0,VLOOKUP($F64,$F$24:$BZ$44,I$2-$E$2,FALSE)*$D$11*$D$14*(1+$D$13)^($F64-'הנחות עבודה'!$C$5)/$D$11)</f>
        <v>0</v>
      </c>
      <c r="J64" s="44">
        <f ca="1">IF($F64&gt;$D$5,0,VLOOKUP($F64,$F$24:$BZ$44,J$2-$E$2,FALSE)*$D$11*$D$14*(1+$D$13)^($F64-'הנחות עבודה'!$C$5)/$D$11)</f>
        <v>0</v>
      </c>
      <c r="K64" s="44">
        <f ca="1">IF($F64&gt;$D$5,0,VLOOKUP($F64,$F$24:$BZ$44,K$2-$E$2,FALSE)*$D$11*$D$14*(1+$D$13)^($F64-'הנחות עבודה'!$C$5)/$D$11)</f>
        <v>0</v>
      </c>
      <c r="L64" s="44">
        <f ca="1">IF($F64&gt;$D$5,0,VLOOKUP($F64,$F$24:$BZ$44,L$2-$E$2,FALSE)*$D$11*$D$14*(1+$D$13)^($F64-'הנחות עבודה'!$C$5)/$D$11)</f>
        <v>0</v>
      </c>
      <c r="M64" s="42">
        <f ca="1">IF($F64&gt;$D$5,0,VLOOKUP($F64,$F$24:$BZ$44,M$2-$E$2,FALSE)*$D$11*$D$14*(1+$D$13)^($F64-'הנחות עבודה'!$C$5)/$D$11)</f>
        <v>60.806099380706954</v>
      </c>
      <c r="N64" s="42">
        <f ca="1">IF($F64&gt;$D$5,0,VLOOKUP($F64,$F$24:$BZ$44,N$2-$E$2,FALSE)*$D$11*$D$14*(1+$D$13)^($F64-'הנחות עבודה'!$C$5)/$D$11)</f>
        <v>492.24166352824784</v>
      </c>
      <c r="O64" s="42">
        <f ca="1">IF($F64&gt;$D$5,0,VLOOKUP($F64,$F$24:$BZ$44,O$2-$E$2,FALSE)*$D$11*$D$14*(1+$D$13)^($F64-'הנחות עבודה'!$C$5)/$D$11)</f>
        <v>0</v>
      </c>
      <c r="P64" s="42">
        <f ca="1">IF($F64&gt;$D$5,0,VLOOKUP($F64,$F$24:$BZ$44,P$2-$E$2,FALSE)*$D$11*$D$14*(1+$D$13)^($F64-'הנחות עבודה'!$C$5)/$D$11)</f>
        <v>0</v>
      </c>
      <c r="Q64" s="42">
        <f ca="1">IF($F64&gt;$D$5,0,VLOOKUP($F64,$F$24:$BZ$44,Q$2-$E$2,FALSE)*$D$11*$D$14*(1+$D$13)^($F64-'הנחות עבודה'!$C$5)/$D$11)</f>
        <v>0</v>
      </c>
      <c r="R64" s="42">
        <f ca="1">IF($F64&gt;$D$5,0,VLOOKUP($F64,$F$24:$BZ$44,R$2-$E$2,FALSE)*$D$11*$D$14*(1+$D$13)^($F64-'הנחות עבודה'!$C$5)/$D$11)</f>
        <v>0</v>
      </c>
      <c r="S64" s="52">
        <f ca="1">IF($F64&gt;$D$5,0,VLOOKUP($F64,$F$24:$BZ$44,S$2-$E$2,FALSE)*$D$11*$D$14*(1+$D$13)^($F64-'הנחות עבודה'!$C$5)/$D$11)</f>
        <v>0</v>
      </c>
      <c r="T64" s="127">
        <f ca="1">IF($F64&gt;$D$5,0,VLOOKUP($F64,$F$24:$BZ$44,T$2-$E$2,FALSE)*$D$11*$D$14*(1+$D$13)^($F64-'הנחות עבודה'!$C$5)/$D$11)</f>
        <v>0</v>
      </c>
      <c r="U64" s="127">
        <f ca="1">IF($F64&gt;$D$5,0,VLOOKUP($F64,$F$24:$BZ$44,U$2-$E$2,FALSE)*$D$11*$D$14*(1+$D$13)^($F64-'הנחות עבודה'!$C$5)/$D$11)</f>
        <v>0</v>
      </c>
      <c r="V64" s="127">
        <f ca="1">IF($F64&gt;$D$5,0,VLOOKUP($F64,$F$24:$BZ$44,V$2-$E$2,FALSE)*$D$11*$D$14*(1+$D$13)^($F64-'הנחות עבודה'!$C$5)/$D$11)</f>
        <v>0</v>
      </c>
      <c r="W64" s="127">
        <f ca="1">IF($F64&gt;$D$5,0,VLOOKUP($F64,$F$24:$BZ$44,W$2-$E$2,FALSE)*$D$11*$D$14*(1+$D$13)^($F64-'הנחות עבודה'!$C$5)/$D$11)</f>
        <v>0</v>
      </c>
      <c r="X64" s="127">
        <f ca="1">IF($F64&gt;$D$5,0,VLOOKUP($F64,$F$24:$BZ$44,X$2-$E$2,FALSE)*$D$11*$D$14*(1+$D$13)^($F64-'הנחות עבודה'!$C$5)/$D$11)</f>
        <v>0</v>
      </c>
      <c r="Y64" s="52">
        <f ca="1">IF($F64&gt;$D$5,0,VLOOKUP($F64,$F$24:$BZ$44,Y$2-$E$2,FALSE)*$D$11*$D$14*(1+$D$13)^($F64-'הנחות עבודה'!$C$5)/$D$11)</f>
        <v>60.806099380706954</v>
      </c>
      <c r="Z64" s="52">
        <f ca="1">IF($F64&gt;$D$5,0,VLOOKUP($F64,$F$24:$BZ$44,Z$2-$E$2,FALSE)*$D$11*$D$14*(1+$D$13)^($F64-'הנחות עבודה'!$C$5)/$D$11)</f>
        <v>492.24166352824784</v>
      </c>
      <c r="AA64" s="52">
        <f ca="1">IF($F64&gt;$D$5,0,VLOOKUP($F64,$F$24:$BZ$44,AA$2-$E$2,FALSE)*$D$11*$D$14*(1+$D$13)^($F64-'הנחות עבודה'!$C$5)/$D$11)</f>
        <v>0</v>
      </c>
      <c r="AB64" s="52">
        <f ca="1">IF($F64&gt;$D$5,0,VLOOKUP($F64,$F$24:$BZ$44,AB$2-$E$2,FALSE)*$D$11*$D$14*(1+$D$13)^($F64-'הנחות עבודה'!$C$5)/$D$11)</f>
        <v>0</v>
      </c>
      <c r="AC64" s="52">
        <f ca="1">IF($F64&gt;$D$5,0,VLOOKUP($F64,$F$24:$BZ$44,AC$2-$E$2,FALSE)*$D$11*$D$14*(1+$D$13)^($F64-'הנחות עבודה'!$C$5)/$D$11)</f>
        <v>0</v>
      </c>
      <c r="AD64" s="52">
        <f ca="1">IF($F64&gt;$D$5,0,VLOOKUP($F64,$F$24:$BZ$44,AD$2-$E$2,FALSE)*$D$11*$D$14*(1+$D$13)^($F64-'הנחות עבודה'!$C$5)/$D$11)</f>
        <v>0</v>
      </c>
      <c r="AE64" s="42">
        <f ca="1">IF($F64&gt;$D$5,0,VLOOKUP($F64,$F$24:$BZ$44,AE$2-$E$2,FALSE)*$D$11*$D$14*(1+$D$13)^($F64-'הנחות עבודה'!$C$5)/$D$11)</f>
        <v>0</v>
      </c>
      <c r="AF64" s="44">
        <f ca="1">IF($F64&gt;$D$5,0,VLOOKUP($F64,$F$24:$BZ$44,AF$2-$E$2,FALSE)*$D$11*$D$14*(1+$D$13)^($F64-'הנחות עבודה'!$C$5)/$D$11)</f>
        <v>0</v>
      </c>
      <c r="AG64" s="44">
        <f ca="1">IF($F64&gt;$D$5,0,VLOOKUP($F64,$F$24:$BZ$44,AG$2-$E$2,FALSE)*$D$11*$D$14*(1+$D$13)^($F64-'הנחות עבודה'!$C$5)/$D$11)</f>
        <v>0</v>
      </c>
      <c r="AH64" s="44">
        <f ca="1">IF($F64&gt;$D$5,0,VLOOKUP($F64,$F$24:$BZ$44,AH$2-$E$2,FALSE)*$D$11*$D$14*(1+$D$13)^($F64-'הנחות עבודה'!$C$5)/$D$11)</f>
        <v>0</v>
      </c>
      <c r="AI64" s="44">
        <f ca="1">IF($F64&gt;$D$5,0,VLOOKUP($F64,$F$24:$BZ$44,AI$2-$E$2,FALSE)*$D$11*$D$14*(1+$D$13)^($F64-'הנחות עבודה'!$C$5)/$D$11)</f>
        <v>0</v>
      </c>
      <c r="AJ64" s="44">
        <f ca="1">IF($F64&gt;$D$5,0,VLOOKUP($F64,$F$24:$BZ$44,AJ$2-$E$2,FALSE)*$D$11*$D$14*(1+$D$13)^($F64-'הנחות עבודה'!$C$5)/$D$11)</f>
        <v>0</v>
      </c>
      <c r="AK64" s="42">
        <f ca="1">IF($F64&gt;$D$5,0,VLOOKUP($F64,$F$24:$BZ$44,AK$2-$E$2,FALSE)*$D$11*$D$14*(1+$D$13)^($F64-'הנחות עבודה'!$C$5)/$D$11)</f>
        <v>64.788846019278253</v>
      </c>
      <c r="AL64" s="42">
        <f ca="1">IF($F64&gt;$D$5,0,VLOOKUP($F64,$F$24:$BZ$44,AL$2-$E$2,FALSE)*$D$11*$D$14*(1+$D$13)^($F64-'הנחות עבודה'!$C$5)/$D$11)</f>
        <v>435.57818556832467</v>
      </c>
      <c r="AM64" s="42">
        <f ca="1">IF($F64&gt;$D$5,0,VLOOKUP($F64,$F$24:$BZ$44,AM$2-$E$2,FALSE)*$D$11*$D$14*(1+$D$13)^($F64-'הנחות עבודה'!$C$5)/$D$11)</f>
        <v>0</v>
      </c>
      <c r="AN64" s="42">
        <f ca="1">IF($F64&gt;$D$5,0,VLOOKUP($F64,$F$24:$BZ$44,AN$2-$E$2,FALSE)*$D$11*$D$14*(1+$D$13)^($F64-'הנחות עבודה'!$C$5)/$D$11)</f>
        <v>0</v>
      </c>
      <c r="AO64" s="42">
        <f ca="1">IF($F64&gt;$D$5,0,VLOOKUP($F64,$F$24:$BZ$44,AO$2-$E$2,FALSE)*$D$11*$D$14*(1+$D$13)^($F64-'הנחות עבודה'!$C$5)/$D$11)</f>
        <v>0</v>
      </c>
      <c r="AP64" s="42">
        <f ca="1">IF($F64&gt;$D$5,0,VLOOKUP($F64,$F$24:$BZ$44,AP$2-$E$2,FALSE)*$D$11*$D$14*(1+$D$13)^($F64-'הנחות עבודה'!$C$5)/$D$11)</f>
        <v>0</v>
      </c>
      <c r="AQ64" s="52">
        <f ca="1">IF($F64&gt;$D$5,0,VLOOKUP($F64,$F$24:$BZ$44,AQ$2-$E$2,FALSE)*$D$11*$D$14*(1+$D$13)^($F64-'הנחות עבודה'!$C$5)/$D$11)</f>
        <v>0</v>
      </c>
      <c r="AR64" s="127">
        <f ca="1">IF($F64&gt;$D$5,0,VLOOKUP($F64,$F$24:$BZ$44,AR$2-$E$2,FALSE)*$D$11*$D$14*(1+$D$13)^($F64-'הנחות עבודה'!$C$5)/$D$11)</f>
        <v>0</v>
      </c>
      <c r="AS64" s="127">
        <f ca="1">IF($F64&gt;$D$5,0,VLOOKUP($F64,$F$24:$BZ$44,AS$2-$E$2,FALSE)*$D$11*$D$14*(1+$D$13)^($F64-'הנחות עבודה'!$C$5)/$D$11)</f>
        <v>0</v>
      </c>
      <c r="AT64" s="127">
        <f ca="1">IF($F64&gt;$D$5,0,VLOOKUP($F64,$F$24:$BZ$44,AT$2-$E$2,FALSE)*$D$11*$D$14*(1+$D$13)^($F64-'הנחות עבודה'!$C$5)/$D$11)</f>
        <v>0</v>
      </c>
      <c r="AU64" s="127">
        <f ca="1">IF($F64&gt;$D$5,0,VLOOKUP($F64,$F$24:$BZ$44,AU$2-$E$2,FALSE)*$D$11*$D$14*(1+$D$13)^($F64-'הנחות עבודה'!$C$5)/$D$11)</f>
        <v>0</v>
      </c>
      <c r="AV64" s="127">
        <f ca="1">IF($F64&gt;$D$5,0,VLOOKUP($F64,$F$24:$BZ$44,AV$2-$E$2,FALSE)*$D$11*$D$14*(1+$D$13)^($F64-'הנחות עבודה'!$C$5)/$D$11)</f>
        <v>0</v>
      </c>
      <c r="AW64" s="52">
        <f ca="1">IF($F64&gt;$D$5,0,VLOOKUP($F64,$F$24:$BZ$44,AW$2-$E$2,FALSE)*$D$11*$D$14*(1+$D$13)^($F64-'הנחות עבודה'!$C$5)/$D$11)</f>
        <v>64.788846019278253</v>
      </c>
      <c r="AX64" s="52">
        <f ca="1">IF($F64&gt;$D$5,0,VLOOKUP($F64,$F$24:$BZ$44,AX$2-$E$2,FALSE)*$D$11*$D$14*(1+$D$13)^($F64-'הנחות עבודה'!$C$5)/$D$11)</f>
        <v>435.57818556832467</v>
      </c>
      <c r="AY64" s="52">
        <f ca="1">IF($F64&gt;$D$5,0,VLOOKUP($F64,$F$24:$BZ$44,AY$2-$E$2,FALSE)*$D$11*$D$14*(1+$D$13)^($F64-'הנחות עבודה'!$C$5)/$D$11)</f>
        <v>0</v>
      </c>
      <c r="AZ64" s="52">
        <f ca="1">IF($F64&gt;$D$5,0,VLOOKUP($F64,$F$24:$BZ$44,AZ$2-$E$2,FALSE)*$D$11*$D$14*(1+$D$13)^($F64-'הנחות עבודה'!$C$5)/$D$11)</f>
        <v>0</v>
      </c>
      <c r="BA64" s="52">
        <f ca="1">IF($F64&gt;$D$5,0,VLOOKUP($F64,$F$24:$BZ$44,BA$2-$E$2,FALSE)*$D$11*$D$14*(1+$D$13)^($F64-'הנחות עבודה'!$C$5)/$D$11)</f>
        <v>0</v>
      </c>
      <c r="BB64" s="52">
        <f ca="1">IF($F64&gt;$D$5,0,VLOOKUP($F64,$F$24:$BZ$44,BB$2-$E$2,FALSE)*$D$11*$D$14*(1+$D$13)^($F64-'הנחות עבודה'!$C$5)/$D$11)</f>
        <v>0</v>
      </c>
      <c r="BC64" s="42">
        <f ca="1">IF($F64&gt;$D$5,0,VLOOKUP($F64,$F$24:$BZ$44,BC$2-$E$2,FALSE)*$D$11*$D$14*(1+$D$13)^($F64-'הנחות עבודה'!$C$5)/$D$11)</f>
        <v>0</v>
      </c>
      <c r="BD64" s="44">
        <f ca="1">IF($F64&gt;$D$5,0,VLOOKUP($F64,$F$24:$BZ$44,BD$2-$E$2,FALSE)*$D$11*$D$14*(1+$D$13)^($F64-'הנחות עבודה'!$C$5)/$D$11)</f>
        <v>0</v>
      </c>
      <c r="BE64" s="44">
        <f ca="1">IF($F64&gt;$D$5,0,VLOOKUP($F64,$F$24:$BZ$44,BE$2-$E$2,FALSE)*$D$11*$D$14*(1+$D$13)^($F64-'הנחות עבודה'!$C$5)/$D$11)</f>
        <v>0</v>
      </c>
      <c r="BF64" s="44">
        <f ca="1">IF($F64&gt;$D$5,0,VLOOKUP($F64,$F$24:$BZ$44,BF$2-$E$2,FALSE)*$D$11*$D$14*(1+$D$13)^($F64-'הנחות עבודה'!$C$5)/$D$11)</f>
        <v>0</v>
      </c>
      <c r="BG64" s="44">
        <f ca="1">IF($F64&gt;$D$5,0,VLOOKUP($F64,$F$24:$BZ$44,BG$2-$E$2,FALSE)*$D$11*$D$14*(1+$D$13)^($F64-'הנחות עבודה'!$C$5)/$D$11)</f>
        <v>0</v>
      </c>
      <c r="BH64" s="44">
        <f ca="1">IF($F64&gt;$D$5,0,VLOOKUP($F64,$F$24:$BZ$44,BH$2-$E$2,FALSE)*$D$11*$D$14*(1+$D$13)^($F64-'הנחות עבודה'!$C$5)/$D$11)</f>
        <v>0</v>
      </c>
      <c r="BI64" s="42">
        <f ca="1">IF($F64&gt;$D$5,0,VLOOKUP($F64,$F$24:$BZ$44,BI$2-$E$2,FALSE)*$D$11*$D$14*(1+$D$13)^($F64-'הנחות עבודה'!$C$5)/$D$11)</f>
        <v>66.466817624731192</v>
      </c>
      <c r="BJ64" s="42">
        <f ca="1">IF($F64&gt;$D$5,0,VLOOKUP($F64,$F$24:$BZ$44,BJ$2-$E$2,FALSE)*$D$11*$D$14*(1+$D$13)^($F64-'הנחות עבודה'!$C$5)/$D$11)</f>
        <v>401.51629062761714</v>
      </c>
      <c r="BK64" s="42">
        <f ca="1">IF($F64&gt;$D$5,0,VLOOKUP($F64,$F$24:$BZ$44,BK$2-$E$2,FALSE)*$D$11*$D$14*(1+$D$13)^($F64-'הנחות עבודה'!$C$5)/$D$11)</f>
        <v>0</v>
      </c>
      <c r="BL64" s="42">
        <f ca="1">IF($F64&gt;$D$5,0,VLOOKUP($F64,$F$24:$BZ$44,BL$2-$E$2,FALSE)*$D$11*$D$14*(1+$D$13)^($F64-'הנחות עבודה'!$C$5)/$D$11)</f>
        <v>0</v>
      </c>
      <c r="BM64" s="42">
        <f ca="1">IF($F64&gt;$D$5,0,VLOOKUP($F64,$F$24:$BZ$44,BM$2-$E$2,FALSE)*$D$11*$D$14*(1+$D$13)^($F64-'הנחות עבודה'!$C$5)/$D$11)</f>
        <v>0</v>
      </c>
      <c r="BN64" s="42">
        <f ca="1">IF($F64&gt;$D$5,0,VLOOKUP($F64,$F$24:$BZ$44,BN$2-$E$2,FALSE)*$D$11*$D$14*(1+$D$13)^($F64-'הנחות עבודה'!$C$5)/$D$11)</f>
        <v>0</v>
      </c>
      <c r="BO64" s="52">
        <f ca="1">IF($F64&gt;$D$5,0,VLOOKUP($F64,$F$24:$BZ$44,BO$2-$E$2,FALSE)*$D$11*$D$14*(1+$D$13)^($F64-'הנחות עבודה'!$C$5)/$D$11)</f>
        <v>0</v>
      </c>
      <c r="BP64" s="127">
        <f ca="1">IF($F64&gt;$D$5,0,VLOOKUP($F64,$F$24:$BZ$44,BP$2-$E$2,FALSE)*$D$11*$D$14*(1+$D$13)^($F64-'הנחות עבודה'!$C$5)/$D$11)</f>
        <v>0</v>
      </c>
      <c r="BQ64" s="127">
        <f ca="1">IF($F64&gt;$D$5,0,VLOOKUP($F64,$F$24:$BZ$44,BQ$2-$E$2,FALSE)*$D$11*$D$14*(1+$D$13)^($F64-'הנחות עבודה'!$C$5)/$D$11)</f>
        <v>0</v>
      </c>
      <c r="BR64" s="127">
        <f ca="1">IF($F64&gt;$D$5,0,VLOOKUP($F64,$F$24:$BZ$44,BR$2-$E$2,FALSE)*$D$11*$D$14*(1+$D$13)^($F64-'הנחות עבודה'!$C$5)/$D$11)</f>
        <v>0</v>
      </c>
      <c r="BS64" s="127">
        <f ca="1">IF($F64&gt;$D$5,0,VLOOKUP($F64,$F$24:$BZ$44,BS$2-$E$2,FALSE)*$D$11*$D$14*(1+$D$13)^($F64-'הנחות עבודה'!$C$5)/$D$11)</f>
        <v>0</v>
      </c>
      <c r="BT64" s="127">
        <f ca="1">IF($F64&gt;$D$5,0,VLOOKUP($F64,$F$24:$BZ$44,BT$2-$E$2,FALSE)*$D$11*$D$14*(1+$D$13)^($F64-'הנחות עבודה'!$C$5)/$D$11)</f>
        <v>0</v>
      </c>
      <c r="BU64" s="52">
        <f ca="1">IF($F64&gt;$D$5,0,VLOOKUP($F64,$F$24:$BZ$44,BU$2-$E$2,FALSE)*$D$11*$D$14*(1+$D$13)^($F64-'הנחות עבודה'!$C$5)/$D$11)</f>
        <v>66.466817624731192</v>
      </c>
      <c r="BV64" s="52">
        <f ca="1">IF($F64&gt;$D$5,0,VLOOKUP($F64,$F$24:$BZ$44,BV$2-$E$2,FALSE)*$D$11*$D$14*(1+$D$13)^($F64-'הנחות עבודה'!$C$5)/$D$11)</f>
        <v>401.51629062761714</v>
      </c>
      <c r="BW64" s="52">
        <f ca="1">IF($F64&gt;$D$5,0,VLOOKUP($F64,$F$24:$BZ$44,BW$2-$E$2,FALSE)*$D$11*$D$14*(1+$D$13)^($F64-'הנחות עבודה'!$C$5)/$D$11)</f>
        <v>0</v>
      </c>
      <c r="BX64" s="52">
        <f ca="1">IF($F64&gt;$D$5,0,VLOOKUP($F64,$F$24:$BZ$44,BX$2-$E$2,FALSE)*$D$11*$D$14*(1+$D$13)^($F64-'הנחות עבודה'!$C$5)/$D$11)</f>
        <v>0</v>
      </c>
      <c r="BY64" s="52">
        <f ca="1">IF($F64&gt;$D$5,0,VLOOKUP($F64,$F$24:$BZ$44,BY$2-$E$2,FALSE)*$D$11*$D$14*(1+$D$13)^($F64-'הנחות עבודה'!$C$5)/$D$11)</f>
        <v>0</v>
      </c>
      <c r="BZ64" s="52">
        <f ca="1">IF($F64&gt;$D$5,0,VLOOKUP($F64,$F$24:$BZ$44,BZ$2-$E$2,FALSE)*$D$11*$D$14*(1+$D$13)^($F64-'הנחות עבודה'!$C$5)/$D$11)</f>
        <v>0</v>
      </c>
    </row>
    <row r="65" spans="6:78" ht="15.75">
      <c r="F65" s="10">
        <f t="shared" si="129"/>
        <v>2034</v>
      </c>
      <c r="G65" s="42">
        <f ca="1">IF($F65&gt;$D$5,0,VLOOKUP($F65,$F$24:$BZ$44,G$2-$E$2,FALSE)*$D$11*$D$14*(1+$D$13)^($F65-'הנחות עבודה'!$C$5)/$D$11)</f>
        <v>0</v>
      </c>
      <c r="H65" s="44">
        <f ca="1">IF($F65&gt;$D$5,0,VLOOKUP($F65,$F$24:$BZ$44,H$2-$E$2,FALSE)*$D$11*$D$14*(1+$D$13)^($F65-'הנחות עבודה'!$C$5)/$D$11)</f>
        <v>0</v>
      </c>
      <c r="I65" s="44">
        <f ca="1">IF($F65&gt;$D$5,0,VLOOKUP($F65,$F$24:$BZ$44,I$2-$E$2,FALSE)*$D$11*$D$14*(1+$D$13)^($F65-'הנחות עבודה'!$C$5)/$D$11)</f>
        <v>0</v>
      </c>
      <c r="J65" s="44">
        <f ca="1">IF($F65&gt;$D$5,0,VLOOKUP($F65,$F$24:$BZ$44,J$2-$E$2,FALSE)*$D$11*$D$14*(1+$D$13)^($F65-'הנחות עבודה'!$C$5)/$D$11)</f>
        <v>0</v>
      </c>
      <c r="K65" s="44">
        <f ca="1">IF($F65&gt;$D$5,0,VLOOKUP($F65,$F$24:$BZ$44,K$2-$E$2,FALSE)*$D$11*$D$14*(1+$D$13)^($F65-'הנחות עבודה'!$C$5)/$D$11)</f>
        <v>0</v>
      </c>
      <c r="L65" s="44">
        <f ca="1">IF($F65&gt;$D$5,0,VLOOKUP($F65,$F$24:$BZ$44,L$2-$E$2,FALSE)*$D$11*$D$14*(1+$D$13)^($F65-'הנחות עבודה'!$C$5)/$D$11)</f>
        <v>0</v>
      </c>
      <c r="M65" s="42">
        <f ca="1">IF($F65&gt;$D$5,0,VLOOKUP($F65,$F$24:$BZ$44,M$2-$E$2,FALSE)*$D$11*$D$14*(1+$D$13)^($F65-'הנחות עבודה'!$C$5)/$D$11)</f>
        <v>62.478780084404967</v>
      </c>
      <c r="N65" s="42">
        <f ca="1">IF($F65&gt;$D$5,0,VLOOKUP($F65,$F$24:$BZ$44,N$2-$E$2,FALSE)*$D$11*$D$14*(1+$D$13)^($F65-'הנחות עבודה'!$C$5)/$D$11)</f>
        <v>531.02776975552933</v>
      </c>
      <c r="O65" s="42">
        <f ca="1">IF($F65&gt;$D$5,0,VLOOKUP($F65,$F$24:$BZ$44,O$2-$E$2,FALSE)*$D$11*$D$14*(1+$D$13)^($F65-'הנחות עבודה'!$C$5)/$D$11)</f>
        <v>0</v>
      </c>
      <c r="P65" s="42">
        <f ca="1">IF($F65&gt;$D$5,0,VLOOKUP($F65,$F$24:$BZ$44,P$2-$E$2,FALSE)*$D$11*$D$14*(1+$D$13)^($F65-'הנחות עבודה'!$C$5)/$D$11)</f>
        <v>0</v>
      </c>
      <c r="Q65" s="42">
        <f ca="1">IF($F65&gt;$D$5,0,VLOOKUP($F65,$F$24:$BZ$44,Q$2-$E$2,FALSE)*$D$11*$D$14*(1+$D$13)^($F65-'הנחות עבודה'!$C$5)/$D$11)</f>
        <v>0</v>
      </c>
      <c r="R65" s="42">
        <f ca="1">IF($F65&gt;$D$5,0,VLOOKUP($F65,$F$24:$BZ$44,R$2-$E$2,FALSE)*$D$11*$D$14*(1+$D$13)^($F65-'הנחות עבודה'!$C$5)/$D$11)</f>
        <v>0</v>
      </c>
      <c r="S65" s="52">
        <f ca="1">IF($F65&gt;$D$5,0,VLOOKUP($F65,$F$24:$BZ$44,S$2-$E$2,FALSE)*$D$11*$D$14*(1+$D$13)^($F65-'הנחות עבודה'!$C$5)/$D$11)</f>
        <v>0</v>
      </c>
      <c r="T65" s="127">
        <f ca="1">IF($F65&gt;$D$5,0,VLOOKUP($F65,$F$24:$BZ$44,T$2-$E$2,FALSE)*$D$11*$D$14*(1+$D$13)^($F65-'הנחות עבודה'!$C$5)/$D$11)</f>
        <v>0</v>
      </c>
      <c r="U65" s="127">
        <f ca="1">IF($F65&gt;$D$5,0,VLOOKUP($F65,$F$24:$BZ$44,U$2-$E$2,FALSE)*$D$11*$D$14*(1+$D$13)^($F65-'הנחות עבודה'!$C$5)/$D$11)</f>
        <v>0</v>
      </c>
      <c r="V65" s="127">
        <f ca="1">IF($F65&gt;$D$5,0,VLOOKUP($F65,$F$24:$BZ$44,V$2-$E$2,FALSE)*$D$11*$D$14*(1+$D$13)^($F65-'הנחות עבודה'!$C$5)/$D$11)</f>
        <v>0</v>
      </c>
      <c r="W65" s="127">
        <f ca="1">IF($F65&gt;$D$5,0,VLOOKUP($F65,$F$24:$BZ$44,W$2-$E$2,FALSE)*$D$11*$D$14*(1+$D$13)^($F65-'הנחות עבודה'!$C$5)/$D$11)</f>
        <v>0</v>
      </c>
      <c r="X65" s="127">
        <f ca="1">IF($F65&gt;$D$5,0,VLOOKUP($F65,$F$24:$BZ$44,X$2-$E$2,FALSE)*$D$11*$D$14*(1+$D$13)^($F65-'הנחות עבודה'!$C$5)/$D$11)</f>
        <v>0</v>
      </c>
      <c r="Y65" s="52">
        <f ca="1">IF($F65&gt;$D$5,0,VLOOKUP($F65,$F$24:$BZ$44,Y$2-$E$2,FALSE)*$D$11*$D$14*(1+$D$13)^($F65-'הנחות עבודה'!$C$5)/$D$11)</f>
        <v>62.478780084404967</v>
      </c>
      <c r="Z65" s="52">
        <f ca="1">IF($F65&gt;$D$5,0,VLOOKUP($F65,$F$24:$BZ$44,Z$2-$E$2,FALSE)*$D$11*$D$14*(1+$D$13)^($F65-'הנחות עבודה'!$C$5)/$D$11)</f>
        <v>531.02776975552933</v>
      </c>
      <c r="AA65" s="52">
        <f ca="1">IF($F65&gt;$D$5,0,VLOOKUP($F65,$F$24:$BZ$44,AA$2-$E$2,FALSE)*$D$11*$D$14*(1+$D$13)^($F65-'הנחות עבודה'!$C$5)/$D$11)</f>
        <v>0</v>
      </c>
      <c r="AB65" s="52">
        <f ca="1">IF($F65&gt;$D$5,0,VLOOKUP($F65,$F$24:$BZ$44,AB$2-$E$2,FALSE)*$D$11*$D$14*(1+$D$13)^($F65-'הנחות עבודה'!$C$5)/$D$11)</f>
        <v>0</v>
      </c>
      <c r="AC65" s="52">
        <f ca="1">IF($F65&gt;$D$5,0,VLOOKUP($F65,$F$24:$BZ$44,AC$2-$E$2,FALSE)*$D$11*$D$14*(1+$D$13)^($F65-'הנחות עבודה'!$C$5)/$D$11)</f>
        <v>0</v>
      </c>
      <c r="AD65" s="52">
        <f ca="1">IF($F65&gt;$D$5,0,VLOOKUP($F65,$F$24:$BZ$44,AD$2-$E$2,FALSE)*$D$11*$D$14*(1+$D$13)^($F65-'הנחות עבודה'!$C$5)/$D$11)</f>
        <v>0</v>
      </c>
      <c r="AE65" s="42">
        <f ca="1">IF($F65&gt;$D$5,0,VLOOKUP($F65,$F$24:$BZ$44,AE$2-$E$2,FALSE)*$D$11*$D$14*(1+$D$13)^($F65-'הנחות עבודה'!$C$5)/$D$11)</f>
        <v>0</v>
      </c>
      <c r="AF65" s="44">
        <f ca="1">IF($F65&gt;$D$5,0,VLOOKUP($F65,$F$24:$BZ$44,AF$2-$E$2,FALSE)*$D$11*$D$14*(1+$D$13)^($F65-'הנחות עבודה'!$C$5)/$D$11)</f>
        <v>0</v>
      </c>
      <c r="AG65" s="44">
        <f ca="1">IF($F65&gt;$D$5,0,VLOOKUP($F65,$F$24:$BZ$44,AG$2-$E$2,FALSE)*$D$11*$D$14*(1+$D$13)^($F65-'הנחות עבודה'!$C$5)/$D$11)</f>
        <v>0</v>
      </c>
      <c r="AH65" s="44">
        <f ca="1">IF($F65&gt;$D$5,0,VLOOKUP($F65,$F$24:$BZ$44,AH$2-$E$2,FALSE)*$D$11*$D$14*(1+$D$13)^($F65-'הנחות עבודה'!$C$5)/$D$11)</f>
        <v>0</v>
      </c>
      <c r="AI65" s="44">
        <f ca="1">IF($F65&gt;$D$5,0,VLOOKUP($F65,$F$24:$BZ$44,AI$2-$E$2,FALSE)*$D$11*$D$14*(1+$D$13)^($F65-'הנחות עבודה'!$C$5)/$D$11)</f>
        <v>0</v>
      </c>
      <c r="AJ65" s="44">
        <f ca="1">IF($F65&gt;$D$5,0,VLOOKUP($F65,$F$24:$BZ$44,AJ$2-$E$2,FALSE)*$D$11*$D$14*(1+$D$13)^($F65-'הנחות עבודה'!$C$5)/$D$11)</f>
        <v>0</v>
      </c>
      <c r="AK65" s="42">
        <f ca="1">IF($F65&gt;$D$5,0,VLOOKUP($F65,$F$24:$BZ$44,AK$2-$E$2,FALSE)*$D$11*$D$14*(1+$D$13)^($F65-'הנחות עבודה'!$C$5)/$D$11)</f>
        <v>66.632702272182513</v>
      </c>
      <c r="AL65" s="42">
        <f ca="1">IF($F65&gt;$D$5,0,VLOOKUP($F65,$F$24:$BZ$44,AL$2-$E$2,FALSE)*$D$11*$D$14*(1+$D$13)^($F65-'הנחות עבודה'!$C$5)/$D$11)</f>
        <v>472.75298059525522</v>
      </c>
      <c r="AM65" s="42">
        <f ca="1">IF($F65&gt;$D$5,0,VLOOKUP($F65,$F$24:$BZ$44,AM$2-$E$2,FALSE)*$D$11*$D$14*(1+$D$13)^($F65-'הנחות עבודה'!$C$5)/$D$11)</f>
        <v>0</v>
      </c>
      <c r="AN65" s="42">
        <f ca="1">IF($F65&gt;$D$5,0,VLOOKUP($F65,$F$24:$BZ$44,AN$2-$E$2,FALSE)*$D$11*$D$14*(1+$D$13)^($F65-'הנחות עבודה'!$C$5)/$D$11)</f>
        <v>0</v>
      </c>
      <c r="AO65" s="42">
        <f ca="1">IF($F65&gt;$D$5,0,VLOOKUP($F65,$F$24:$BZ$44,AO$2-$E$2,FALSE)*$D$11*$D$14*(1+$D$13)^($F65-'הנחות עבודה'!$C$5)/$D$11)</f>
        <v>0</v>
      </c>
      <c r="AP65" s="42">
        <f ca="1">IF($F65&gt;$D$5,0,VLOOKUP($F65,$F$24:$BZ$44,AP$2-$E$2,FALSE)*$D$11*$D$14*(1+$D$13)^($F65-'הנחות עבודה'!$C$5)/$D$11)</f>
        <v>0</v>
      </c>
      <c r="AQ65" s="52">
        <f ca="1">IF($F65&gt;$D$5,0,VLOOKUP($F65,$F$24:$BZ$44,AQ$2-$E$2,FALSE)*$D$11*$D$14*(1+$D$13)^($F65-'הנחות עבודה'!$C$5)/$D$11)</f>
        <v>0</v>
      </c>
      <c r="AR65" s="127">
        <f ca="1">IF($F65&gt;$D$5,0,VLOOKUP($F65,$F$24:$BZ$44,AR$2-$E$2,FALSE)*$D$11*$D$14*(1+$D$13)^($F65-'הנחות עבודה'!$C$5)/$D$11)</f>
        <v>0</v>
      </c>
      <c r="AS65" s="127">
        <f ca="1">IF($F65&gt;$D$5,0,VLOOKUP($F65,$F$24:$BZ$44,AS$2-$E$2,FALSE)*$D$11*$D$14*(1+$D$13)^($F65-'הנחות עבודה'!$C$5)/$D$11)</f>
        <v>0</v>
      </c>
      <c r="AT65" s="127">
        <f ca="1">IF($F65&gt;$D$5,0,VLOOKUP($F65,$F$24:$BZ$44,AT$2-$E$2,FALSE)*$D$11*$D$14*(1+$D$13)^($F65-'הנחות עבודה'!$C$5)/$D$11)</f>
        <v>0</v>
      </c>
      <c r="AU65" s="127">
        <f ca="1">IF($F65&gt;$D$5,0,VLOOKUP($F65,$F$24:$BZ$44,AU$2-$E$2,FALSE)*$D$11*$D$14*(1+$D$13)^($F65-'הנחות עבודה'!$C$5)/$D$11)</f>
        <v>0</v>
      </c>
      <c r="AV65" s="127">
        <f ca="1">IF($F65&gt;$D$5,0,VLOOKUP($F65,$F$24:$BZ$44,AV$2-$E$2,FALSE)*$D$11*$D$14*(1+$D$13)^($F65-'הנחות עבודה'!$C$5)/$D$11)</f>
        <v>0</v>
      </c>
      <c r="AW65" s="52">
        <f ca="1">IF($F65&gt;$D$5,0,VLOOKUP($F65,$F$24:$BZ$44,AW$2-$E$2,FALSE)*$D$11*$D$14*(1+$D$13)^($F65-'הנחות עבודה'!$C$5)/$D$11)</f>
        <v>66.632702272182513</v>
      </c>
      <c r="AX65" s="52">
        <f ca="1">IF($F65&gt;$D$5,0,VLOOKUP($F65,$F$24:$BZ$44,AX$2-$E$2,FALSE)*$D$11*$D$14*(1+$D$13)^($F65-'הנחות עבודה'!$C$5)/$D$11)</f>
        <v>472.75298059525522</v>
      </c>
      <c r="AY65" s="52">
        <f ca="1">IF($F65&gt;$D$5,0,VLOOKUP($F65,$F$24:$BZ$44,AY$2-$E$2,FALSE)*$D$11*$D$14*(1+$D$13)^($F65-'הנחות עבודה'!$C$5)/$D$11)</f>
        <v>0</v>
      </c>
      <c r="AZ65" s="52">
        <f ca="1">IF($F65&gt;$D$5,0,VLOOKUP($F65,$F$24:$BZ$44,AZ$2-$E$2,FALSE)*$D$11*$D$14*(1+$D$13)^($F65-'הנחות עבודה'!$C$5)/$D$11)</f>
        <v>0</v>
      </c>
      <c r="BA65" s="52">
        <f ca="1">IF($F65&gt;$D$5,0,VLOOKUP($F65,$F$24:$BZ$44,BA$2-$E$2,FALSE)*$D$11*$D$14*(1+$D$13)^($F65-'הנחות עבודה'!$C$5)/$D$11)</f>
        <v>0</v>
      </c>
      <c r="BB65" s="52">
        <f ca="1">IF($F65&gt;$D$5,0,VLOOKUP($F65,$F$24:$BZ$44,BB$2-$E$2,FALSE)*$D$11*$D$14*(1+$D$13)^($F65-'הנחות עבודה'!$C$5)/$D$11)</f>
        <v>0</v>
      </c>
      <c r="BC65" s="42">
        <f ca="1">IF($F65&gt;$D$5,0,VLOOKUP($F65,$F$24:$BZ$44,BC$2-$E$2,FALSE)*$D$11*$D$14*(1+$D$13)^($F65-'הנחות עבודה'!$C$5)/$D$11)</f>
        <v>0</v>
      </c>
      <c r="BD65" s="44">
        <f ca="1">IF($F65&gt;$D$5,0,VLOOKUP($F65,$F$24:$BZ$44,BD$2-$E$2,FALSE)*$D$11*$D$14*(1+$D$13)^($F65-'הנחות עבודה'!$C$5)/$D$11)</f>
        <v>0</v>
      </c>
      <c r="BE65" s="44">
        <f ca="1">IF($F65&gt;$D$5,0,VLOOKUP($F65,$F$24:$BZ$44,BE$2-$E$2,FALSE)*$D$11*$D$14*(1+$D$13)^($F65-'הנחות עבודה'!$C$5)/$D$11)</f>
        <v>0</v>
      </c>
      <c r="BF65" s="44">
        <f ca="1">IF($F65&gt;$D$5,0,VLOOKUP($F65,$F$24:$BZ$44,BF$2-$E$2,FALSE)*$D$11*$D$14*(1+$D$13)^($F65-'הנחות עבודה'!$C$5)/$D$11)</f>
        <v>0</v>
      </c>
      <c r="BG65" s="44">
        <f ca="1">IF($F65&gt;$D$5,0,VLOOKUP($F65,$F$24:$BZ$44,BG$2-$E$2,FALSE)*$D$11*$D$14*(1+$D$13)^($F65-'הנחות עבודה'!$C$5)/$D$11)</f>
        <v>0</v>
      </c>
      <c r="BH65" s="44">
        <f ca="1">IF($F65&gt;$D$5,0,VLOOKUP($F65,$F$24:$BZ$44,BH$2-$E$2,FALSE)*$D$11*$D$14*(1+$D$13)^($F65-'הנחות עבודה'!$C$5)/$D$11)</f>
        <v>0</v>
      </c>
      <c r="BI65" s="42">
        <f ca="1">IF($F65&gt;$D$5,0,VLOOKUP($F65,$F$24:$BZ$44,BI$2-$E$2,FALSE)*$D$11*$D$14*(1+$D$13)^($F65-'הנחות עבודה'!$C$5)/$D$11)</f>
        <v>68.254864438845345</v>
      </c>
      <c r="BJ65" s="42">
        <f ca="1">IF($F65&gt;$D$5,0,VLOOKUP($F65,$F$24:$BZ$44,BJ$2-$E$2,FALSE)*$D$11*$D$14*(1+$D$13)^($F65-'הנחות עבודה'!$C$5)/$D$11)</f>
        <v>437.9661190474676</v>
      </c>
      <c r="BK65" s="42">
        <f ca="1">IF($F65&gt;$D$5,0,VLOOKUP($F65,$F$24:$BZ$44,BK$2-$E$2,FALSE)*$D$11*$D$14*(1+$D$13)^($F65-'הנחות עבודה'!$C$5)/$D$11)</f>
        <v>0</v>
      </c>
      <c r="BL65" s="42">
        <f ca="1">IF($F65&gt;$D$5,0,VLOOKUP($F65,$F$24:$BZ$44,BL$2-$E$2,FALSE)*$D$11*$D$14*(1+$D$13)^($F65-'הנחות עבודה'!$C$5)/$D$11)</f>
        <v>0</v>
      </c>
      <c r="BM65" s="42">
        <f ca="1">IF($F65&gt;$D$5,0,VLOOKUP($F65,$F$24:$BZ$44,BM$2-$E$2,FALSE)*$D$11*$D$14*(1+$D$13)^($F65-'הנחות עבודה'!$C$5)/$D$11)</f>
        <v>0</v>
      </c>
      <c r="BN65" s="42">
        <f ca="1">IF($F65&gt;$D$5,0,VLOOKUP($F65,$F$24:$BZ$44,BN$2-$E$2,FALSE)*$D$11*$D$14*(1+$D$13)^($F65-'הנחות עבודה'!$C$5)/$D$11)</f>
        <v>0</v>
      </c>
      <c r="BO65" s="52">
        <f ca="1">IF($F65&gt;$D$5,0,VLOOKUP($F65,$F$24:$BZ$44,BO$2-$E$2,FALSE)*$D$11*$D$14*(1+$D$13)^($F65-'הנחות עבודה'!$C$5)/$D$11)</f>
        <v>0</v>
      </c>
      <c r="BP65" s="127">
        <f ca="1">IF($F65&gt;$D$5,0,VLOOKUP($F65,$F$24:$BZ$44,BP$2-$E$2,FALSE)*$D$11*$D$14*(1+$D$13)^($F65-'הנחות עבודה'!$C$5)/$D$11)</f>
        <v>0</v>
      </c>
      <c r="BQ65" s="127">
        <f ca="1">IF($F65&gt;$D$5,0,VLOOKUP($F65,$F$24:$BZ$44,BQ$2-$E$2,FALSE)*$D$11*$D$14*(1+$D$13)^($F65-'הנחות עבודה'!$C$5)/$D$11)</f>
        <v>0</v>
      </c>
      <c r="BR65" s="127">
        <f ca="1">IF($F65&gt;$D$5,0,VLOOKUP($F65,$F$24:$BZ$44,BR$2-$E$2,FALSE)*$D$11*$D$14*(1+$D$13)^($F65-'הנחות עבודה'!$C$5)/$D$11)</f>
        <v>0</v>
      </c>
      <c r="BS65" s="127">
        <f ca="1">IF($F65&gt;$D$5,0,VLOOKUP($F65,$F$24:$BZ$44,BS$2-$E$2,FALSE)*$D$11*$D$14*(1+$D$13)^($F65-'הנחות עבודה'!$C$5)/$D$11)</f>
        <v>0</v>
      </c>
      <c r="BT65" s="127">
        <f ca="1">IF($F65&gt;$D$5,0,VLOOKUP($F65,$F$24:$BZ$44,BT$2-$E$2,FALSE)*$D$11*$D$14*(1+$D$13)^($F65-'הנחות עבודה'!$C$5)/$D$11)</f>
        <v>0</v>
      </c>
      <c r="BU65" s="52">
        <f ca="1">IF($F65&gt;$D$5,0,VLOOKUP($F65,$F$24:$BZ$44,BU$2-$E$2,FALSE)*$D$11*$D$14*(1+$D$13)^($F65-'הנחות עבודה'!$C$5)/$D$11)</f>
        <v>68.254864438845345</v>
      </c>
      <c r="BV65" s="52">
        <f ca="1">IF($F65&gt;$D$5,0,VLOOKUP($F65,$F$24:$BZ$44,BV$2-$E$2,FALSE)*$D$11*$D$14*(1+$D$13)^($F65-'הנחות עבודה'!$C$5)/$D$11)</f>
        <v>437.9661190474676</v>
      </c>
      <c r="BW65" s="52">
        <f ca="1">IF($F65&gt;$D$5,0,VLOOKUP($F65,$F$24:$BZ$44,BW$2-$E$2,FALSE)*$D$11*$D$14*(1+$D$13)^($F65-'הנחות עבודה'!$C$5)/$D$11)</f>
        <v>0</v>
      </c>
      <c r="BX65" s="52">
        <f ca="1">IF($F65&gt;$D$5,0,VLOOKUP($F65,$F$24:$BZ$44,BX$2-$E$2,FALSE)*$D$11*$D$14*(1+$D$13)^($F65-'הנחות עבודה'!$C$5)/$D$11)</f>
        <v>0</v>
      </c>
      <c r="BY65" s="52">
        <f ca="1">IF($F65&gt;$D$5,0,VLOOKUP($F65,$F$24:$BZ$44,BY$2-$E$2,FALSE)*$D$11*$D$14*(1+$D$13)^($F65-'הנחות עבודה'!$C$5)/$D$11)</f>
        <v>0</v>
      </c>
      <c r="BZ65" s="52">
        <f ca="1">IF($F65&gt;$D$5,0,VLOOKUP($F65,$F$24:$BZ$44,BZ$2-$E$2,FALSE)*$D$11*$D$14*(1+$D$13)^($F65-'הנחות עבודה'!$C$5)/$D$11)</f>
        <v>0</v>
      </c>
    </row>
    <row r="66" spans="6:78" ht="15.75">
      <c r="F66" s="10">
        <f t="shared" si="129"/>
        <v>2035</v>
      </c>
      <c r="G66" s="42">
        <f ca="1">IF($F66&gt;$D$5,0,VLOOKUP($F66,$F$24:$BZ$44,G$2-$E$2,FALSE)*$D$11*$D$14*(1+$D$13)^($F66-'הנחות עבודה'!$C$5)/$D$11)</f>
        <v>0</v>
      </c>
      <c r="H66" s="44">
        <f ca="1">IF($F66&gt;$D$5,0,VLOOKUP($F66,$F$24:$BZ$44,H$2-$E$2,FALSE)*$D$11*$D$14*(1+$D$13)^($F66-'הנחות עבודה'!$C$5)/$D$11)</f>
        <v>0</v>
      </c>
      <c r="I66" s="44">
        <f ca="1">IF($F66&gt;$D$5,0,VLOOKUP($F66,$F$24:$BZ$44,I$2-$E$2,FALSE)*$D$11*$D$14*(1+$D$13)^($F66-'הנחות עבודה'!$C$5)/$D$11)</f>
        <v>0</v>
      </c>
      <c r="J66" s="44">
        <f ca="1">IF($F66&gt;$D$5,0,VLOOKUP($F66,$F$24:$BZ$44,J$2-$E$2,FALSE)*$D$11*$D$14*(1+$D$13)^($F66-'הנחות עבודה'!$C$5)/$D$11)</f>
        <v>0</v>
      </c>
      <c r="K66" s="44">
        <f ca="1">IF($F66&gt;$D$5,0,VLOOKUP($F66,$F$24:$BZ$44,K$2-$E$2,FALSE)*$D$11*$D$14*(1+$D$13)^($F66-'הנחות עבודה'!$C$5)/$D$11)</f>
        <v>0</v>
      </c>
      <c r="L66" s="44">
        <f ca="1">IF($F66&gt;$D$5,0,VLOOKUP($F66,$F$24:$BZ$44,L$2-$E$2,FALSE)*$D$11*$D$14*(1+$D$13)^($F66-'הנחות עבודה'!$C$5)/$D$11)</f>
        <v>0</v>
      </c>
      <c r="M66" s="42">
        <f ca="1">IF($F66&gt;$D$5,0,VLOOKUP($F66,$F$24:$BZ$44,M$2-$E$2,FALSE)*$D$11*$D$14*(1+$D$13)^($F66-'הנחות עבודה'!$C$5)/$D$11)</f>
        <v>64.934676901866951</v>
      </c>
      <c r="N66" s="42">
        <f ca="1">IF($F66&gt;$D$5,0,VLOOKUP($F66,$F$24:$BZ$44,N$2-$E$2,FALSE)*$D$11*$D$14*(1+$D$13)^($F66-'הנחות עבודה'!$C$5)/$D$11)</f>
        <v>571.27597962094285</v>
      </c>
      <c r="O66" s="42">
        <f ca="1">IF($F66&gt;$D$5,0,VLOOKUP($F66,$F$24:$BZ$44,O$2-$E$2,FALSE)*$D$11*$D$14*(1+$D$13)^($F66-'הנחות עבודה'!$C$5)/$D$11)</f>
        <v>0</v>
      </c>
      <c r="P66" s="42">
        <f ca="1">IF($F66&gt;$D$5,0,VLOOKUP($F66,$F$24:$BZ$44,P$2-$E$2,FALSE)*$D$11*$D$14*(1+$D$13)^($F66-'הנחות עבודה'!$C$5)/$D$11)</f>
        <v>0</v>
      </c>
      <c r="Q66" s="42">
        <f ca="1">IF($F66&gt;$D$5,0,VLOOKUP($F66,$F$24:$BZ$44,Q$2-$E$2,FALSE)*$D$11*$D$14*(1+$D$13)^($F66-'הנחות עבודה'!$C$5)/$D$11)</f>
        <v>0</v>
      </c>
      <c r="R66" s="42">
        <f ca="1">IF($F66&gt;$D$5,0,VLOOKUP($F66,$F$24:$BZ$44,R$2-$E$2,FALSE)*$D$11*$D$14*(1+$D$13)^($F66-'הנחות עבודה'!$C$5)/$D$11)</f>
        <v>0</v>
      </c>
      <c r="S66" s="52">
        <f ca="1">IF($F66&gt;$D$5,0,VLOOKUP($F66,$F$24:$BZ$44,S$2-$E$2,FALSE)*$D$11*$D$14*(1+$D$13)^($F66-'הנחות עבודה'!$C$5)/$D$11)</f>
        <v>0</v>
      </c>
      <c r="T66" s="127">
        <f ca="1">IF($F66&gt;$D$5,0,VLOOKUP($F66,$F$24:$BZ$44,T$2-$E$2,FALSE)*$D$11*$D$14*(1+$D$13)^($F66-'הנחות עבודה'!$C$5)/$D$11)</f>
        <v>0</v>
      </c>
      <c r="U66" s="127">
        <f ca="1">IF($F66&gt;$D$5,0,VLOOKUP($F66,$F$24:$BZ$44,U$2-$E$2,FALSE)*$D$11*$D$14*(1+$D$13)^($F66-'הנחות עבודה'!$C$5)/$D$11)</f>
        <v>0</v>
      </c>
      <c r="V66" s="127">
        <f ca="1">IF($F66&gt;$D$5,0,VLOOKUP($F66,$F$24:$BZ$44,V$2-$E$2,FALSE)*$D$11*$D$14*(1+$D$13)^($F66-'הנחות עבודה'!$C$5)/$D$11)</f>
        <v>0</v>
      </c>
      <c r="W66" s="127">
        <f ca="1">IF($F66&gt;$D$5,0,VLOOKUP($F66,$F$24:$BZ$44,W$2-$E$2,FALSE)*$D$11*$D$14*(1+$D$13)^($F66-'הנחות עבודה'!$C$5)/$D$11)</f>
        <v>0</v>
      </c>
      <c r="X66" s="127">
        <f ca="1">IF($F66&gt;$D$5,0,VLOOKUP($F66,$F$24:$BZ$44,X$2-$E$2,FALSE)*$D$11*$D$14*(1+$D$13)^($F66-'הנחות עבודה'!$C$5)/$D$11)</f>
        <v>0</v>
      </c>
      <c r="Y66" s="52">
        <f ca="1">IF($F66&gt;$D$5,0,VLOOKUP($F66,$F$24:$BZ$44,Y$2-$E$2,FALSE)*$D$11*$D$14*(1+$D$13)^($F66-'הנחות עבודה'!$C$5)/$D$11)</f>
        <v>64.934676901866951</v>
      </c>
      <c r="Z66" s="52">
        <f ca="1">IF($F66&gt;$D$5,0,VLOOKUP($F66,$F$24:$BZ$44,Z$2-$E$2,FALSE)*$D$11*$D$14*(1+$D$13)^($F66-'הנחות עבודה'!$C$5)/$D$11)</f>
        <v>571.27597962094285</v>
      </c>
      <c r="AA66" s="52">
        <f ca="1">IF($F66&gt;$D$5,0,VLOOKUP($F66,$F$24:$BZ$44,AA$2-$E$2,FALSE)*$D$11*$D$14*(1+$D$13)^($F66-'הנחות עבודה'!$C$5)/$D$11)</f>
        <v>0</v>
      </c>
      <c r="AB66" s="52">
        <f ca="1">IF($F66&gt;$D$5,0,VLOOKUP($F66,$F$24:$BZ$44,AB$2-$E$2,FALSE)*$D$11*$D$14*(1+$D$13)^($F66-'הנחות עבודה'!$C$5)/$D$11)</f>
        <v>0</v>
      </c>
      <c r="AC66" s="52">
        <f ca="1">IF($F66&gt;$D$5,0,VLOOKUP($F66,$F$24:$BZ$44,AC$2-$E$2,FALSE)*$D$11*$D$14*(1+$D$13)^($F66-'הנחות עבודה'!$C$5)/$D$11)</f>
        <v>0</v>
      </c>
      <c r="AD66" s="52">
        <f ca="1">IF($F66&gt;$D$5,0,VLOOKUP($F66,$F$24:$BZ$44,AD$2-$E$2,FALSE)*$D$11*$D$14*(1+$D$13)^($F66-'הנחות עבודה'!$C$5)/$D$11)</f>
        <v>0</v>
      </c>
      <c r="AE66" s="42">
        <f ca="1">IF($F66&gt;$D$5,0,VLOOKUP($F66,$F$24:$BZ$44,AE$2-$E$2,FALSE)*$D$11*$D$14*(1+$D$13)^($F66-'הנחות עבודה'!$C$5)/$D$11)</f>
        <v>0</v>
      </c>
      <c r="AF66" s="44">
        <f ca="1">IF($F66&gt;$D$5,0,VLOOKUP($F66,$F$24:$BZ$44,AF$2-$E$2,FALSE)*$D$11*$D$14*(1+$D$13)^($F66-'הנחות עבודה'!$C$5)/$D$11)</f>
        <v>0</v>
      </c>
      <c r="AG66" s="44">
        <f ca="1">IF($F66&gt;$D$5,0,VLOOKUP($F66,$F$24:$BZ$44,AG$2-$E$2,FALSE)*$D$11*$D$14*(1+$D$13)^($F66-'הנחות עבודה'!$C$5)/$D$11)</f>
        <v>0</v>
      </c>
      <c r="AH66" s="44">
        <f ca="1">IF($F66&gt;$D$5,0,VLOOKUP($F66,$F$24:$BZ$44,AH$2-$E$2,FALSE)*$D$11*$D$14*(1+$D$13)^($F66-'הנחות עבודה'!$C$5)/$D$11)</f>
        <v>0</v>
      </c>
      <c r="AI66" s="44">
        <f ca="1">IF($F66&gt;$D$5,0,VLOOKUP($F66,$F$24:$BZ$44,AI$2-$E$2,FALSE)*$D$11*$D$14*(1+$D$13)^($F66-'הנחות עבודה'!$C$5)/$D$11)</f>
        <v>0</v>
      </c>
      <c r="AJ66" s="44">
        <f ca="1">IF($F66&gt;$D$5,0,VLOOKUP($F66,$F$24:$BZ$44,AJ$2-$E$2,FALSE)*$D$11*$D$14*(1+$D$13)^($F66-'הנחות עבודה'!$C$5)/$D$11)</f>
        <v>0</v>
      </c>
      <c r="AK66" s="42">
        <f ca="1">IF($F66&gt;$D$5,0,VLOOKUP($F66,$F$24:$BZ$44,AK$2-$E$2,FALSE)*$D$11*$D$14*(1+$D$13)^($F66-'הנחות עבודה'!$C$5)/$D$11)</f>
        <v>69.406822958276123</v>
      </c>
      <c r="AL66" s="42">
        <f ca="1">IF($F66&gt;$D$5,0,VLOOKUP($F66,$F$24:$BZ$44,AL$2-$E$2,FALSE)*$D$11*$D$14*(1+$D$13)^($F66-'הנחות עבודה'!$C$5)/$D$11)</f>
        <v>511.15142706960143</v>
      </c>
      <c r="AM66" s="42">
        <f ca="1">IF($F66&gt;$D$5,0,VLOOKUP($F66,$F$24:$BZ$44,AM$2-$E$2,FALSE)*$D$11*$D$14*(1+$D$13)^($F66-'הנחות עבודה'!$C$5)/$D$11)</f>
        <v>0</v>
      </c>
      <c r="AN66" s="42">
        <f ca="1">IF($F66&gt;$D$5,0,VLOOKUP($F66,$F$24:$BZ$44,AN$2-$E$2,FALSE)*$D$11*$D$14*(1+$D$13)^($F66-'הנחות עבודה'!$C$5)/$D$11)</f>
        <v>0</v>
      </c>
      <c r="AO66" s="42">
        <f ca="1">IF($F66&gt;$D$5,0,VLOOKUP($F66,$F$24:$BZ$44,AO$2-$E$2,FALSE)*$D$11*$D$14*(1+$D$13)^($F66-'הנחות עבודה'!$C$5)/$D$11)</f>
        <v>0</v>
      </c>
      <c r="AP66" s="42">
        <f ca="1">IF($F66&gt;$D$5,0,VLOOKUP($F66,$F$24:$BZ$44,AP$2-$E$2,FALSE)*$D$11*$D$14*(1+$D$13)^($F66-'הנחות עבודה'!$C$5)/$D$11)</f>
        <v>0</v>
      </c>
      <c r="AQ66" s="52">
        <f ca="1">IF($F66&gt;$D$5,0,VLOOKUP($F66,$F$24:$BZ$44,AQ$2-$E$2,FALSE)*$D$11*$D$14*(1+$D$13)^($F66-'הנחות עבודה'!$C$5)/$D$11)</f>
        <v>0</v>
      </c>
      <c r="AR66" s="127">
        <f ca="1">IF($F66&gt;$D$5,0,VLOOKUP($F66,$F$24:$BZ$44,AR$2-$E$2,FALSE)*$D$11*$D$14*(1+$D$13)^($F66-'הנחות עבודה'!$C$5)/$D$11)</f>
        <v>0</v>
      </c>
      <c r="AS66" s="127">
        <f ca="1">IF($F66&gt;$D$5,0,VLOOKUP($F66,$F$24:$BZ$44,AS$2-$E$2,FALSE)*$D$11*$D$14*(1+$D$13)^($F66-'הנחות עבודה'!$C$5)/$D$11)</f>
        <v>0</v>
      </c>
      <c r="AT66" s="127">
        <f ca="1">IF($F66&gt;$D$5,0,VLOOKUP($F66,$F$24:$BZ$44,AT$2-$E$2,FALSE)*$D$11*$D$14*(1+$D$13)^($F66-'הנחות עבודה'!$C$5)/$D$11)</f>
        <v>0</v>
      </c>
      <c r="AU66" s="127">
        <f ca="1">IF($F66&gt;$D$5,0,VLOOKUP($F66,$F$24:$BZ$44,AU$2-$E$2,FALSE)*$D$11*$D$14*(1+$D$13)^($F66-'הנחות עבודה'!$C$5)/$D$11)</f>
        <v>0</v>
      </c>
      <c r="AV66" s="127">
        <f ca="1">IF($F66&gt;$D$5,0,VLOOKUP($F66,$F$24:$BZ$44,AV$2-$E$2,FALSE)*$D$11*$D$14*(1+$D$13)^($F66-'הנחות עבודה'!$C$5)/$D$11)</f>
        <v>0</v>
      </c>
      <c r="AW66" s="52">
        <f ca="1">IF($F66&gt;$D$5,0,VLOOKUP($F66,$F$24:$BZ$44,AW$2-$E$2,FALSE)*$D$11*$D$14*(1+$D$13)^($F66-'הנחות עבודה'!$C$5)/$D$11)</f>
        <v>69.406822958276123</v>
      </c>
      <c r="AX66" s="52">
        <f ca="1">IF($F66&gt;$D$5,0,VLOOKUP($F66,$F$24:$BZ$44,AX$2-$E$2,FALSE)*$D$11*$D$14*(1+$D$13)^($F66-'הנחות עבודה'!$C$5)/$D$11)</f>
        <v>511.15142706960143</v>
      </c>
      <c r="AY66" s="52">
        <f ca="1">IF($F66&gt;$D$5,0,VLOOKUP($F66,$F$24:$BZ$44,AY$2-$E$2,FALSE)*$D$11*$D$14*(1+$D$13)^($F66-'הנחות עבודה'!$C$5)/$D$11)</f>
        <v>0</v>
      </c>
      <c r="AZ66" s="52">
        <f ca="1">IF($F66&gt;$D$5,0,VLOOKUP($F66,$F$24:$BZ$44,AZ$2-$E$2,FALSE)*$D$11*$D$14*(1+$D$13)^($F66-'הנחות עבודה'!$C$5)/$D$11)</f>
        <v>0</v>
      </c>
      <c r="BA66" s="52">
        <f ca="1">IF($F66&gt;$D$5,0,VLOOKUP($F66,$F$24:$BZ$44,BA$2-$E$2,FALSE)*$D$11*$D$14*(1+$D$13)^($F66-'הנחות עבודה'!$C$5)/$D$11)</f>
        <v>0</v>
      </c>
      <c r="BB66" s="52">
        <f ca="1">IF($F66&gt;$D$5,0,VLOOKUP($F66,$F$24:$BZ$44,BB$2-$E$2,FALSE)*$D$11*$D$14*(1+$D$13)^($F66-'הנחות עבודה'!$C$5)/$D$11)</f>
        <v>0</v>
      </c>
      <c r="BC66" s="42">
        <f ca="1">IF($F66&gt;$D$5,0,VLOOKUP($F66,$F$24:$BZ$44,BC$2-$E$2,FALSE)*$D$11*$D$14*(1+$D$13)^($F66-'הנחות עבודה'!$C$5)/$D$11)</f>
        <v>0</v>
      </c>
      <c r="BD66" s="44">
        <f ca="1">IF($F66&gt;$D$5,0,VLOOKUP($F66,$F$24:$BZ$44,BD$2-$E$2,FALSE)*$D$11*$D$14*(1+$D$13)^($F66-'הנחות עבודה'!$C$5)/$D$11)</f>
        <v>0</v>
      </c>
      <c r="BE66" s="44">
        <f ca="1">IF($F66&gt;$D$5,0,VLOOKUP($F66,$F$24:$BZ$44,BE$2-$E$2,FALSE)*$D$11*$D$14*(1+$D$13)^($F66-'הנחות עבודה'!$C$5)/$D$11)</f>
        <v>0</v>
      </c>
      <c r="BF66" s="44">
        <f ca="1">IF($F66&gt;$D$5,0,VLOOKUP($F66,$F$24:$BZ$44,BF$2-$E$2,FALSE)*$D$11*$D$14*(1+$D$13)^($F66-'הנחות עבודה'!$C$5)/$D$11)</f>
        <v>0</v>
      </c>
      <c r="BG66" s="44">
        <f ca="1">IF($F66&gt;$D$5,0,VLOOKUP($F66,$F$24:$BZ$44,BG$2-$E$2,FALSE)*$D$11*$D$14*(1+$D$13)^($F66-'הנחות עבודה'!$C$5)/$D$11)</f>
        <v>0</v>
      </c>
      <c r="BH66" s="44">
        <f ca="1">IF($F66&gt;$D$5,0,VLOOKUP($F66,$F$24:$BZ$44,BH$2-$E$2,FALSE)*$D$11*$D$14*(1+$D$13)^($F66-'הנחות עבודה'!$C$5)/$D$11)</f>
        <v>0</v>
      </c>
      <c r="BI66" s="42">
        <f ca="1">IF($F66&gt;$D$5,0,VLOOKUP($F66,$F$24:$BZ$44,BI$2-$E$2,FALSE)*$D$11*$D$14*(1+$D$13)^($F66-'הנחות עבודה'!$C$5)/$D$11)</f>
        <v>70.891108277915663</v>
      </c>
      <c r="BJ66" s="42">
        <f ca="1">IF($F66&gt;$D$5,0,VLOOKUP($F66,$F$24:$BZ$44,BJ$2-$E$2,FALSE)*$D$11*$D$14*(1+$D$13)^($F66-'הנחות עבודה'!$C$5)/$D$11)</f>
        <v>475.69989409849626</v>
      </c>
      <c r="BK66" s="42">
        <f ca="1">IF($F66&gt;$D$5,0,VLOOKUP($F66,$F$24:$BZ$44,BK$2-$E$2,FALSE)*$D$11*$D$14*(1+$D$13)^($F66-'הנחות עבודה'!$C$5)/$D$11)</f>
        <v>0</v>
      </c>
      <c r="BL66" s="42">
        <f ca="1">IF($F66&gt;$D$5,0,VLOOKUP($F66,$F$24:$BZ$44,BL$2-$E$2,FALSE)*$D$11*$D$14*(1+$D$13)^($F66-'הנחות עבודה'!$C$5)/$D$11)</f>
        <v>0</v>
      </c>
      <c r="BM66" s="42">
        <f ca="1">IF($F66&gt;$D$5,0,VLOOKUP($F66,$F$24:$BZ$44,BM$2-$E$2,FALSE)*$D$11*$D$14*(1+$D$13)^($F66-'הנחות עבודה'!$C$5)/$D$11)</f>
        <v>0</v>
      </c>
      <c r="BN66" s="42">
        <f ca="1">IF($F66&gt;$D$5,0,VLOOKUP($F66,$F$24:$BZ$44,BN$2-$E$2,FALSE)*$D$11*$D$14*(1+$D$13)^($F66-'הנחות עבודה'!$C$5)/$D$11)</f>
        <v>0</v>
      </c>
      <c r="BO66" s="52">
        <f ca="1">IF($F66&gt;$D$5,0,VLOOKUP($F66,$F$24:$BZ$44,BO$2-$E$2,FALSE)*$D$11*$D$14*(1+$D$13)^($F66-'הנחות עבודה'!$C$5)/$D$11)</f>
        <v>0</v>
      </c>
      <c r="BP66" s="127">
        <f ca="1">IF($F66&gt;$D$5,0,VLOOKUP($F66,$F$24:$BZ$44,BP$2-$E$2,FALSE)*$D$11*$D$14*(1+$D$13)^($F66-'הנחות עבודה'!$C$5)/$D$11)</f>
        <v>0</v>
      </c>
      <c r="BQ66" s="127">
        <f ca="1">IF($F66&gt;$D$5,0,VLOOKUP($F66,$F$24:$BZ$44,BQ$2-$E$2,FALSE)*$D$11*$D$14*(1+$D$13)^($F66-'הנחות עבודה'!$C$5)/$D$11)</f>
        <v>0</v>
      </c>
      <c r="BR66" s="127">
        <f ca="1">IF($F66&gt;$D$5,0,VLOOKUP($F66,$F$24:$BZ$44,BR$2-$E$2,FALSE)*$D$11*$D$14*(1+$D$13)^($F66-'הנחות עבודה'!$C$5)/$D$11)</f>
        <v>0</v>
      </c>
      <c r="BS66" s="127">
        <f ca="1">IF($F66&gt;$D$5,0,VLOOKUP($F66,$F$24:$BZ$44,BS$2-$E$2,FALSE)*$D$11*$D$14*(1+$D$13)^($F66-'הנחות עבודה'!$C$5)/$D$11)</f>
        <v>0</v>
      </c>
      <c r="BT66" s="127">
        <f ca="1">IF($F66&gt;$D$5,0,VLOOKUP($F66,$F$24:$BZ$44,BT$2-$E$2,FALSE)*$D$11*$D$14*(1+$D$13)^($F66-'הנחות עבודה'!$C$5)/$D$11)</f>
        <v>0</v>
      </c>
      <c r="BU66" s="52">
        <f ca="1">IF($F66&gt;$D$5,0,VLOOKUP($F66,$F$24:$BZ$44,BU$2-$E$2,FALSE)*$D$11*$D$14*(1+$D$13)^($F66-'הנחות עבודה'!$C$5)/$D$11)</f>
        <v>70.891108277915663</v>
      </c>
      <c r="BV66" s="52">
        <f ca="1">IF($F66&gt;$D$5,0,VLOOKUP($F66,$F$24:$BZ$44,BV$2-$E$2,FALSE)*$D$11*$D$14*(1+$D$13)^($F66-'הנחות עבודה'!$C$5)/$D$11)</f>
        <v>475.69989409849626</v>
      </c>
      <c r="BW66" s="52">
        <f ca="1">IF($F66&gt;$D$5,0,VLOOKUP($F66,$F$24:$BZ$44,BW$2-$E$2,FALSE)*$D$11*$D$14*(1+$D$13)^($F66-'הנחות עבודה'!$C$5)/$D$11)</f>
        <v>0</v>
      </c>
      <c r="BX66" s="52">
        <f ca="1">IF($F66&gt;$D$5,0,VLOOKUP($F66,$F$24:$BZ$44,BX$2-$E$2,FALSE)*$D$11*$D$14*(1+$D$13)^($F66-'הנחות עבודה'!$C$5)/$D$11)</f>
        <v>0</v>
      </c>
      <c r="BY66" s="52">
        <f ca="1">IF($F66&gt;$D$5,0,VLOOKUP($F66,$F$24:$BZ$44,BY$2-$E$2,FALSE)*$D$11*$D$14*(1+$D$13)^($F66-'הנחות עבודה'!$C$5)/$D$11)</f>
        <v>0</v>
      </c>
      <c r="BZ66" s="52">
        <f ca="1">IF($F66&gt;$D$5,0,VLOOKUP($F66,$F$24:$BZ$44,BZ$2-$E$2,FALSE)*$D$11*$D$14*(1+$D$13)^($F66-'הנחות עבודה'!$C$5)/$D$11)</f>
        <v>0</v>
      </c>
    </row>
    <row r="67" spans="6:78" ht="15.75">
      <c r="F67" s="10">
        <f t="shared" si="129"/>
        <v>2036</v>
      </c>
      <c r="G67" s="42">
        <f ca="1">IF($F67&gt;$D$5,0,VLOOKUP($F67,$F$24:$BZ$44,G$2-$E$2,FALSE)*$D$11*$D$14*(1+$D$13)^($F67-'הנחות עבודה'!$C$5)/$D$11)</f>
        <v>0</v>
      </c>
      <c r="H67" s="44">
        <f ca="1">IF($F67&gt;$D$5,0,VLOOKUP($F67,$F$24:$BZ$44,H$2-$E$2,FALSE)*$D$11*$D$14*(1+$D$13)^($F67-'הנחות עבודה'!$C$5)/$D$11)</f>
        <v>0</v>
      </c>
      <c r="I67" s="44">
        <f ca="1">IF($F67&gt;$D$5,0,VLOOKUP($F67,$F$24:$BZ$44,I$2-$E$2,FALSE)*$D$11*$D$14*(1+$D$13)^($F67-'הנחות עבודה'!$C$5)/$D$11)</f>
        <v>0</v>
      </c>
      <c r="J67" s="44">
        <f ca="1">IF($F67&gt;$D$5,0,VLOOKUP($F67,$F$24:$BZ$44,J$2-$E$2,FALSE)*$D$11*$D$14*(1+$D$13)^($F67-'הנחות עבודה'!$C$5)/$D$11)</f>
        <v>0</v>
      </c>
      <c r="K67" s="44">
        <f ca="1">IF($F67&gt;$D$5,0,VLOOKUP($F67,$F$24:$BZ$44,K$2-$E$2,FALSE)*$D$11*$D$14*(1+$D$13)^($F67-'הנחות עבודה'!$C$5)/$D$11)</f>
        <v>0</v>
      </c>
      <c r="L67" s="44">
        <f ca="1">IF($F67&gt;$D$5,0,VLOOKUP($F67,$F$24:$BZ$44,L$2-$E$2,FALSE)*$D$11*$D$14*(1+$D$13)^($F67-'הנחות עבודה'!$C$5)/$D$11)</f>
        <v>0</v>
      </c>
      <c r="M67" s="42">
        <f ca="1">IF($F67&gt;$D$5,0,VLOOKUP($F67,$F$24:$BZ$44,M$2-$E$2,FALSE)*$D$11*$D$14*(1+$D$13)^($F67-'הנחות עבודה'!$C$5)/$D$11)</f>
        <v>68.437055403190399</v>
      </c>
      <c r="N67" s="42">
        <f ca="1">IF($F67&gt;$D$5,0,VLOOKUP($F67,$F$24:$BZ$44,N$2-$E$2,FALSE)*$D$11*$D$14*(1+$D$13)^($F67-'הנחות עבודה'!$C$5)/$D$11)</f>
        <v>612.74540122327483</v>
      </c>
      <c r="O67" s="42">
        <f ca="1">IF($F67&gt;$D$5,0,VLOOKUP($F67,$F$24:$BZ$44,O$2-$E$2,FALSE)*$D$11*$D$14*(1+$D$13)^($F67-'הנחות עבודה'!$C$5)/$D$11)</f>
        <v>0</v>
      </c>
      <c r="P67" s="42">
        <f ca="1">IF($F67&gt;$D$5,0,VLOOKUP($F67,$F$24:$BZ$44,P$2-$E$2,FALSE)*$D$11*$D$14*(1+$D$13)^($F67-'הנחות עבודה'!$C$5)/$D$11)</f>
        <v>0</v>
      </c>
      <c r="Q67" s="42">
        <f ca="1">IF($F67&gt;$D$5,0,VLOOKUP($F67,$F$24:$BZ$44,Q$2-$E$2,FALSE)*$D$11*$D$14*(1+$D$13)^($F67-'הנחות עבודה'!$C$5)/$D$11)</f>
        <v>0</v>
      </c>
      <c r="R67" s="42">
        <f ca="1">IF($F67&gt;$D$5,0,VLOOKUP($F67,$F$24:$BZ$44,R$2-$E$2,FALSE)*$D$11*$D$14*(1+$D$13)^($F67-'הנחות עבודה'!$C$5)/$D$11)</f>
        <v>0</v>
      </c>
      <c r="S67" s="52">
        <f ca="1">IF($F67&gt;$D$5,0,VLOOKUP($F67,$F$24:$BZ$44,S$2-$E$2,FALSE)*$D$11*$D$14*(1+$D$13)^($F67-'הנחות עבודה'!$C$5)/$D$11)</f>
        <v>0</v>
      </c>
      <c r="T67" s="127">
        <f ca="1">IF($F67&gt;$D$5,0,VLOOKUP($F67,$F$24:$BZ$44,T$2-$E$2,FALSE)*$D$11*$D$14*(1+$D$13)^($F67-'הנחות עבודה'!$C$5)/$D$11)</f>
        <v>0</v>
      </c>
      <c r="U67" s="127">
        <f ca="1">IF($F67&gt;$D$5,0,VLOOKUP($F67,$F$24:$BZ$44,U$2-$E$2,FALSE)*$D$11*$D$14*(1+$D$13)^($F67-'הנחות עבודה'!$C$5)/$D$11)</f>
        <v>0</v>
      </c>
      <c r="V67" s="127">
        <f ca="1">IF($F67&gt;$D$5,0,VLOOKUP($F67,$F$24:$BZ$44,V$2-$E$2,FALSE)*$D$11*$D$14*(1+$D$13)^($F67-'הנחות עבודה'!$C$5)/$D$11)</f>
        <v>0</v>
      </c>
      <c r="W67" s="127">
        <f ca="1">IF($F67&gt;$D$5,0,VLOOKUP($F67,$F$24:$BZ$44,W$2-$E$2,FALSE)*$D$11*$D$14*(1+$D$13)^($F67-'הנחות עבודה'!$C$5)/$D$11)</f>
        <v>0</v>
      </c>
      <c r="X67" s="127">
        <f ca="1">IF($F67&gt;$D$5,0,VLOOKUP($F67,$F$24:$BZ$44,X$2-$E$2,FALSE)*$D$11*$D$14*(1+$D$13)^($F67-'הנחות עבודה'!$C$5)/$D$11)</f>
        <v>0</v>
      </c>
      <c r="Y67" s="52">
        <f ca="1">IF($F67&gt;$D$5,0,VLOOKUP($F67,$F$24:$BZ$44,Y$2-$E$2,FALSE)*$D$11*$D$14*(1+$D$13)^($F67-'הנחות עבודה'!$C$5)/$D$11)</f>
        <v>68.437055403190399</v>
      </c>
      <c r="Z67" s="52">
        <f ca="1">IF($F67&gt;$D$5,0,VLOOKUP($F67,$F$24:$BZ$44,Z$2-$E$2,FALSE)*$D$11*$D$14*(1+$D$13)^($F67-'הנחות עבודה'!$C$5)/$D$11)</f>
        <v>612.74540122327483</v>
      </c>
      <c r="AA67" s="52">
        <f ca="1">IF($F67&gt;$D$5,0,VLOOKUP($F67,$F$24:$BZ$44,AA$2-$E$2,FALSE)*$D$11*$D$14*(1+$D$13)^($F67-'הנחות עבודה'!$C$5)/$D$11)</f>
        <v>0</v>
      </c>
      <c r="AB67" s="52">
        <f ca="1">IF($F67&gt;$D$5,0,VLOOKUP($F67,$F$24:$BZ$44,AB$2-$E$2,FALSE)*$D$11*$D$14*(1+$D$13)^($F67-'הנחות עבודה'!$C$5)/$D$11)</f>
        <v>0</v>
      </c>
      <c r="AC67" s="52">
        <f ca="1">IF($F67&gt;$D$5,0,VLOOKUP($F67,$F$24:$BZ$44,AC$2-$E$2,FALSE)*$D$11*$D$14*(1+$D$13)^($F67-'הנחות עבודה'!$C$5)/$D$11)</f>
        <v>0</v>
      </c>
      <c r="AD67" s="52">
        <f ca="1">IF($F67&gt;$D$5,0,VLOOKUP($F67,$F$24:$BZ$44,AD$2-$E$2,FALSE)*$D$11*$D$14*(1+$D$13)^($F67-'הנחות עבודה'!$C$5)/$D$11)</f>
        <v>0</v>
      </c>
      <c r="AE67" s="42">
        <f ca="1">IF($F67&gt;$D$5,0,VLOOKUP($F67,$F$24:$BZ$44,AE$2-$E$2,FALSE)*$D$11*$D$14*(1+$D$13)^($F67-'הנחות עבודה'!$C$5)/$D$11)</f>
        <v>0</v>
      </c>
      <c r="AF67" s="44">
        <f ca="1">IF($F67&gt;$D$5,0,VLOOKUP($F67,$F$24:$BZ$44,AF$2-$E$2,FALSE)*$D$11*$D$14*(1+$D$13)^($F67-'הנחות עבודה'!$C$5)/$D$11)</f>
        <v>0</v>
      </c>
      <c r="AG67" s="44">
        <f ca="1">IF($F67&gt;$D$5,0,VLOOKUP($F67,$F$24:$BZ$44,AG$2-$E$2,FALSE)*$D$11*$D$14*(1+$D$13)^($F67-'הנחות עבודה'!$C$5)/$D$11)</f>
        <v>0</v>
      </c>
      <c r="AH67" s="44">
        <f ca="1">IF($F67&gt;$D$5,0,VLOOKUP($F67,$F$24:$BZ$44,AH$2-$E$2,FALSE)*$D$11*$D$14*(1+$D$13)^($F67-'הנחות עבודה'!$C$5)/$D$11)</f>
        <v>0</v>
      </c>
      <c r="AI67" s="44">
        <f ca="1">IF($F67&gt;$D$5,0,VLOOKUP($F67,$F$24:$BZ$44,AI$2-$E$2,FALSE)*$D$11*$D$14*(1+$D$13)^($F67-'הנחות עבודה'!$C$5)/$D$11)</f>
        <v>0</v>
      </c>
      <c r="AJ67" s="44">
        <f ca="1">IF($F67&gt;$D$5,0,VLOOKUP($F67,$F$24:$BZ$44,AJ$2-$E$2,FALSE)*$D$11*$D$14*(1+$D$13)^($F67-'הנחות עבודה'!$C$5)/$D$11)</f>
        <v>0</v>
      </c>
      <c r="AK67" s="42">
        <f ca="1">IF($F67&gt;$D$5,0,VLOOKUP($F67,$F$24:$BZ$44,AK$2-$E$2,FALSE)*$D$11*$D$14*(1+$D$13)^($F67-'הנחות עבודה'!$C$5)/$D$11)</f>
        <v>72.403066038121949</v>
      </c>
      <c r="AL67" s="42">
        <f ca="1">IF($F67&gt;$D$5,0,VLOOKUP($F67,$F$24:$BZ$44,AL$2-$E$2,FALSE)*$D$11*$D$14*(1+$D$13)^($F67-'הנחות עבודה'!$C$5)/$D$11)</f>
        <v>552.02819428638782</v>
      </c>
      <c r="AM67" s="42">
        <f ca="1">IF($F67&gt;$D$5,0,VLOOKUP($F67,$F$24:$BZ$44,AM$2-$E$2,FALSE)*$D$11*$D$14*(1+$D$13)^($F67-'הנחות עבודה'!$C$5)/$D$11)</f>
        <v>0</v>
      </c>
      <c r="AN67" s="42">
        <f ca="1">IF($F67&gt;$D$5,0,VLOOKUP($F67,$F$24:$BZ$44,AN$2-$E$2,FALSE)*$D$11*$D$14*(1+$D$13)^($F67-'הנחות עבודה'!$C$5)/$D$11)</f>
        <v>0</v>
      </c>
      <c r="AO67" s="42">
        <f ca="1">IF($F67&gt;$D$5,0,VLOOKUP($F67,$F$24:$BZ$44,AO$2-$E$2,FALSE)*$D$11*$D$14*(1+$D$13)^($F67-'הנחות עבודה'!$C$5)/$D$11)</f>
        <v>0</v>
      </c>
      <c r="AP67" s="42">
        <f ca="1">IF($F67&gt;$D$5,0,VLOOKUP($F67,$F$24:$BZ$44,AP$2-$E$2,FALSE)*$D$11*$D$14*(1+$D$13)^($F67-'הנחות עבודה'!$C$5)/$D$11)</f>
        <v>0</v>
      </c>
      <c r="AQ67" s="52">
        <f ca="1">IF($F67&gt;$D$5,0,VLOOKUP($F67,$F$24:$BZ$44,AQ$2-$E$2,FALSE)*$D$11*$D$14*(1+$D$13)^($F67-'הנחות עבודה'!$C$5)/$D$11)</f>
        <v>0</v>
      </c>
      <c r="AR67" s="127">
        <f ca="1">IF($F67&gt;$D$5,0,VLOOKUP($F67,$F$24:$BZ$44,AR$2-$E$2,FALSE)*$D$11*$D$14*(1+$D$13)^($F67-'הנחות עבודה'!$C$5)/$D$11)</f>
        <v>0</v>
      </c>
      <c r="AS67" s="127">
        <f ca="1">IF($F67&gt;$D$5,0,VLOOKUP($F67,$F$24:$BZ$44,AS$2-$E$2,FALSE)*$D$11*$D$14*(1+$D$13)^($F67-'הנחות עבודה'!$C$5)/$D$11)</f>
        <v>0</v>
      </c>
      <c r="AT67" s="127">
        <f ca="1">IF($F67&gt;$D$5,0,VLOOKUP($F67,$F$24:$BZ$44,AT$2-$E$2,FALSE)*$D$11*$D$14*(1+$D$13)^($F67-'הנחות עבודה'!$C$5)/$D$11)</f>
        <v>0</v>
      </c>
      <c r="AU67" s="127">
        <f ca="1">IF($F67&gt;$D$5,0,VLOOKUP($F67,$F$24:$BZ$44,AU$2-$E$2,FALSE)*$D$11*$D$14*(1+$D$13)^($F67-'הנחות עבודה'!$C$5)/$D$11)</f>
        <v>0</v>
      </c>
      <c r="AV67" s="127">
        <f ca="1">IF($F67&gt;$D$5,0,VLOOKUP($F67,$F$24:$BZ$44,AV$2-$E$2,FALSE)*$D$11*$D$14*(1+$D$13)^($F67-'הנחות עבודה'!$C$5)/$D$11)</f>
        <v>0</v>
      </c>
      <c r="AW67" s="52">
        <f ca="1">IF($F67&gt;$D$5,0,VLOOKUP($F67,$F$24:$BZ$44,AW$2-$E$2,FALSE)*$D$11*$D$14*(1+$D$13)^($F67-'הנחות עבודה'!$C$5)/$D$11)</f>
        <v>72.403066038121949</v>
      </c>
      <c r="AX67" s="52">
        <f ca="1">IF($F67&gt;$D$5,0,VLOOKUP($F67,$F$24:$BZ$44,AX$2-$E$2,FALSE)*$D$11*$D$14*(1+$D$13)^($F67-'הנחות עבודה'!$C$5)/$D$11)</f>
        <v>552.02819428638782</v>
      </c>
      <c r="AY67" s="52">
        <f ca="1">IF($F67&gt;$D$5,0,VLOOKUP($F67,$F$24:$BZ$44,AY$2-$E$2,FALSE)*$D$11*$D$14*(1+$D$13)^($F67-'הנחות עבודה'!$C$5)/$D$11)</f>
        <v>0</v>
      </c>
      <c r="AZ67" s="52">
        <f ca="1">IF($F67&gt;$D$5,0,VLOOKUP($F67,$F$24:$BZ$44,AZ$2-$E$2,FALSE)*$D$11*$D$14*(1+$D$13)^($F67-'הנחות עבודה'!$C$5)/$D$11)</f>
        <v>0</v>
      </c>
      <c r="BA67" s="52">
        <f ca="1">IF($F67&gt;$D$5,0,VLOOKUP($F67,$F$24:$BZ$44,BA$2-$E$2,FALSE)*$D$11*$D$14*(1+$D$13)^($F67-'הנחות עבודה'!$C$5)/$D$11)</f>
        <v>0</v>
      </c>
      <c r="BB67" s="52">
        <f ca="1">IF($F67&gt;$D$5,0,VLOOKUP($F67,$F$24:$BZ$44,BB$2-$E$2,FALSE)*$D$11*$D$14*(1+$D$13)^($F67-'הנחות עבודה'!$C$5)/$D$11)</f>
        <v>0</v>
      </c>
      <c r="BC67" s="42">
        <f ca="1">IF($F67&gt;$D$5,0,VLOOKUP($F67,$F$24:$BZ$44,BC$2-$E$2,FALSE)*$D$11*$D$14*(1+$D$13)^($F67-'הנחות עבודה'!$C$5)/$D$11)</f>
        <v>0</v>
      </c>
      <c r="BD67" s="44">
        <f ca="1">IF($F67&gt;$D$5,0,VLOOKUP($F67,$F$24:$BZ$44,BD$2-$E$2,FALSE)*$D$11*$D$14*(1+$D$13)^($F67-'הנחות עבודה'!$C$5)/$D$11)</f>
        <v>0</v>
      </c>
      <c r="BE67" s="44">
        <f ca="1">IF($F67&gt;$D$5,0,VLOOKUP($F67,$F$24:$BZ$44,BE$2-$E$2,FALSE)*$D$11*$D$14*(1+$D$13)^($F67-'הנחות עבודה'!$C$5)/$D$11)</f>
        <v>0</v>
      </c>
      <c r="BF67" s="44">
        <f ca="1">IF($F67&gt;$D$5,0,VLOOKUP($F67,$F$24:$BZ$44,BF$2-$E$2,FALSE)*$D$11*$D$14*(1+$D$13)^($F67-'הנחות עבודה'!$C$5)/$D$11)</f>
        <v>0</v>
      </c>
      <c r="BG67" s="44">
        <f ca="1">IF($F67&gt;$D$5,0,VLOOKUP($F67,$F$24:$BZ$44,BG$2-$E$2,FALSE)*$D$11*$D$14*(1+$D$13)^($F67-'הנחות עבודה'!$C$5)/$D$11)</f>
        <v>0</v>
      </c>
      <c r="BH67" s="44">
        <f ca="1">IF($F67&gt;$D$5,0,VLOOKUP($F67,$F$24:$BZ$44,BH$2-$E$2,FALSE)*$D$11*$D$14*(1+$D$13)^($F67-'הנחות עבודה'!$C$5)/$D$11)</f>
        <v>0</v>
      </c>
      <c r="BI67" s="42">
        <f ca="1">IF($F67&gt;$D$5,0,VLOOKUP($F67,$F$24:$BZ$44,BI$2-$E$2,FALSE)*$D$11*$D$14*(1+$D$13)^($F67-'הנחות עבודה'!$C$5)/$D$11)</f>
        <v>73.893845625552302</v>
      </c>
      <c r="BJ67" s="42">
        <f ca="1">IF($F67&gt;$D$5,0,VLOOKUP($F67,$F$24:$BZ$44,BJ$2-$E$2,FALSE)*$D$11*$D$14*(1+$D$13)^($F67-'הנחות עבודה'!$C$5)/$D$11)</f>
        <v>515.6858928891221</v>
      </c>
      <c r="BK67" s="42">
        <f ca="1">IF($F67&gt;$D$5,0,VLOOKUP($F67,$F$24:$BZ$44,BK$2-$E$2,FALSE)*$D$11*$D$14*(1+$D$13)^($F67-'הנחות עבודה'!$C$5)/$D$11)</f>
        <v>0</v>
      </c>
      <c r="BL67" s="42">
        <f ca="1">IF($F67&gt;$D$5,0,VLOOKUP($F67,$F$24:$BZ$44,BL$2-$E$2,FALSE)*$D$11*$D$14*(1+$D$13)^($F67-'הנחות עבודה'!$C$5)/$D$11)</f>
        <v>0</v>
      </c>
      <c r="BM67" s="42">
        <f ca="1">IF($F67&gt;$D$5,0,VLOOKUP($F67,$F$24:$BZ$44,BM$2-$E$2,FALSE)*$D$11*$D$14*(1+$D$13)^($F67-'הנחות עבודה'!$C$5)/$D$11)</f>
        <v>0</v>
      </c>
      <c r="BN67" s="42">
        <f ca="1">IF($F67&gt;$D$5,0,VLOOKUP($F67,$F$24:$BZ$44,BN$2-$E$2,FALSE)*$D$11*$D$14*(1+$D$13)^($F67-'הנחות עבודה'!$C$5)/$D$11)</f>
        <v>0</v>
      </c>
      <c r="BO67" s="52">
        <f ca="1">IF($F67&gt;$D$5,0,VLOOKUP($F67,$F$24:$BZ$44,BO$2-$E$2,FALSE)*$D$11*$D$14*(1+$D$13)^($F67-'הנחות עבודה'!$C$5)/$D$11)</f>
        <v>0</v>
      </c>
      <c r="BP67" s="127">
        <f ca="1">IF($F67&gt;$D$5,0,VLOOKUP($F67,$F$24:$BZ$44,BP$2-$E$2,FALSE)*$D$11*$D$14*(1+$D$13)^($F67-'הנחות עבודה'!$C$5)/$D$11)</f>
        <v>0</v>
      </c>
      <c r="BQ67" s="127">
        <f ca="1">IF($F67&gt;$D$5,0,VLOOKUP($F67,$F$24:$BZ$44,BQ$2-$E$2,FALSE)*$D$11*$D$14*(1+$D$13)^($F67-'הנחות עבודה'!$C$5)/$D$11)</f>
        <v>0</v>
      </c>
      <c r="BR67" s="127">
        <f ca="1">IF($F67&gt;$D$5,0,VLOOKUP($F67,$F$24:$BZ$44,BR$2-$E$2,FALSE)*$D$11*$D$14*(1+$D$13)^($F67-'הנחות עבודה'!$C$5)/$D$11)</f>
        <v>0</v>
      </c>
      <c r="BS67" s="127">
        <f ca="1">IF($F67&gt;$D$5,0,VLOOKUP($F67,$F$24:$BZ$44,BS$2-$E$2,FALSE)*$D$11*$D$14*(1+$D$13)^($F67-'הנחות עבודה'!$C$5)/$D$11)</f>
        <v>0</v>
      </c>
      <c r="BT67" s="127">
        <f ca="1">IF($F67&gt;$D$5,0,VLOOKUP($F67,$F$24:$BZ$44,BT$2-$E$2,FALSE)*$D$11*$D$14*(1+$D$13)^($F67-'הנחות עבודה'!$C$5)/$D$11)</f>
        <v>0</v>
      </c>
      <c r="BU67" s="52">
        <f ca="1">IF($F67&gt;$D$5,0,VLOOKUP($F67,$F$24:$BZ$44,BU$2-$E$2,FALSE)*$D$11*$D$14*(1+$D$13)^($F67-'הנחות עבודה'!$C$5)/$D$11)</f>
        <v>73.893845625552302</v>
      </c>
      <c r="BV67" s="52">
        <f ca="1">IF($F67&gt;$D$5,0,VLOOKUP($F67,$F$24:$BZ$44,BV$2-$E$2,FALSE)*$D$11*$D$14*(1+$D$13)^($F67-'הנחות עבודה'!$C$5)/$D$11)</f>
        <v>515.6858928891221</v>
      </c>
      <c r="BW67" s="52">
        <f ca="1">IF($F67&gt;$D$5,0,VLOOKUP($F67,$F$24:$BZ$44,BW$2-$E$2,FALSE)*$D$11*$D$14*(1+$D$13)^($F67-'הנחות עבודה'!$C$5)/$D$11)</f>
        <v>0</v>
      </c>
      <c r="BX67" s="52">
        <f ca="1">IF($F67&gt;$D$5,0,VLOOKUP($F67,$F$24:$BZ$44,BX$2-$E$2,FALSE)*$D$11*$D$14*(1+$D$13)^($F67-'הנחות עבודה'!$C$5)/$D$11)</f>
        <v>0</v>
      </c>
      <c r="BY67" s="52">
        <f ca="1">IF($F67&gt;$D$5,0,VLOOKUP($F67,$F$24:$BZ$44,BY$2-$E$2,FALSE)*$D$11*$D$14*(1+$D$13)^($F67-'הנחות עבודה'!$C$5)/$D$11)</f>
        <v>0</v>
      </c>
      <c r="BZ67" s="52">
        <f ca="1">IF($F67&gt;$D$5,0,VLOOKUP($F67,$F$24:$BZ$44,BZ$2-$E$2,FALSE)*$D$11*$D$14*(1+$D$13)^($F67-'הנחות עבודה'!$C$5)/$D$11)</f>
        <v>0</v>
      </c>
    </row>
    <row r="68" spans="6:78" ht="15.75">
      <c r="F68" s="10">
        <f t="shared" si="129"/>
        <v>2037</v>
      </c>
      <c r="G68" s="42">
        <f ca="1">IF($F68&gt;$D$5,0,VLOOKUP($F68,$F$24:$BZ$44,G$2-$E$2,FALSE)*$D$11*$D$14*(1+$D$13)^($F68-'הנחות עבודה'!$C$5)/$D$11)</f>
        <v>0</v>
      </c>
      <c r="H68" s="44">
        <f ca="1">IF($F68&gt;$D$5,0,VLOOKUP($F68,$F$24:$BZ$44,H$2-$E$2,FALSE)*$D$11*$D$14*(1+$D$13)^($F68-'הנחות עבודה'!$C$5)/$D$11)</f>
        <v>0</v>
      </c>
      <c r="I68" s="44">
        <f ca="1">IF($F68&gt;$D$5,0,VLOOKUP($F68,$F$24:$BZ$44,I$2-$E$2,FALSE)*$D$11*$D$14*(1+$D$13)^($F68-'הנחות עבודה'!$C$5)/$D$11)</f>
        <v>0</v>
      </c>
      <c r="J68" s="44">
        <f ca="1">IF($F68&gt;$D$5,0,VLOOKUP($F68,$F$24:$BZ$44,J$2-$E$2,FALSE)*$D$11*$D$14*(1+$D$13)^($F68-'הנחות עבודה'!$C$5)/$D$11)</f>
        <v>0</v>
      </c>
      <c r="K68" s="44">
        <f ca="1">IF($F68&gt;$D$5,0,VLOOKUP($F68,$F$24:$BZ$44,K$2-$E$2,FALSE)*$D$11*$D$14*(1+$D$13)^($F68-'הנחות עבודה'!$C$5)/$D$11)</f>
        <v>0</v>
      </c>
      <c r="L68" s="44">
        <f ca="1">IF($F68&gt;$D$5,0,VLOOKUP($F68,$F$24:$BZ$44,L$2-$E$2,FALSE)*$D$11*$D$14*(1+$D$13)^($F68-'הנחות עבודה'!$C$5)/$D$11)</f>
        <v>0</v>
      </c>
      <c r="M68" s="42">
        <f ca="1">IF($F68&gt;$D$5,0,VLOOKUP($F68,$F$24:$BZ$44,M$2-$E$2,FALSE)*$D$11*$D$14*(1+$D$13)^($F68-'הנחות עבודה'!$C$5)/$D$11)</f>
        <v>71.465258512990388</v>
      </c>
      <c r="N68" s="42">
        <f ca="1">IF($F68&gt;$D$5,0,VLOOKUP($F68,$F$24:$BZ$44,N$2-$E$2,FALSE)*$D$11*$D$14*(1+$D$13)^($F68-'הנחות עבודה'!$C$5)/$D$11)</f>
        <v>658.10181701857584</v>
      </c>
      <c r="O68" s="42">
        <f ca="1">IF($F68&gt;$D$5,0,VLOOKUP($F68,$F$24:$BZ$44,O$2-$E$2,FALSE)*$D$11*$D$14*(1+$D$13)^($F68-'הנחות עבודה'!$C$5)/$D$11)</f>
        <v>0</v>
      </c>
      <c r="P68" s="42">
        <f ca="1">IF($F68&gt;$D$5,0,VLOOKUP($F68,$F$24:$BZ$44,P$2-$E$2,FALSE)*$D$11*$D$14*(1+$D$13)^($F68-'הנחות עבודה'!$C$5)/$D$11)</f>
        <v>0</v>
      </c>
      <c r="Q68" s="42">
        <f ca="1">IF($F68&gt;$D$5,0,VLOOKUP($F68,$F$24:$BZ$44,Q$2-$E$2,FALSE)*$D$11*$D$14*(1+$D$13)^($F68-'הנחות עבודה'!$C$5)/$D$11)</f>
        <v>0</v>
      </c>
      <c r="R68" s="42">
        <f ca="1">IF($F68&gt;$D$5,0,VLOOKUP($F68,$F$24:$BZ$44,R$2-$E$2,FALSE)*$D$11*$D$14*(1+$D$13)^($F68-'הנחות עבודה'!$C$5)/$D$11)</f>
        <v>0</v>
      </c>
      <c r="S68" s="52">
        <f ca="1">IF($F68&gt;$D$5,0,VLOOKUP($F68,$F$24:$BZ$44,S$2-$E$2,FALSE)*$D$11*$D$14*(1+$D$13)^($F68-'הנחות עבודה'!$C$5)/$D$11)</f>
        <v>0</v>
      </c>
      <c r="T68" s="127">
        <f ca="1">IF($F68&gt;$D$5,0,VLOOKUP($F68,$F$24:$BZ$44,T$2-$E$2,FALSE)*$D$11*$D$14*(1+$D$13)^($F68-'הנחות עבודה'!$C$5)/$D$11)</f>
        <v>0</v>
      </c>
      <c r="U68" s="127">
        <f ca="1">IF($F68&gt;$D$5,0,VLOOKUP($F68,$F$24:$BZ$44,U$2-$E$2,FALSE)*$D$11*$D$14*(1+$D$13)^($F68-'הנחות עבודה'!$C$5)/$D$11)</f>
        <v>0</v>
      </c>
      <c r="V68" s="127">
        <f ca="1">IF($F68&gt;$D$5,0,VLOOKUP($F68,$F$24:$BZ$44,V$2-$E$2,FALSE)*$D$11*$D$14*(1+$D$13)^($F68-'הנחות עבודה'!$C$5)/$D$11)</f>
        <v>0</v>
      </c>
      <c r="W68" s="127">
        <f ca="1">IF($F68&gt;$D$5,0,VLOOKUP($F68,$F$24:$BZ$44,W$2-$E$2,FALSE)*$D$11*$D$14*(1+$D$13)^($F68-'הנחות עבודה'!$C$5)/$D$11)</f>
        <v>0</v>
      </c>
      <c r="X68" s="127">
        <f ca="1">IF($F68&gt;$D$5,0,VLOOKUP($F68,$F$24:$BZ$44,X$2-$E$2,FALSE)*$D$11*$D$14*(1+$D$13)^($F68-'הנחות עבודה'!$C$5)/$D$11)</f>
        <v>0</v>
      </c>
      <c r="Y68" s="52">
        <f ca="1">IF($F68&gt;$D$5,0,VLOOKUP($F68,$F$24:$BZ$44,Y$2-$E$2,FALSE)*$D$11*$D$14*(1+$D$13)^($F68-'הנחות עבודה'!$C$5)/$D$11)</f>
        <v>71.465258512990388</v>
      </c>
      <c r="Z68" s="52">
        <f ca="1">IF($F68&gt;$D$5,0,VLOOKUP($F68,$F$24:$BZ$44,Z$2-$E$2,FALSE)*$D$11*$D$14*(1+$D$13)^($F68-'הנחות עבודה'!$C$5)/$D$11)</f>
        <v>658.10181701857584</v>
      </c>
      <c r="AA68" s="52">
        <f ca="1">IF($F68&gt;$D$5,0,VLOOKUP($F68,$F$24:$BZ$44,AA$2-$E$2,FALSE)*$D$11*$D$14*(1+$D$13)^($F68-'הנחות עבודה'!$C$5)/$D$11)</f>
        <v>0</v>
      </c>
      <c r="AB68" s="52">
        <f ca="1">IF($F68&gt;$D$5,0,VLOOKUP($F68,$F$24:$BZ$44,AB$2-$E$2,FALSE)*$D$11*$D$14*(1+$D$13)^($F68-'הנחות עבודה'!$C$5)/$D$11)</f>
        <v>0</v>
      </c>
      <c r="AC68" s="52">
        <f ca="1">IF($F68&gt;$D$5,0,VLOOKUP($F68,$F$24:$BZ$44,AC$2-$E$2,FALSE)*$D$11*$D$14*(1+$D$13)^($F68-'הנחות עבודה'!$C$5)/$D$11)</f>
        <v>0</v>
      </c>
      <c r="AD68" s="52">
        <f ca="1">IF($F68&gt;$D$5,0,VLOOKUP($F68,$F$24:$BZ$44,AD$2-$E$2,FALSE)*$D$11*$D$14*(1+$D$13)^($F68-'הנחות עבודה'!$C$5)/$D$11)</f>
        <v>0</v>
      </c>
      <c r="AE68" s="42">
        <f ca="1">IF($F68&gt;$D$5,0,VLOOKUP($F68,$F$24:$BZ$44,AE$2-$E$2,FALSE)*$D$11*$D$14*(1+$D$13)^($F68-'הנחות עבודה'!$C$5)/$D$11)</f>
        <v>0</v>
      </c>
      <c r="AF68" s="44">
        <f ca="1">IF($F68&gt;$D$5,0,VLOOKUP($F68,$F$24:$BZ$44,AF$2-$E$2,FALSE)*$D$11*$D$14*(1+$D$13)^($F68-'הנחות עבודה'!$C$5)/$D$11)</f>
        <v>0</v>
      </c>
      <c r="AG68" s="44">
        <f ca="1">IF($F68&gt;$D$5,0,VLOOKUP($F68,$F$24:$BZ$44,AG$2-$E$2,FALSE)*$D$11*$D$14*(1+$D$13)^($F68-'הנחות עבודה'!$C$5)/$D$11)</f>
        <v>0</v>
      </c>
      <c r="AH68" s="44">
        <f ca="1">IF($F68&gt;$D$5,0,VLOOKUP($F68,$F$24:$BZ$44,AH$2-$E$2,FALSE)*$D$11*$D$14*(1+$D$13)^($F68-'הנחות עבודה'!$C$5)/$D$11)</f>
        <v>0</v>
      </c>
      <c r="AI68" s="44">
        <f ca="1">IF($F68&gt;$D$5,0,VLOOKUP($F68,$F$24:$BZ$44,AI$2-$E$2,FALSE)*$D$11*$D$14*(1+$D$13)^($F68-'הנחות עבודה'!$C$5)/$D$11)</f>
        <v>0</v>
      </c>
      <c r="AJ68" s="44">
        <f ca="1">IF($F68&gt;$D$5,0,VLOOKUP($F68,$F$24:$BZ$44,AJ$2-$E$2,FALSE)*$D$11*$D$14*(1+$D$13)^($F68-'הנחות עבודה'!$C$5)/$D$11)</f>
        <v>0</v>
      </c>
      <c r="AK68" s="42">
        <f ca="1">IF($F68&gt;$D$5,0,VLOOKUP($F68,$F$24:$BZ$44,AK$2-$E$2,FALSE)*$D$11*$D$14*(1+$D$13)^($F68-'הנחות עבודה'!$C$5)/$D$11)</f>
        <v>74.624062527750624</v>
      </c>
      <c r="AL68" s="42">
        <f ca="1">IF($F68&gt;$D$5,0,VLOOKUP($F68,$F$24:$BZ$44,AL$2-$E$2,FALSE)*$D$11*$D$14*(1+$D$13)^($F68-'הנחות עבודה'!$C$5)/$D$11)</f>
        <v>597.219317213164</v>
      </c>
      <c r="AM68" s="42">
        <f ca="1">IF($F68&gt;$D$5,0,VLOOKUP($F68,$F$24:$BZ$44,AM$2-$E$2,FALSE)*$D$11*$D$14*(1+$D$13)^($F68-'הנחות עבודה'!$C$5)/$D$11)</f>
        <v>0</v>
      </c>
      <c r="AN68" s="42">
        <f ca="1">IF($F68&gt;$D$5,0,VLOOKUP($F68,$F$24:$BZ$44,AN$2-$E$2,FALSE)*$D$11*$D$14*(1+$D$13)^($F68-'הנחות עבודה'!$C$5)/$D$11)</f>
        <v>0</v>
      </c>
      <c r="AO68" s="42">
        <f ca="1">IF($F68&gt;$D$5,0,VLOOKUP($F68,$F$24:$BZ$44,AO$2-$E$2,FALSE)*$D$11*$D$14*(1+$D$13)^($F68-'הנחות עבודה'!$C$5)/$D$11)</f>
        <v>0</v>
      </c>
      <c r="AP68" s="42">
        <f ca="1">IF($F68&gt;$D$5,0,VLOOKUP($F68,$F$24:$BZ$44,AP$2-$E$2,FALSE)*$D$11*$D$14*(1+$D$13)^($F68-'הנחות עבודה'!$C$5)/$D$11)</f>
        <v>0</v>
      </c>
      <c r="AQ68" s="52">
        <f ca="1">IF($F68&gt;$D$5,0,VLOOKUP($F68,$F$24:$BZ$44,AQ$2-$E$2,FALSE)*$D$11*$D$14*(1+$D$13)^($F68-'הנחות עבודה'!$C$5)/$D$11)</f>
        <v>0</v>
      </c>
      <c r="AR68" s="127">
        <f ca="1">IF($F68&gt;$D$5,0,VLOOKUP($F68,$F$24:$BZ$44,AR$2-$E$2,FALSE)*$D$11*$D$14*(1+$D$13)^($F68-'הנחות עבודה'!$C$5)/$D$11)</f>
        <v>0</v>
      </c>
      <c r="AS68" s="127">
        <f ca="1">IF($F68&gt;$D$5,0,VLOOKUP($F68,$F$24:$BZ$44,AS$2-$E$2,FALSE)*$D$11*$D$14*(1+$D$13)^($F68-'הנחות עבודה'!$C$5)/$D$11)</f>
        <v>0</v>
      </c>
      <c r="AT68" s="127">
        <f ca="1">IF($F68&gt;$D$5,0,VLOOKUP($F68,$F$24:$BZ$44,AT$2-$E$2,FALSE)*$D$11*$D$14*(1+$D$13)^($F68-'הנחות עבודה'!$C$5)/$D$11)</f>
        <v>0</v>
      </c>
      <c r="AU68" s="127">
        <f ca="1">IF($F68&gt;$D$5,0,VLOOKUP($F68,$F$24:$BZ$44,AU$2-$E$2,FALSE)*$D$11*$D$14*(1+$D$13)^($F68-'הנחות עבודה'!$C$5)/$D$11)</f>
        <v>0</v>
      </c>
      <c r="AV68" s="127">
        <f ca="1">IF($F68&gt;$D$5,0,VLOOKUP($F68,$F$24:$BZ$44,AV$2-$E$2,FALSE)*$D$11*$D$14*(1+$D$13)^($F68-'הנחות עבודה'!$C$5)/$D$11)</f>
        <v>0</v>
      </c>
      <c r="AW68" s="52">
        <f ca="1">IF($F68&gt;$D$5,0,VLOOKUP($F68,$F$24:$BZ$44,AW$2-$E$2,FALSE)*$D$11*$D$14*(1+$D$13)^($F68-'הנחות עבודה'!$C$5)/$D$11)</f>
        <v>74.624062527750624</v>
      </c>
      <c r="AX68" s="52">
        <f ca="1">IF($F68&gt;$D$5,0,VLOOKUP($F68,$F$24:$BZ$44,AX$2-$E$2,FALSE)*$D$11*$D$14*(1+$D$13)^($F68-'הנחות עבודה'!$C$5)/$D$11)</f>
        <v>597.219317213164</v>
      </c>
      <c r="AY68" s="52">
        <f ca="1">IF($F68&gt;$D$5,0,VLOOKUP($F68,$F$24:$BZ$44,AY$2-$E$2,FALSE)*$D$11*$D$14*(1+$D$13)^($F68-'הנחות עבודה'!$C$5)/$D$11)</f>
        <v>0</v>
      </c>
      <c r="AZ68" s="52">
        <f ca="1">IF($F68&gt;$D$5,0,VLOOKUP($F68,$F$24:$BZ$44,AZ$2-$E$2,FALSE)*$D$11*$D$14*(1+$D$13)^($F68-'הנחות עבודה'!$C$5)/$D$11)</f>
        <v>0</v>
      </c>
      <c r="BA68" s="52">
        <f ca="1">IF($F68&gt;$D$5,0,VLOOKUP($F68,$F$24:$BZ$44,BA$2-$E$2,FALSE)*$D$11*$D$14*(1+$D$13)^($F68-'הנחות עבודה'!$C$5)/$D$11)</f>
        <v>0</v>
      </c>
      <c r="BB68" s="52">
        <f ca="1">IF($F68&gt;$D$5,0,VLOOKUP($F68,$F$24:$BZ$44,BB$2-$E$2,FALSE)*$D$11*$D$14*(1+$D$13)^($F68-'הנחות עבודה'!$C$5)/$D$11)</f>
        <v>0</v>
      </c>
      <c r="BC68" s="42">
        <f ca="1">IF($F68&gt;$D$5,0,VLOOKUP($F68,$F$24:$BZ$44,BC$2-$E$2,FALSE)*$D$11*$D$14*(1+$D$13)^($F68-'הנחות עבודה'!$C$5)/$D$11)</f>
        <v>0</v>
      </c>
      <c r="BD68" s="44">
        <f ca="1">IF($F68&gt;$D$5,0,VLOOKUP($F68,$F$24:$BZ$44,BD$2-$E$2,FALSE)*$D$11*$D$14*(1+$D$13)^($F68-'הנחות עבודה'!$C$5)/$D$11)</f>
        <v>0</v>
      </c>
      <c r="BE68" s="44">
        <f ca="1">IF($F68&gt;$D$5,0,VLOOKUP($F68,$F$24:$BZ$44,BE$2-$E$2,FALSE)*$D$11*$D$14*(1+$D$13)^($F68-'הנחות עבודה'!$C$5)/$D$11)</f>
        <v>0</v>
      </c>
      <c r="BF68" s="44">
        <f ca="1">IF($F68&gt;$D$5,0,VLOOKUP($F68,$F$24:$BZ$44,BF$2-$E$2,FALSE)*$D$11*$D$14*(1+$D$13)^($F68-'הנחות עבודה'!$C$5)/$D$11)</f>
        <v>0</v>
      </c>
      <c r="BG68" s="44">
        <f ca="1">IF($F68&gt;$D$5,0,VLOOKUP($F68,$F$24:$BZ$44,BG$2-$E$2,FALSE)*$D$11*$D$14*(1+$D$13)^($F68-'הנחות עבודה'!$C$5)/$D$11)</f>
        <v>0</v>
      </c>
      <c r="BH68" s="44">
        <f ca="1">IF($F68&gt;$D$5,0,VLOOKUP($F68,$F$24:$BZ$44,BH$2-$E$2,FALSE)*$D$11*$D$14*(1+$D$13)^($F68-'הנחות עבודה'!$C$5)/$D$11)</f>
        <v>0</v>
      </c>
      <c r="BI68" s="42">
        <f ca="1">IF($F68&gt;$D$5,0,VLOOKUP($F68,$F$24:$BZ$44,BI$2-$E$2,FALSE)*$D$11*$D$14*(1+$D$13)^($F68-'הנחות עבודה'!$C$5)/$D$11)</f>
        <v>76.12415198594195</v>
      </c>
      <c r="BJ68" s="42">
        <f ca="1">IF($F68&gt;$D$5,0,VLOOKUP($F68,$F$24:$BZ$44,BJ$2-$E$2,FALSE)*$D$11*$D$14*(1+$D$13)^($F68-'הנחות עבודה'!$C$5)/$D$11)</f>
        <v>559.99280169925203</v>
      </c>
      <c r="BK68" s="42">
        <f ca="1">IF($F68&gt;$D$5,0,VLOOKUP($F68,$F$24:$BZ$44,BK$2-$E$2,FALSE)*$D$11*$D$14*(1+$D$13)^($F68-'הנחות עבודה'!$C$5)/$D$11)</f>
        <v>0</v>
      </c>
      <c r="BL68" s="42">
        <f ca="1">IF($F68&gt;$D$5,0,VLOOKUP($F68,$F$24:$BZ$44,BL$2-$E$2,FALSE)*$D$11*$D$14*(1+$D$13)^($F68-'הנחות עבודה'!$C$5)/$D$11)</f>
        <v>0</v>
      </c>
      <c r="BM68" s="42">
        <f ca="1">IF($F68&gt;$D$5,0,VLOOKUP($F68,$F$24:$BZ$44,BM$2-$E$2,FALSE)*$D$11*$D$14*(1+$D$13)^($F68-'הנחות עבודה'!$C$5)/$D$11)</f>
        <v>0</v>
      </c>
      <c r="BN68" s="42">
        <f ca="1">IF($F68&gt;$D$5,0,VLOOKUP($F68,$F$24:$BZ$44,BN$2-$E$2,FALSE)*$D$11*$D$14*(1+$D$13)^($F68-'הנחות עבודה'!$C$5)/$D$11)</f>
        <v>0</v>
      </c>
      <c r="BO68" s="52">
        <f ca="1">IF($F68&gt;$D$5,0,VLOOKUP($F68,$F$24:$BZ$44,BO$2-$E$2,FALSE)*$D$11*$D$14*(1+$D$13)^($F68-'הנחות עבודה'!$C$5)/$D$11)</f>
        <v>0</v>
      </c>
      <c r="BP68" s="127">
        <f ca="1">IF($F68&gt;$D$5,0,VLOOKUP($F68,$F$24:$BZ$44,BP$2-$E$2,FALSE)*$D$11*$D$14*(1+$D$13)^($F68-'הנחות עבודה'!$C$5)/$D$11)</f>
        <v>0</v>
      </c>
      <c r="BQ68" s="127">
        <f ca="1">IF($F68&gt;$D$5,0,VLOOKUP($F68,$F$24:$BZ$44,BQ$2-$E$2,FALSE)*$D$11*$D$14*(1+$D$13)^($F68-'הנחות עבודה'!$C$5)/$D$11)</f>
        <v>0</v>
      </c>
      <c r="BR68" s="127">
        <f ca="1">IF($F68&gt;$D$5,0,VLOOKUP($F68,$F$24:$BZ$44,BR$2-$E$2,FALSE)*$D$11*$D$14*(1+$D$13)^($F68-'הנחות עבודה'!$C$5)/$D$11)</f>
        <v>0</v>
      </c>
      <c r="BS68" s="127">
        <f ca="1">IF($F68&gt;$D$5,0,VLOOKUP($F68,$F$24:$BZ$44,BS$2-$E$2,FALSE)*$D$11*$D$14*(1+$D$13)^($F68-'הנחות עבודה'!$C$5)/$D$11)</f>
        <v>0</v>
      </c>
      <c r="BT68" s="127">
        <f ca="1">IF($F68&gt;$D$5,0,VLOOKUP($F68,$F$24:$BZ$44,BT$2-$E$2,FALSE)*$D$11*$D$14*(1+$D$13)^($F68-'הנחות עבודה'!$C$5)/$D$11)</f>
        <v>0</v>
      </c>
      <c r="BU68" s="52">
        <f ca="1">IF($F68&gt;$D$5,0,VLOOKUP($F68,$F$24:$BZ$44,BU$2-$E$2,FALSE)*$D$11*$D$14*(1+$D$13)^($F68-'הנחות עבודה'!$C$5)/$D$11)</f>
        <v>76.12415198594195</v>
      </c>
      <c r="BV68" s="52">
        <f ca="1">IF($F68&gt;$D$5,0,VLOOKUP($F68,$F$24:$BZ$44,BV$2-$E$2,FALSE)*$D$11*$D$14*(1+$D$13)^($F68-'הנחות עבודה'!$C$5)/$D$11)</f>
        <v>559.99280169925203</v>
      </c>
      <c r="BW68" s="52">
        <f ca="1">IF($F68&gt;$D$5,0,VLOOKUP($F68,$F$24:$BZ$44,BW$2-$E$2,FALSE)*$D$11*$D$14*(1+$D$13)^($F68-'הנחות עבודה'!$C$5)/$D$11)</f>
        <v>0</v>
      </c>
      <c r="BX68" s="52">
        <f ca="1">IF($F68&gt;$D$5,0,VLOOKUP($F68,$F$24:$BZ$44,BX$2-$E$2,FALSE)*$D$11*$D$14*(1+$D$13)^($F68-'הנחות עבודה'!$C$5)/$D$11)</f>
        <v>0</v>
      </c>
      <c r="BY68" s="52">
        <f ca="1">IF($F68&gt;$D$5,0,VLOOKUP($F68,$F$24:$BZ$44,BY$2-$E$2,FALSE)*$D$11*$D$14*(1+$D$13)^($F68-'הנחות עבודה'!$C$5)/$D$11)</f>
        <v>0</v>
      </c>
      <c r="BZ68" s="52">
        <f ca="1">IF($F68&gt;$D$5,0,VLOOKUP($F68,$F$24:$BZ$44,BZ$2-$E$2,FALSE)*$D$11*$D$14*(1+$D$13)^($F68-'הנחות עבודה'!$C$5)/$D$11)</f>
        <v>0</v>
      </c>
    </row>
    <row r="69" spans="6:78" ht="15.75">
      <c r="F69" s="10">
        <f t="shared" si="129"/>
        <v>2038</v>
      </c>
      <c r="G69" s="42">
        <f ca="1">IF($F69&gt;$D$5,0,VLOOKUP($F69,$F$24:$BZ$44,G$2-$E$2,FALSE)*$D$11*$D$14*(1+$D$13)^($F69-'הנחות עבודה'!$C$5)/$D$11)</f>
        <v>0</v>
      </c>
      <c r="H69" s="44">
        <f ca="1">IF($F69&gt;$D$5,0,VLOOKUP($F69,$F$24:$BZ$44,H$2-$E$2,FALSE)*$D$11*$D$14*(1+$D$13)^($F69-'הנחות עבודה'!$C$5)/$D$11)</f>
        <v>0</v>
      </c>
      <c r="I69" s="44">
        <f ca="1">IF($F69&gt;$D$5,0,VLOOKUP($F69,$F$24:$BZ$44,I$2-$E$2,FALSE)*$D$11*$D$14*(1+$D$13)^($F69-'הנחות עבודה'!$C$5)/$D$11)</f>
        <v>0</v>
      </c>
      <c r="J69" s="44">
        <f ca="1">IF($F69&gt;$D$5,0,VLOOKUP($F69,$F$24:$BZ$44,J$2-$E$2,FALSE)*$D$11*$D$14*(1+$D$13)^($F69-'הנחות עבודה'!$C$5)/$D$11)</f>
        <v>0</v>
      </c>
      <c r="K69" s="44">
        <f ca="1">IF($F69&gt;$D$5,0,VLOOKUP($F69,$F$24:$BZ$44,K$2-$E$2,FALSE)*$D$11*$D$14*(1+$D$13)^($F69-'הנחות עבודה'!$C$5)/$D$11)</f>
        <v>0</v>
      </c>
      <c r="L69" s="44">
        <f ca="1">IF($F69&gt;$D$5,0,VLOOKUP($F69,$F$24:$BZ$44,L$2-$E$2,FALSE)*$D$11*$D$14*(1+$D$13)^($F69-'הנחות עבודה'!$C$5)/$D$11)</f>
        <v>0</v>
      </c>
      <c r="M69" s="42">
        <f ca="1">IF($F69&gt;$D$5,0,VLOOKUP($F69,$F$24:$BZ$44,M$2-$E$2,FALSE)*$D$11*$D$14*(1+$D$13)^($F69-'הנחות עבודה'!$C$5)/$D$11)</f>
        <v>74.608206207704526</v>
      </c>
      <c r="N69" s="42">
        <f ca="1">IF($F69&gt;$D$5,0,VLOOKUP($F69,$F$24:$BZ$44,N$2-$E$2,FALSE)*$D$11*$D$14*(1+$D$13)^($F69-'הנחות עבודה'!$C$5)/$D$11)</f>
        <v>706.63050553108144</v>
      </c>
      <c r="O69" s="42">
        <f ca="1">IF($F69&gt;$D$5,0,VLOOKUP($F69,$F$24:$BZ$44,O$2-$E$2,FALSE)*$D$11*$D$14*(1+$D$13)^($F69-'הנחות עבודה'!$C$5)/$D$11)</f>
        <v>0</v>
      </c>
      <c r="P69" s="42">
        <f ca="1">IF($F69&gt;$D$5,0,VLOOKUP($F69,$F$24:$BZ$44,P$2-$E$2,FALSE)*$D$11*$D$14*(1+$D$13)^($F69-'הנחות עבודה'!$C$5)/$D$11)</f>
        <v>0</v>
      </c>
      <c r="Q69" s="42">
        <f ca="1">IF($F69&gt;$D$5,0,VLOOKUP($F69,$F$24:$BZ$44,Q$2-$E$2,FALSE)*$D$11*$D$14*(1+$D$13)^($F69-'הנחות עבודה'!$C$5)/$D$11)</f>
        <v>0</v>
      </c>
      <c r="R69" s="42">
        <f ca="1">IF($F69&gt;$D$5,0,VLOOKUP($F69,$F$24:$BZ$44,R$2-$E$2,FALSE)*$D$11*$D$14*(1+$D$13)^($F69-'הנחות עבודה'!$C$5)/$D$11)</f>
        <v>0</v>
      </c>
      <c r="S69" s="52">
        <f ca="1">IF($F69&gt;$D$5,0,VLOOKUP($F69,$F$24:$BZ$44,S$2-$E$2,FALSE)*$D$11*$D$14*(1+$D$13)^($F69-'הנחות עבודה'!$C$5)/$D$11)</f>
        <v>0</v>
      </c>
      <c r="T69" s="127">
        <f ca="1">IF($F69&gt;$D$5,0,VLOOKUP($F69,$F$24:$BZ$44,T$2-$E$2,FALSE)*$D$11*$D$14*(1+$D$13)^($F69-'הנחות עבודה'!$C$5)/$D$11)</f>
        <v>0</v>
      </c>
      <c r="U69" s="127">
        <f ca="1">IF($F69&gt;$D$5,0,VLOOKUP($F69,$F$24:$BZ$44,U$2-$E$2,FALSE)*$D$11*$D$14*(1+$D$13)^($F69-'הנחות עבודה'!$C$5)/$D$11)</f>
        <v>0</v>
      </c>
      <c r="V69" s="127">
        <f ca="1">IF($F69&gt;$D$5,0,VLOOKUP($F69,$F$24:$BZ$44,V$2-$E$2,FALSE)*$D$11*$D$14*(1+$D$13)^($F69-'הנחות עבודה'!$C$5)/$D$11)</f>
        <v>0</v>
      </c>
      <c r="W69" s="127">
        <f ca="1">IF($F69&gt;$D$5,0,VLOOKUP($F69,$F$24:$BZ$44,W$2-$E$2,FALSE)*$D$11*$D$14*(1+$D$13)^($F69-'הנחות עבודה'!$C$5)/$D$11)</f>
        <v>0</v>
      </c>
      <c r="X69" s="127">
        <f ca="1">IF($F69&gt;$D$5,0,VLOOKUP($F69,$F$24:$BZ$44,X$2-$E$2,FALSE)*$D$11*$D$14*(1+$D$13)^($F69-'הנחות עבודה'!$C$5)/$D$11)</f>
        <v>0</v>
      </c>
      <c r="Y69" s="52">
        <f ca="1">IF($F69&gt;$D$5,0,VLOOKUP($F69,$F$24:$BZ$44,Y$2-$E$2,FALSE)*$D$11*$D$14*(1+$D$13)^($F69-'הנחות עבודה'!$C$5)/$D$11)</f>
        <v>74.608206207704526</v>
      </c>
      <c r="Z69" s="52">
        <f ca="1">IF($F69&gt;$D$5,0,VLOOKUP($F69,$F$24:$BZ$44,Z$2-$E$2,FALSE)*$D$11*$D$14*(1+$D$13)^($F69-'הנחות עבודה'!$C$5)/$D$11)</f>
        <v>706.63050553108144</v>
      </c>
      <c r="AA69" s="52">
        <f ca="1">IF($F69&gt;$D$5,0,VLOOKUP($F69,$F$24:$BZ$44,AA$2-$E$2,FALSE)*$D$11*$D$14*(1+$D$13)^($F69-'הנחות עבודה'!$C$5)/$D$11)</f>
        <v>0</v>
      </c>
      <c r="AB69" s="52">
        <f ca="1">IF($F69&gt;$D$5,0,VLOOKUP($F69,$F$24:$BZ$44,AB$2-$E$2,FALSE)*$D$11*$D$14*(1+$D$13)^($F69-'הנחות עבודה'!$C$5)/$D$11)</f>
        <v>0</v>
      </c>
      <c r="AC69" s="52">
        <f ca="1">IF($F69&gt;$D$5,0,VLOOKUP($F69,$F$24:$BZ$44,AC$2-$E$2,FALSE)*$D$11*$D$14*(1+$D$13)^($F69-'הנחות עבודה'!$C$5)/$D$11)</f>
        <v>0</v>
      </c>
      <c r="AD69" s="52">
        <f ca="1">IF($F69&gt;$D$5,0,VLOOKUP($F69,$F$24:$BZ$44,AD$2-$E$2,FALSE)*$D$11*$D$14*(1+$D$13)^($F69-'הנחות עבודה'!$C$5)/$D$11)</f>
        <v>0</v>
      </c>
      <c r="AE69" s="42">
        <f ca="1">IF($F69&gt;$D$5,0,VLOOKUP($F69,$F$24:$BZ$44,AE$2-$E$2,FALSE)*$D$11*$D$14*(1+$D$13)^($F69-'הנחות עבודה'!$C$5)/$D$11)</f>
        <v>0</v>
      </c>
      <c r="AF69" s="44">
        <f ca="1">IF($F69&gt;$D$5,0,VLOOKUP($F69,$F$24:$BZ$44,AF$2-$E$2,FALSE)*$D$11*$D$14*(1+$D$13)^($F69-'הנחות עבודה'!$C$5)/$D$11)</f>
        <v>0</v>
      </c>
      <c r="AG69" s="44">
        <f ca="1">IF($F69&gt;$D$5,0,VLOOKUP($F69,$F$24:$BZ$44,AG$2-$E$2,FALSE)*$D$11*$D$14*(1+$D$13)^($F69-'הנחות עבודה'!$C$5)/$D$11)</f>
        <v>0</v>
      </c>
      <c r="AH69" s="44">
        <f ca="1">IF($F69&gt;$D$5,0,VLOOKUP($F69,$F$24:$BZ$44,AH$2-$E$2,FALSE)*$D$11*$D$14*(1+$D$13)^($F69-'הנחות עבודה'!$C$5)/$D$11)</f>
        <v>0</v>
      </c>
      <c r="AI69" s="44">
        <f ca="1">IF($F69&gt;$D$5,0,VLOOKUP($F69,$F$24:$BZ$44,AI$2-$E$2,FALSE)*$D$11*$D$14*(1+$D$13)^($F69-'הנחות עבודה'!$C$5)/$D$11)</f>
        <v>0</v>
      </c>
      <c r="AJ69" s="44">
        <f ca="1">IF($F69&gt;$D$5,0,VLOOKUP($F69,$F$24:$BZ$44,AJ$2-$E$2,FALSE)*$D$11*$D$14*(1+$D$13)^($F69-'הנחות עבודה'!$C$5)/$D$11)</f>
        <v>0</v>
      </c>
      <c r="AK69" s="42">
        <f ca="1">IF($F69&gt;$D$5,0,VLOOKUP($F69,$F$24:$BZ$44,AK$2-$E$2,FALSE)*$D$11*$D$14*(1+$D$13)^($F69-'הנחות עבודה'!$C$5)/$D$11)</f>
        <v>78.006141770506446</v>
      </c>
      <c r="AL69" s="42">
        <f ca="1">IF($F69&gt;$D$5,0,VLOOKUP($F69,$F$24:$BZ$44,AL$2-$E$2,FALSE)*$D$11*$D$14*(1+$D$13)^($F69-'הנחות עבודה'!$C$5)/$D$11)</f>
        <v>643.8893989875362</v>
      </c>
      <c r="AM69" s="42">
        <f ca="1">IF($F69&gt;$D$5,0,VLOOKUP($F69,$F$24:$BZ$44,AM$2-$E$2,FALSE)*$D$11*$D$14*(1+$D$13)^($F69-'הנחות עבודה'!$C$5)/$D$11)</f>
        <v>0</v>
      </c>
      <c r="AN69" s="42">
        <f ca="1">IF($F69&gt;$D$5,0,VLOOKUP($F69,$F$24:$BZ$44,AN$2-$E$2,FALSE)*$D$11*$D$14*(1+$D$13)^($F69-'הנחות עבודה'!$C$5)/$D$11)</f>
        <v>0</v>
      </c>
      <c r="AO69" s="42">
        <f ca="1">IF($F69&gt;$D$5,0,VLOOKUP($F69,$F$24:$BZ$44,AO$2-$E$2,FALSE)*$D$11*$D$14*(1+$D$13)^($F69-'הנחות עבודה'!$C$5)/$D$11)</f>
        <v>0</v>
      </c>
      <c r="AP69" s="42">
        <f ca="1">IF($F69&gt;$D$5,0,VLOOKUP($F69,$F$24:$BZ$44,AP$2-$E$2,FALSE)*$D$11*$D$14*(1+$D$13)^($F69-'הנחות עבודה'!$C$5)/$D$11)</f>
        <v>0</v>
      </c>
      <c r="AQ69" s="52">
        <f ca="1">IF($F69&gt;$D$5,0,VLOOKUP($F69,$F$24:$BZ$44,AQ$2-$E$2,FALSE)*$D$11*$D$14*(1+$D$13)^($F69-'הנחות עבודה'!$C$5)/$D$11)</f>
        <v>0</v>
      </c>
      <c r="AR69" s="127">
        <f ca="1">IF($F69&gt;$D$5,0,VLOOKUP($F69,$F$24:$BZ$44,AR$2-$E$2,FALSE)*$D$11*$D$14*(1+$D$13)^($F69-'הנחות עבודה'!$C$5)/$D$11)</f>
        <v>0</v>
      </c>
      <c r="AS69" s="127">
        <f ca="1">IF($F69&gt;$D$5,0,VLOOKUP($F69,$F$24:$BZ$44,AS$2-$E$2,FALSE)*$D$11*$D$14*(1+$D$13)^($F69-'הנחות עבודה'!$C$5)/$D$11)</f>
        <v>0</v>
      </c>
      <c r="AT69" s="127">
        <f ca="1">IF($F69&gt;$D$5,0,VLOOKUP($F69,$F$24:$BZ$44,AT$2-$E$2,FALSE)*$D$11*$D$14*(1+$D$13)^($F69-'הנחות עבודה'!$C$5)/$D$11)</f>
        <v>0</v>
      </c>
      <c r="AU69" s="127">
        <f ca="1">IF($F69&gt;$D$5,0,VLOOKUP($F69,$F$24:$BZ$44,AU$2-$E$2,FALSE)*$D$11*$D$14*(1+$D$13)^($F69-'הנחות עבודה'!$C$5)/$D$11)</f>
        <v>0</v>
      </c>
      <c r="AV69" s="127">
        <f ca="1">IF($F69&gt;$D$5,0,VLOOKUP($F69,$F$24:$BZ$44,AV$2-$E$2,FALSE)*$D$11*$D$14*(1+$D$13)^($F69-'הנחות עבודה'!$C$5)/$D$11)</f>
        <v>0</v>
      </c>
      <c r="AW69" s="52">
        <f ca="1">IF($F69&gt;$D$5,0,VLOOKUP($F69,$F$24:$BZ$44,AW$2-$E$2,FALSE)*$D$11*$D$14*(1+$D$13)^($F69-'הנחות עבודה'!$C$5)/$D$11)</f>
        <v>78.006141770506446</v>
      </c>
      <c r="AX69" s="52">
        <f ca="1">IF($F69&gt;$D$5,0,VLOOKUP($F69,$F$24:$BZ$44,AX$2-$E$2,FALSE)*$D$11*$D$14*(1+$D$13)^($F69-'הנחות עבודה'!$C$5)/$D$11)</f>
        <v>643.8893989875362</v>
      </c>
      <c r="AY69" s="52">
        <f ca="1">IF($F69&gt;$D$5,0,VLOOKUP($F69,$F$24:$BZ$44,AY$2-$E$2,FALSE)*$D$11*$D$14*(1+$D$13)^($F69-'הנחות עבודה'!$C$5)/$D$11)</f>
        <v>0</v>
      </c>
      <c r="AZ69" s="52">
        <f ca="1">IF($F69&gt;$D$5,0,VLOOKUP($F69,$F$24:$BZ$44,AZ$2-$E$2,FALSE)*$D$11*$D$14*(1+$D$13)^($F69-'הנחות עבודה'!$C$5)/$D$11)</f>
        <v>0</v>
      </c>
      <c r="BA69" s="52">
        <f ca="1">IF($F69&gt;$D$5,0,VLOOKUP($F69,$F$24:$BZ$44,BA$2-$E$2,FALSE)*$D$11*$D$14*(1+$D$13)^($F69-'הנחות עבודה'!$C$5)/$D$11)</f>
        <v>0</v>
      </c>
      <c r="BB69" s="52">
        <f ca="1">IF($F69&gt;$D$5,0,VLOOKUP($F69,$F$24:$BZ$44,BB$2-$E$2,FALSE)*$D$11*$D$14*(1+$D$13)^($F69-'הנחות עבודה'!$C$5)/$D$11)</f>
        <v>0</v>
      </c>
      <c r="BC69" s="42">
        <f ca="1">IF($F69&gt;$D$5,0,VLOOKUP($F69,$F$24:$BZ$44,BC$2-$E$2,FALSE)*$D$11*$D$14*(1+$D$13)^($F69-'הנחות עבודה'!$C$5)/$D$11)</f>
        <v>0</v>
      </c>
      <c r="BD69" s="44">
        <f ca="1">IF($F69&gt;$D$5,0,VLOOKUP($F69,$F$24:$BZ$44,BD$2-$E$2,FALSE)*$D$11*$D$14*(1+$D$13)^($F69-'הנחות עבודה'!$C$5)/$D$11)</f>
        <v>0</v>
      </c>
      <c r="BE69" s="44">
        <f ca="1">IF($F69&gt;$D$5,0,VLOOKUP($F69,$F$24:$BZ$44,BE$2-$E$2,FALSE)*$D$11*$D$14*(1+$D$13)^($F69-'הנחות עבודה'!$C$5)/$D$11)</f>
        <v>0</v>
      </c>
      <c r="BF69" s="44">
        <f ca="1">IF($F69&gt;$D$5,0,VLOOKUP($F69,$F$24:$BZ$44,BF$2-$E$2,FALSE)*$D$11*$D$14*(1+$D$13)^($F69-'הנחות עבודה'!$C$5)/$D$11)</f>
        <v>0</v>
      </c>
      <c r="BG69" s="44">
        <f ca="1">IF($F69&gt;$D$5,0,VLOOKUP($F69,$F$24:$BZ$44,BG$2-$E$2,FALSE)*$D$11*$D$14*(1+$D$13)^($F69-'הנחות עבודה'!$C$5)/$D$11)</f>
        <v>0</v>
      </c>
      <c r="BH69" s="44">
        <f ca="1">IF($F69&gt;$D$5,0,VLOOKUP($F69,$F$24:$BZ$44,BH$2-$E$2,FALSE)*$D$11*$D$14*(1+$D$13)^($F69-'הנחות עבודה'!$C$5)/$D$11)</f>
        <v>0</v>
      </c>
      <c r="BI69" s="42">
        <f ca="1">IF($F69&gt;$D$5,0,VLOOKUP($F69,$F$24:$BZ$44,BI$2-$E$2,FALSE)*$D$11*$D$14*(1+$D$13)^($F69-'הנחות עבודה'!$C$5)/$D$11)</f>
        <v>79.83101623450267</v>
      </c>
      <c r="BJ69" s="42">
        <f ca="1">IF($F69&gt;$D$5,0,VLOOKUP($F69,$F$24:$BZ$44,BJ$2-$E$2,FALSE)*$D$11*$D$14*(1+$D$13)^($F69-'הנחות עבודה'!$C$5)/$D$11)</f>
        <v>605.21519227786848</v>
      </c>
      <c r="BK69" s="42">
        <f ca="1">IF($F69&gt;$D$5,0,VLOOKUP($F69,$F$24:$BZ$44,BK$2-$E$2,FALSE)*$D$11*$D$14*(1+$D$13)^($F69-'הנחות עבודה'!$C$5)/$D$11)</f>
        <v>0</v>
      </c>
      <c r="BL69" s="42">
        <f ca="1">IF($F69&gt;$D$5,0,VLOOKUP($F69,$F$24:$BZ$44,BL$2-$E$2,FALSE)*$D$11*$D$14*(1+$D$13)^($F69-'הנחות עבודה'!$C$5)/$D$11)</f>
        <v>0</v>
      </c>
      <c r="BM69" s="42">
        <f ca="1">IF($F69&gt;$D$5,0,VLOOKUP($F69,$F$24:$BZ$44,BM$2-$E$2,FALSE)*$D$11*$D$14*(1+$D$13)^($F69-'הנחות עבודה'!$C$5)/$D$11)</f>
        <v>0</v>
      </c>
      <c r="BN69" s="42">
        <f ca="1">IF($F69&gt;$D$5,0,VLOOKUP($F69,$F$24:$BZ$44,BN$2-$E$2,FALSE)*$D$11*$D$14*(1+$D$13)^($F69-'הנחות עבודה'!$C$5)/$D$11)</f>
        <v>0</v>
      </c>
      <c r="BO69" s="52">
        <f ca="1">IF($F69&gt;$D$5,0,VLOOKUP($F69,$F$24:$BZ$44,BO$2-$E$2,FALSE)*$D$11*$D$14*(1+$D$13)^($F69-'הנחות עבודה'!$C$5)/$D$11)</f>
        <v>0</v>
      </c>
      <c r="BP69" s="127">
        <f ca="1">IF($F69&gt;$D$5,0,VLOOKUP($F69,$F$24:$BZ$44,BP$2-$E$2,FALSE)*$D$11*$D$14*(1+$D$13)^($F69-'הנחות עבודה'!$C$5)/$D$11)</f>
        <v>0</v>
      </c>
      <c r="BQ69" s="127">
        <f ca="1">IF($F69&gt;$D$5,0,VLOOKUP($F69,$F$24:$BZ$44,BQ$2-$E$2,FALSE)*$D$11*$D$14*(1+$D$13)^($F69-'הנחות עבודה'!$C$5)/$D$11)</f>
        <v>0</v>
      </c>
      <c r="BR69" s="127">
        <f ca="1">IF($F69&gt;$D$5,0,VLOOKUP($F69,$F$24:$BZ$44,BR$2-$E$2,FALSE)*$D$11*$D$14*(1+$D$13)^($F69-'הנחות עבודה'!$C$5)/$D$11)</f>
        <v>0</v>
      </c>
      <c r="BS69" s="127">
        <f ca="1">IF($F69&gt;$D$5,0,VLOOKUP($F69,$F$24:$BZ$44,BS$2-$E$2,FALSE)*$D$11*$D$14*(1+$D$13)^($F69-'הנחות עבודה'!$C$5)/$D$11)</f>
        <v>0</v>
      </c>
      <c r="BT69" s="127">
        <f ca="1">IF($F69&gt;$D$5,0,VLOOKUP($F69,$F$24:$BZ$44,BT$2-$E$2,FALSE)*$D$11*$D$14*(1+$D$13)^($F69-'הנחות עבודה'!$C$5)/$D$11)</f>
        <v>0</v>
      </c>
      <c r="BU69" s="52">
        <f ca="1">IF($F69&gt;$D$5,0,VLOOKUP($F69,$F$24:$BZ$44,BU$2-$E$2,FALSE)*$D$11*$D$14*(1+$D$13)^($F69-'הנחות עבודה'!$C$5)/$D$11)</f>
        <v>79.83101623450267</v>
      </c>
      <c r="BV69" s="52">
        <f ca="1">IF($F69&gt;$D$5,0,VLOOKUP($F69,$F$24:$BZ$44,BV$2-$E$2,FALSE)*$D$11*$D$14*(1+$D$13)^($F69-'הנחות עבודה'!$C$5)/$D$11)</f>
        <v>605.21519227786848</v>
      </c>
      <c r="BW69" s="52">
        <f ca="1">IF($F69&gt;$D$5,0,VLOOKUP($F69,$F$24:$BZ$44,BW$2-$E$2,FALSE)*$D$11*$D$14*(1+$D$13)^($F69-'הנחות עבודה'!$C$5)/$D$11)</f>
        <v>0</v>
      </c>
      <c r="BX69" s="52">
        <f ca="1">IF($F69&gt;$D$5,0,VLOOKUP($F69,$F$24:$BZ$44,BX$2-$E$2,FALSE)*$D$11*$D$14*(1+$D$13)^($F69-'הנחות עבודה'!$C$5)/$D$11)</f>
        <v>0</v>
      </c>
      <c r="BY69" s="52">
        <f ca="1">IF($F69&gt;$D$5,0,VLOOKUP($F69,$F$24:$BZ$44,BY$2-$E$2,FALSE)*$D$11*$D$14*(1+$D$13)^($F69-'הנחות עבודה'!$C$5)/$D$11)</f>
        <v>0</v>
      </c>
      <c r="BZ69" s="52">
        <f ca="1">IF($F69&gt;$D$5,0,VLOOKUP($F69,$F$24:$BZ$44,BZ$2-$E$2,FALSE)*$D$11*$D$14*(1+$D$13)^($F69-'הנחות עבודה'!$C$5)/$D$11)</f>
        <v>0</v>
      </c>
    </row>
    <row r="70" spans="6:78" ht="15.75">
      <c r="F70" s="10">
        <f t="shared" si="129"/>
        <v>2039</v>
      </c>
      <c r="G70" s="42">
        <f ca="1">IF($F70&gt;$D$5,0,VLOOKUP($F70,$F$24:$BZ$44,G$2-$E$2,FALSE)*$D$11*$D$14*(1+$D$13)^($F70-'הנחות עבודה'!$C$5)/$D$11)</f>
        <v>0</v>
      </c>
      <c r="H70" s="44">
        <f ca="1">IF($F70&gt;$D$5,0,VLOOKUP($F70,$F$24:$BZ$44,H$2-$E$2,FALSE)*$D$11*$D$14*(1+$D$13)^($F70-'הנחות עבודה'!$C$5)/$D$11)</f>
        <v>0</v>
      </c>
      <c r="I70" s="44">
        <f ca="1">IF($F70&gt;$D$5,0,VLOOKUP($F70,$F$24:$BZ$44,I$2-$E$2,FALSE)*$D$11*$D$14*(1+$D$13)^($F70-'הנחות עבודה'!$C$5)/$D$11)</f>
        <v>0</v>
      </c>
      <c r="J70" s="44">
        <f ca="1">IF($F70&gt;$D$5,0,VLOOKUP($F70,$F$24:$BZ$44,J$2-$E$2,FALSE)*$D$11*$D$14*(1+$D$13)^($F70-'הנחות עבודה'!$C$5)/$D$11)</f>
        <v>0</v>
      </c>
      <c r="K70" s="44">
        <f ca="1">IF($F70&gt;$D$5,0,VLOOKUP($F70,$F$24:$BZ$44,K$2-$E$2,FALSE)*$D$11*$D$14*(1+$D$13)^($F70-'הנחות עבודה'!$C$5)/$D$11)</f>
        <v>0</v>
      </c>
      <c r="L70" s="44">
        <f ca="1">IF($F70&gt;$D$5,0,VLOOKUP($F70,$F$24:$BZ$44,L$2-$E$2,FALSE)*$D$11*$D$14*(1+$D$13)^($F70-'הנחות עבודה'!$C$5)/$D$11)</f>
        <v>0</v>
      </c>
      <c r="M70" s="42">
        <f ca="1">IF($F70&gt;$D$5,0,VLOOKUP($F70,$F$24:$BZ$44,M$2-$E$2,FALSE)*$D$11*$D$14*(1+$D$13)^($F70-'הנחות עבודה'!$C$5)/$D$11)</f>
        <v>77.765940936034951</v>
      </c>
      <c r="N70" s="42">
        <f ca="1">IF($F70&gt;$D$5,0,VLOOKUP($F70,$F$24:$BZ$44,N$2-$E$2,FALSE)*$D$11*$D$14*(1+$D$13)^($F70-'הנחות עבודה'!$C$5)/$D$11)</f>
        <v>758.59693965097142</v>
      </c>
      <c r="O70" s="42">
        <f ca="1">IF($F70&gt;$D$5,0,VLOOKUP($F70,$F$24:$BZ$44,O$2-$E$2,FALSE)*$D$11*$D$14*(1+$D$13)^($F70-'הנחות עבודה'!$C$5)/$D$11)</f>
        <v>0</v>
      </c>
      <c r="P70" s="42">
        <f ca="1">IF($F70&gt;$D$5,0,VLOOKUP($F70,$F$24:$BZ$44,P$2-$E$2,FALSE)*$D$11*$D$14*(1+$D$13)^($F70-'הנחות עבודה'!$C$5)/$D$11)</f>
        <v>0</v>
      </c>
      <c r="Q70" s="42">
        <f ca="1">IF($F70&gt;$D$5,0,VLOOKUP($F70,$F$24:$BZ$44,Q$2-$E$2,FALSE)*$D$11*$D$14*(1+$D$13)^($F70-'הנחות עבודה'!$C$5)/$D$11)</f>
        <v>0</v>
      </c>
      <c r="R70" s="42">
        <f ca="1">IF($F70&gt;$D$5,0,VLOOKUP($F70,$F$24:$BZ$44,R$2-$E$2,FALSE)*$D$11*$D$14*(1+$D$13)^($F70-'הנחות עבודה'!$C$5)/$D$11)</f>
        <v>0</v>
      </c>
      <c r="S70" s="52">
        <f ca="1">IF($F70&gt;$D$5,0,VLOOKUP($F70,$F$24:$BZ$44,S$2-$E$2,FALSE)*$D$11*$D$14*(1+$D$13)^($F70-'הנחות עבודה'!$C$5)/$D$11)</f>
        <v>0</v>
      </c>
      <c r="T70" s="127">
        <f ca="1">IF($F70&gt;$D$5,0,VLOOKUP($F70,$F$24:$BZ$44,T$2-$E$2,FALSE)*$D$11*$D$14*(1+$D$13)^($F70-'הנחות עבודה'!$C$5)/$D$11)</f>
        <v>0</v>
      </c>
      <c r="U70" s="127">
        <f ca="1">IF($F70&gt;$D$5,0,VLOOKUP($F70,$F$24:$BZ$44,U$2-$E$2,FALSE)*$D$11*$D$14*(1+$D$13)^($F70-'הנחות עבודה'!$C$5)/$D$11)</f>
        <v>0</v>
      </c>
      <c r="V70" s="127">
        <f ca="1">IF($F70&gt;$D$5,0,VLOOKUP($F70,$F$24:$BZ$44,V$2-$E$2,FALSE)*$D$11*$D$14*(1+$D$13)^($F70-'הנחות עבודה'!$C$5)/$D$11)</f>
        <v>0</v>
      </c>
      <c r="W70" s="127">
        <f ca="1">IF($F70&gt;$D$5,0,VLOOKUP($F70,$F$24:$BZ$44,W$2-$E$2,FALSE)*$D$11*$D$14*(1+$D$13)^($F70-'הנחות עבודה'!$C$5)/$D$11)</f>
        <v>0</v>
      </c>
      <c r="X70" s="127">
        <f ca="1">IF($F70&gt;$D$5,0,VLOOKUP($F70,$F$24:$BZ$44,X$2-$E$2,FALSE)*$D$11*$D$14*(1+$D$13)^($F70-'הנחות עבודה'!$C$5)/$D$11)</f>
        <v>0</v>
      </c>
      <c r="Y70" s="52">
        <f ca="1">IF($F70&gt;$D$5,0,VLOOKUP($F70,$F$24:$BZ$44,Y$2-$E$2,FALSE)*$D$11*$D$14*(1+$D$13)^($F70-'הנחות עבודה'!$C$5)/$D$11)</f>
        <v>77.765940936034951</v>
      </c>
      <c r="Z70" s="52">
        <f ca="1">IF($F70&gt;$D$5,0,VLOOKUP($F70,$F$24:$BZ$44,Z$2-$E$2,FALSE)*$D$11*$D$14*(1+$D$13)^($F70-'הנחות עבודה'!$C$5)/$D$11)</f>
        <v>758.59693965097142</v>
      </c>
      <c r="AA70" s="52">
        <f ca="1">IF($F70&gt;$D$5,0,VLOOKUP($F70,$F$24:$BZ$44,AA$2-$E$2,FALSE)*$D$11*$D$14*(1+$D$13)^($F70-'הנחות עבודה'!$C$5)/$D$11)</f>
        <v>0</v>
      </c>
      <c r="AB70" s="52">
        <f ca="1">IF($F70&gt;$D$5,0,VLOOKUP($F70,$F$24:$BZ$44,AB$2-$E$2,FALSE)*$D$11*$D$14*(1+$D$13)^($F70-'הנחות עבודה'!$C$5)/$D$11)</f>
        <v>0</v>
      </c>
      <c r="AC70" s="52">
        <f ca="1">IF($F70&gt;$D$5,0,VLOOKUP($F70,$F$24:$BZ$44,AC$2-$E$2,FALSE)*$D$11*$D$14*(1+$D$13)^($F70-'הנחות עבודה'!$C$5)/$D$11)</f>
        <v>0</v>
      </c>
      <c r="AD70" s="52">
        <f ca="1">IF($F70&gt;$D$5,0,VLOOKUP($F70,$F$24:$BZ$44,AD$2-$E$2,FALSE)*$D$11*$D$14*(1+$D$13)^($F70-'הנחות עבודה'!$C$5)/$D$11)</f>
        <v>0</v>
      </c>
      <c r="AE70" s="42">
        <f ca="1">IF($F70&gt;$D$5,0,VLOOKUP($F70,$F$24:$BZ$44,AE$2-$E$2,FALSE)*$D$11*$D$14*(1+$D$13)^($F70-'הנחות עבודה'!$C$5)/$D$11)</f>
        <v>0</v>
      </c>
      <c r="AF70" s="44">
        <f ca="1">IF($F70&gt;$D$5,0,VLOOKUP($F70,$F$24:$BZ$44,AF$2-$E$2,FALSE)*$D$11*$D$14*(1+$D$13)^($F70-'הנחות עבודה'!$C$5)/$D$11)</f>
        <v>0</v>
      </c>
      <c r="AG70" s="44">
        <f ca="1">IF($F70&gt;$D$5,0,VLOOKUP($F70,$F$24:$BZ$44,AG$2-$E$2,FALSE)*$D$11*$D$14*(1+$D$13)^($F70-'הנחות עבודה'!$C$5)/$D$11)</f>
        <v>0</v>
      </c>
      <c r="AH70" s="44">
        <f ca="1">IF($F70&gt;$D$5,0,VLOOKUP($F70,$F$24:$BZ$44,AH$2-$E$2,FALSE)*$D$11*$D$14*(1+$D$13)^($F70-'הנחות עבודה'!$C$5)/$D$11)</f>
        <v>0</v>
      </c>
      <c r="AI70" s="44">
        <f ca="1">IF($F70&gt;$D$5,0,VLOOKUP($F70,$F$24:$BZ$44,AI$2-$E$2,FALSE)*$D$11*$D$14*(1+$D$13)^($F70-'הנחות עבודה'!$C$5)/$D$11)</f>
        <v>0</v>
      </c>
      <c r="AJ70" s="44">
        <f ca="1">IF($F70&gt;$D$5,0,VLOOKUP($F70,$F$24:$BZ$44,AJ$2-$E$2,FALSE)*$D$11*$D$14*(1+$D$13)^($F70-'הנחות עבודה'!$C$5)/$D$11)</f>
        <v>0</v>
      </c>
      <c r="AK70" s="42">
        <f ca="1">IF($F70&gt;$D$5,0,VLOOKUP($F70,$F$24:$BZ$44,AK$2-$E$2,FALSE)*$D$11*$D$14*(1+$D$13)^($F70-'הנחות עבודה'!$C$5)/$D$11)</f>
        <v>80.487734411324794</v>
      </c>
      <c r="AL70" s="42">
        <f ca="1">IF($F70&gt;$D$5,0,VLOOKUP($F70,$F$24:$BZ$44,AL$2-$E$2,FALSE)*$D$11*$D$14*(1+$D$13)^($F70-'הנחות עבודה'!$C$5)/$D$11)</f>
        <v>695.39968150489699</v>
      </c>
      <c r="AM70" s="42">
        <f ca="1">IF($F70&gt;$D$5,0,VLOOKUP($F70,$F$24:$BZ$44,AM$2-$E$2,FALSE)*$D$11*$D$14*(1+$D$13)^($F70-'הנחות עבודה'!$C$5)/$D$11)</f>
        <v>0</v>
      </c>
      <c r="AN70" s="42">
        <f ca="1">IF($F70&gt;$D$5,0,VLOOKUP($F70,$F$24:$BZ$44,AN$2-$E$2,FALSE)*$D$11*$D$14*(1+$D$13)^($F70-'הנחות עבודה'!$C$5)/$D$11)</f>
        <v>0</v>
      </c>
      <c r="AO70" s="42">
        <f ca="1">IF($F70&gt;$D$5,0,VLOOKUP($F70,$F$24:$BZ$44,AO$2-$E$2,FALSE)*$D$11*$D$14*(1+$D$13)^($F70-'הנחות עבודה'!$C$5)/$D$11)</f>
        <v>0</v>
      </c>
      <c r="AP70" s="42">
        <f ca="1">IF($F70&gt;$D$5,0,VLOOKUP($F70,$F$24:$BZ$44,AP$2-$E$2,FALSE)*$D$11*$D$14*(1+$D$13)^($F70-'הנחות עבודה'!$C$5)/$D$11)</f>
        <v>0</v>
      </c>
      <c r="AQ70" s="52">
        <f ca="1">IF($F70&gt;$D$5,0,VLOOKUP($F70,$F$24:$BZ$44,AQ$2-$E$2,FALSE)*$D$11*$D$14*(1+$D$13)^($F70-'הנחות עבודה'!$C$5)/$D$11)</f>
        <v>0</v>
      </c>
      <c r="AR70" s="127">
        <f ca="1">IF($F70&gt;$D$5,0,VLOOKUP($F70,$F$24:$BZ$44,AR$2-$E$2,FALSE)*$D$11*$D$14*(1+$D$13)^($F70-'הנחות עבודה'!$C$5)/$D$11)</f>
        <v>0</v>
      </c>
      <c r="AS70" s="127">
        <f ca="1">IF($F70&gt;$D$5,0,VLOOKUP($F70,$F$24:$BZ$44,AS$2-$E$2,FALSE)*$D$11*$D$14*(1+$D$13)^($F70-'הנחות עבודה'!$C$5)/$D$11)</f>
        <v>0</v>
      </c>
      <c r="AT70" s="127">
        <f ca="1">IF($F70&gt;$D$5,0,VLOOKUP($F70,$F$24:$BZ$44,AT$2-$E$2,FALSE)*$D$11*$D$14*(1+$D$13)^($F70-'הנחות עבודה'!$C$5)/$D$11)</f>
        <v>0</v>
      </c>
      <c r="AU70" s="127">
        <f ca="1">IF($F70&gt;$D$5,0,VLOOKUP($F70,$F$24:$BZ$44,AU$2-$E$2,FALSE)*$D$11*$D$14*(1+$D$13)^($F70-'הנחות עבודה'!$C$5)/$D$11)</f>
        <v>0</v>
      </c>
      <c r="AV70" s="127">
        <f ca="1">IF($F70&gt;$D$5,0,VLOOKUP($F70,$F$24:$BZ$44,AV$2-$E$2,FALSE)*$D$11*$D$14*(1+$D$13)^($F70-'הנחות עבודה'!$C$5)/$D$11)</f>
        <v>0</v>
      </c>
      <c r="AW70" s="52">
        <f ca="1">IF($F70&gt;$D$5,0,VLOOKUP($F70,$F$24:$BZ$44,AW$2-$E$2,FALSE)*$D$11*$D$14*(1+$D$13)^($F70-'הנחות עבודה'!$C$5)/$D$11)</f>
        <v>80.487734411324794</v>
      </c>
      <c r="AX70" s="52">
        <f ca="1">IF($F70&gt;$D$5,0,VLOOKUP($F70,$F$24:$BZ$44,AX$2-$E$2,FALSE)*$D$11*$D$14*(1+$D$13)^($F70-'הנחות עבודה'!$C$5)/$D$11)</f>
        <v>695.39968150489699</v>
      </c>
      <c r="AY70" s="52">
        <f ca="1">IF($F70&gt;$D$5,0,VLOOKUP($F70,$F$24:$BZ$44,AY$2-$E$2,FALSE)*$D$11*$D$14*(1+$D$13)^($F70-'הנחות עבודה'!$C$5)/$D$11)</f>
        <v>0</v>
      </c>
      <c r="AZ70" s="52">
        <f ca="1">IF($F70&gt;$D$5,0,VLOOKUP($F70,$F$24:$BZ$44,AZ$2-$E$2,FALSE)*$D$11*$D$14*(1+$D$13)^($F70-'הנחות עבודה'!$C$5)/$D$11)</f>
        <v>0</v>
      </c>
      <c r="BA70" s="52">
        <f ca="1">IF($F70&gt;$D$5,0,VLOOKUP($F70,$F$24:$BZ$44,BA$2-$E$2,FALSE)*$D$11*$D$14*(1+$D$13)^($F70-'הנחות עבודה'!$C$5)/$D$11)</f>
        <v>0</v>
      </c>
      <c r="BB70" s="52">
        <f ca="1">IF($F70&gt;$D$5,0,VLOOKUP($F70,$F$24:$BZ$44,BB$2-$E$2,FALSE)*$D$11*$D$14*(1+$D$13)^($F70-'הנחות עבודה'!$C$5)/$D$11)</f>
        <v>0</v>
      </c>
      <c r="BC70" s="42">
        <f ca="1">IF($F70&gt;$D$5,0,VLOOKUP($F70,$F$24:$BZ$44,BC$2-$E$2,FALSE)*$D$11*$D$14*(1+$D$13)^($F70-'הנחות עבודה'!$C$5)/$D$11)</f>
        <v>0</v>
      </c>
      <c r="BD70" s="44">
        <f ca="1">IF($F70&gt;$D$5,0,VLOOKUP($F70,$F$24:$BZ$44,BD$2-$E$2,FALSE)*$D$11*$D$14*(1+$D$13)^($F70-'הנחות עבודה'!$C$5)/$D$11)</f>
        <v>0</v>
      </c>
      <c r="BE70" s="44">
        <f ca="1">IF($F70&gt;$D$5,0,VLOOKUP($F70,$F$24:$BZ$44,BE$2-$E$2,FALSE)*$D$11*$D$14*(1+$D$13)^($F70-'הנחות עבודה'!$C$5)/$D$11)</f>
        <v>0</v>
      </c>
      <c r="BF70" s="44">
        <f ca="1">IF($F70&gt;$D$5,0,VLOOKUP($F70,$F$24:$BZ$44,BF$2-$E$2,FALSE)*$D$11*$D$14*(1+$D$13)^($F70-'הנחות עבודה'!$C$5)/$D$11)</f>
        <v>0</v>
      </c>
      <c r="BG70" s="44">
        <f ca="1">IF($F70&gt;$D$5,0,VLOOKUP($F70,$F$24:$BZ$44,BG$2-$E$2,FALSE)*$D$11*$D$14*(1+$D$13)^($F70-'הנחות עבודה'!$C$5)/$D$11)</f>
        <v>0</v>
      </c>
      <c r="BH70" s="44">
        <f ca="1">IF($F70&gt;$D$5,0,VLOOKUP($F70,$F$24:$BZ$44,BH$2-$E$2,FALSE)*$D$11*$D$14*(1+$D$13)^($F70-'הנחות עבודה'!$C$5)/$D$11)</f>
        <v>0</v>
      </c>
      <c r="BI70" s="42">
        <f ca="1">IF($F70&gt;$D$5,0,VLOOKUP($F70,$F$24:$BZ$44,BI$2-$E$2,FALSE)*$D$11*$D$14*(1+$D$13)^($F70-'הנחות עבודה'!$C$5)/$D$11)</f>
        <v>82.756560352061129</v>
      </c>
      <c r="BJ70" s="42">
        <f ca="1">IF($F70&gt;$D$5,0,VLOOKUP($F70,$F$24:$BZ$44,BJ$2-$E$2,FALSE)*$D$11*$D$14*(1+$D$13)^($F70-'הנחות עבודה'!$C$5)/$D$11)</f>
        <v>655.09779905057178</v>
      </c>
      <c r="BK70" s="42">
        <f ca="1">IF($F70&gt;$D$5,0,VLOOKUP($F70,$F$24:$BZ$44,BK$2-$E$2,FALSE)*$D$11*$D$14*(1+$D$13)^($F70-'הנחות עבודה'!$C$5)/$D$11)</f>
        <v>0</v>
      </c>
      <c r="BL70" s="42">
        <f ca="1">IF($F70&gt;$D$5,0,VLOOKUP($F70,$F$24:$BZ$44,BL$2-$E$2,FALSE)*$D$11*$D$14*(1+$D$13)^($F70-'הנחות עבודה'!$C$5)/$D$11)</f>
        <v>0</v>
      </c>
      <c r="BM70" s="42">
        <f ca="1">IF($F70&gt;$D$5,0,VLOOKUP($F70,$F$24:$BZ$44,BM$2-$E$2,FALSE)*$D$11*$D$14*(1+$D$13)^($F70-'הנחות עבודה'!$C$5)/$D$11)</f>
        <v>0</v>
      </c>
      <c r="BN70" s="42">
        <f ca="1">IF($F70&gt;$D$5,0,VLOOKUP($F70,$F$24:$BZ$44,BN$2-$E$2,FALSE)*$D$11*$D$14*(1+$D$13)^($F70-'הנחות עבודה'!$C$5)/$D$11)</f>
        <v>0</v>
      </c>
      <c r="BO70" s="52">
        <f ca="1">IF($F70&gt;$D$5,0,VLOOKUP($F70,$F$24:$BZ$44,BO$2-$E$2,FALSE)*$D$11*$D$14*(1+$D$13)^($F70-'הנחות עבודה'!$C$5)/$D$11)</f>
        <v>0</v>
      </c>
      <c r="BP70" s="127">
        <f ca="1">IF($F70&gt;$D$5,0,VLOOKUP($F70,$F$24:$BZ$44,BP$2-$E$2,FALSE)*$D$11*$D$14*(1+$D$13)^($F70-'הנחות עבודה'!$C$5)/$D$11)</f>
        <v>0</v>
      </c>
      <c r="BQ70" s="127">
        <f ca="1">IF($F70&gt;$D$5,0,VLOOKUP($F70,$F$24:$BZ$44,BQ$2-$E$2,FALSE)*$D$11*$D$14*(1+$D$13)^($F70-'הנחות עבודה'!$C$5)/$D$11)</f>
        <v>0</v>
      </c>
      <c r="BR70" s="127">
        <f ca="1">IF($F70&gt;$D$5,0,VLOOKUP($F70,$F$24:$BZ$44,BR$2-$E$2,FALSE)*$D$11*$D$14*(1+$D$13)^($F70-'הנחות עבודה'!$C$5)/$D$11)</f>
        <v>0</v>
      </c>
      <c r="BS70" s="127">
        <f ca="1">IF($F70&gt;$D$5,0,VLOOKUP($F70,$F$24:$BZ$44,BS$2-$E$2,FALSE)*$D$11*$D$14*(1+$D$13)^($F70-'הנחות עבודה'!$C$5)/$D$11)</f>
        <v>0</v>
      </c>
      <c r="BT70" s="127">
        <f ca="1">IF($F70&gt;$D$5,0,VLOOKUP($F70,$F$24:$BZ$44,BT$2-$E$2,FALSE)*$D$11*$D$14*(1+$D$13)^($F70-'הנחות עבודה'!$C$5)/$D$11)</f>
        <v>0</v>
      </c>
      <c r="BU70" s="52">
        <f ca="1">IF($F70&gt;$D$5,0,VLOOKUP($F70,$F$24:$BZ$44,BU$2-$E$2,FALSE)*$D$11*$D$14*(1+$D$13)^($F70-'הנחות עבודה'!$C$5)/$D$11)</f>
        <v>82.756560352061129</v>
      </c>
      <c r="BV70" s="52">
        <f ca="1">IF($F70&gt;$D$5,0,VLOOKUP($F70,$F$24:$BZ$44,BV$2-$E$2,FALSE)*$D$11*$D$14*(1+$D$13)^($F70-'הנחות עבודה'!$C$5)/$D$11)</f>
        <v>655.09779905057178</v>
      </c>
      <c r="BW70" s="52">
        <f ca="1">IF($F70&gt;$D$5,0,VLOOKUP($F70,$F$24:$BZ$44,BW$2-$E$2,FALSE)*$D$11*$D$14*(1+$D$13)^($F70-'הנחות עבודה'!$C$5)/$D$11)</f>
        <v>0</v>
      </c>
      <c r="BX70" s="52">
        <f ca="1">IF($F70&gt;$D$5,0,VLOOKUP($F70,$F$24:$BZ$44,BX$2-$E$2,FALSE)*$D$11*$D$14*(1+$D$13)^($F70-'הנחות עבודה'!$C$5)/$D$11)</f>
        <v>0</v>
      </c>
      <c r="BY70" s="52">
        <f ca="1">IF($F70&gt;$D$5,0,VLOOKUP($F70,$F$24:$BZ$44,BY$2-$E$2,FALSE)*$D$11*$D$14*(1+$D$13)^($F70-'הנחות עבודה'!$C$5)/$D$11)</f>
        <v>0</v>
      </c>
      <c r="BZ70" s="52">
        <f ca="1">IF($F70&gt;$D$5,0,VLOOKUP($F70,$F$24:$BZ$44,BZ$2-$E$2,FALSE)*$D$11*$D$14*(1+$D$13)^($F70-'הנחות עבודה'!$C$5)/$D$11)</f>
        <v>0</v>
      </c>
    </row>
    <row r="71" spans="6:78" ht="16.5" thickBot="1">
      <c r="F71" s="328">
        <f t="shared" si="129"/>
        <v>2040</v>
      </c>
      <c r="G71" s="45">
        <f ca="1">IF($F71&gt;$D$5,0,VLOOKUP($F71,$F$24:$BZ$44,G$2-$E$2,FALSE)*$D$11*$D$14*(1+$D$13)^($F71-'הנחות עבודה'!$C$5)/$D$11)</f>
        <v>0</v>
      </c>
      <c r="H71" s="47">
        <f ca="1">IF($F71&gt;$D$5,0,VLOOKUP($F71,$F$24:$BZ$44,H$2-$E$2,FALSE)*$D$11*$D$14*(1+$D$13)^($F71-'הנחות עבודה'!$C$5)/$D$11)</f>
        <v>0</v>
      </c>
      <c r="I71" s="47">
        <f ca="1">IF($F71&gt;$D$5,0,VLOOKUP($F71,$F$24:$BZ$44,I$2-$E$2,FALSE)*$D$11*$D$14*(1+$D$13)^($F71-'הנחות עבודה'!$C$5)/$D$11)</f>
        <v>0</v>
      </c>
      <c r="J71" s="47">
        <f ca="1">IF($F71&gt;$D$5,0,VLOOKUP($F71,$F$24:$BZ$44,J$2-$E$2,FALSE)*$D$11*$D$14*(1+$D$13)^($F71-'הנחות עבודה'!$C$5)/$D$11)</f>
        <v>0</v>
      </c>
      <c r="K71" s="47">
        <f ca="1">IF($F71&gt;$D$5,0,VLOOKUP($F71,$F$24:$BZ$44,K$2-$E$2,FALSE)*$D$11*$D$14*(1+$D$13)^($F71-'הנחות עבודה'!$C$5)/$D$11)</f>
        <v>0</v>
      </c>
      <c r="L71" s="47">
        <f ca="1">IF($F71&gt;$D$5,0,VLOOKUP($F71,$F$24:$BZ$44,L$2-$E$2,FALSE)*$D$11*$D$14*(1+$D$13)^($F71-'הנחות עבודה'!$C$5)/$D$11)</f>
        <v>0</v>
      </c>
      <c r="M71" s="45">
        <f ca="1">IF($F71&gt;$D$5,0,VLOOKUP($F71,$F$24:$BZ$44,M$2-$E$2,FALSE)*$D$11*$D$14*(1+$D$13)^($F71-'הנחות עבודה'!$C$5)/$D$11)</f>
        <v>80.879373110466759</v>
      </c>
      <c r="N71" s="45">
        <f ca="1">IF($F71&gt;$D$5,0,VLOOKUP($F71,$F$24:$BZ$44,N$2-$E$2,FALSE)*$D$11*$D$14*(1+$D$13)^($F71-'הנחות עבודה'!$C$5)/$D$11)</f>
        <v>814.39477581188908</v>
      </c>
      <c r="O71" s="45">
        <f ca="1">IF($F71&gt;$D$5,0,VLOOKUP($F71,$F$24:$BZ$44,O$2-$E$2,FALSE)*$D$11*$D$14*(1+$D$13)^($F71-'הנחות עבודה'!$C$5)/$D$11)</f>
        <v>0</v>
      </c>
      <c r="P71" s="45">
        <f ca="1">IF($F71&gt;$D$5,0,VLOOKUP($F71,$F$24:$BZ$44,P$2-$E$2,FALSE)*$D$11*$D$14*(1+$D$13)^($F71-'הנחות עבודה'!$C$5)/$D$11)</f>
        <v>0</v>
      </c>
      <c r="Q71" s="45">
        <f ca="1">IF($F71&gt;$D$5,0,VLOOKUP($F71,$F$24:$BZ$44,Q$2-$E$2,FALSE)*$D$11*$D$14*(1+$D$13)^($F71-'הנחות עבודה'!$C$5)/$D$11)</f>
        <v>0</v>
      </c>
      <c r="R71" s="45">
        <f ca="1">IF($F71&gt;$D$5,0,VLOOKUP($F71,$F$24:$BZ$44,R$2-$E$2,FALSE)*$D$11*$D$14*(1+$D$13)^($F71-'הנחות עבודה'!$C$5)/$D$11)</f>
        <v>0</v>
      </c>
      <c r="S71" s="55">
        <f ca="1">IF($F71&gt;$D$5,0,VLOOKUP($F71,$F$24:$BZ$44,S$2-$E$2,FALSE)*$D$11*$D$14*(1+$D$13)^($F71-'הנחות עבודה'!$C$5)/$D$11)</f>
        <v>0</v>
      </c>
      <c r="T71" s="128">
        <f ca="1">IF($F71&gt;$D$5,0,VLOOKUP($F71,$F$24:$BZ$44,T$2-$E$2,FALSE)*$D$11*$D$14*(1+$D$13)^($F71-'הנחות עבודה'!$C$5)/$D$11)</f>
        <v>0</v>
      </c>
      <c r="U71" s="128">
        <f ca="1">IF($F71&gt;$D$5,0,VLOOKUP($F71,$F$24:$BZ$44,U$2-$E$2,FALSE)*$D$11*$D$14*(1+$D$13)^($F71-'הנחות עבודה'!$C$5)/$D$11)</f>
        <v>0</v>
      </c>
      <c r="V71" s="128">
        <f ca="1">IF($F71&gt;$D$5,0,VLOOKUP($F71,$F$24:$BZ$44,V$2-$E$2,FALSE)*$D$11*$D$14*(1+$D$13)^($F71-'הנחות עבודה'!$C$5)/$D$11)</f>
        <v>0</v>
      </c>
      <c r="W71" s="128">
        <f ca="1">IF($F71&gt;$D$5,0,VLOOKUP($F71,$F$24:$BZ$44,W$2-$E$2,FALSE)*$D$11*$D$14*(1+$D$13)^($F71-'הנחות עבודה'!$C$5)/$D$11)</f>
        <v>0</v>
      </c>
      <c r="X71" s="128">
        <f ca="1">IF($F71&gt;$D$5,0,VLOOKUP($F71,$F$24:$BZ$44,X$2-$E$2,FALSE)*$D$11*$D$14*(1+$D$13)^($F71-'הנחות עבודה'!$C$5)/$D$11)</f>
        <v>0</v>
      </c>
      <c r="Y71" s="55">
        <f ca="1">IF($F71&gt;$D$5,0,VLOOKUP($F71,$F$24:$BZ$44,Y$2-$E$2,FALSE)*$D$11*$D$14*(1+$D$13)^($F71-'הנחות עבודה'!$C$5)/$D$11)</f>
        <v>80.879373110466759</v>
      </c>
      <c r="Z71" s="55">
        <f ca="1">IF($F71&gt;$D$5,0,VLOOKUP($F71,$F$24:$BZ$44,Z$2-$E$2,FALSE)*$D$11*$D$14*(1+$D$13)^($F71-'הנחות עבודה'!$C$5)/$D$11)</f>
        <v>814.39477581188908</v>
      </c>
      <c r="AA71" s="55">
        <f ca="1">IF($F71&gt;$D$5,0,VLOOKUP($F71,$F$24:$BZ$44,AA$2-$E$2,FALSE)*$D$11*$D$14*(1+$D$13)^($F71-'הנחות עבודה'!$C$5)/$D$11)</f>
        <v>0</v>
      </c>
      <c r="AB71" s="55">
        <f ca="1">IF($F71&gt;$D$5,0,VLOOKUP($F71,$F$24:$BZ$44,AB$2-$E$2,FALSE)*$D$11*$D$14*(1+$D$13)^($F71-'הנחות עבודה'!$C$5)/$D$11)</f>
        <v>0</v>
      </c>
      <c r="AC71" s="55">
        <f ca="1">IF($F71&gt;$D$5,0,VLOOKUP($F71,$F$24:$BZ$44,AC$2-$E$2,FALSE)*$D$11*$D$14*(1+$D$13)^($F71-'הנחות עבודה'!$C$5)/$D$11)</f>
        <v>0</v>
      </c>
      <c r="AD71" s="55">
        <f ca="1">IF($F71&gt;$D$5,0,VLOOKUP($F71,$F$24:$BZ$44,AD$2-$E$2,FALSE)*$D$11*$D$14*(1+$D$13)^($F71-'הנחות עבודה'!$C$5)/$D$11)</f>
        <v>0</v>
      </c>
      <c r="AE71" s="45">
        <f ca="1">IF($F71&gt;$D$5,0,VLOOKUP($F71,$F$24:$BZ$44,AE$2-$E$2,FALSE)*$D$11*$D$14*(1+$D$13)^($F71-'הנחות עבודה'!$C$5)/$D$11)</f>
        <v>0</v>
      </c>
      <c r="AF71" s="47">
        <f ca="1">IF($F71&gt;$D$5,0,VLOOKUP($F71,$F$24:$BZ$44,AF$2-$E$2,FALSE)*$D$11*$D$14*(1+$D$13)^($F71-'הנחות עבודה'!$C$5)/$D$11)</f>
        <v>0</v>
      </c>
      <c r="AG71" s="47">
        <f ca="1">IF($F71&gt;$D$5,0,VLOOKUP($F71,$F$24:$BZ$44,AG$2-$E$2,FALSE)*$D$11*$D$14*(1+$D$13)^($F71-'הנחות עבודה'!$C$5)/$D$11)</f>
        <v>0</v>
      </c>
      <c r="AH71" s="47">
        <f ca="1">IF($F71&gt;$D$5,0,VLOOKUP($F71,$F$24:$BZ$44,AH$2-$E$2,FALSE)*$D$11*$D$14*(1+$D$13)^($F71-'הנחות עבודה'!$C$5)/$D$11)</f>
        <v>0</v>
      </c>
      <c r="AI71" s="47">
        <f ca="1">IF($F71&gt;$D$5,0,VLOOKUP($F71,$F$24:$BZ$44,AI$2-$E$2,FALSE)*$D$11*$D$14*(1+$D$13)^($F71-'הנחות עבודה'!$C$5)/$D$11)</f>
        <v>0</v>
      </c>
      <c r="AJ71" s="47">
        <f ca="1">IF($F71&gt;$D$5,0,VLOOKUP($F71,$F$24:$BZ$44,AJ$2-$E$2,FALSE)*$D$11*$D$14*(1+$D$13)^($F71-'הנחות עבודה'!$C$5)/$D$11)</f>
        <v>0</v>
      </c>
      <c r="AK71" s="45">
        <f ca="1">IF($F71&gt;$D$5,0,VLOOKUP($F71,$F$24:$BZ$44,AK$2-$E$2,FALSE)*$D$11*$D$14*(1+$D$13)^($F71-'הנחות עבודה'!$C$5)/$D$11)</f>
        <v>83.982908901452831</v>
      </c>
      <c r="AL71" s="45">
        <f ca="1">IF($F71&gt;$D$5,0,VLOOKUP($F71,$F$24:$BZ$44,AL$2-$E$2,FALSE)*$D$11*$D$14*(1+$D$13)^($F71-'הנחות עבודה'!$C$5)/$D$11)</f>
        <v>749.05729084719133</v>
      </c>
      <c r="AM71" s="45">
        <f ca="1">IF($F71&gt;$D$5,0,VLOOKUP($F71,$F$24:$BZ$44,AM$2-$E$2,FALSE)*$D$11*$D$14*(1+$D$13)^($F71-'הנחות עבודה'!$C$5)/$D$11)</f>
        <v>0</v>
      </c>
      <c r="AN71" s="45">
        <f ca="1">IF($F71&gt;$D$5,0,VLOOKUP($F71,$F$24:$BZ$44,AN$2-$E$2,FALSE)*$D$11*$D$14*(1+$D$13)^($F71-'הנחות עבודה'!$C$5)/$D$11)</f>
        <v>0</v>
      </c>
      <c r="AO71" s="45">
        <f ca="1">IF($F71&gt;$D$5,0,VLOOKUP($F71,$F$24:$BZ$44,AO$2-$E$2,FALSE)*$D$11*$D$14*(1+$D$13)^($F71-'הנחות עבודה'!$C$5)/$D$11)</f>
        <v>0</v>
      </c>
      <c r="AP71" s="45">
        <f ca="1">IF($F71&gt;$D$5,0,VLOOKUP($F71,$F$24:$BZ$44,AP$2-$E$2,FALSE)*$D$11*$D$14*(1+$D$13)^($F71-'הנחות עבודה'!$C$5)/$D$11)</f>
        <v>0</v>
      </c>
      <c r="AQ71" s="55">
        <f ca="1">IF($F71&gt;$D$5,0,VLOOKUP($F71,$F$24:$BZ$44,AQ$2-$E$2,FALSE)*$D$11*$D$14*(1+$D$13)^($F71-'הנחות עבודה'!$C$5)/$D$11)</f>
        <v>0</v>
      </c>
      <c r="AR71" s="128">
        <f ca="1">IF($F71&gt;$D$5,0,VLOOKUP($F71,$F$24:$BZ$44,AR$2-$E$2,FALSE)*$D$11*$D$14*(1+$D$13)^($F71-'הנחות עבודה'!$C$5)/$D$11)</f>
        <v>0</v>
      </c>
      <c r="AS71" s="128">
        <f ca="1">IF($F71&gt;$D$5,0,VLOOKUP($F71,$F$24:$BZ$44,AS$2-$E$2,FALSE)*$D$11*$D$14*(1+$D$13)^($F71-'הנחות עבודה'!$C$5)/$D$11)</f>
        <v>0</v>
      </c>
      <c r="AT71" s="128">
        <f ca="1">IF($F71&gt;$D$5,0,VLOOKUP($F71,$F$24:$BZ$44,AT$2-$E$2,FALSE)*$D$11*$D$14*(1+$D$13)^($F71-'הנחות עבודה'!$C$5)/$D$11)</f>
        <v>0</v>
      </c>
      <c r="AU71" s="128">
        <f ca="1">IF($F71&gt;$D$5,0,VLOOKUP($F71,$F$24:$BZ$44,AU$2-$E$2,FALSE)*$D$11*$D$14*(1+$D$13)^($F71-'הנחות עבודה'!$C$5)/$D$11)</f>
        <v>0</v>
      </c>
      <c r="AV71" s="128">
        <f ca="1">IF($F71&gt;$D$5,0,VLOOKUP($F71,$F$24:$BZ$44,AV$2-$E$2,FALSE)*$D$11*$D$14*(1+$D$13)^($F71-'הנחות עבודה'!$C$5)/$D$11)</f>
        <v>0</v>
      </c>
      <c r="AW71" s="55">
        <f ca="1">IF($F71&gt;$D$5,0,VLOOKUP($F71,$F$24:$BZ$44,AW$2-$E$2,FALSE)*$D$11*$D$14*(1+$D$13)^($F71-'הנחות עבודה'!$C$5)/$D$11)</f>
        <v>83.982908901452831</v>
      </c>
      <c r="AX71" s="55">
        <f ca="1">IF($F71&gt;$D$5,0,VLOOKUP($F71,$F$24:$BZ$44,AX$2-$E$2,FALSE)*$D$11*$D$14*(1+$D$13)^($F71-'הנחות עבודה'!$C$5)/$D$11)</f>
        <v>749.05729084719133</v>
      </c>
      <c r="AY71" s="55">
        <f ca="1">IF($F71&gt;$D$5,0,VLOOKUP($F71,$F$24:$BZ$44,AY$2-$E$2,FALSE)*$D$11*$D$14*(1+$D$13)^($F71-'הנחות עבודה'!$C$5)/$D$11)</f>
        <v>0</v>
      </c>
      <c r="AZ71" s="55">
        <f ca="1">IF($F71&gt;$D$5,0,VLOOKUP($F71,$F$24:$BZ$44,AZ$2-$E$2,FALSE)*$D$11*$D$14*(1+$D$13)^($F71-'הנחות עבודה'!$C$5)/$D$11)</f>
        <v>0</v>
      </c>
      <c r="BA71" s="55">
        <f ca="1">IF($F71&gt;$D$5,0,VLOOKUP($F71,$F$24:$BZ$44,BA$2-$E$2,FALSE)*$D$11*$D$14*(1+$D$13)^($F71-'הנחות עבודה'!$C$5)/$D$11)</f>
        <v>0</v>
      </c>
      <c r="BB71" s="55">
        <f ca="1">IF($F71&gt;$D$5,0,VLOOKUP($F71,$F$24:$BZ$44,BB$2-$E$2,FALSE)*$D$11*$D$14*(1+$D$13)^($F71-'הנחות עבודה'!$C$5)/$D$11)</f>
        <v>0</v>
      </c>
      <c r="BC71" s="45">
        <f ca="1">IF($F71&gt;$D$5,0,VLOOKUP($F71,$F$24:$BZ$44,BC$2-$E$2,FALSE)*$D$11*$D$14*(1+$D$13)^($F71-'הנחות עבודה'!$C$5)/$D$11)</f>
        <v>0</v>
      </c>
      <c r="BD71" s="47">
        <f ca="1">IF($F71&gt;$D$5,0,VLOOKUP($F71,$F$24:$BZ$44,BD$2-$E$2,FALSE)*$D$11*$D$14*(1+$D$13)^($F71-'הנחות עבודה'!$C$5)/$D$11)</f>
        <v>0</v>
      </c>
      <c r="BE71" s="47">
        <f ca="1">IF($F71&gt;$D$5,0,VLOOKUP($F71,$F$24:$BZ$44,BE$2-$E$2,FALSE)*$D$11*$D$14*(1+$D$13)^($F71-'הנחות עבודה'!$C$5)/$D$11)</f>
        <v>0</v>
      </c>
      <c r="BF71" s="47">
        <f ca="1">IF($F71&gt;$D$5,0,VLOOKUP($F71,$F$24:$BZ$44,BF$2-$E$2,FALSE)*$D$11*$D$14*(1+$D$13)^($F71-'הנחות עבודה'!$C$5)/$D$11)</f>
        <v>0</v>
      </c>
      <c r="BG71" s="47">
        <f ca="1">IF($F71&gt;$D$5,0,VLOOKUP($F71,$F$24:$BZ$44,BG$2-$E$2,FALSE)*$D$11*$D$14*(1+$D$13)^($F71-'הנחות עבודה'!$C$5)/$D$11)</f>
        <v>0</v>
      </c>
      <c r="BH71" s="47">
        <f ca="1">IF($F71&gt;$D$5,0,VLOOKUP($F71,$F$24:$BZ$44,BH$2-$E$2,FALSE)*$D$11*$D$14*(1+$D$13)^($F71-'הנחות עבודה'!$C$5)/$D$11)</f>
        <v>0</v>
      </c>
      <c r="BI71" s="45">
        <f ca="1">IF($F71&gt;$D$5,0,VLOOKUP($F71,$F$24:$BZ$44,BI$2-$E$2,FALSE)*$D$11*$D$14*(1+$D$13)^($F71-'הנחות עבודה'!$C$5)/$D$11)</f>
        <v>86.035149936069558</v>
      </c>
      <c r="BJ71" s="45">
        <f ca="1">IF($F71&gt;$D$5,0,VLOOKUP($F71,$F$24:$BZ$44,BJ$2-$E$2,FALSE)*$D$11*$D$14*(1+$D$13)^($F71-'הנחות עבודה'!$C$5)/$D$11)</f>
        <v>708.10574657639631</v>
      </c>
      <c r="BK71" s="45">
        <f ca="1">IF($F71&gt;$D$5,0,VLOOKUP($F71,$F$24:$BZ$44,BK$2-$E$2,FALSE)*$D$11*$D$14*(1+$D$13)^($F71-'הנחות עבודה'!$C$5)/$D$11)</f>
        <v>0</v>
      </c>
      <c r="BL71" s="45">
        <f ca="1">IF($F71&gt;$D$5,0,VLOOKUP($F71,$F$24:$BZ$44,BL$2-$E$2,FALSE)*$D$11*$D$14*(1+$D$13)^($F71-'הנחות עבודה'!$C$5)/$D$11)</f>
        <v>0</v>
      </c>
      <c r="BM71" s="45">
        <f ca="1">IF($F71&gt;$D$5,0,VLOOKUP($F71,$F$24:$BZ$44,BM$2-$E$2,FALSE)*$D$11*$D$14*(1+$D$13)^($F71-'הנחות עבודה'!$C$5)/$D$11)</f>
        <v>0</v>
      </c>
      <c r="BN71" s="45">
        <f ca="1">IF($F71&gt;$D$5,0,VLOOKUP($F71,$F$24:$BZ$44,BN$2-$E$2,FALSE)*$D$11*$D$14*(1+$D$13)^($F71-'הנחות עבודה'!$C$5)/$D$11)</f>
        <v>0</v>
      </c>
      <c r="BO71" s="55">
        <f ca="1">IF($F71&gt;$D$5,0,VLOOKUP($F71,$F$24:$BZ$44,BO$2-$E$2,FALSE)*$D$11*$D$14*(1+$D$13)^($F71-'הנחות עבודה'!$C$5)/$D$11)</f>
        <v>0</v>
      </c>
      <c r="BP71" s="128">
        <f ca="1">IF($F71&gt;$D$5,0,VLOOKUP($F71,$F$24:$BZ$44,BP$2-$E$2,FALSE)*$D$11*$D$14*(1+$D$13)^($F71-'הנחות עבודה'!$C$5)/$D$11)</f>
        <v>0</v>
      </c>
      <c r="BQ71" s="128">
        <f ca="1">IF($F71&gt;$D$5,0,VLOOKUP($F71,$F$24:$BZ$44,BQ$2-$E$2,FALSE)*$D$11*$D$14*(1+$D$13)^($F71-'הנחות עבודה'!$C$5)/$D$11)</f>
        <v>0</v>
      </c>
      <c r="BR71" s="128">
        <f ca="1">IF($F71&gt;$D$5,0,VLOOKUP($F71,$F$24:$BZ$44,BR$2-$E$2,FALSE)*$D$11*$D$14*(1+$D$13)^($F71-'הנחות עבודה'!$C$5)/$D$11)</f>
        <v>0</v>
      </c>
      <c r="BS71" s="128">
        <f ca="1">IF($F71&gt;$D$5,0,VLOOKUP($F71,$F$24:$BZ$44,BS$2-$E$2,FALSE)*$D$11*$D$14*(1+$D$13)^($F71-'הנחות עבודה'!$C$5)/$D$11)</f>
        <v>0</v>
      </c>
      <c r="BT71" s="128">
        <f ca="1">IF($F71&gt;$D$5,0,VLOOKUP($F71,$F$24:$BZ$44,BT$2-$E$2,FALSE)*$D$11*$D$14*(1+$D$13)^($F71-'הנחות עבודה'!$C$5)/$D$11)</f>
        <v>0</v>
      </c>
      <c r="BU71" s="55">
        <f ca="1">IF($F71&gt;$D$5,0,VLOOKUP($F71,$F$24:$BZ$44,BU$2-$E$2,FALSE)*$D$11*$D$14*(1+$D$13)^($F71-'הנחות עבודה'!$C$5)/$D$11)</f>
        <v>86.035149936069558</v>
      </c>
      <c r="BV71" s="55">
        <f ca="1">IF($F71&gt;$D$5,0,VLOOKUP($F71,$F$24:$BZ$44,BV$2-$E$2,FALSE)*$D$11*$D$14*(1+$D$13)^($F71-'הנחות עבודה'!$C$5)/$D$11)</f>
        <v>708.10574657639631</v>
      </c>
      <c r="BW71" s="55">
        <f ca="1">IF($F71&gt;$D$5,0,VLOOKUP($F71,$F$24:$BZ$44,BW$2-$E$2,FALSE)*$D$11*$D$14*(1+$D$13)^($F71-'הנחות עבודה'!$C$5)/$D$11)</f>
        <v>0</v>
      </c>
      <c r="BX71" s="55">
        <f ca="1">IF($F71&gt;$D$5,0,VLOOKUP($F71,$F$24:$BZ$44,BX$2-$E$2,FALSE)*$D$11*$D$14*(1+$D$13)^($F71-'הנחות עבודה'!$C$5)/$D$11)</f>
        <v>0</v>
      </c>
      <c r="BY71" s="55">
        <f ca="1">IF($F71&gt;$D$5,0,VLOOKUP($F71,$F$24:$BZ$44,BY$2-$E$2,FALSE)*$D$11*$D$14*(1+$D$13)^($F71-'הנחות עבודה'!$C$5)/$D$11)</f>
        <v>0</v>
      </c>
      <c r="BZ71" s="55">
        <f ca="1">IF($F71&gt;$D$5,0,VLOOKUP($F71,$F$24:$BZ$44,BZ$2-$E$2,FALSE)*$D$11*$D$14*(1+$D$13)^($F71-'הנחות עבודה'!$C$5)/$D$11)</f>
        <v>0</v>
      </c>
    </row>
    <row r="72" spans="6:78" ht="16.5" thickBot="1">
      <c r="F72" s="349" t="s">
        <v>27</v>
      </c>
      <c r="G72" s="65">
        <f t="shared" ref="G72:BU72" ca="1" si="130">SUM(G51:G71)</f>
        <v>0</v>
      </c>
      <c r="H72" s="65">
        <f t="shared" ca="1" si="130"/>
        <v>0</v>
      </c>
      <c r="I72" s="65">
        <f t="shared" ca="1" si="130"/>
        <v>0</v>
      </c>
      <c r="J72" s="65">
        <f t="shared" ca="1" si="130"/>
        <v>0</v>
      </c>
      <c r="K72" s="65">
        <f t="shared" ca="1" si="130"/>
        <v>0</v>
      </c>
      <c r="L72" s="65">
        <f t="shared" ca="1" si="130"/>
        <v>0</v>
      </c>
      <c r="M72" s="65">
        <f t="shared" ca="1" si="130"/>
        <v>981.85551056368467</v>
      </c>
      <c r="N72" s="65">
        <f t="shared" ref="N72:R72" ca="1" si="131">SUM(N51:N71)</f>
        <v>9341.8078151486698</v>
      </c>
      <c r="O72" s="65">
        <f t="shared" ca="1" si="131"/>
        <v>0</v>
      </c>
      <c r="P72" s="65">
        <f t="shared" ca="1" si="131"/>
        <v>0</v>
      </c>
      <c r="Q72" s="65">
        <f t="shared" ca="1" si="131"/>
        <v>307.52216983922057</v>
      </c>
      <c r="R72" s="65">
        <f t="shared" ca="1" si="131"/>
        <v>0</v>
      </c>
      <c r="S72" s="76">
        <f t="shared" ca="1" si="130"/>
        <v>0</v>
      </c>
      <c r="T72" s="76">
        <f t="shared" ca="1" si="130"/>
        <v>0</v>
      </c>
      <c r="U72" s="76">
        <f t="shared" ca="1" si="130"/>
        <v>0</v>
      </c>
      <c r="V72" s="76">
        <f t="shared" ca="1" si="130"/>
        <v>0</v>
      </c>
      <c r="W72" s="76">
        <f t="shared" ca="1" si="130"/>
        <v>0</v>
      </c>
      <c r="X72" s="76">
        <f t="shared" ca="1" si="130"/>
        <v>0</v>
      </c>
      <c r="Y72" s="76">
        <f t="shared" ca="1" si="130"/>
        <v>981.85551056368467</v>
      </c>
      <c r="Z72" s="76">
        <f t="shared" ref="Z72:AD72" ca="1" si="132">SUM(Z51:Z71)</f>
        <v>9341.8078151486698</v>
      </c>
      <c r="AA72" s="76">
        <f t="shared" ca="1" si="132"/>
        <v>0</v>
      </c>
      <c r="AB72" s="76">
        <f t="shared" ca="1" si="132"/>
        <v>0</v>
      </c>
      <c r="AC72" s="76">
        <f t="shared" ca="1" si="132"/>
        <v>307.52216983922057</v>
      </c>
      <c r="AD72" s="76">
        <f t="shared" ca="1" si="132"/>
        <v>0</v>
      </c>
      <c r="AE72" s="65">
        <f t="shared" ref="AE72:BB72" ca="1" si="133">SUM(AE51:AE71)</f>
        <v>0</v>
      </c>
      <c r="AF72" s="65">
        <f t="shared" ca="1" si="133"/>
        <v>0</v>
      </c>
      <c r="AG72" s="65">
        <f t="shared" ca="1" si="133"/>
        <v>0</v>
      </c>
      <c r="AH72" s="65">
        <f t="shared" ca="1" si="133"/>
        <v>0</v>
      </c>
      <c r="AI72" s="65">
        <f t="shared" ca="1" si="133"/>
        <v>0</v>
      </c>
      <c r="AJ72" s="65">
        <f t="shared" ca="1" si="133"/>
        <v>0</v>
      </c>
      <c r="AK72" s="65">
        <f t="shared" ca="1" si="133"/>
        <v>1021.3363583157562</v>
      </c>
      <c r="AL72" s="65">
        <f t="shared" ca="1" si="133"/>
        <v>8513.708063064998</v>
      </c>
      <c r="AM72" s="65">
        <f t="shared" ca="1" si="133"/>
        <v>0</v>
      </c>
      <c r="AN72" s="65">
        <f t="shared" ca="1" si="133"/>
        <v>0</v>
      </c>
      <c r="AO72" s="65">
        <f t="shared" ca="1" si="133"/>
        <v>307.39072082551581</v>
      </c>
      <c r="AP72" s="65">
        <f t="shared" ca="1" si="133"/>
        <v>0</v>
      </c>
      <c r="AQ72" s="76">
        <f t="shared" ca="1" si="133"/>
        <v>0</v>
      </c>
      <c r="AR72" s="76">
        <f t="shared" ca="1" si="133"/>
        <v>0</v>
      </c>
      <c r="AS72" s="76">
        <f t="shared" ca="1" si="133"/>
        <v>0</v>
      </c>
      <c r="AT72" s="76">
        <f t="shared" ca="1" si="133"/>
        <v>0</v>
      </c>
      <c r="AU72" s="76">
        <f t="shared" ca="1" si="133"/>
        <v>0</v>
      </c>
      <c r="AV72" s="76">
        <f t="shared" ca="1" si="133"/>
        <v>0</v>
      </c>
      <c r="AW72" s="76">
        <f t="shared" ca="1" si="133"/>
        <v>1021.3363583157562</v>
      </c>
      <c r="AX72" s="76">
        <f t="shared" ca="1" si="133"/>
        <v>8513.708063064998</v>
      </c>
      <c r="AY72" s="76">
        <f t="shared" ca="1" si="133"/>
        <v>0</v>
      </c>
      <c r="AZ72" s="76">
        <f t="shared" ca="1" si="133"/>
        <v>0</v>
      </c>
      <c r="BA72" s="76">
        <f t="shared" ca="1" si="133"/>
        <v>307.39072082551581</v>
      </c>
      <c r="BB72" s="76">
        <f t="shared" ca="1" si="133"/>
        <v>0</v>
      </c>
      <c r="BC72" s="65">
        <f t="shared" ca="1" si="130"/>
        <v>0</v>
      </c>
      <c r="BD72" s="65">
        <f t="shared" ca="1" si="130"/>
        <v>0</v>
      </c>
      <c r="BE72" s="65">
        <f t="shared" ca="1" si="130"/>
        <v>0</v>
      </c>
      <c r="BF72" s="65">
        <f t="shared" ca="1" si="130"/>
        <v>0</v>
      </c>
      <c r="BG72" s="65">
        <f t="shared" ca="1" si="130"/>
        <v>0</v>
      </c>
      <c r="BH72" s="65">
        <f t="shared" ca="1" si="130"/>
        <v>0</v>
      </c>
      <c r="BI72" s="65">
        <f t="shared" ca="1" si="130"/>
        <v>1042.6431589555079</v>
      </c>
      <c r="BJ72" s="65">
        <f t="shared" ref="BJ72:BN72" ca="1" si="134">SUM(BJ51:BJ71)</f>
        <v>8011.0823335615869</v>
      </c>
      <c r="BK72" s="65">
        <f t="shared" ca="1" si="134"/>
        <v>0</v>
      </c>
      <c r="BL72" s="65">
        <f t="shared" ca="1" si="134"/>
        <v>0</v>
      </c>
      <c r="BM72" s="65">
        <f t="shared" ca="1" si="134"/>
        <v>307.34515460800202</v>
      </c>
      <c r="BN72" s="65">
        <f t="shared" ca="1" si="134"/>
        <v>0</v>
      </c>
      <c r="BO72" s="76">
        <f t="shared" ca="1" si="130"/>
        <v>0</v>
      </c>
      <c r="BP72" s="76">
        <f t="shared" ca="1" si="130"/>
        <v>0</v>
      </c>
      <c r="BQ72" s="76">
        <f t="shared" ca="1" si="130"/>
        <v>0</v>
      </c>
      <c r="BR72" s="76">
        <f t="shared" ca="1" si="130"/>
        <v>0</v>
      </c>
      <c r="BS72" s="76">
        <f t="shared" ca="1" si="130"/>
        <v>0</v>
      </c>
      <c r="BT72" s="76">
        <f t="shared" ca="1" si="130"/>
        <v>0</v>
      </c>
      <c r="BU72" s="76">
        <f t="shared" ca="1" si="130"/>
        <v>1042.6431589555079</v>
      </c>
      <c r="BV72" s="76">
        <f t="shared" ref="BV72:BZ72" ca="1" si="135">SUM(BV51:BV71)</f>
        <v>8011.0823335615869</v>
      </c>
      <c r="BW72" s="76">
        <f t="shared" ca="1" si="135"/>
        <v>0</v>
      </c>
      <c r="BX72" s="76">
        <f t="shared" ca="1" si="135"/>
        <v>0</v>
      </c>
      <c r="BY72" s="76">
        <f t="shared" ca="1" si="135"/>
        <v>307.34515460800202</v>
      </c>
      <c r="BZ72" s="76">
        <f t="shared" ca="1" si="135"/>
        <v>0</v>
      </c>
    </row>
    <row r="73" spans="6:78" ht="16.5" thickBot="1">
      <c r="F73" s="349" t="s">
        <v>4</v>
      </c>
      <c r="G73" s="65">
        <f ca="1">NPV($D$6,G51:G71)</f>
        <v>0</v>
      </c>
      <c r="H73" s="65">
        <f t="shared" ref="H73:BU73" ca="1" si="136">NPV($D$6,H51:H71)</f>
        <v>0</v>
      </c>
      <c r="I73" s="65">
        <f t="shared" ca="1" si="136"/>
        <v>0</v>
      </c>
      <c r="J73" s="65">
        <f t="shared" ca="1" si="136"/>
        <v>0</v>
      </c>
      <c r="K73" s="65">
        <f t="shared" ca="1" si="136"/>
        <v>0</v>
      </c>
      <c r="L73" s="65">
        <f t="shared" ca="1" si="136"/>
        <v>0</v>
      </c>
      <c r="M73" s="65">
        <f t="shared" ca="1" si="136"/>
        <v>651.02717296509775</v>
      </c>
      <c r="N73" s="65">
        <f t="shared" ref="N73:R73" ca="1" si="137">NPV($D$6,N51:N71)</f>
        <v>6388.6078536890955</v>
      </c>
      <c r="O73" s="65">
        <f t="shared" ca="1" si="137"/>
        <v>0</v>
      </c>
      <c r="P73" s="65">
        <f t="shared" ca="1" si="137"/>
        <v>0</v>
      </c>
      <c r="Q73" s="65">
        <f t="shared" ca="1" si="137"/>
        <v>282.64476800481555</v>
      </c>
      <c r="R73" s="65">
        <f t="shared" ca="1" si="137"/>
        <v>0</v>
      </c>
      <c r="S73" s="76">
        <f t="shared" ca="1" si="136"/>
        <v>0</v>
      </c>
      <c r="T73" s="76">
        <f t="shared" ca="1" si="136"/>
        <v>0</v>
      </c>
      <c r="U73" s="76">
        <f t="shared" ca="1" si="136"/>
        <v>0</v>
      </c>
      <c r="V73" s="76">
        <f t="shared" ca="1" si="136"/>
        <v>0</v>
      </c>
      <c r="W73" s="76">
        <f t="shared" ca="1" si="136"/>
        <v>0</v>
      </c>
      <c r="X73" s="76">
        <f t="shared" ca="1" si="136"/>
        <v>0</v>
      </c>
      <c r="Y73" s="76">
        <f t="shared" ca="1" si="136"/>
        <v>651.02717296509775</v>
      </c>
      <c r="Z73" s="76">
        <f t="shared" ref="Z73:AD73" ca="1" si="138">NPV($D$6,Z51:Z71)</f>
        <v>6388.6078536890955</v>
      </c>
      <c r="AA73" s="76">
        <f t="shared" ca="1" si="138"/>
        <v>0</v>
      </c>
      <c r="AB73" s="76">
        <f t="shared" ca="1" si="138"/>
        <v>0</v>
      </c>
      <c r="AC73" s="76">
        <f t="shared" ca="1" si="138"/>
        <v>282.64476800481555</v>
      </c>
      <c r="AD73" s="76">
        <f t="shared" ca="1" si="138"/>
        <v>0</v>
      </c>
      <c r="AE73" s="65">
        <f t="shared" ref="AE73:BB73" ca="1" si="139">NPV($D$6,AE51:AE71)</f>
        <v>0</v>
      </c>
      <c r="AF73" s="65">
        <f t="shared" ca="1" si="139"/>
        <v>0</v>
      </c>
      <c r="AG73" s="65">
        <f t="shared" ca="1" si="139"/>
        <v>0</v>
      </c>
      <c r="AH73" s="65">
        <f t="shared" ca="1" si="139"/>
        <v>0</v>
      </c>
      <c r="AI73" s="65">
        <f t="shared" ca="1" si="139"/>
        <v>0</v>
      </c>
      <c r="AJ73" s="65">
        <f t="shared" ca="1" si="139"/>
        <v>0</v>
      </c>
      <c r="AK73" s="65">
        <f t="shared" ca="1" si="139"/>
        <v>675.61899148288535</v>
      </c>
      <c r="AL73" s="65">
        <f t="shared" ca="1" si="139"/>
        <v>5841.5815124826759</v>
      </c>
      <c r="AM73" s="65">
        <f t="shared" ca="1" si="139"/>
        <v>0</v>
      </c>
      <c r="AN73" s="65">
        <f t="shared" ca="1" si="139"/>
        <v>0</v>
      </c>
      <c r="AO73" s="65">
        <f t="shared" ca="1" si="139"/>
        <v>282.53156662008331</v>
      </c>
      <c r="AP73" s="65">
        <f t="shared" ca="1" si="139"/>
        <v>0</v>
      </c>
      <c r="AQ73" s="76">
        <f t="shared" ca="1" si="139"/>
        <v>0</v>
      </c>
      <c r="AR73" s="76">
        <f t="shared" ca="1" si="139"/>
        <v>0</v>
      </c>
      <c r="AS73" s="76">
        <f t="shared" ca="1" si="139"/>
        <v>0</v>
      </c>
      <c r="AT73" s="76">
        <f t="shared" ca="1" si="139"/>
        <v>0</v>
      </c>
      <c r="AU73" s="76">
        <f t="shared" ca="1" si="139"/>
        <v>0</v>
      </c>
      <c r="AV73" s="76">
        <f t="shared" ca="1" si="139"/>
        <v>0</v>
      </c>
      <c r="AW73" s="76">
        <f t="shared" ca="1" si="139"/>
        <v>675.61899148288535</v>
      </c>
      <c r="AX73" s="76">
        <f t="shared" ca="1" si="139"/>
        <v>5841.5815124826759</v>
      </c>
      <c r="AY73" s="76">
        <f t="shared" ca="1" si="139"/>
        <v>0</v>
      </c>
      <c r="AZ73" s="76">
        <f t="shared" ca="1" si="139"/>
        <v>0</v>
      </c>
      <c r="BA73" s="76">
        <f t="shared" ca="1" si="139"/>
        <v>282.53156662008331</v>
      </c>
      <c r="BB73" s="76">
        <f t="shared" ca="1" si="139"/>
        <v>0</v>
      </c>
      <c r="BC73" s="65">
        <f t="shared" ca="1" si="136"/>
        <v>0</v>
      </c>
      <c r="BD73" s="65">
        <f t="shared" ca="1" si="136"/>
        <v>0</v>
      </c>
      <c r="BE73" s="65">
        <f t="shared" ca="1" si="136"/>
        <v>0</v>
      </c>
      <c r="BF73" s="65">
        <f t="shared" ca="1" si="136"/>
        <v>0</v>
      </c>
      <c r="BG73" s="65">
        <f t="shared" ca="1" si="136"/>
        <v>0</v>
      </c>
      <c r="BH73" s="65">
        <f t="shared" ca="1" si="136"/>
        <v>0</v>
      </c>
      <c r="BI73" s="65">
        <f t="shared" ca="1" si="136"/>
        <v>689.28607867288588</v>
      </c>
      <c r="BJ73" s="65">
        <f t="shared" ref="BJ73:BN73" ca="1" si="140">NPV($D$6,BJ51:BJ71)</f>
        <v>5510.2983675948208</v>
      </c>
      <c r="BK73" s="65">
        <f t="shared" ca="1" si="140"/>
        <v>0</v>
      </c>
      <c r="BL73" s="65">
        <f t="shared" ca="1" si="140"/>
        <v>0</v>
      </c>
      <c r="BM73" s="65">
        <f t="shared" ca="1" si="140"/>
        <v>282.4927211039917</v>
      </c>
      <c r="BN73" s="65">
        <f t="shared" ca="1" si="140"/>
        <v>0</v>
      </c>
      <c r="BO73" s="76">
        <f t="shared" ca="1" si="136"/>
        <v>0</v>
      </c>
      <c r="BP73" s="76">
        <f t="shared" ca="1" si="136"/>
        <v>0</v>
      </c>
      <c r="BQ73" s="76">
        <f t="shared" ca="1" si="136"/>
        <v>0</v>
      </c>
      <c r="BR73" s="76">
        <f t="shared" ca="1" si="136"/>
        <v>0</v>
      </c>
      <c r="BS73" s="76">
        <f t="shared" ca="1" si="136"/>
        <v>0</v>
      </c>
      <c r="BT73" s="76">
        <f t="shared" ca="1" si="136"/>
        <v>0</v>
      </c>
      <c r="BU73" s="76">
        <f t="shared" ca="1" si="136"/>
        <v>689.28607867288588</v>
      </c>
      <c r="BV73" s="76">
        <f t="shared" ref="BV73:BZ73" ca="1" si="141">NPV($D$6,BV51:BV71)</f>
        <v>5510.2983675948208</v>
      </c>
      <c r="BW73" s="76">
        <f t="shared" ca="1" si="141"/>
        <v>0</v>
      </c>
      <c r="BX73" s="76">
        <f t="shared" ca="1" si="141"/>
        <v>0</v>
      </c>
      <c r="BY73" s="76">
        <f t="shared" ca="1" si="141"/>
        <v>282.4927211039917</v>
      </c>
      <c r="BZ73" s="76">
        <f t="shared" ca="1" si="141"/>
        <v>0</v>
      </c>
    </row>
    <row r="74" spans="6:78" ht="16.5" thickBot="1">
      <c r="F74" s="349" t="s">
        <v>27</v>
      </c>
      <c r="G74" s="1306">
        <f ca="1">SUM(G72:R72)</f>
        <v>10631.185495551574</v>
      </c>
      <c r="H74" s="1307"/>
      <c r="I74" s="1307"/>
      <c r="J74" s="1307"/>
      <c r="K74" s="1307"/>
      <c r="L74" s="1307"/>
      <c r="M74" s="1307"/>
      <c r="N74" s="1307"/>
      <c r="O74" s="1307"/>
      <c r="P74" s="1307"/>
      <c r="Q74" s="1307"/>
      <c r="R74" s="1308"/>
      <c r="S74" s="1306">
        <f ca="1">SUM(S72:AD72)</f>
        <v>10631.185495551574</v>
      </c>
      <c r="T74" s="1307"/>
      <c r="U74" s="1307"/>
      <c r="V74" s="1307"/>
      <c r="W74" s="1307"/>
      <c r="X74" s="1307"/>
      <c r="Y74" s="1307"/>
      <c r="Z74" s="1307"/>
      <c r="AA74" s="1307"/>
      <c r="AB74" s="1307"/>
      <c r="AC74" s="1307"/>
      <c r="AD74" s="1308"/>
      <c r="AE74" s="1306">
        <f t="shared" ref="AE74:AE75" ca="1" si="142">SUM(AE72:AP72)</f>
        <v>9842.43514220627</v>
      </c>
      <c r="AF74" s="1307"/>
      <c r="AG74" s="1307"/>
      <c r="AH74" s="1307"/>
      <c r="AI74" s="1307"/>
      <c r="AJ74" s="1307"/>
      <c r="AK74" s="1307"/>
      <c r="AL74" s="1307"/>
      <c r="AM74" s="1307"/>
      <c r="AN74" s="1307"/>
      <c r="AO74" s="1307"/>
      <c r="AP74" s="1308"/>
      <c r="AQ74" s="1306">
        <f t="shared" ref="AQ74:AQ75" ca="1" si="143">SUM(AQ72:BB72)</f>
        <v>9842.43514220627</v>
      </c>
      <c r="AR74" s="1307"/>
      <c r="AS74" s="1307"/>
      <c r="AT74" s="1307"/>
      <c r="AU74" s="1307"/>
      <c r="AV74" s="1307"/>
      <c r="AW74" s="1307"/>
      <c r="AX74" s="1307"/>
      <c r="AY74" s="1307"/>
      <c r="AZ74" s="1307"/>
      <c r="BA74" s="1307"/>
      <c r="BB74" s="1308"/>
      <c r="BC74" s="1306">
        <f ca="1">SUM(BC72:BN72)</f>
        <v>9361.070647125096</v>
      </c>
      <c r="BD74" s="1307"/>
      <c r="BE74" s="1307"/>
      <c r="BF74" s="1307"/>
      <c r="BG74" s="1307"/>
      <c r="BH74" s="1307"/>
      <c r="BI74" s="1307"/>
      <c r="BJ74" s="1307"/>
      <c r="BK74" s="1307"/>
      <c r="BL74" s="1307"/>
      <c r="BM74" s="1307"/>
      <c r="BN74" s="1308"/>
      <c r="BO74" s="1306">
        <f ca="1">SUM(BO72:BZ72)</f>
        <v>9361.070647125096</v>
      </c>
      <c r="BP74" s="1307"/>
      <c r="BQ74" s="1307"/>
      <c r="BR74" s="1307"/>
      <c r="BS74" s="1307"/>
      <c r="BT74" s="1307"/>
      <c r="BU74" s="1307"/>
      <c r="BV74" s="1307"/>
      <c r="BW74" s="1307"/>
      <c r="BX74" s="1307"/>
      <c r="BY74" s="1307"/>
      <c r="BZ74" s="1308"/>
    </row>
    <row r="75" spans="6:78" ht="16.5" thickBot="1">
      <c r="F75" s="349" t="s">
        <v>4</v>
      </c>
      <c r="G75" s="1309">
        <f ca="1">SUM(G73:R73)</f>
        <v>7322.279794659009</v>
      </c>
      <c r="H75" s="1310"/>
      <c r="I75" s="1310"/>
      <c r="J75" s="1310"/>
      <c r="K75" s="1310"/>
      <c r="L75" s="1310"/>
      <c r="M75" s="1310"/>
      <c r="N75" s="1310"/>
      <c r="O75" s="1310"/>
      <c r="P75" s="1310"/>
      <c r="Q75" s="1310"/>
      <c r="R75" s="1311"/>
      <c r="S75" s="1309">
        <f ca="1">SUM(S73:AD73)</f>
        <v>7322.279794659009</v>
      </c>
      <c r="T75" s="1310"/>
      <c r="U75" s="1310"/>
      <c r="V75" s="1310"/>
      <c r="W75" s="1310"/>
      <c r="X75" s="1310"/>
      <c r="Y75" s="1310"/>
      <c r="Z75" s="1310"/>
      <c r="AA75" s="1310"/>
      <c r="AB75" s="1310"/>
      <c r="AC75" s="1310"/>
      <c r="AD75" s="1311"/>
      <c r="AE75" s="1309">
        <f t="shared" ca="1" si="142"/>
        <v>6799.7320705856446</v>
      </c>
      <c r="AF75" s="1310"/>
      <c r="AG75" s="1310"/>
      <c r="AH75" s="1310"/>
      <c r="AI75" s="1310"/>
      <c r="AJ75" s="1310"/>
      <c r="AK75" s="1310"/>
      <c r="AL75" s="1310"/>
      <c r="AM75" s="1310"/>
      <c r="AN75" s="1310"/>
      <c r="AO75" s="1310"/>
      <c r="AP75" s="1311"/>
      <c r="AQ75" s="1309">
        <f t="shared" ca="1" si="143"/>
        <v>6799.7320705856446</v>
      </c>
      <c r="AR75" s="1310"/>
      <c r="AS75" s="1310"/>
      <c r="AT75" s="1310"/>
      <c r="AU75" s="1310"/>
      <c r="AV75" s="1310"/>
      <c r="AW75" s="1310"/>
      <c r="AX75" s="1310"/>
      <c r="AY75" s="1310"/>
      <c r="AZ75" s="1310"/>
      <c r="BA75" s="1310"/>
      <c r="BB75" s="1311"/>
      <c r="BC75" s="1309">
        <f ca="1">SUM(BC73:BN73)</f>
        <v>6482.077167371699</v>
      </c>
      <c r="BD75" s="1310"/>
      <c r="BE75" s="1310"/>
      <c r="BF75" s="1310"/>
      <c r="BG75" s="1310"/>
      <c r="BH75" s="1310"/>
      <c r="BI75" s="1310"/>
      <c r="BJ75" s="1310"/>
      <c r="BK75" s="1310"/>
      <c r="BL75" s="1310"/>
      <c r="BM75" s="1310"/>
      <c r="BN75" s="1311"/>
      <c r="BO75" s="1309">
        <f ca="1">SUM(BO73:BZ73)</f>
        <v>6482.077167371699</v>
      </c>
      <c r="BP75" s="1310"/>
      <c r="BQ75" s="1310"/>
      <c r="BR75" s="1310"/>
      <c r="BS75" s="1310"/>
      <c r="BT75" s="1310"/>
      <c r="BU75" s="1310"/>
      <c r="BV75" s="1310"/>
      <c r="BW75" s="1310"/>
      <c r="BX75" s="1310"/>
      <c r="BY75" s="1310"/>
      <c r="BZ75" s="1311"/>
    </row>
  </sheetData>
  <mergeCells count="34">
    <mergeCell ref="G49:R49"/>
    <mergeCell ref="S49:AD49"/>
    <mergeCell ref="BC49:BN49"/>
    <mergeCell ref="BO49:BZ49"/>
    <mergeCell ref="B6:B11"/>
    <mergeCell ref="F17:R17"/>
    <mergeCell ref="G21:BZ21"/>
    <mergeCell ref="G22:R22"/>
    <mergeCell ref="S22:AD22"/>
    <mergeCell ref="BC22:BN22"/>
    <mergeCell ref="BO22:BZ22"/>
    <mergeCell ref="G46:R46"/>
    <mergeCell ref="S46:AD46"/>
    <mergeCell ref="BC46:BN46"/>
    <mergeCell ref="BO46:BZ46"/>
    <mergeCell ref="G48:BZ48"/>
    <mergeCell ref="G74:R74"/>
    <mergeCell ref="S74:AD74"/>
    <mergeCell ref="BC74:BN74"/>
    <mergeCell ref="BO74:BZ74"/>
    <mergeCell ref="G75:R75"/>
    <mergeCell ref="S75:AD75"/>
    <mergeCell ref="BC75:BN75"/>
    <mergeCell ref="BO75:BZ75"/>
    <mergeCell ref="AE74:AP74"/>
    <mergeCell ref="AQ74:BB74"/>
    <mergeCell ref="AE75:AP75"/>
    <mergeCell ref="AQ75:BB75"/>
    <mergeCell ref="AE22:AP22"/>
    <mergeCell ref="AQ22:BB22"/>
    <mergeCell ref="AE49:AP49"/>
    <mergeCell ref="AQ49:BB49"/>
    <mergeCell ref="AE46:AP46"/>
    <mergeCell ref="AQ46:BB46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0000000}">
          <x14:formula1>
            <xm:f>'הנחות עבודה'!$L$39:$L$42</xm:f>
          </x14:formula1>
          <xm:sqref>F19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K35"/>
  <sheetViews>
    <sheetView rightToLeft="1" topLeftCell="A4" zoomScale="85" zoomScaleNormal="85" workbookViewId="0">
      <selection activeCell="F21" sqref="F21"/>
    </sheetView>
  </sheetViews>
  <sheetFormatPr defaultColWidth="8.5703125" defaultRowHeight="15"/>
  <cols>
    <col min="2" max="2" width="31.140625" bestFit="1" customWidth="1"/>
    <col min="3" max="3" width="27.28515625" bestFit="1" customWidth="1"/>
    <col min="4" max="4" width="10.42578125" bestFit="1" customWidth="1"/>
    <col min="5" max="5" width="11.7109375" bestFit="1" customWidth="1"/>
    <col min="6" max="6" width="14.28515625" bestFit="1" customWidth="1"/>
    <col min="7" max="7" width="24.7109375" bestFit="1" customWidth="1"/>
    <col min="8" max="8" width="13.42578125" bestFit="1" customWidth="1"/>
    <col min="9" max="9" width="23.7109375" bestFit="1" customWidth="1"/>
    <col min="10" max="10" width="25.28515625" bestFit="1" customWidth="1"/>
    <col min="11" max="11" width="21.7109375" customWidth="1"/>
  </cols>
  <sheetData>
    <row r="1" spans="2:8" ht="15.75" thickBot="1"/>
    <row r="2" spans="2:8" ht="49.15" customHeight="1" thickBot="1">
      <c r="B2" s="1330" t="s">
        <v>399</v>
      </c>
      <c r="C2" s="1331"/>
      <c r="F2" s="1335" t="s">
        <v>400</v>
      </c>
      <c r="G2" s="1336"/>
    </row>
    <row r="3" spans="2:8" ht="15.75">
      <c r="B3" s="938" t="str">
        <f>'הנחות עבודה'!C13</f>
        <v>MW TO KW / KW TO W</v>
      </c>
      <c r="C3" s="939">
        <f>'הנחות עבודה'!D13</f>
        <v>1000</v>
      </c>
    </row>
    <row r="4" spans="2:8" ht="15.75">
      <c r="B4" s="185" t="str">
        <f>'הנחות עבודה'!C14</f>
        <v>TW TO MW</v>
      </c>
      <c r="C4" s="188">
        <f>'הנחות עבודה'!D14</f>
        <v>1000000</v>
      </c>
    </row>
    <row r="5" spans="2:8" ht="15.75">
      <c r="B5" s="185" t="str">
        <f>'הנחות עבודה'!C9</f>
        <v>ריבית שנתית להיוון</v>
      </c>
      <c r="C5" s="940">
        <f>'הנחות עבודה'!D9</f>
        <v>0.03</v>
      </c>
    </row>
    <row r="6" spans="2:8" ht="15.75">
      <c r="B6" s="186" t="str">
        <f>'הנחות עבודה'!C15</f>
        <v>₪ לאג</v>
      </c>
      <c r="C6" s="188">
        <f>'הנחות עבודה'!D15</f>
        <v>100</v>
      </c>
    </row>
    <row r="7" spans="2:8" ht="16.5" thickBot="1">
      <c r="B7" s="187" t="str">
        <f>'הנחות עבודה'!C16</f>
        <v>מלש"ח ל- ₪ / טון לגר' / מיליון טון לטון</v>
      </c>
      <c r="C7" s="189">
        <f>'הנחות עבודה'!D16</f>
        <v>1000000</v>
      </c>
    </row>
    <row r="8" spans="2:8" ht="15.75" thickBot="1"/>
    <row r="9" spans="2:8" ht="15.75" thickBot="1">
      <c r="C9" s="731" t="s">
        <v>396</v>
      </c>
      <c r="D9" s="308">
        <f>'הספק קיים ותחזית יצור'!C17</f>
        <v>97.256231</v>
      </c>
    </row>
    <row r="10" spans="2:8" ht="15.75" thickBot="1"/>
    <row r="11" spans="2:8" ht="15.75" thickBot="1">
      <c r="C11" s="1332" t="s">
        <v>395</v>
      </c>
      <c r="D11" s="1333"/>
      <c r="E11" s="1333"/>
      <c r="F11" s="1333"/>
      <c r="G11" s="1333"/>
      <c r="H11" s="1334"/>
    </row>
    <row r="12" spans="2:8" ht="15.75" thickBot="1">
      <c r="B12" s="743" t="s">
        <v>394</v>
      </c>
      <c r="C12" s="747" t="s">
        <v>393</v>
      </c>
      <c r="D12" s="747" t="str">
        <f>'התפלגות ייצור וסל דלקים'!M62</f>
        <v>יחידה פחמית</v>
      </c>
      <c r="E12" s="747" t="str">
        <f>'התפלגות ייצור וסל דלקים'!N62</f>
        <v>סולר ופצלי שמן</v>
      </c>
      <c r="F12" s="747" t="str">
        <f ca="1">'התפלגות ייצור וסל דלקים'!I62</f>
        <v>גז פחמיות מוסבות</v>
      </c>
      <c r="G12" s="747" t="str">
        <f ca="1">'התפלגות ייצור וסל דלקים'!J62</f>
        <v>גז חח"י מחזמים ופקירים ויח"פים</v>
      </c>
      <c r="H12" s="747" t="s">
        <v>27</v>
      </c>
    </row>
    <row r="13" spans="2:8">
      <c r="B13" s="744">
        <v>0.3</v>
      </c>
      <c r="C13" s="453">
        <v>29.14620930000001</v>
      </c>
      <c r="D13" s="748">
        <v>27.155847850642417</v>
      </c>
      <c r="E13" s="748">
        <f>$D$9-D13-C13-F13-G13</f>
        <v>40.954173849357574</v>
      </c>
      <c r="F13" s="748">
        <v>0</v>
      </c>
      <c r="G13" s="454">
        <v>0</v>
      </c>
      <c r="H13" s="751">
        <f>SUM(C13:G13)</f>
        <v>97.256231</v>
      </c>
    </row>
    <row r="14" spans="2:8">
      <c r="B14" s="745">
        <v>0.25</v>
      </c>
      <c r="C14" s="455">
        <v>24.314057750000003</v>
      </c>
      <c r="D14" s="749">
        <v>28.7970473967282</v>
      </c>
      <c r="E14" s="749">
        <f t="shared" ref="E14:E15" si="0">$D$9-D14-C14-F14-G14</f>
        <v>44.145125853271793</v>
      </c>
      <c r="F14" s="749">
        <v>0</v>
      </c>
      <c r="G14" s="456">
        <v>0</v>
      </c>
      <c r="H14" s="752">
        <f t="shared" ref="H14:H15" si="1">SUM(C14:G14)</f>
        <v>97.256231</v>
      </c>
    </row>
    <row r="15" spans="2:8" ht="15.75" thickBot="1">
      <c r="B15" s="746">
        <v>0.17</v>
      </c>
      <c r="C15" s="457">
        <v>16.533559270000001</v>
      </c>
      <c r="D15" s="750">
        <v>29.758539231809323</v>
      </c>
      <c r="E15" s="750">
        <f t="shared" si="0"/>
        <v>50.964132498190679</v>
      </c>
      <c r="F15" s="750">
        <v>0</v>
      </c>
      <c r="G15" s="458">
        <v>0</v>
      </c>
      <c r="H15" s="753">
        <f t="shared" si="1"/>
        <v>97.256231</v>
      </c>
    </row>
    <row r="16" spans="2:8" ht="15.75" thickBot="1"/>
    <row r="17" spans="2:11" ht="15.75" thickBot="1">
      <c r="C17" s="1332" t="s">
        <v>398</v>
      </c>
      <c r="D17" s="1333"/>
      <c r="E17" s="1333"/>
      <c r="F17" s="1333"/>
      <c r="G17" s="1334"/>
    </row>
    <row r="18" spans="2:11" ht="15.75" thickBot="1">
      <c r="B18" s="743" t="str">
        <f>B12</f>
        <v xml:space="preserve">יעד מתחדשות </v>
      </c>
      <c r="C18" s="747" t="str">
        <f t="shared" ref="C18:G18" si="2">C12</f>
        <v>אנרגיות מתחדשות</v>
      </c>
      <c r="D18" s="747" t="str">
        <f t="shared" si="2"/>
        <v>יחידה פחמית</v>
      </c>
      <c r="E18" s="747" t="str">
        <f t="shared" si="2"/>
        <v>סולר ופצלי שמן</v>
      </c>
      <c r="F18" s="747" t="str">
        <f t="shared" ca="1" si="2"/>
        <v>גז פחמיות מוסבות</v>
      </c>
      <c r="G18" s="747" t="str">
        <f t="shared" ca="1" si="2"/>
        <v>גז חח"י מחזמים ופקירים ויח"פים</v>
      </c>
    </row>
    <row r="19" spans="2:11">
      <c r="B19" s="744">
        <f t="shared" ref="B19:B21" si="3">B13</f>
        <v>0.3</v>
      </c>
      <c r="C19" s="453">
        <v>0</v>
      </c>
      <c r="D19" s="1137">
        <f>אנרגיה!AI29-('הנחות עבודה'!I43/'הנחות עבודה'!I40/'הנחות עבודה'!I42)*'הנחות עבודה'!I9*'הנחות עבודה'!D15/'הנחות עבודה'!D13</f>
        <v>10.663232257047509</v>
      </c>
      <c r="E19" s="748">
        <f>אנרגיה!AJ29</f>
        <v>33.751294580477023</v>
      </c>
      <c r="F19" s="748">
        <f ca="1">אנרגיה!AE29</f>
        <v>17.697952732262955</v>
      </c>
      <c r="G19" s="454">
        <f ca="1">אנרגיה!AF29</f>
        <v>13.763461473490402</v>
      </c>
    </row>
    <row r="20" spans="2:11">
      <c r="B20" s="745">
        <f t="shared" si="3"/>
        <v>0.25</v>
      </c>
      <c r="C20" s="455">
        <v>0</v>
      </c>
      <c r="D20" s="1138">
        <f>אנרגיה!W29-('הנחות עבודה'!I43/'הנחות עבודה'!I40/'הנחות עבודה'!I42)*'הנחות עבודה'!I9*'הנחות עבודה'!D15/'הנחות עבודה'!D13</f>
        <v>10.663232257047509</v>
      </c>
      <c r="E20" s="749">
        <f>אנרגיה!X29</f>
        <v>33.751294580477023</v>
      </c>
      <c r="F20" s="749">
        <f ca="1">אנרגיה!S29</f>
        <v>17.704242305659392</v>
      </c>
      <c r="G20" s="456">
        <f ca="1">אנרגיה!T29</f>
        <v>13.484645287055724</v>
      </c>
    </row>
    <row r="21" spans="2:11" ht="15.75" thickBot="1">
      <c r="B21" s="746">
        <f t="shared" si="3"/>
        <v>0.17</v>
      </c>
      <c r="C21" s="457">
        <v>0</v>
      </c>
      <c r="D21" s="1139">
        <f>אנרגיה!K29-('הנחות עבודה'!I43/'הנחות עבודה'!I40/'הנחות עבודה'!I42)*'הנחות עבודה'!I9*'הנחות עבודה'!D15/'הנחות עבודה'!D13</f>
        <v>10.663232257047509</v>
      </c>
      <c r="E21" s="750">
        <f>אנרגיה!L29</f>
        <v>33.751294580477023</v>
      </c>
      <c r="F21" s="750">
        <f ca="1">אנרגיה!G29</f>
        <v>17.781776929748339</v>
      </c>
      <c r="G21" s="458">
        <f ca="1">אנרגיה!H29</f>
        <v>13.203690548892451</v>
      </c>
    </row>
    <row r="22" spans="2:11" ht="15.75" thickBot="1"/>
    <row r="23" spans="2:11" ht="15.75" thickBot="1">
      <c r="C23" s="1332" t="s">
        <v>397</v>
      </c>
      <c r="D23" s="1333"/>
      <c r="E23" s="1333"/>
      <c r="F23" s="1333"/>
      <c r="G23" s="1333"/>
      <c r="H23" s="1333"/>
      <c r="I23" s="1333"/>
      <c r="J23" s="1333"/>
      <c r="K23" s="1334"/>
    </row>
    <row r="24" spans="2:11" ht="60.75" thickBot="1">
      <c r="B24" s="255" t="str">
        <f>B18</f>
        <v xml:space="preserve">יעד מתחדשות </v>
      </c>
      <c r="C24" s="442" t="str">
        <f t="shared" ref="C24:G24" si="4">C18</f>
        <v>אנרגיות מתחדשות</v>
      </c>
      <c r="D24" s="442" t="str">
        <f t="shared" si="4"/>
        <v>יחידה פחמית</v>
      </c>
      <c r="E24" s="442" t="str">
        <f t="shared" si="4"/>
        <v>סולר ופצלי שמן</v>
      </c>
      <c r="F24" s="442" t="str">
        <f t="shared" ca="1" si="4"/>
        <v>גז פחמיות מוסבות</v>
      </c>
      <c r="G24" s="442" t="str">
        <f t="shared" ca="1" si="4"/>
        <v>גז חח"י מחזמים ופקירים ויח"פים</v>
      </c>
      <c r="H24" s="443" t="s">
        <v>429</v>
      </c>
      <c r="I24" s="443" t="s">
        <v>430</v>
      </c>
      <c r="J24" s="443" t="s">
        <v>431</v>
      </c>
      <c r="K24" s="443" t="s">
        <v>432</v>
      </c>
    </row>
    <row r="25" spans="2:11">
      <c r="B25" s="744">
        <f t="shared" ref="B25:B27" si="5">B19</f>
        <v>0.3</v>
      </c>
      <c r="C25" s="453">
        <f>(C13*$C$4*$C$3*C19/$C$6)/$C$7</f>
        <v>0</v>
      </c>
      <c r="D25" s="748">
        <f t="shared" ref="D25:F25" si="6">(D13*$C$4*$C$3*D19/$C$6)/$C$7</f>
        <v>2895.6911276844453</v>
      </c>
      <c r="E25" s="748">
        <f t="shared" si="6"/>
        <v>13822.563858897362</v>
      </c>
      <c r="F25" s="748">
        <f t="shared" ca="1" si="6"/>
        <v>0</v>
      </c>
      <c r="G25" s="944">
        <f t="shared" ref="G25" ca="1" si="7">(G13*$C$4*$C$3*G19/$C$6)/$C$7</f>
        <v>0</v>
      </c>
      <c r="H25" s="941">
        <f ca="1">SUM(C25:G25)</f>
        <v>16718.254986581807</v>
      </c>
      <c r="I25" s="751">
        <f ca="1">H25/(1+$C$5)^11</f>
        <v>12077.623109910053</v>
      </c>
      <c r="J25" s="947">
        <f ca="1">H25-SUM(אנרגיה!AE54:AJ54)</f>
        <v>6654.8479843381629</v>
      </c>
      <c r="K25" s="751">
        <f ca="1">J25/(1+$C$5)^11</f>
        <v>4807.6037764162757</v>
      </c>
    </row>
    <row r="26" spans="2:11">
      <c r="B26" s="745">
        <f t="shared" si="5"/>
        <v>0.25</v>
      </c>
      <c r="C26" s="455">
        <f>(C14*$C$4*$C$3*C20/$C$6)/$C$7</f>
        <v>0</v>
      </c>
      <c r="D26" s="749">
        <f>(D14*$C$4*$C$3*D20/$C$6)/$C$7</f>
        <v>3070.6960470851814</v>
      </c>
      <c r="E26" s="749">
        <f>(E14*$C$4*$C$3*E20/$C$6)/$C$7</f>
        <v>14899.551469660084</v>
      </c>
      <c r="F26" s="749">
        <f t="shared" ref="F26:G26" ca="1" si="8">(F14*$C$4*$C$3*F20/$C$6)/$C$7</f>
        <v>0</v>
      </c>
      <c r="G26" s="945">
        <f t="shared" ca="1" si="8"/>
        <v>0</v>
      </c>
      <c r="H26" s="942">
        <f t="shared" ref="H26:H27" ca="1" si="9">SUM(C26:G26)</f>
        <v>17970.247516745265</v>
      </c>
      <c r="I26" s="752">
        <f t="shared" ref="I26:I27" ca="1" si="10">H26/(1+$C$5)^11</f>
        <v>12982.089151842853</v>
      </c>
      <c r="J26" s="948">
        <f ca="1">H26-SUM(אנרגיה!S54:X54)</f>
        <v>7411.3038337541057</v>
      </c>
      <c r="K26" s="752">
        <f t="shared" ref="K26:K27" ca="1" si="11">J26/(1+$C$5)^11</f>
        <v>5354.083576841942</v>
      </c>
    </row>
    <row r="27" spans="2:11" ht="15.75" thickBot="1">
      <c r="B27" s="746">
        <f t="shared" si="5"/>
        <v>0.17</v>
      </c>
      <c r="C27" s="457">
        <f>(C15*$C$4*$C$3*C21/$C$6)/$C$7</f>
        <v>0</v>
      </c>
      <c r="D27" s="750">
        <f>(D15*$C$4*$C$3*D21/$C$6)/$C$7</f>
        <v>3173.2221545924294</v>
      </c>
      <c r="E27" s="750">
        <f>(E15*$C$4*$C$3*E21/$C$6)/$C$7</f>
        <v>17201.054489848961</v>
      </c>
      <c r="F27" s="750">
        <f t="shared" ref="F27:G27" ca="1" si="12">(F15*$C$4*$C$3*F21/$C$6)/$C$7</f>
        <v>0</v>
      </c>
      <c r="G27" s="946">
        <f t="shared" ca="1" si="12"/>
        <v>0</v>
      </c>
      <c r="H27" s="943">
        <f t="shared" ca="1" si="9"/>
        <v>20374.27664444139</v>
      </c>
      <c r="I27" s="753">
        <f t="shared" ca="1" si="10"/>
        <v>14718.810943253697</v>
      </c>
      <c r="J27" s="949">
        <f ca="1">H27-SUM(אנרגיה!G54:L54)</f>
        <v>8977.0715895639314</v>
      </c>
      <c r="K27" s="753">
        <f t="shared" ca="1" si="11"/>
        <v>6485.2275178512555</v>
      </c>
    </row>
    <row r="31" spans="2:11" ht="15.75" thickBot="1"/>
    <row r="32" spans="2:11" ht="15.75" thickBot="1">
      <c r="B32" s="743" t="s">
        <v>394</v>
      </c>
      <c r="C32" s="960" t="s">
        <v>393</v>
      </c>
      <c r="D32" s="960" t="s">
        <v>203</v>
      </c>
      <c r="E32" s="960" t="s">
        <v>353</v>
      </c>
      <c r="F32" s="960" t="s">
        <v>330</v>
      </c>
      <c r="G32" s="960" t="s">
        <v>351</v>
      </c>
    </row>
    <row r="33" spans="2:7">
      <c r="B33" s="957">
        <v>0.3</v>
      </c>
      <c r="C33" s="453">
        <f ca="1">SUM('התפלגות ייצור וסל דלקים'!BL74:BO74)</f>
        <v>29.146209300000013</v>
      </c>
      <c r="D33" s="748">
        <f>'התפלגות ייצור וסל דלקים'!BU74</f>
        <v>0</v>
      </c>
      <c r="E33" s="748">
        <f>'התפלגות ייצור וסל דלקים'!BV74</f>
        <v>0.35680000000000001</v>
      </c>
      <c r="F33" s="748">
        <f>'התפלגות ייצור וסל דלקים'!BQ74</f>
        <v>15.702</v>
      </c>
      <c r="G33" s="454">
        <f ca="1">'התפלגות ייצור וסל דלקים'!BR74</f>
        <v>52.051221699999985</v>
      </c>
    </row>
    <row r="34" spans="2:7">
      <c r="B34" s="958">
        <v>0.25</v>
      </c>
      <c r="C34" s="455">
        <f ca="1">SUM('התפלגות ייצור וסל דלקים'!AN74:AQ74)</f>
        <v>24.314057750000007</v>
      </c>
      <c r="D34" s="749">
        <f>'התפלגות ייצור וסל דלקים'!AW74</f>
        <v>0</v>
      </c>
      <c r="E34" s="749">
        <f>'התפלגות ייצור וסל דלקים'!AX74</f>
        <v>0.35783000000000004</v>
      </c>
      <c r="F34" s="749">
        <f>'התפלגות ייצור וסל דלקים'!AS74</f>
        <v>15.414509999999998</v>
      </c>
      <c r="G34" s="456">
        <f ca="1">'התפלגות ייצור וסל דלקים'!AT74</f>
        <v>57.169833249999996</v>
      </c>
    </row>
    <row r="35" spans="2:7" ht="15.75" thickBot="1">
      <c r="B35" s="959">
        <v>0.17</v>
      </c>
      <c r="C35" s="457">
        <f ca="1">SUM('התפלגות ייצור וסל דלקים'!P74:S74)</f>
        <v>16.533559269999998</v>
      </c>
      <c r="D35" s="750">
        <f>'התפלגות ייצור וסל דלקים'!Y74</f>
        <v>0</v>
      </c>
      <c r="E35" s="750">
        <f>'התפלגות ייצור וסל דלקים'!Z74</f>
        <v>0.35375999999999996</v>
      </c>
      <c r="F35" s="750">
        <f>'התפלגות ייצור וסל דלקים'!U74</f>
        <v>14.550709999999999</v>
      </c>
      <c r="G35" s="458">
        <f ca="1">'התפלגות ייצור וסל דלקים'!V74</f>
        <v>65.818201729999998</v>
      </c>
    </row>
  </sheetData>
  <mergeCells count="5">
    <mergeCell ref="C17:G17"/>
    <mergeCell ref="B2:C2"/>
    <mergeCell ref="C11:H11"/>
    <mergeCell ref="F2:G2"/>
    <mergeCell ref="C23:K2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88"/>
  <sheetViews>
    <sheetView rightToLeft="1" zoomScaleNormal="100" workbookViewId="0">
      <selection activeCell="D33" sqref="D33"/>
    </sheetView>
  </sheetViews>
  <sheetFormatPr defaultColWidth="20.28515625" defaultRowHeight="15.75"/>
  <cols>
    <col min="1" max="1" width="20.28515625" style="377"/>
    <col min="2" max="2" width="27.140625" style="377" bestFit="1" customWidth="1"/>
    <col min="3" max="3" width="39.5703125" style="377" bestFit="1" customWidth="1"/>
    <col min="4" max="4" width="45.5703125" style="377" bestFit="1" customWidth="1"/>
    <col min="5" max="5" width="52.42578125" style="377" bestFit="1" customWidth="1"/>
    <col min="6" max="6" width="34.28515625" style="377" bestFit="1" customWidth="1"/>
    <col min="7" max="7" width="34" style="377" bestFit="1" customWidth="1"/>
    <col min="8" max="8" width="34.28515625" style="377" bestFit="1" customWidth="1"/>
    <col min="9" max="9" width="34" style="377" bestFit="1" customWidth="1"/>
    <col min="10" max="11" width="10.5703125" style="377" customWidth="1"/>
    <col min="12" max="17" width="22.28515625" style="377" bestFit="1" customWidth="1"/>
    <col min="18" max="16384" width="20.28515625" style="377"/>
  </cols>
  <sheetData>
    <row r="1" spans="2:10" ht="16.5" thickBot="1"/>
    <row r="2" spans="2:10">
      <c r="B2" s="393" t="str">
        <f>'הנחות עבודה'!B5</f>
        <v>שנת בסיס</v>
      </c>
      <c r="C2" s="394">
        <f>'הנחות עבודה'!C5</f>
        <v>2020</v>
      </c>
      <c r="I2" s="1099"/>
      <c r="J2" s="1099"/>
    </row>
    <row r="3" spans="2:10">
      <c r="B3" s="395" t="str">
        <f>'הנחות עבודה'!B6</f>
        <v>שנת התחלת חישוב תזרים</v>
      </c>
      <c r="C3" s="396">
        <f>'הנחות עבודה'!C6</f>
        <v>2020</v>
      </c>
      <c r="I3" s="1099"/>
      <c r="J3" s="1099"/>
    </row>
    <row r="4" spans="2:10" ht="16.5" thickBot="1">
      <c r="B4" s="395" t="str">
        <f>'הנחות עבודה'!B7</f>
        <v>שנת היוון מקסימלית - תפעולי</v>
      </c>
      <c r="C4" s="396">
        <f>'הנחות עבודה'!C7</f>
        <v>2040</v>
      </c>
      <c r="I4" s="1099"/>
      <c r="J4" s="1099"/>
    </row>
    <row r="5" spans="2:10" ht="32.25" thickBot="1">
      <c r="B5" s="397" t="str">
        <f>'הנחות עבודה'!B8</f>
        <v>שנת היוון מקסימלית - השקעות</v>
      </c>
      <c r="C5" s="398">
        <f>'הנחות עבודה'!C8</f>
        <v>2040</v>
      </c>
      <c r="E5" s="931" t="s">
        <v>473</v>
      </c>
    </row>
    <row r="6" spans="2:10">
      <c r="B6" s="657"/>
      <c r="C6" s="658"/>
      <c r="I6" s="1171"/>
      <c r="J6" s="1171"/>
    </row>
    <row r="7" spans="2:10" ht="16.5" thickBot="1">
      <c r="B7" s="657"/>
      <c r="C7" s="658"/>
    </row>
    <row r="8" spans="2:10" ht="16.5" thickBot="1">
      <c r="B8" s="657"/>
      <c r="C8" s="658"/>
      <c r="D8" s="1011"/>
      <c r="E8" s="1199" t="s">
        <v>440</v>
      </c>
      <c r="F8" s="1200"/>
      <c r="G8" s="1201"/>
      <c r="H8" s="1199" t="s">
        <v>439</v>
      </c>
      <c r="I8" s="1200"/>
      <c r="J8" s="1201"/>
    </row>
    <row r="9" spans="2:10" ht="16.5" thickBot="1">
      <c r="B9" s="657"/>
      <c r="C9"/>
      <c r="D9" s="1012"/>
      <c r="E9" s="918">
        <v>0.17</v>
      </c>
      <c r="F9" s="918">
        <v>0.25</v>
      </c>
      <c r="G9" s="918">
        <v>0.3</v>
      </c>
      <c r="H9" s="961">
        <v>0.17</v>
      </c>
      <c r="I9" s="961">
        <v>0.25</v>
      </c>
      <c r="J9" s="961">
        <v>0.3</v>
      </c>
    </row>
    <row r="10" spans="2:10">
      <c r="B10" s="657"/>
      <c r="C10" s="1194" t="s">
        <v>428</v>
      </c>
      <c r="D10" s="195" t="s">
        <v>442</v>
      </c>
      <c r="E10" s="912">
        <f ca="1">IF($E$5="תרחיש עלות עודפת מקסימלית",סיכום!E34,סיכום!D34)</f>
        <v>12606.615985160241</v>
      </c>
      <c r="F10" s="913">
        <f ca="1">IF($E$5="תרחיש עלות עודפת מקסימלית",סיכום!G34,סיכום!F34)</f>
        <v>12370.066374573795</v>
      </c>
      <c r="G10" s="914">
        <f ca="1">IF($E$5="תרחיש עלות עודפת מקסימלית",סיכום!I34,סיכום!H34)</f>
        <v>12152.651292282913</v>
      </c>
      <c r="H10" s="1042">
        <f t="shared" ref="H10:J19" ca="1" si="0">E10-$E10</f>
        <v>0</v>
      </c>
      <c r="I10" s="991">
        <f t="shared" ca="1" si="0"/>
        <v>-236.54961058644585</v>
      </c>
      <c r="J10" s="922">
        <f t="shared" ca="1" si="0"/>
        <v>-453.96469287732725</v>
      </c>
    </row>
    <row r="11" spans="2:10">
      <c r="B11" s="657"/>
      <c r="C11" s="1195"/>
      <c r="D11" s="993" t="s">
        <v>441</v>
      </c>
      <c r="E11" s="994">
        <f ca="1">+IF($E$5="תרחיש עלות עודפת מקסימלית",סיכום!E54,סיכום!D54)</f>
        <v>8384.9531794513823</v>
      </c>
      <c r="F11" s="995">
        <f ca="1">+IF($E$5="תרחיש עלות עודפת מקסימלית",סיכום!G54,סיכום!F54)</f>
        <v>8315.8807305610171</v>
      </c>
      <c r="G11" s="996">
        <f ca="1">+IF($E$5="תרחיש עלות עודפת מקסימלית",סיכום!I54,סיכום!H54)</f>
        <v>8290.6740360700569</v>
      </c>
      <c r="H11" s="1043">
        <f ca="1">E11-$E11</f>
        <v>0</v>
      </c>
      <c r="I11" s="990">
        <f t="shared" ref="I11" ca="1" si="1">F11-$E11</f>
        <v>-69.072448890365195</v>
      </c>
      <c r="J11" s="923">
        <f t="shared" ref="J11" ca="1" si="2">G11-$E11</f>
        <v>-94.279143381325412</v>
      </c>
    </row>
    <row r="12" spans="2:10">
      <c r="B12" s="657"/>
      <c r="C12" s="1195"/>
      <c r="D12" s="196" t="s">
        <v>445</v>
      </c>
      <c r="E12" s="234">
        <f ca="1">IF($E$5="תרחיש עלות עודפת מקסימלית",'השקעות &amp; תפעול ק. -מתחדשות ואגי'!CP128,'השקעות &amp; תפעול ק. -מתחדשות ואגי'!CP128)</f>
        <v>0</v>
      </c>
      <c r="F12" s="235">
        <f ca="1">IF($E$5="תרחיש עלות עודפת מקסימלית",'השקעות &amp; תפעול ק. -מתחדשות ואגי'!DB128,'השקעות &amp; תפעול ק. -מתחדשות ואגי'!CV128)</f>
        <v>0</v>
      </c>
      <c r="G12" s="236">
        <f ca="1">IF($E$5="תרחיש עלות עודפת מקסימלית",'השקעות &amp; תפעול ק. -מתחדשות ואגי'!DN128,'השקעות &amp; תפעול ק. -מתחדשות ואגי'!DH128)</f>
        <v>0</v>
      </c>
      <c r="H12" s="1043">
        <f ca="1">E12-$E12</f>
        <v>0</v>
      </c>
      <c r="I12" s="990">
        <f ca="1">F12-$E12</f>
        <v>0</v>
      </c>
      <c r="J12" s="923">
        <f ca="1">G12-$E12</f>
        <v>0</v>
      </c>
    </row>
    <row r="13" spans="2:10" ht="16.5" thickBot="1">
      <c r="B13" s="657"/>
      <c r="C13" s="1195"/>
      <c r="D13" s="999" t="s">
        <v>444</v>
      </c>
      <c r="E13" s="1000">
        <f ca="1">+IF($E$5="תרחיש עלות עודפת מקסימלית",'השקעות &amp; תפעול ק. -מתחדשות ואגי'!EB128,'השקעות &amp; תפעול ק. -מתחדשות ואגי'!DV128)</f>
        <v>0</v>
      </c>
      <c r="F13" s="1001">
        <f ca="1">+IF($E$5="תרחיש עלות עודפת מקסימלית",'השקעות &amp; תפעול ק. -מתחדשות ואגי'!EN128,'השקעות &amp; תפעול ק. -מתחדשות ואגי'!EH128)</f>
        <v>0</v>
      </c>
      <c r="G13" s="1002">
        <f ca="1">+IF($E$5="תרחיש עלות עודפת מקסימלית",'השקעות &amp; תפעול ק. -מתחדשות ואגי'!EZ128,'השקעות &amp; תפעול ק. -מתחדשות ואגי'!ET128)</f>
        <v>0</v>
      </c>
      <c r="H13" s="1044">
        <f ca="1">E13-$E13</f>
        <v>0</v>
      </c>
      <c r="I13" s="1003">
        <f ca="1">F13-$E13</f>
        <v>0</v>
      </c>
      <c r="J13" s="1004">
        <f ca="1">G13-$E13</f>
        <v>0</v>
      </c>
    </row>
    <row r="14" spans="2:10" ht="16.5" thickBot="1">
      <c r="B14" s="657"/>
      <c r="C14" s="1195"/>
      <c r="D14" s="82" t="s">
        <v>457</v>
      </c>
      <c r="E14" s="936">
        <f ca="1">SUM(E10:E13)</f>
        <v>20991.569164611625</v>
      </c>
      <c r="F14" s="936">
        <f t="shared" ref="F14:J14" ca="1" si="3">SUM(F10:F13)</f>
        <v>20685.947105134812</v>
      </c>
      <c r="G14" s="936">
        <f t="shared" ca="1" si="3"/>
        <v>20443.32532835297</v>
      </c>
      <c r="H14" s="1045">
        <f t="shared" ca="1" si="3"/>
        <v>0</v>
      </c>
      <c r="I14" s="936">
        <f t="shared" ca="1" si="3"/>
        <v>-305.62205947681105</v>
      </c>
      <c r="J14" s="937">
        <f t="shared" ca="1" si="3"/>
        <v>-548.24383625865266</v>
      </c>
    </row>
    <row r="15" spans="2:10">
      <c r="B15" s="657"/>
      <c r="C15" s="1195"/>
      <c r="D15" s="993" t="s">
        <v>424</v>
      </c>
      <c r="E15" s="994">
        <f ca="1">IF($E$5="תרחיש עלות עודפת מקסימלית",סיכום!E46,סיכום!D46)-E16</f>
        <v>172943.14506839716</v>
      </c>
      <c r="F15" s="995">
        <f ca="1">IF($E$5="תרחיש עלות עודפת מקסימלית",סיכום!G46,סיכום!F46)-F16</f>
        <v>163561.15402412243</v>
      </c>
      <c r="G15" s="996">
        <f ca="1">IF($E$5="תרחיש עלות עודפת מקסימלית",סיכום!I46,סיכום!H46)-G16</f>
        <v>158228.11904052005</v>
      </c>
      <c r="H15" s="1046">
        <f t="shared" ca="1" si="0"/>
        <v>0</v>
      </c>
      <c r="I15" s="997">
        <f t="shared" ca="1" si="0"/>
        <v>-9381.991044274735</v>
      </c>
      <c r="J15" s="998">
        <f t="shared" ca="1" si="0"/>
        <v>-14715.026027877117</v>
      </c>
    </row>
    <row r="16" spans="2:10" ht="16.5" thickBot="1">
      <c r="B16" s="657"/>
      <c r="C16" s="1195"/>
      <c r="D16" s="196" t="s">
        <v>443</v>
      </c>
      <c r="E16" s="915">
        <f ca="1">IF($E$5="תרחיש עלות עודפת מקסימלית",סיכום!E44,סיכום!D44)</f>
        <v>6485.2275178512555</v>
      </c>
      <c r="F16" s="911">
        <f ca="1">IF($E$5="תרחיש עלות עודפת מקסימלית",סיכום!G44,סיכום!F44)</f>
        <v>5354.083576841942</v>
      </c>
      <c r="G16" s="916">
        <f ca="1">IF($E$5="תרחיש עלות עודפת מקסימלית",סיכום!I44,סיכום!H44)</f>
        <v>4807.6037764162757</v>
      </c>
      <c r="H16" s="1043">
        <f ca="1">E16-$E16</f>
        <v>0</v>
      </c>
      <c r="I16" s="990">
        <f ca="1">F16-$E16</f>
        <v>-1131.1439410093135</v>
      </c>
      <c r="J16" s="923">
        <f ca="1">G16-$E16</f>
        <v>-1677.6237414349798</v>
      </c>
    </row>
    <row r="17" spans="2:17" ht="16.5" thickBot="1">
      <c r="B17" s="657"/>
      <c r="C17" s="1195"/>
      <c r="D17" s="82" t="s">
        <v>429</v>
      </c>
      <c r="E17" s="936">
        <f ca="1">SUM(E15:E16)</f>
        <v>179428.37258624841</v>
      </c>
      <c r="F17" s="936">
        <f t="shared" ref="F17:J17" ca="1" si="4">SUM(F15:F16)</f>
        <v>168915.23760096438</v>
      </c>
      <c r="G17" s="936">
        <f t="shared" ca="1" si="4"/>
        <v>163035.72281693632</v>
      </c>
      <c r="H17" s="1045">
        <f t="shared" ca="1" si="4"/>
        <v>0</v>
      </c>
      <c r="I17" s="936">
        <f t="shared" ca="1" si="4"/>
        <v>-10513.134985284049</v>
      </c>
      <c r="J17" s="937">
        <f t="shared" ca="1" si="4"/>
        <v>-16392.649769312098</v>
      </c>
    </row>
    <row r="18" spans="2:17">
      <c r="B18" s="657"/>
      <c r="C18" s="1195"/>
      <c r="D18" s="999" t="s">
        <v>448</v>
      </c>
      <c r="E18" s="1000">
        <f ca="1">IF($E$5="תרחיש עלות עודפת מקסימלית",סיכום!E48,סיכום!D48)</f>
        <v>88902.761146034711</v>
      </c>
      <c r="F18" s="1001">
        <f ca="1">IF($E$5="תרחיש עלות עודפת מקסימלית",סיכום!G48,סיכום!F48)</f>
        <v>83813.260142894564</v>
      </c>
      <c r="G18" s="1002">
        <f ca="1">IF($E$5="תרחיש עלות עודפת מקסימלית",סיכום!I48,סיכום!H48)</f>
        <v>80714.701490429521</v>
      </c>
      <c r="H18" s="1043">
        <f t="shared" ref="H18" ca="1" si="5">E18-$E18</f>
        <v>0</v>
      </c>
      <c r="I18" s="990">
        <f t="shared" ref="I18" ca="1" si="6">F18-$E18</f>
        <v>-5089.5010031401471</v>
      </c>
      <c r="J18" s="923">
        <f t="shared" ref="J18" ca="1" si="7">G18-$E18</f>
        <v>-8188.0596556051896</v>
      </c>
    </row>
    <row r="19" spans="2:17" ht="16.5" thickBot="1">
      <c r="B19" s="657"/>
      <c r="C19" s="1195"/>
      <c r="D19" s="197" t="s">
        <v>264</v>
      </c>
      <c r="E19" s="237">
        <f ca="1">+IF($E$5="תרחיש עלות עודפת מקסימלית",סיכום!E50,סיכום!D50)</f>
        <v>48535.920905124796</v>
      </c>
      <c r="F19" s="238">
        <f ca="1">+IF($E$5="תרחיש עלות עודפת מקסימלית",סיכום!G50,סיכום!F50)</f>
        <v>45800.664042932265</v>
      </c>
      <c r="G19" s="239">
        <f ca="1">+IF($E$5="תרחיש עלות עודפת מקסימלית",סיכום!I50,סיכום!H50)</f>
        <v>44130.382465907605</v>
      </c>
      <c r="H19" s="1047">
        <f t="shared" ca="1" si="0"/>
        <v>0</v>
      </c>
      <c r="I19" s="992">
        <f t="shared" ca="1" si="0"/>
        <v>-2735.2568621925311</v>
      </c>
      <c r="J19" s="924">
        <f t="shared" ca="1" si="0"/>
        <v>-4405.5384392171909</v>
      </c>
    </row>
    <row r="20" spans="2:17" ht="16.5" thickBot="1">
      <c r="B20" s="657"/>
      <c r="C20" s="1195"/>
      <c r="D20" s="987" t="s">
        <v>451</v>
      </c>
      <c r="E20" s="936">
        <f ca="1">SUM(E18:E19)</f>
        <v>137438.6820511595</v>
      </c>
      <c r="F20" s="936">
        <f t="shared" ref="F20" ca="1" si="8">SUM(F18:F19)</f>
        <v>129613.92418582682</v>
      </c>
      <c r="G20" s="936">
        <f t="shared" ref="G20" ca="1" si="9">SUM(G18:G19)</f>
        <v>124845.08395633713</v>
      </c>
      <c r="H20" s="1045">
        <f t="shared" ref="H20" ca="1" si="10">SUM(H18:H19)</f>
        <v>0</v>
      </c>
      <c r="I20" s="936">
        <f t="shared" ref="I20" ca="1" si="11">SUM(I18:I19)</f>
        <v>-7824.7578653326782</v>
      </c>
      <c r="J20" s="937">
        <f t="shared" ref="J20" ca="1" si="12">SUM(J18:J19)</f>
        <v>-12593.598094822381</v>
      </c>
    </row>
    <row r="21" spans="2:17" ht="16.5" thickBot="1">
      <c r="B21" s="657"/>
      <c r="C21" s="1196"/>
      <c r="D21" s="987" t="s">
        <v>449</v>
      </c>
      <c r="E21" s="988">
        <f ca="1">E20+E17+E14</f>
        <v>337858.62380201952</v>
      </c>
      <c r="F21" s="988">
        <f t="shared" ref="F21:J21" ca="1" si="13">F20+F17+F14</f>
        <v>319215.10889192601</v>
      </c>
      <c r="G21" s="988">
        <f t="shared" ca="1" si="13"/>
        <v>308324.13210162643</v>
      </c>
      <c r="H21" s="1048">
        <f t="shared" ca="1" si="13"/>
        <v>0</v>
      </c>
      <c r="I21" s="988">
        <f t="shared" ca="1" si="13"/>
        <v>-18643.514910093538</v>
      </c>
      <c r="J21" s="989">
        <f t="shared" ca="1" si="13"/>
        <v>-29534.491700393133</v>
      </c>
    </row>
    <row r="22" spans="2:17">
      <c r="B22" s="657"/>
      <c r="C22" s="1194" t="s">
        <v>425</v>
      </c>
      <c r="D22" s="240" t="s">
        <v>447</v>
      </c>
      <c r="E22" s="912">
        <f ca="1">IF($E$5="תרחיש עלות עודפת מקסימלית",סיכום!E36,סיכום!D36)-E12</f>
        <v>15351.912747978075</v>
      </c>
      <c r="F22" s="913">
        <f ca="1">IF($E$5="תרחיש עלות עודפת מקסימלית",סיכום!G36,סיכום!F36)-F12</f>
        <v>23847.75886224251</v>
      </c>
      <c r="G22" s="1007">
        <f ca="1">IF($E$5="תרחיש עלות עודפת מקסימלית",סיכום!I36,סיכום!H36)-G12</f>
        <v>28991.203302995138</v>
      </c>
      <c r="H22" s="1042">
        <f t="shared" ref="H22:J22" ca="1" si="14">E22-$E22</f>
        <v>0</v>
      </c>
      <c r="I22" s="991">
        <f t="shared" ca="1" si="14"/>
        <v>8495.8461142644355</v>
      </c>
      <c r="J22" s="922">
        <f t="shared" ca="1" si="14"/>
        <v>13639.290555017064</v>
      </c>
    </row>
    <row r="23" spans="2:17" ht="16.5" thickBot="1">
      <c r="B23" s="657"/>
      <c r="C23" s="1195"/>
      <c r="D23" s="357" t="s">
        <v>446</v>
      </c>
      <c r="E23" s="1005">
        <f ca="1">+IF($E$5="תרחיש עלות עודפת מקסימלית",סיכום!E56,סיכום!D56)-E13</f>
        <v>4692.9525199759792</v>
      </c>
      <c r="F23" s="1006">
        <f ca="1">+IF($E$5="תרחיש עלות עודפת מקסימלית",סיכום!G56,סיכום!F56)-F13</f>
        <v>7485.3416832759849</v>
      </c>
      <c r="G23" s="1008">
        <f ca="1">+IF($E$5="תרחיש עלות עודפת מקסימלית",סיכום!I56,סיכום!H56)-G13</f>
        <v>9190.4186356231567</v>
      </c>
      <c r="H23" s="1043">
        <f t="shared" ref="H23:H25" ca="1" si="15">E23-$E23</f>
        <v>0</v>
      </c>
      <c r="I23" s="990">
        <f t="shared" ref="I23:I25" ca="1" si="16">F23-$E23</f>
        <v>2792.3891633000057</v>
      </c>
      <c r="J23" s="923">
        <f t="shared" ref="J23:J25" ca="1" si="17">G23-$E23</f>
        <v>4497.4661156471775</v>
      </c>
    </row>
    <row r="24" spans="2:17" ht="16.5" thickBot="1">
      <c r="B24" s="657"/>
      <c r="C24" s="1195"/>
      <c r="D24" s="82" t="s">
        <v>456</v>
      </c>
      <c r="E24" s="936">
        <f ca="1">SUM(E22:E23)</f>
        <v>20044.865267954054</v>
      </c>
      <c r="F24" s="936">
        <f t="shared" ref="F24:J24" ca="1" si="18">SUM(F22:F23)</f>
        <v>31333.100545518493</v>
      </c>
      <c r="G24" s="936">
        <f t="shared" ca="1" si="18"/>
        <v>38181.621938618293</v>
      </c>
      <c r="H24" s="1045">
        <f t="shared" ca="1" si="18"/>
        <v>0</v>
      </c>
      <c r="I24" s="936">
        <f t="shared" ca="1" si="18"/>
        <v>11288.235277564441</v>
      </c>
      <c r="J24" s="937">
        <f t="shared" ca="1" si="18"/>
        <v>18136.756670664239</v>
      </c>
    </row>
    <row r="25" spans="2:17" ht="16.5" thickBot="1">
      <c r="B25" s="657"/>
      <c r="C25" s="1196"/>
      <c r="D25" s="242" t="s">
        <v>426</v>
      </c>
      <c r="E25" s="932">
        <f>IF($E$5="תרחיש עלות עודפת מקסימלית",סיכום!E40,סיכום!D40)</f>
        <v>4313.2010331304928</v>
      </c>
      <c r="F25" s="933">
        <f>IF($E$5="תרחיש עלות עודפת מקסימלית",סיכום!G40,סיכום!F40)</f>
        <v>7425.7407254651489</v>
      </c>
      <c r="G25" s="1009">
        <f>IF($E$5="תרחיש עלות עודפת מקסימלית",סיכום!I40,סיכום!H40)</f>
        <v>9326.3066503069858</v>
      </c>
      <c r="H25" s="1047">
        <f t="shared" si="15"/>
        <v>0</v>
      </c>
      <c r="I25" s="1010">
        <f t="shared" si="16"/>
        <v>3112.5396923346561</v>
      </c>
      <c r="J25" s="934">
        <f t="shared" si="17"/>
        <v>5013.1056171764931</v>
      </c>
    </row>
    <row r="26" spans="2:17" ht="16.5" thickBot="1">
      <c r="B26" s="657"/>
      <c r="C26" s="935"/>
      <c r="D26" s="82" t="s">
        <v>450</v>
      </c>
      <c r="E26" s="936">
        <f ca="1">SUM(E24:E25)</f>
        <v>24358.066301084546</v>
      </c>
      <c r="F26" s="936">
        <f t="shared" ref="F26:J26" ca="1" si="19">SUM(F24:F25)</f>
        <v>38758.841270983641</v>
      </c>
      <c r="G26" s="936">
        <f t="shared" ca="1" si="19"/>
        <v>47507.928588925279</v>
      </c>
      <c r="H26" s="936">
        <f t="shared" ca="1" si="19"/>
        <v>0</v>
      </c>
      <c r="I26" s="936">
        <f t="shared" ca="1" si="19"/>
        <v>14400.774969899097</v>
      </c>
      <c r="J26" s="936">
        <f t="shared" ca="1" si="19"/>
        <v>23149.862287840733</v>
      </c>
    </row>
    <row r="27" spans="2:17" ht="16.5" thickBot="1">
      <c r="B27" s="657"/>
      <c r="C27"/>
      <c r="D27" s="357"/>
      <c r="E27" s="244"/>
      <c r="F27" s="244"/>
      <c r="G27" s="244"/>
      <c r="H27" s="1049"/>
      <c r="I27" s="1013"/>
      <c r="J27" s="1014"/>
    </row>
    <row r="28" spans="2:17" ht="16.5" thickBot="1">
      <c r="B28" s="657"/>
      <c r="C28"/>
      <c r="D28" s="731" t="s">
        <v>427</v>
      </c>
      <c r="E28" s="917">
        <f t="shared" ref="E28:J28" ca="1" si="20">E21+E26</f>
        <v>362216.69010310405</v>
      </c>
      <c r="F28" s="917">
        <f t="shared" ca="1" si="20"/>
        <v>357973.95016290963</v>
      </c>
      <c r="G28" s="917">
        <f t="shared" ca="1" si="20"/>
        <v>355832.06069055171</v>
      </c>
      <c r="H28" s="1050">
        <f t="shared" ca="1" si="20"/>
        <v>0</v>
      </c>
      <c r="I28" s="917">
        <f t="shared" ca="1" si="20"/>
        <v>-4242.7399401944404</v>
      </c>
      <c r="J28" s="917">
        <f t="shared" ca="1" si="20"/>
        <v>-6384.6294125524</v>
      </c>
    </row>
    <row r="29" spans="2:17">
      <c r="B29" s="657"/>
      <c r="C29" s="658"/>
    </row>
    <row r="30" spans="2:17" ht="16.5" thickBot="1">
      <c r="B30" s="657"/>
      <c r="C30" s="658"/>
    </row>
    <row r="31" spans="2:17" ht="24" thickBot="1">
      <c r="D31" s="1227" t="s">
        <v>352</v>
      </c>
      <c r="E31" s="1228"/>
      <c r="F31" s="1228"/>
      <c r="G31" s="1228"/>
      <c r="H31" s="1228"/>
      <c r="I31" s="1229"/>
      <c r="L31" s="1227" t="s">
        <v>423</v>
      </c>
      <c r="M31" s="1228"/>
      <c r="N31" s="1228"/>
      <c r="O31" s="1228"/>
      <c r="P31" s="1228"/>
      <c r="Q31" s="1229"/>
    </row>
    <row r="32" spans="2:17" ht="32.25" thickBot="1">
      <c r="B32" s="1230" t="s">
        <v>284</v>
      </c>
      <c r="C32" s="1231"/>
      <c r="D32" s="588" t="s">
        <v>46</v>
      </c>
      <c r="E32" s="416" t="s">
        <v>47</v>
      </c>
      <c r="F32" s="599" t="s">
        <v>342</v>
      </c>
      <c r="G32" s="627" t="s">
        <v>343</v>
      </c>
      <c r="H32" s="598" t="s">
        <v>344</v>
      </c>
      <c r="I32" s="587" t="s">
        <v>345</v>
      </c>
      <c r="L32" s="602" t="s">
        <v>297</v>
      </c>
      <c r="M32" s="637" t="s">
        <v>298</v>
      </c>
      <c r="N32" s="647" t="s">
        <v>347</v>
      </c>
      <c r="O32" s="601" t="s">
        <v>348</v>
      </c>
      <c r="P32" s="648" t="s">
        <v>349</v>
      </c>
      <c r="Q32" s="640" t="s">
        <v>350</v>
      </c>
    </row>
    <row r="33" spans="2:17" ht="15" customHeight="1">
      <c r="B33" s="1220" t="s">
        <v>266</v>
      </c>
      <c r="C33" s="385" t="s">
        <v>334</v>
      </c>
      <c r="D33" s="589">
        <f ca="1">'השקעות &amp; תפעול ק. - מ.יצור'!AI122</f>
        <v>18606.154790435554</v>
      </c>
      <c r="E33" s="417">
        <f ca="1">'השקעות &amp; תפעול ק. - מ.יצור'!AK122</f>
        <v>18606.154790435554</v>
      </c>
      <c r="F33" s="609">
        <f ca="1">'השקעות &amp; תפעול ק. - מ.יצור'!AM122</f>
        <v>18193.703797031802</v>
      </c>
      <c r="G33" s="628">
        <f ca="1">'השקעות &amp; תפעול ק. - מ.יצור'!AO122</f>
        <v>18193.703797031802</v>
      </c>
      <c r="H33" s="962">
        <f ca="1">'השקעות &amp; תפעול ק. - מ.יצור'!AQ122</f>
        <v>17908.371577206191</v>
      </c>
      <c r="I33" s="618">
        <f ca="1">'השקעות &amp; תפעול ק. - מ.יצור'!AS122</f>
        <v>17908.371577206191</v>
      </c>
      <c r="L33" s="603">
        <f t="shared" ref="L33:L73" ca="1" si="21">F33-D33</f>
        <v>-412.45099340375236</v>
      </c>
      <c r="M33" s="875">
        <f t="shared" ref="M33:M73" ca="1" si="22">+G33-E33</f>
        <v>-412.45099340375236</v>
      </c>
      <c r="N33" s="876">
        <f t="shared" ref="N33:N73" ca="1" si="23">+H33-F33</f>
        <v>-285.33221982561008</v>
      </c>
      <c r="O33" s="877">
        <f t="shared" ref="O33:O73" ca="1" si="24">+I33-G33</f>
        <v>-285.33221982561008</v>
      </c>
      <c r="P33" s="878">
        <f t="shared" ref="P33:P73" ca="1" si="25">+H33-D33</f>
        <v>-697.78321322936245</v>
      </c>
      <c r="Q33" s="641">
        <f t="shared" ref="Q33:Q73" ca="1" si="26">+I33-E33</f>
        <v>-697.78321322936245</v>
      </c>
    </row>
    <row r="34" spans="2:17" ht="15" customHeight="1">
      <c r="B34" s="1221"/>
      <c r="C34" s="386" t="s">
        <v>331</v>
      </c>
      <c r="D34" s="590">
        <f ca="1">'השקעות &amp; תפעול ק. - מ.יצור'!AI120</f>
        <v>12606.615985160241</v>
      </c>
      <c r="E34" s="418">
        <f ca="1">'השקעות &amp; תפעול ק. - מ.יצור'!AK120</f>
        <v>12606.615985160241</v>
      </c>
      <c r="F34" s="610">
        <f ca="1">'השקעות &amp; תפעול ק. - מ.יצור'!AM120</f>
        <v>12370.066374573795</v>
      </c>
      <c r="G34" s="629">
        <f ca="1">'השקעות &amp; תפעול ק. - מ.יצור'!AO120</f>
        <v>12370.066374573795</v>
      </c>
      <c r="H34" s="963">
        <f ca="1">'השקעות &amp; תפעול ק. - מ.יצור'!AQ120</f>
        <v>12152.651292282913</v>
      </c>
      <c r="I34" s="619">
        <f ca="1">'השקעות &amp; תפעול ק. - מ.יצור'!AS120</f>
        <v>12152.651292282913</v>
      </c>
      <c r="L34" s="604">
        <f t="shared" ca="1" si="21"/>
        <v>-236.54961058644585</v>
      </c>
      <c r="M34" s="871">
        <f t="shared" ca="1" si="22"/>
        <v>-236.54961058644585</v>
      </c>
      <c r="N34" s="872">
        <f t="shared" ca="1" si="23"/>
        <v>-217.4150822908814</v>
      </c>
      <c r="O34" s="873">
        <f t="shared" ca="1" si="24"/>
        <v>-217.4150822908814</v>
      </c>
      <c r="P34" s="874">
        <f t="shared" ca="1" si="25"/>
        <v>-453.96469287732725</v>
      </c>
      <c r="Q34" s="642">
        <f t="shared" ca="1" si="26"/>
        <v>-453.96469287732725</v>
      </c>
    </row>
    <row r="35" spans="2:17" ht="15" customHeight="1">
      <c r="B35" s="1221"/>
      <c r="C35" s="386" t="s">
        <v>335</v>
      </c>
      <c r="D35" s="590">
        <f ca="1">'השקעות &amp; תפעול ק. -מתחדשות ואגי'!CE131</f>
        <v>22044.73571665398</v>
      </c>
      <c r="E35" s="418">
        <f ca="1">'השקעות &amp; תפעול ק. -מתחדשות ואגי'!CK131</f>
        <v>25806.399765211016</v>
      </c>
      <c r="F35" s="610">
        <f ca="1">'השקעות &amp; תפעול ק. -מתחדשות ואגי'!CQ131</f>
        <v>34552.545948268707</v>
      </c>
      <c r="G35" s="629">
        <f ca="1">'השקעות &amp; תפעול ק. -מתחדשות ואגי'!CW131</f>
        <v>41356.582807981053</v>
      </c>
      <c r="H35" s="963">
        <f ca="1">'השקעות &amp; תפעול ק. -מתחדשות ואגי'!DC131</f>
        <v>42155.994879296362</v>
      </c>
      <c r="I35" s="619">
        <f ca="1">'השקעות &amp; תפעול ק. -מתחדשות ואגי'!DI131</f>
        <v>50814.904230900902</v>
      </c>
      <c r="L35" s="604">
        <f t="shared" ca="1" si="21"/>
        <v>12507.810231614727</v>
      </c>
      <c r="M35" s="871">
        <f t="shared" ca="1" si="22"/>
        <v>15550.183042770037</v>
      </c>
      <c r="N35" s="872">
        <f t="shared" ca="1" si="23"/>
        <v>7603.4489310276549</v>
      </c>
      <c r="O35" s="873">
        <f t="shared" ca="1" si="24"/>
        <v>9458.3214229198493</v>
      </c>
      <c r="P35" s="874">
        <f t="shared" ca="1" si="25"/>
        <v>20111.259162642382</v>
      </c>
      <c r="Q35" s="642">
        <f t="shared" ca="1" si="26"/>
        <v>25008.504465689886</v>
      </c>
    </row>
    <row r="36" spans="2:17" ht="15" customHeight="1" thickBot="1">
      <c r="B36" s="1221"/>
      <c r="C36" s="422" t="s">
        <v>332</v>
      </c>
      <c r="D36" s="591">
        <f ca="1">'השקעות &amp; תפעול ק. -מתחדשות ואגי'!CE129</f>
        <v>15351.912747978075</v>
      </c>
      <c r="E36" s="419">
        <f ca="1">'השקעות &amp; תפעול ק. -מתחדשות ואגי'!CK129</f>
        <v>18039.352408926738</v>
      </c>
      <c r="F36" s="611">
        <f ca="1">'השקעות &amp; תפעול ק. -מתחדשות ואגי'!CQ129</f>
        <v>23847.75886224251</v>
      </c>
      <c r="G36" s="630">
        <f ca="1">'השקעות &amp; תפעול ק. -מתחדשות ואגי'!CW129</f>
        <v>28598.636413359203</v>
      </c>
      <c r="H36" s="964">
        <f ca="1">'השקעות &amp; תפעול ק. -מתחדשות ואגי'!DC129</f>
        <v>28991.203302995138</v>
      </c>
      <c r="I36" s="620">
        <f ca="1">'השקעות &amp; תפעול ק. -מתחדשות ואגי'!DI129</f>
        <v>34994.932515379012</v>
      </c>
      <c r="L36" s="605">
        <f t="shared" ca="1" si="21"/>
        <v>8495.8461142644355</v>
      </c>
      <c r="M36" s="879">
        <f t="shared" ca="1" si="22"/>
        <v>10559.284004432466</v>
      </c>
      <c r="N36" s="880">
        <f t="shared" ca="1" si="23"/>
        <v>5143.444440752628</v>
      </c>
      <c r="O36" s="881">
        <f t="shared" ca="1" si="24"/>
        <v>6396.296102019809</v>
      </c>
      <c r="P36" s="882">
        <f t="shared" ca="1" si="25"/>
        <v>13639.290555017064</v>
      </c>
      <c r="Q36" s="643">
        <f t="shared" ca="1" si="26"/>
        <v>16955.580106452275</v>
      </c>
    </row>
    <row r="37" spans="2:17" ht="15" customHeight="1">
      <c r="B37" s="1221"/>
      <c r="C37" s="393" t="s">
        <v>299</v>
      </c>
      <c r="D37" s="592">
        <f ca="1">+D33+D35</f>
        <v>40650.890507089534</v>
      </c>
      <c r="E37" s="423">
        <f t="shared" ref="E37" ca="1" si="27">+E33+E35</f>
        <v>44412.554555646566</v>
      </c>
      <c r="F37" s="612">
        <f t="shared" ref="F37:I37" ca="1" si="28">+F33+F35</f>
        <v>52746.249745300505</v>
      </c>
      <c r="G37" s="631">
        <f t="shared" ca="1" si="28"/>
        <v>59550.28660501285</v>
      </c>
      <c r="H37" s="965">
        <f t="shared" ca="1" si="28"/>
        <v>60064.366456502554</v>
      </c>
      <c r="I37" s="621">
        <f t="shared" ca="1" si="28"/>
        <v>68723.275808107093</v>
      </c>
      <c r="L37" s="606">
        <f t="shared" ca="1" si="21"/>
        <v>12095.359238210971</v>
      </c>
      <c r="M37" s="887">
        <f t="shared" ca="1" si="22"/>
        <v>15137.732049366285</v>
      </c>
      <c r="N37" s="888">
        <f t="shared" ca="1" si="23"/>
        <v>7318.1167112020485</v>
      </c>
      <c r="O37" s="889">
        <f t="shared" ca="1" si="24"/>
        <v>9172.9892030942428</v>
      </c>
      <c r="P37" s="890">
        <f t="shared" ca="1" si="25"/>
        <v>19413.475949413019</v>
      </c>
      <c r="Q37" s="644">
        <f t="shared" ca="1" si="26"/>
        <v>24310.721252460527</v>
      </c>
    </row>
    <row r="38" spans="2:17" ht="15" customHeight="1" thickBot="1">
      <c r="B38" s="1222"/>
      <c r="C38" s="397" t="s">
        <v>300</v>
      </c>
      <c r="D38" s="594">
        <f ca="1">+D34+D36</f>
        <v>27958.528733138315</v>
      </c>
      <c r="E38" s="424">
        <f t="shared" ref="E38" ca="1" si="29">+E34+E36</f>
        <v>30645.96839408698</v>
      </c>
      <c r="F38" s="614">
        <f t="shared" ref="F38:I38" ca="1" si="30">+F34+F36</f>
        <v>36217.825236816308</v>
      </c>
      <c r="G38" s="633">
        <f t="shared" ca="1" si="30"/>
        <v>40968.702787932998</v>
      </c>
      <c r="H38" s="966">
        <f t="shared" ca="1" si="30"/>
        <v>41143.854595278055</v>
      </c>
      <c r="I38" s="623">
        <f t="shared" ca="1" si="30"/>
        <v>47147.583807661926</v>
      </c>
      <c r="L38" s="607">
        <f t="shared" ca="1" si="21"/>
        <v>8259.2965036779933</v>
      </c>
      <c r="M38" s="891">
        <f t="shared" ca="1" si="22"/>
        <v>10322.734393846018</v>
      </c>
      <c r="N38" s="892">
        <f t="shared" ca="1" si="23"/>
        <v>4926.0293584617466</v>
      </c>
      <c r="O38" s="893">
        <f t="shared" ca="1" si="24"/>
        <v>6178.8810197289276</v>
      </c>
      <c r="P38" s="894">
        <f t="shared" ca="1" si="25"/>
        <v>13185.32586213974</v>
      </c>
      <c r="Q38" s="645">
        <f t="shared" ca="1" si="26"/>
        <v>16501.615413574946</v>
      </c>
    </row>
    <row r="39" spans="2:17" ht="15" customHeight="1">
      <c r="B39" s="1220" t="s">
        <v>419</v>
      </c>
      <c r="C39" s="393" t="s">
        <v>438</v>
      </c>
      <c r="D39" s="592">
        <f>'השקעות &amp; תפעול - רשת'!N98</f>
        <v>6242.1426362506627</v>
      </c>
      <c r="E39" s="423">
        <f>'השקעות &amp; תפעול - רשת'!O98</f>
        <v>5485.1944262357838</v>
      </c>
      <c r="F39" s="612">
        <f>'השקעות &amp; תפעול - רשת'!P98</f>
        <v>10843.939478987617</v>
      </c>
      <c r="G39" s="631">
        <f>'השקעות &amp; תפעול - רשת'!Q98</f>
        <v>9528.9582207157509</v>
      </c>
      <c r="H39" s="965">
        <f>'השקעות &amp; תפעול - רשת'!R98</f>
        <v>13665.630010046694</v>
      </c>
      <c r="I39" s="621">
        <f>'השקעות &amp; תפעול - רשת'!S98</f>
        <v>12008.478807708312</v>
      </c>
      <c r="L39" s="606">
        <f t="shared" si="21"/>
        <v>4601.7968427369542</v>
      </c>
      <c r="M39" s="887">
        <f t="shared" si="22"/>
        <v>4043.7637944799671</v>
      </c>
      <c r="N39" s="888">
        <f t="shared" si="23"/>
        <v>2821.6905310590773</v>
      </c>
      <c r="O39" s="889">
        <f t="shared" si="24"/>
        <v>2479.5205869925612</v>
      </c>
      <c r="P39" s="890">
        <f t="shared" si="25"/>
        <v>7423.4873737960315</v>
      </c>
      <c r="Q39" s="644">
        <f t="shared" si="26"/>
        <v>6523.2843814725284</v>
      </c>
    </row>
    <row r="40" spans="2:17" ht="15" customHeight="1" thickBot="1">
      <c r="B40" s="1222"/>
      <c r="C40" s="950" t="s">
        <v>437</v>
      </c>
      <c r="D40" s="593">
        <f>'השקעות &amp; תפעול - רשת'!N97</f>
        <v>4313.2010331304928</v>
      </c>
      <c r="E40" s="600">
        <f>'השקעות &amp; תפעול - רשת'!O97</f>
        <v>3790.1643145361395</v>
      </c>
      <c r="F40" s="613">
        <f>'השקעות &amp; תפעול - רשת'!P97</f>
        <v>7425.7407254651489</v>
      </c>
      <c r="G40" s="632">
        <f>'השקעות &amp; תפעול - רשת'!Q97</f>
        <v>6525.2644823346964</v>
      </c>
      <c r="H40" s="967">
        <f>'השקעות &amp; תפעול - רשת'!R97</f>
        <v>9326.3066503069858</v>
      </c>
      <c r="I40" s="622">
        <f>'השקעות &amp; תפעול - רשת'!S97</f>
        <v>8195.3598686679143</v>
      </c>
      <c r="L40" s="607">
        <f t="shared" si="21"/>
        <v>3112.5396923346561</v>
      </c>
      <c r="M40" s="891">
        <f t="shared" si="22"/>
        <v>2735.1001677985569</v>
      </c>
      <c r="N40" s="892">
        <f t="shared" si="23"/>
        <v>1900.5659248418369</v>
      </c>
      <c r="O40" s="893">
        <f t="shared" si="24"/>
        <v>1670.0953863332179</v>
      </c>
      <c r="P40" s="894">
        <f t="shared" si="25"/>
        <v>5013.1056171764931</v>
      </c>
      <c r="Q40" s="645">
        <f t="shared" si="26"/>
        <v>4405.1955541317748</v>
      </c>
    </row>
    <row r="41" spans="2:17" ht="15" customHeight="1">
      <c r="B41" s="1225" t="s">
        <v>280</v>
      </c>
      <c r="C41" s="393" t="s">
        <v>260</v>
      </c>
      <c r="D41" s="975">
        <f ca="1">אנרגיה!G67</f>
        <v>242401.09798761606</v>
      </c>
      <c r="E41" s="976">
        <f ca="1">אנרגיה!M67</f>
        <v>242401.09798761606</v>
      </c>
      <c r="F41" s="981">
        <f ca="1">אנרגיה!S67</f>
        <v>228497.34708938029</v>
      </c>
      <c r="G41" s="982">
        <f ca="1">אנרגיה!Y67</f>
        <v>228497.34708938029</v>
      </c>
      <c r="H41" s="968">
        <f ca="1">אנרגיה!AE67</f>
        <v>220572.64487088195</v>
      </c>
      <c r="I41" s="951">
        <f ca="1">אנרגיה!AK67</f>
        <v>220572.64487088195</v>
      </c>
      <c r="L41" s="603">
        <f t="shared" ca="1" si="21"/>
        <v>-13903.750898235769</v>
      </c>
      <c r="M41" s="875">
        <f t="shared" ca="1" si="22"/>
        <v>-13903.750898235769</v>
      </c>
      <c r="N41" s="876">
        <f t="shared" ca="1" si="23"/>
        <v>-7924.7022184983362</v>
      </c>
      <c r="O41" s="877">
        <f t="shared" ca="1" si="24"/>
        <v>-7924.7022184983362</v>
      </c>
      <c r="P41" s="878">
        <f t="shared" ca="1" si="25"/>
        <v>-21828.453116734105</v>
      </c>
      <c r="Q41" s="641">
        <f t="shared" ca="1" si="26"/>
        <v>-21828.453116734105</v>
      </c>
    </row>
    <row r="42" spans="2:17" ht="15" customHeight="1">
      <c r="B42" s="1226"/>
      <c r="C42" s="395" t="s">
        <v>261</v>
      </c>
      <c r="D42" s="977">
        <f ca="1">אנרגיה!G68</f>
        <v>172943.14506839716</v>
      </c>
      <c r="E42" s="978">
        <f ca="1">אנרגיה!M68</f>
        <v>172943.14506839716</v>
      </c>
      <c r="F42" s="983">
        <f ca="1">אנרגיה!S68</f>
        <v>163561.15402412243</v>
      </c>
      <c r="G42" s="984">
        <f ca="1">אנרגיה!Y68</f>
        <v>163561.15402412243</v>
      </c>
      <c r="H42" s="969">
        <f ca="1">אנרגיה!AE68</f>
        <v>158228.11904052005</v>
      </c>
      <c r="I42" s="952">
        <f ca="1">אנרגיה!AK68</f>
        <v>158228.11904052005</v>
      </c>
      <c r="L42" s="604">
        <f t="shared" ca="1" si="21"/>
        <v>-9381.991044274735</v>
      </c>
      <c r="M42" s="871">
        <f t="shared" ca="1" si="22"/>
        <v>-9381.991044274735</v>
      </c>
      <c r="N42" s="872">
        <f t="shared" ca="1" si="23"/>
        <v>-5333.0349836023815</v>
      </c>
      <c r="O42" s="873">
        <f t="shared" ca="1" si="24"/>
        <v>-5333.0349836023815</v>
      </c>
      <c r="P42" s="874">
        <f t="shared" ca="1" si="25"/>
        <v>-14715.026027877117</v>
      </c>
      <c r="Q42" s="642">
        <f t="shared" ca="1" si="26"/>
        <v>-14715.026027877117</v>
      </c>
    </row>
    <row r="43" spans="2:17" ht="15" customHeight="1">
      <c r="B43" s="1226"/>
      <c r="C43" s="395" t="s">
        <v>433</v>
      </c>
      <c r="D43" s="977">
        <f ca="1">'ביטחון אנרגטי'!J27</f>
        <v>8977.0715895639314</v>
      </c>
      <c r="E43" s="978">
        <f ca="1">D43</f>
        <v>8977.0715895639314</v>
      </c>
      <c r="F43" s="983">
        <f ca="1">'ביטחון אנרגטי'!J26</f>
        <v>7411.3038337541057</v>
      </c>
      <c r="G43" s="984">
        <f ca="1">F43</f>
        <v>7411.3038337541057</v>
      </c>
      <c r="H43" s="969">
        <f ca="1">'ביטחון אנרגטי'!J25</f>
        <v>6654.8479843381629</v>
      </c>
      <c r="I43" s="952">
        <f ca="1">H43</f>
        <v>6654.8479843381629</v>
      </c>
      <c r="L43" s="604">
        <f t="shared" ca="1" si="21"/>
        <v>-1565.7677558098258</v>
      </c>
      <c r="M43" s="871">
        <f t="shared" ca="1" si="22"/>
        <v>-1565.7677558098258</v>
      </c>
      <c r="N43" s="872">
        <f t="shared" ca="1" si="23"/>
        <v>-756.45584941594279</v>
      </c>
      <c r="O43" s="873">
        <f t="shared" ca="1" si="24"/>
        <v>-756.45584941594279</v>
      </c>
      <c r="P43" s="874">
        <f t="shared" ca="1" si="25"/>
        <v>-2322.2236052257686</v>
      </c>
      <c r="Q43" s="642">
        <f t="shared" ca="1" si="26"/>
        <v>-2322.2236052257686</v>
      </c>
    </row>
    <row r="44" spans="2:17" ht="15" customHeight="1" thickBot="1">
      <c r="B44" s="1226"/>
      <c r="C44" s="397" t="s">
        <v>434</v>
      </c>
      <c r="D44" s="979">
        <f ca="1">'ביטחון אנרגטי'!K27</f>
        <v>6485.2275178512555</v>
      </c>
      <c r="E44" s="980">
        <f ca="1">D44</f>
        <v>6485.2275178512555</v>
      </c>
      <c r="F44" s="985">
        <f ca="1">'ביטחון אנרגטי'!K26</f>
        <v>5354.083576841942</v>
      </c>
      <c r="G44" s="986">
        <f ca="1">F44</f>
        <v>5354.083576841942</v>
      </c>
      <c r="H44" s="970">
        <f ca="1">'ביטחון אנרגטי'!K25</f>
        <v>4807.6037764162757</v>
      </c>
      <c r="I44" s="953">
        <f ca="1">H44</f>
        <v>4807.6037764162757</v>
      </c>
      <c r="L44" s="605">
        <f t="shared" ca="1" si="21"/>
        <v>-1131.1439410093135</v>
      </c>
      <c r="M44" s="879">
        <f t="shared" ca="1" si="22"/>
        <v>-1131.1439410093135</v>
      </c>
      <c r="N44" s="880">
        <f t="shared" ca="1" si="23"/>
        <v>-546.47980042566633</v>
      </c>
      <c r="O44" s="881">
        <f t="shared" ca="1" si="24"/>
        <v>-546.47980042566633</v>
      </c>
      <c r="P44" s="882">
        <f t="shared" ca="1" si="25"/>
        <v>-1677.6237414349798</v>
      </c>
      <c r="Q44" s="643">
        <f t="shared" ca="1" si="26"/>
        <v>-1677.6237414349798</v>
      </c>
    </row>
    <row r="45" spans="2:17" ht="15" customHeight="1">
      <c r="B45" s="1226"/>
      <c r="C45" s="393" t="s">
        <v>436</v>
      </c>
      <c r="D45" s="592">
        <f ca="1">+D41+D43</f>
        <v>251378.16957718</v>
      </c>
      <c r="E45" s="423">
        <f t="shared" ref="E45:I45" ca="1" si="31">+E41+E43</f>
        <v>251378.16957718</v>
      </c>
      <c r="F45" s="612">
        <f t="shared" ca="1" si="31"/>
        <v>235908.65092313438</v>
      </c>
      <c r="G45" s="631">
        <f t="shared" ca="1" si="31"/>
        <v>235908.65092313438</v>
      </c>
      <c r="H45" s="965">
        <f t="shared" ca="1" si="31"/>
        <v>227227.4928552201</v>
      </c>
      <c r="I45" s="621">
        <f t="shared" ca="1" si="31"/>
        <v>227227.4928552201</v>
      </c>
      <c r="L45" s="606">
        <f t="shared" ca="1" si="21"/>
        <v>-15469.51865404562</v>
      </c>
      <c r="M45" s="887">
        <f t="shared" ca="1" si="22"/>
        <v>-15469.51865404562</v>
      </c>
      <c r="N45" s="888">
        <f t="shared" ca="1" si="23"/>
        <v>-8681.1580679142789</v>
      </c>
      <c r="O45" s="889">
        <f t="shared" ca="1" si="24"/>
        <v>-8681.1580679142789</v>
      </c>
      <c r="P45" s="890">
        <f t="shared" ca="1" si="25"/>
        <v>-24150.676721959899</v>
      </c>
      <c r="Q45" s="644">
        <f t="shared" ca="1" si="26"/>
        <v>-24150.676721959899</v>
      </c>
    </row>
    <row r="46" spans="2:17" ht="15" customHeight="1" thickBot="1">
      <c r="B46" s="1226"/>
      <c r="C46" s="397" t="s">
        <v>435</v>
      </c>
      <c r="D46" s="594">
        <f ca="1">+D42+D44</f>
        <v>179428.37258624841</v>
      </c>
      <c r="E46" s="424">
        <f t="shared" ref="E46:I46" ca="1" si="32">+E42+E44</f>
        <v>179428.37258624841</v>
      </c>
      <c r="F46" s="614">
        <f t="shared" ca="1" si="32"/>
        <v>168915.23760096438</v>
      </c>
      <c r="G46" s="633">
        <f t="shared" ca="1" si="32"/>
        <v>168915.23760096438</v>
      </c>
      <c r="H46" s="966">
        <f t="shared" ca="1" si="32"/>
        <v>163035.72281693632</v>
      </c>
      <c r="I46" s="623">
        <f t="shared" ca="1" si="32"/>
        <v>163035.72281693632</v>
      </c>
      <c r="L46" s="607">
        <f t="shared" ca="1" si="21"/>
        <v>-10513.134985284036</v>
      </c>
      <c r="M46" s="891">
        <f t="shared" ca="1" si="22"/>
        <v>-10513.134985284036</v>
      </c>
      <c r="N46" s="892">
        <f t="shared" ca="1" si="23"/>
        <v>-5879.5147840280551</v>
      </c>
      <c r="O46" s="893">
        <f t="shared" ca="1" si="24"/>
        <v>-5879.5147840280551</v>
      </c>
      <c r="P46" s="894">
        <f t="shared" ca="1" si="25"/>
        <v>-16392.649769312091</v>
      </c>
      <c r="Q46" s="645">
        <f t="shared" ca="1" si="26"/>
        <v>-16392.649769312091</v>
      </c>
    </row>
    <row r="47" spans="2:17" ht="15" customHeight="1">
      <c r="B47" s="1221"/>
      <c r="C47" s="388" t="s">
        <v>262</v>
      </c>
      <c r="D47" s="595">
        <f ca="1">'גזי חממה (CO2)'!G74</f>
        <v>125920.85828308201</v>
      </c>
      <c r="E47" s="496">
        <f ca="1">'גזי חממה (CO2)'!S74</f>
        <v>125920.85828308201</v>
      </c>
      <c r="F47" s="615">
        <f ca="1">'גזי חממה (CO2)'!AE74</f>
        <v>118330.16448176443</v>
      </c>
      <c r="G47" s="634">
        <f ca="1">'גזי חממה (CO2)'!AQ74</f>
        <v>118330.16448176443</v>
      </c>
      <c r="H47" s="971">
        <f ca="1">'גזי חממה (CO2)'!BC74</f>
        <v>113679.23865769999</v>
      </c>
      <c r="I47" s="624">
        <f ca="1">'גזי חממה (CO2)'!BO74</f>
        <v>113679.23865769999</v>
      </c>
      <c r="L47" s="608">
        <f t="shared" ca="1" si="21"/>
        <v>-7590.6938013175823</v>
      </c>
      <c r="M47" s="883">
        <f t="shared" ca="1" si="22"/>
        <v>-7590.6938013175823</v>
      </c>
      <c r="N47" s="884">
        <f t="shared" ca="1" si="23"/>
        <v>-4650.9258240644413</v>
      </c>
      <c r="O47" s="885">
        <f t="shared" ca="1" si="24"/>
        <v>-4650.9258240644413</v>
      </c>
      <c r="P47" s="886">
        <f t="shared" ca="1" si="25"/>
        <v>-12241.619625382024</v>
      </c>
      <c r="Q47" s="646">
        <f t="shared" ca="1" si="26"/>
        <v>-12241.619625382024</v>
      </c>
    </row>
    <row r="48" spans="2:17" ht="15" customHeight="1">
      <c r="B48" s="1221"/>
      <c r="C48" s="386" t="s">
        <v>263</v>
      </c>
      <c r="D48" s="590">
        <f ca="1">'גזי חממה (CO2)'!G75</f>
        <v>88902.761146034711</v>
      </c>
      <c r="E48" s="418">
        <f ca="1">'גזי חממה (CO2)'!S75</f>
        <v>88902.761146034711</v>
      </c>
      <c r="F48" s="610">
        <f ca="1">'גזי חממה (CO2)'!AE75</f>
        <v>83813.260142894564</v>
      </c>
      <c r="G48" s="629">
        <f ca="1">'גזי חממה (CO2)'!AQ75</f>
        <v>83813.260142894564</v>
      </c>
      <c r="H48" s="963">
        <f ca="1">'גזי חממה (CO2)'!BC75</f>
        <v>80714.701490429521</v>
      </c>
      <c r="I48" s="619">
        <f ca="1">'גזי חממה (CO2)'!BO75</f>
        <v>80714.701490429521</v>
      </c>
      <c r="L48" s="604">
        <f t="shared" ca="1" si="21"/>
        <v>-5089.5010031401471</v>
      </c>
      <c r="M48" s="871">
        <f t="shared" ca="1" si="22"/>
        <v>-5089.5010031401471</v>
      </c>
      <c r="N48" s="872">
        <f t="shared" ca="1" si="23"/>
        <v>-3098.5586524650425</v>
      </c>
      <c r="O48" s="873">
        <f t="shared" ca="1" si="24"/>
        <v>-3098.5586524650425</v>
      </c>
      <c r="P48" s="874">
        <f t="shared" ca="1" si="25"/>
        <v>-8188.0596556051896</v>
      </c>
      <c r="Q48" s="642">
        <f t="shared" ca="1" si="26"/>
        <v>-8188.0596556051896</v>
      </c>
    </row>
    <row r="49" spans="2:17" ht="15" customHeight="1">
      <c r="B49" s="1221"/>
      <c r="C49" s="389" t="s">
        <v>264</v>
      </c>
      <c r="D49" s="590">
        <f ca="1">'מזהם מקומי- NOX'!G74+'מזהם מקומי- SOX'!G74+'מזהם מקומי- חלקיקים'!G74</f>
        <v>69222.410055910863</v>
      </c>
      <c r="E49" s="418">
        <f ca="1">'מזהם מקומי- NOX'!S74+'מזהם מקומי- SOX'!S74+'מזהם מקומי- חלקיקים'!S74</f>
        <v>69222.410055910863</v>
      </c>
      <c r="F49" s="610">
        <f ca="1">'מזהם מקומי- NOX'!AE74+'מזהם מקומי- SOX'!AE74+'מזהם מקומי- חלקיקים'!AE74</f>
        <v>65108.9453440246</v>
      </c>
      <c r="G49" s="629">
        <f ca="1">'מזהם מקומי- NOX'!AQ74+'מזהם מקומי- SOX'!AQ74+'מזהם מקומי- חלקיקים'!AQ74</f>
        <v>65108.9453440246</v>
      </c>
      <c r="H49" s="963">
        <f ca="1">'מזהם מקומי- NOX'!BC74+'מזהם מקומי- SOX'!BC74+'מזהם מקומי- חלקיקים'!BC74</f>
        <v>62581.742402672891</v>
      </c>
      <c r="I49" s="619">
        <f ca="1">'מזהם מקומי- NOX'!BO74+'מזהם מקומי- SOX'!BO74+'מזהם מקומי- חלקיקים'!BO74</f>
        <v>62581.742402672891</v>
      </c>
      <c r="L49" s="604">
        <f t="shared" ca="1" si="21"/>
        <v>-4113.4647118862631</v>
      </c>
      <c r="M49" s="871">
        <f t="shared" ca="1" si="22"/>
        <v>-4113.4647118862631</v>
      </c>
      <c r="N49" s="872">
        <f t="shared" ca="1" si="23"/>
        <v>-2527.2029413517084</v>
      </c>
      <c r="O49" s="873">
        <f t="shared" ca="1" si="24"/>
        <v>-2527.2029413517084</v>
      </c>
      <c r="P49" s="874">
        <f t="shared" ca="1" si="25"/>
        <v>-6640.6676532379715</v>
      </c>
      <c r="Q49" s="642">
        <f t="shared" ca="1" si="26"/>
        <v>-6640.6676532379715</v>
      </c>
    </row>
    <row r="50" spans="2:17" ht="15.75" customHeight="1" thickBot="1">
      <c r="B50" s="1221"/>
      <c r="C50" s="390" t="s">
        <v>265</v>
      </c>
      <c r="D50" s="596">
        <f ca="1">'מזהם מקומי- NOX'!G75+'מזהם מקומי- SOX'!G75+'מזהם מקומי- חלקיקים'!G75</f>
        <v>48535.920905124796</v>
      </c>
      <c r="E50" s="420">
        <f ca="1">'מזהם מקומי- NOX'!S75+'מזהם מקומי- SOX'!S75+'מזהם מקומי- חלקיקים'!S75</f>
        <v>48535.920905124796</v>
      </c>
      <c r="F50" s="616">
        <f ca="1">'מזהם מקומי- NOX'!AE75+'מזהם מקומי- SOX'!AE75+'מזהם מקומי- חלקיקים'!AE75</f>
        <v>45800.664042932265</v>
      </c>
      <c r="G50" s="635">
        <f ca="1">'מזהם מקומי- NOX'!AQ75+'מזהם מקומי- SOX'!AQ75+'מזהם מקומי- חלקיקים'!AQ75</f>
        <v>45800.664042932265</v>
      </c>
      <c r="H50" s="972">
        <f ca="1">'מזהם מקומי- NOX'!BC75+'מזהם מקומי- SOX'!BC75+'מזהם מקומי- חלקיקים'!BC75</f>
        <v>44130.382465907605</v>
      </c>
      <c r="I50" s="625">
        <f ca="1">'מזהם מקומי- NOX'!BO75+'מזהם מקומי- SOX'!BO75+'מזהם מקומי- חלקיקים'!BO75</f>
        <v>44130.382465907605</v>
      </c>
      <c r="L50" s="605">
        <f t="shared" ca="1" si="21"/>
        <v>-2735.2568621925311</v>
      </c>
      <c r="M50" s="879">
        <f t="shared" ca="1" si="22"/>
        <v>-2735.2568621925311</v>
      </c>
      <c r="N50" s="880">
        <f t="shared" ca="1" si="23"/>
        <v>-1670.2815770246598</v>
      </c>
      <c r="O50" s="881">
        <f t="shared" ca="1" si="24"/>
        <v>-1670.2815770246598</v>
      </c>
      <c r="P50" s="882">
        <f t="shared" ca="1" si="25"/>
        <v>-4405.5384392171909</v>
      </c>
      <c r="Q50" s="643">
        <f t="shared" ca="1" si="26"/>
        <v>-4405.5384392171909</v>
      </c>
    </row>
    <row r="51" spans="2:17" ht="15.75" customHeight="1">
      <c r="B51" s="1221"/>
      <c r="C51" s="393" t="s">
        <v>323</v>
      </c>
      <c r="D51" s="592">
        <f ca="1">+D47+D49</f>
        <v>195143.26833899287</v>
      </c>
      <c r="E51" s="423">
        <f t="shared" ref="E51" ca="1" si="33">+E47+E49</f>
        <v>195143.26833899287</v>
      </c>
      <c r="F51" s="612">
        <f t="shared" ref="F51:I51" ca="1" si="34">+F47+F49</f>
        <v>183439.10982578903</v>
      </c>
      <c r="G51" s="631">
        <f t="shared" ca="1" si="34"/>
        <v>183439.10982578903</v>
      </c>
      <c r="H51" s="965">
        <f t="shared" ca="1" si="34"/>
        <v>176260.98106037287</v>
      </c>
      <c r="I51" s="621">
        <f t="shared" ca="1" si="34"/>
        <v>176260.98106037287</v>
      </c>
      <c r="L51" s="606">
        <f t="shared" ca="1" si="21"/>
        <v>-11704.158513203845</v>
      </c>
      <c r="M51" s="887">
        <f t="shared" ca="1" si="22"/>
        <v>-11704.158513203845</v>
      </c>
      <c r="N51" s="888">
        <f t="shared" ca="1" si="23"/>
        <v>-7178.128765416157</v>
      </c>
      <c r="O51" s="889">
        <f t="shared" ca="1" si="24"/>
        <v>-7178.128765416157</v>
      </c>
      <c r="P51" s="890">
        <f t="shared" ca="1" si="25"/>
        <v>-18882.287278620002</v>
      </c>
      <c r="Q51" s="644">
        <f t="shared" ca="1" si="26"/>
        <v>-18882.287278620002</v>
      </c>
    </row>
    <row r="52" spans="2:17" ht="15.75" customHeight="1" thickBot="1">
      <c r="B52" s="1222"/>
      <c r="C52" s="397" t="s">
        <v>322</v>
      </c>
      <c r="D52" s="594">
        <f ca="1">+D48+D50</f>
        <v>137438.6820511595</v>
      </c>
      <c r="E52" s="424">
        <f t="shared" ref="E52" ca="1" si="35">+E48+E50</f>
        <v>137438.6820511595</v>
      </c>
      <c r="F52" s="614">
        <f t="shared" ref="F52:I52" ca="1" si="36">+F48+F50</f>
        <v>129613.92418582682</v>
      </c>
      <c r="G52" s="633">
        <f t="shared" ca="1" si="36"/>
        <v>129613.92418582682</v>
      </c>
      <c r="H52" s="966">
        <f t="shared" ca="1" si="36"/>
        <v>124845.08395633713</v>
      </c>
      <c r="I52" s="623">
        <f t="shared" ca="1" si="36"/>
        <v>124845.08395633713</v>
      </c>
      <c r="L52" s="607">
        <f t="shared" ca="1" si="21"/>
        <v>-7824.7578653326782</v>
      </c>
      <c r="M52" s="891">
        <f t="shared" ca="1" si="22"/>
        <v>-7824.7578653326782</v>
      </c>
      <c r="N52" s="892">
        <f t="shared" ca="1" si="23"/>
        <v>-4768.840229489695</v>
      </c>
      <c r="O52" s="893">
        <f t="shared" ca="1" si="24"/>
        <v>-4768.840229489695</v>
      </c>
      <c r="P52" s="894">
        <f t="shared" ca="1" si="25"/>
        <v>-12593.598094822373</v>
      </c>
      <c r="Q52" s="645">
        <f t="shared" ca="1" si="26"/>
        <v>-12593.598094822373</v>
      </c>
    </row>
    <row r="53" spans="2:17" ht="15.75" customHeight="1">
      <c r="B53" s="1220" t="s">
        <v>267</v>
      </c>
      <c r="C53" s="385" t="s">
        <v>268</v>
      </c>
      <c r="D53" s="589">
        <f ca="1">'השקעות &amp; תפעול ק. - מ.יצור'!AW122</f>
        <v>12366.9486</v>
      </c>
      <c r="E53" s="417">
        <f ca="1">'השקעות &amp; תפעול ק. - מ.יצור'!AY122</f>
        <v>12366.9486</v>
      </c>
      <c r="F53" s="609">
        <f ca="1">'השקעות &amp; תפעול ק. - מ.יצור'!BA122</f>
        <v>12230.915399999994</v>
      </c>
      <c r="G53" s="628">
        <f ca="1">'השקעות &amp; תפעול ק. - מ.יצור'!BC122</f>
        <v>12230.915399999994</v>
      </c>
      <c r="H53" s="962">
        <f ca="1">'השקעות &amp; תפעול ק. - מ.יצור'!BE122</f>
        <v>12231.217799999999</v>
      </c>
      <c r="I53" s="618">
        <f ca="1">'השקעות &amp; תפעול ק. - מ.יצור'!BG122</f>
        <v>12231.217799999999</v>
      </c>
      <c r="L53" s="608">
        <f t="shared" ca="1" si="21"/>
        <v>-136.03320000000531</v>
      </c>
      <c r="M53" s="883">
        <f t="shared" ca="1" si="22"/>
        <v>-136.03320000000531</v>
      </c>
      <c r="N53" s="884">
        <f t="shared" ca="1" si="23"/>
        <v>0.30240000000412692</v>
      </c>
      <c r="O53" s="885">
        <f t="shared" ca="1" si="24"/>
        <v>0.30240000000412692</v>
      </c>
      <c r="P53" s="886">
        <f t="shared" ca="1" si="25"/>
        <v>-135.73080000000118</v>
      </c>
      <c r="Q53" s="646">
        <f t="shared" ca="1" si="26"/>
        <v>-135.73080000000118</v>
      </c>
    </row>
    <row r="54" spans="2:17" ht="15" customHeight="1">
      <c r="B54" s="1221"/>
      <c r="C54" s="386" t="s">
        <v>269</v>
      </c>
      <c r="D54" s="590">
        <f ca="1">'השקעות &amp; תפעול ק. - מ.יצור'!AW120</f>
        <v>8384.9531794513823</v>
      </c>
      <c r="E54" s="418">
        <f ca="1">'השקעות &amp; תפעול ק. - מ.יצור'!AY120</f>
        <v>8384.9531794513823</v>
      </c>
      <c r="F54" s="610">
        <f ca="1">'השקעות &amp; תפעול ק. - מ.יצור'!BA120</f>
        <v>8315.8807305610171</v>
      </c>
      <c r="G54" s="629">
        <f ca="1">'השקעות &amp; תפעול ק. - מ.יצור'!BC120</f>
        <v>8315.8807305610171</v>
      </c>
      <c r="H54" s="963">
        <f ca="1">'השקעות &amp; תפעול ק. - מ.יצור'!BE120</f>
        <v>8290.6740360700569</v>
      </c>
      <c r="I54" s="619">
        <f ca="1">'השקעות &amp; תפעול ק. - מ.יצור'!BG120</f>
        <v>8290.6740360700569</v>
      </c>
      <c r="L54" s="604">
        <f t="shared" ca="1" si="21"/>
        <v>-69.072448890365195</v>
      </c>
      <c r="M54" s="871">
        <f t="shared" ca="1" si="22"/>
        <v>-69.072448890365195</v>
      </c>
      <c r="N54" s="872">
        <f t="shared" ca="1" si="23"/>
        <v>-25.206694490960217</v>
      </c>
      <c r="O54" s="873">
        <f t="shared" ca="1" si="24"/>
        <v>-25.206694490960217</v>
      </c>
      <c r="P54" s="874">
        <f t="shared" ca="1" si="25"/>
        <v>-94.279143381325412</v>
      </c>
      <c r="Q54" s="642">
        <f t="shared" ca="1" si="26"/>
        <v>-94.279143381325412</v>
      </c>
    </row>
    <row r="55" spans="2:17" ht="15" customHeight="1">
      <c r="B55" s="1221"/>
      <c r="C55" s="386" t="s">
        <v>279</v>
      </c>
      <c r="D55" s="590">
        <f ca="1">'השקעות &amp; תפעול ק. -מתחדשות ואגי'!DQ131</f>
        <v>6784.6736973910583</v>
      </c>
      <c r="E55" s="418">
        <f ca="1">'השקעות &amp; תפעול ק. -מתחדשות ואגי'!DW131</f>
        <v>7434.7391231444089</v>
      </c>
      <c r="F55" s="610">
        <f ca="1">'השקעות &amp; תפעול ק. -מתחדשות ואגי'!EC131</f>
        <v>10913.13755827384</v>
      </c>
      <c r="G55" s="629">
        <f ca="1">'השקעות &amp; תפעול ק. -מתחדשות ואגי'!EI131</f>
        <v>12132.724912651709</v>
      </c>
      <c r="H55" s="963">
        <f ca="1">'השקעות &amp; תפעול ק. -מתחדשות ואגי'!EO131</f>
        <v>13444.593809424659</v>
      </c>
      <c r="I55" s="619">
        <f ca="1">'השקעות &amp; תפעול ק. -מתחדשות ואגי'!EU131</f>
        <v>15013.395761523549</v>
      </c>
      <c r="L55" s="604">
        <f t="shared" ca="1" si="21"/>
        <v>4128.4638608827818</v>
      </c>
      <c r="M55" s="871">
        <f t="shared" ca="1" si="22"/>
        <v>4697.9857895073001</v>
      </c>
      <c r="N55" s="872">
        <f t="shared" ca="1" si="23"/>
        <v>2531.4562511508193</v>
      </c>
      <c r="O55" s="873">
        <f t="shared" ca="1" si="24"/>
        <v>2880.6708488718396</v>
      </c>
      <c r="P55" s="874">
        <f t="shared" ca="1" si="25"/>
        <v>6659.9201120336011</v>
      </c>
      <c r="Q55" s="642">
        <f t="shared" ca="1" si="26"/>
        <v>7578.6566383791396</v>
      </c>
    </row>
    <row r="56" spans="2:17" ht="15" customHeight="1" thickBot="1">
      <c r="B56" s="1221"/>
      <c r="C56" s="422" t="s">
        <v>336</v>
      </c>
      <c r="D56" s="591">
        <f ca="1">'השקעות &amp; תפעול ק. -מתחדשות ואגי'!DQ129</f>
        <v>4692.9525199759792</v>
      </c>
      <c r="E56" s="419">
        <f ca="1">'השקעות &amp; תפעול ק. -מתחדשות ואגי'!DW129</f>
        <v>5160.9255805617804</v>
      </c>
      <c r="F56" s="611">
        <f ca="1">'השקעות &amp; תפעול ק. -מתחדשות ואגי'!EC129</f>
        <v>7485.3416832759849</v>
      </c>
      <c r="G56" s="630">
        <f ca="1">'השקעות &amp; תפעול ק. -מתחדשות ואגי'!EI129</f>
        <v>8338.5250582407407</v>
      </c>
      <c r="H56" s="964">
        <f ca="1">'השקעות &amp; תפעול ק. -מתחדשות ואגי'!EO129</f>
        <v>9190.4186356231567</v>
      </c>
      <c r="I56" s="620">
        <f ca="1">'השקעות &amp; תפעול ק. -מתחדשות ואגי'!EU129</f>
        <v>10278.817516179461</v>
      </c>
      <c r="L56" s="605">
        <f t="shared" ca="1" si="21"/>
        <v>2792.3891633000057</v>
      </c>
      <c r="M56" s="879">
        <f t="shared" ca="1" si="22"/>
        <v>3177.5994776789603</v>
      </c>
      <c r="N56" s="880">
        <f t="shared" ca="1" si="23"/>
        <v>1705.0769523471718</v>
      </c>
      <c r="O56" s="881">
        <f t="shared" ca="1" si="24"/>
        <v>1940.29245793872</v>
      </c>
      <c r="P56" s="882">
        <f t="shared" ca="1" si="25"/>
        <v>4497.4661156471775</v>
      </c>
      <c r="Q56" s="643">
        <f t="shared" ca="1" si="26"/>
        <v>5117.8919356176802</v>
      </c>
    </row>
    <row r="57" spans="2:17" ht="15" customHeight="1">
      <c r="B57" s="1221"/>
      <c r="C57" s="393" t="s">
        <v>305</v>
      </c>
      <c r="D57" s="592">
        <f ca="1">+D53+D55</f>
        <v>19151.622297391059</v>
      </c>
      <c r="E57" s="423">
        <f t="shared" ref="E57" ca="1" si="37">+E53+E55</f>
        <v>19801.687723144409</v>
      </c>
      <c r="F57" s="612">
        <f t="shared" ref="F57:I57" ca="1" si="38">+F53+F55</f>
        <v>23144.052958273835</v>
      </c>
      <c r="G57" s="631">
        <f t="shared" ca="1" si="38"/>
        <v>24363.640312651703</v>
      </c>
      <c r="H57" s="965">
        <f t="shared" ca="1" si="38"/>
        <v>25675.811609424658</v>
      </c>
      <c r="I57" s="621">
        <f t="shared" ca="1" si="38"/>
        <v>27244.613561523547</v>
      </c>
      <c r="L57" s="606">
        <f t="shared" ca="1" si="21"/>
        <v>3992.4306608827756</v>
      </c>
      <c r="M57" s="887">
        <f t="shared" ca="1" si="22"/>
        <v>4561.9525895072948</v>
      </c>
      <c r="N57" s="888">
        <f t="shared" ca="1" si="23"/>
        <v>2531.7586511508234</v>
      </c>
      <c r="O57" s="889">
        <f t="shared" ca="1" si="24"/>
        <v>2880.9732488718437</v>
      </c>
      <c r="P57" s="890">
        <f t="shared" ca="1" si="25"/>
        <v>6524.189312033599</v>
      </c>
      <c r="Q57" s="644">
        <f t="shared" ca="1" si="26"/>
        <v>7442.9258383791384</v>
      </c>
    </row>
    <row r="58" spans="2:17" ht="15" customHeight="1" thickBot="1">
      <c r="B58" s="1222"/>
      <c r="C58" s="397" t="s">
        <v>301</v>
      </c>
      <c r="D58" s="594">
        <f ca="1">+D54+D56</f>
        <v>13077.905699427361</v>
      </c>
      <c r="E58" s="424">
        <f t="shared" ref="E58" ca="1" si="39">+E54+E56</f>
        <v>13545.878760013162</v>
      </c>
      <c r="F58" s="614">
        <f t="shared" ref="F58:I58" ca="1" si="40">+F54+F56</f>
        <v>15801.222413837002</v>
      </c>
      <c r="G58" s="633">
        <f t="shared" ca="1" si="40"/>
        <v>16654.405788801756</v>
      </c>
      <c r="H58" s="966">
        <f t="shared" ca="1" si="40"/>
        <v>17481.092671693215</v>
      </c>
      <c r="I58" s="623">
        <f t="shared" ca="1" si="40"/>
        <v>18569.491552249518</v>
      </c>
      <c r="L58" s="607">
        <f t="shared" ca="1" si="21"/>
        <v>2723.3167144096406</v>
      </c>
      <c r="M58" s="891">
        <f t="shared" ca="1" si="22"/>
        <v>3108.5270287885942</v>
      </c>
      <c r="N58" s="892">
        <f t="shared" ca="1" si="23"/>
        <v>1679.8702578562134</v>
      </c>
      <c r="O58" s="893">
        <f t="shared" ca="1" si="24"/>
        <v>1915.0857634477616</v>
      </c>
      <c r="P58" s="894">
        <f t="shared" ca="1" si="25"/>
        <v>4403.1869722658539</v>
      </c>
      <c r="Q58" s="645">
        <f t="shared" ca="1" si="26"/>
        <v>5023.6127922363557</v>
      </c>
    </row>
    <row r="59" spans="2:17">
      <c r="B59" s="1223" t="s">
        <v>271</v>
      </c>
      <c r="C59" s="391" t="s">
        <v>262</v>
      </c>
      <c r="D59" s="589">
        <f ca="1">'גזי חממה (CO2)'!G46</f>
        <v>723.87643973767263</v>
      </c>
      <c r="E59" s="417">
        <f ca="1">'גזי חממה (CO2)'!S46</f>
        <v>723.87643973767263</v>
      </c>
      <c r="F59" s="609">
        <f ca="1">'גזי חממה (CO2)'!AE46</f>
        <v>681.66307779491922</v>
      </c>
      <c r="G59" s="628">
        <f ca="1">'גזי חממה (CO2)'!AQ46</f>
        <v>681.66307779491922</v>
      </c>
      <c r="H59" s="962">
        <f ca="1">'גזי חממה (CO2)'!BC46</f>
        <v>655.90560438365594</v>
      </c>
      <c r="I59" s="618">
        <f ca="1">'גזי חממה (CO2)'!BO46</f>
        <v>655.90560438365594</v>
      </c>
      <c r="L59" s="608">
        <f t="shared" ca="1" si="21"/>
        <v>-42.213361942753409</v>
      </c>
      <c r="M59" s="883">
        <f t="shared" ca="1" si="22"/>
        <v>-42.213361942753409</v>
      </c>
      <c r="N59" s="884">
        <f t="shared" ca="1" si="23"/>
        <v>-25.757473411263277</v>
      </c>
      <c r="O59" s="885">
        <f t="shared" ca="1" si="24"/>
        <v>-25.757473411263277</v>
      </c>
      <c r="P59" s="886">
        <f t="shared" ca="1" si="25"/>
        <v>-67.970835354016685</v>
      </c>
      <c r="Q59" s="646">
        <f t="shared" ca="1" si="26"/>
        <v>-67.970835354016685</v>
      </c>
    </row>
    <row r="60" spans="2:17" ht="16.5" thickBot="1">
      <c r="B60" s="1224"/>
      <c r="C60" s="392" t="s">
        <v>264</v>
      </c>
      <c r="D60" s="597">
        <f ca="1">'מזהם מקומי- NOX'!G46+'מזהם מקומי- SOX'!G46+'מזהם מקומי- חלקיקים'!G46</f>
        <v>0.38734701188309145</v>
      </c>
      <c r="E60" s="421">
        <f ca="1">'מזהם מקומי- NOX'!S46+'מזהם מקומי- SOX'!S46+'מזהם מקומי- חלקיקים'!S46</f>
        <v>0.38734701188309145</v>
      </c>
      <c r="F60" s="617">
        <f ca="1">'מזהם מקומי- NOX'!AE46+'מזהם מקומי- SOX'!AE46+'מזהם מקומי- חלקיקים'!AE46</f>
        <v>0.36648392007221653</v>
      </c>
      <c r="G60" s="636">
        <f ca="1">'מזהם מקומי- NOX'!AQ46+'מזהם מקומי- SOX'!AQ46+'מזהם מקומי- חלקיקים'!AQ46</f>
        <v>0.36648392007221653</v>
      </c>
      <c r="H60" s="973">
        <f ca="1">'מזהם מקומי- NOX'!BC46+'מזהם מקומי- SOX'!BC46+'מזהם מקומי- חלקיקים'!BC46</f>
        <v>0.35374580286154589</v>
      </c>
      <c r="I60" s="626">
        <f ca="1">'מזהם מקומי- NOX'!BO46+'מזהם מקומי- SOX'!BO46+'מזהם מקומי- חלקיקים'!BO46</f>
        <v>0.35374580286154589</v>
      </c>
      <c r="L60" s="605">
        <f t="shared" ca="1" si="21"/>
        <v>-2.0863091810874923E-2</v>
      </c>
      <c r="M60" s="879">
        <f t="shared" ca="1" si="22"/>
        <v>-2.0863091810874923E-2</v>
      </c>
      <c r="N60" s="880">
        <f t="shared" ca="1" si="23"/>
        <v>-1.2738117210670641E-2</v>
      </c>
      <c r="O60" s="881">
        <f t="shared" ca="1" si="24"/>
        <v>-1.2738117210670641E-2</v>
      </c>
      <c r="P60" s="882">
        <f t="shared" ca="1" si="25"/>
        <v>-3.3601209021545564E-2</v>
      </c>
      <c r="Q60" s="643">
        <f t="shared" ca="1" si="26"/>
        <v>-3.3601209021545564E-2</v>
      </c>
    </row>
    <row r="61" spans="2:17" ht="15" customHeight="1" thickBot="1">
      <c r="B61" s="659" t="s">
        <v>272</v>
      </c>
      <c r="C61" s="385" t="s">
        <v>273</v>
      </c>
      <c r="D61" s="926">
        <f>SUM('התפלגות ייצור וסל דלקים'!C58:F58)</f>
        <v>343.20216146765142</v>
      </c>
      <c r="E61" s="927">
        <f>D61</f>
        <v>343.20216146765142</v>
      </c>
      <c r="F61" s="928">
        <f>SUM('התפלגות ייצור וסל דלקים'!K58:N58)</f>
        <v>322.81103392818932</v>
      </c>
      <c r="G61" s="929">
        <f>F61</f>
        <v>322.81103392818932</v>
      </c>
      <c r="H61" s="974">
        <f>SUM('התפלגות ייצור וסל דלקים'!S58:V58)</f>
        <v>311.33174101765132</v>
      </c>
      <c r="I61" s="930">
        <f>H61</f>
        <v>311.33174101765132</v>
      </c>
      <c r="L61" s="688">
        <f t="shared" si="21"/>
        <v>-20.391127539462104</v>
      </c>
      <c r="M61" s="895">
        <f t="shared" si="22"/>
        <v>-20.391127539462104</v>
      </c>
      <c r="N61" s="896">
        <f t="shared" si="23"/>
        <v>-11.479292910537993</v>
      </c>
      <c r="O61" s="897">
        <f t="shared" si="24"/>
        <v>-11.479292910537993</v>
      </c>
      <c r="P61" s="898">
        <f t="shared" si="25"/>
        <v>-31.870420450000097</v>
      </c>
      <c r="Q61" s="689">
        <f t="shared" si="26"/>
        <v>-31.870420450000097</v>
      </c>
    </row>
    <row r="62" spans="2:17" ht="15.75" customHeight="1">
      <c r="B62" s="1220" t="s">
        <v>274</v>
      </c>
      <c r="C62" s="385" t="s">
        <v>270</v>
      </c>
      <c r="D62" s="589">
        <f ca="1">'התפלגות ייצור וסל דלקים'!C30</f>
        <v>287.16957381706652</v>
      </c>
      <c r="E62" s="417">
        <f ca="1">D62</f>
        <v>287.16957381706652</v>
      </c>
      <c r="F62" s="609">
        <f ca="1">'התפלגות ייצור וסל דלקים'!O30</f>
        <v>404.06096732046296</v>
      </c>
      <c r="G62" s="628">
        <f ca="1">F62</f>
        <v>404.06096732046296</v>
      </c>
      <c r="H62" s="962">
        <f ca="1">'התפלגות ייצור וסל דלקים'!AA30</f>
        <v>475.33153724258591</v>
      </c>
      <c r="I62" s="618">
        <f ca="1">H62</f>
        <v>475.33153724258591</v>
      </c>
      <c r="L62" s="608">
        <f t="shared" ca="1" si="21"/>
        <v>116.89139350339644</v>
      </c>
      <c r="M62" s="883">
        <f t="shared" ca="1" si="22"/>
        <v>116.89139350339644</v>
      </c>
      <c r="N62" s="884">
        <f t="shared" ca="1" si="23"/>
        <v>71.270569922122945</v>
      </c>
      <c r="O62" s="885">
        <f t="shared" ca="1" si="24"/>
        <v>71.270569922122945</v>
      </c>
      <c r="P62" s="886">
        <f t="shared" ca="1" si="25"/>
        <v>188.16196342551939</v>
      </c>
      <c r="Q62" s="646">
        <f t="shared" ca="1" si="26"/>
        <v>188.16196342551939</v>
      </c>
    </row>
    <row r="63" spans="2:17" ht="15.75" customHeight="1">
      <c r="B63" s="1221"/>
      <c r="C63" s="388" t="s">
        <v>34</v>
      </c>
      <c r="D63" s="590">
        <f>'התפלגות ייצור וסל דלקים'!E30</f>
        <v>0</v>
      </c>
      <c r="E63" s="418">
        <f t="shared" ref="E63:I66" si="41">D63</f>
        <v>0</v>
      </c>
      <c r="F63" s="610">
        <f>'התפלגות ייצור וסל דלקים'!Q30</f>
        <v>0</v>
      </c>
      <c r="G63" s="629">
        <f t="shared" si="41"/>
        <v>0</v>
      </c>
      <c r="H63" s="971">
        <f>'התפלגות ייצור וסל דלקים'!AC30</f>
        <v>0</v>
      </c>
      <c r="I63" s="619">
        <f t="shared" si="41"/>
        <v>0</v>
      </c>
      <c r="L63" s="604">
        <f t="shared" si="21"/>
        <v>0</v>
      </c>
      <c r="M63" s="871">
        <f t="shared" si="22"/>
        <v>0</v>
      </c>
      <c r="N63" s="872">
        <f t="shared" si="23"/>
        <v>0</v>
      </c>
      <c r="O63" s="873">
        <f t="shared" si="24"/>
        <v>0</v>
      </c>
      <c r="P63" s="874">
        <f t="shared" si="25"/>
        <v>0</v>
      </c>
      <c r="Q63" s="642">
        <f t="shared" si="26"/>
        <v>0</v>
      </c>
    </row>
    <row r="64" spans="2:17">
      <c r="B64" s="1221"/>
      <c r="C64" s="386" t="s">
        <v>31</v>
      </c>
      <c r="D64" s="590">
        <f ca="1">'התפלגות ייצור וסל דלקים'!F30</f>
        <v>1715.3221034896276</v>
      </c>
      <c r="E64" s="418">
        <f t="shared" ca="1" si="41"/>
        <v>1715.3221034896276</v>
      </c>
      <c r="F64" s="610">
        <f ca="1">'התפלגות ייצור וסל דלקים'!R30</f>
        <v>1598.432049986231</v>
      </c>
      <c r="G64" s="629">
        <f t="shared" ca="1" si="41"/>
        <v>1598.432049986231</v>
      </c>
      <c r="H64" s="963">
        <f ca="1">'התפלגות ייצור וסל דלקים'!AD30</f>
        <v>1527.2248900641084</v>
      </c>
      <c r="I64" s="619">
        <f t="shared" ca="1" si="41"/>
        <v>1527.2248900641084</v>
      </c>
      <c r="L64" s="604">
        <f t="shared" ca="1" si="21"/>
        <v>-116.89005350339653</v>
      </c>
      <c r="M64" s="871">
        <f t="shared" ca="1" si="22"/>
        <v>-116.89005350339653</v>
      </c>
      <c r="N64" s="872">
        <f t="shared" ca="1" si="23"/>
        <v>-71.207159922122628</v>
      </c>
      <c r="O64" s="873">
        <f t="shared" ca="1" si="24"/>
        <v>-71.207159922122628</v>
      </c>
      <c r="P64" s="874">
        <f t="shared" ca="1" si="25"/>
        <v>-188.09721342551916</v>
      </c>
      <c r="Q64" s="642">
        <f t="shared" ca="1" si="26"/>
        <v>-188.09721342551916</v>
      </c>
    </row>
    <row r="65" spans="2:17">
      <c r="B65" s="1221"/>
      <c r="C65" s="386" t="s">
        <v>30</v>
      </c>
      <c r="D65" s="590">
        <f>'התפלגות ייצור וסל דלקים'!G30</f>
        <v>74.708280000000002</v>
      </c>
      <c r="E65" s="418">
        <f t="shared" si="41"/>
        <v>74.708280000000002</v>
      </c>
      <c r="F65" s="610">
        <f>'התפלגות ייצור וסל דלקים'!S30</f>
        <v>74.678529999999995</v>
      </c>
      <c r="G65" s="629">
        <f t="shared" si="41"/>
        <v>74.678529999999995</v>
      </c>
      <c r="H65" s="963">
        <f>'התפלגות ייצור וסל דלקים'!AE30</f>
        <v>74.668329999999997</v>
      </c>
      <c r="I65" s="619">
        <f t="shared" si="41"/>
        <v>74.668329999999997</v>
      </c>
      <c r="L65" s="604">
        <f t="shared" si="21"/>
        <v>-2.9750000000007049E-2</v>
      </c>
      <c r="M65" s="871">
        <f t="shared" si="22"/>
        <v>-2.9750000000007049E-2</v>
      </c>
      <c r="N65" s="872">
        <f t="shared" si="23"/>
        <v>-1.0199999999997544E-2</v>
      </c>
      <c r="O65" s="873">
        <f t="shared" si="24"/>
        <v>-1.0199999999997544E-2</v>
      </c>
      <c r="P65" s="874">
        <f t="shared" si="25"/>
        <v>-3.9950000000004593E-2</v>
      </c>
      <c r="Q65" s="642">
        <f t="shared" si="26"/>
        <v>-3.9950000000004593E-2</v>
      </c>
    </row>
    <row r="66" spans="2:17" ht="16.5" thickBot="1">
      <c r="B66" s="1222"/>
      <c r="C66" s="422" t="s">
        <v>32</v>
      </c>
      <c r="D66" s="596">
        <f>'התפלגות ייצור וסל דלקים'!H30</f>
        <v>7.3293399999999993</v>
      </c>
      <c r="E66" s="420">
        <f t="shared" si="41"/>
        <v>7.3293399999999993</v>
      </c>
      <c r="F66" s="616">
        <f>'התפלגות ייצור וסל דלקים'!T30</f>
        <v>7.3577499999999993</v>
      </c>
      <c r="G66" s="635">
        <f t="shared" si="41"/>
        <v>7.3577499999999993</v>
      </c>
      <c r="H66" s="972">
        <f>'התפלגות ייצור וסל דלקים'!AF30</f>
        <v>7.3045400000000003</v>
      </c>
      <c r="I66" s="625">
        <f t="shared" si="41"/>
        <v>7.3045400000000003</v>
      </c>
      <c r="L66" s="605">
        <f t="shared" si="21"/>
        <v>2.8410000000000046E-2</v>
      </c>
      <c r="M66" s="879">
        <f t="shared" si="22"/>
        <v>2.8410000000000046E-2</v>
      </c>
      <c r="N66" s="880">
        <f t="shared" si="23"/>
        <v>-5.3209999999999091E-2</v>
      </c>
      <c r="O66" s="881">
        <f t="shared" si="24"/>
        <v>-5.3209999999999091E-2</v>
      </c>
      <c r="P66" s="882">
        <f t="shared" si="25"/>
        <v>-2.4799999999999045E-2</v>
      </c>
      <c r="Q66" s="643">
        <f t="shared" si="26"/>
        <v>-2.4799999999999045E-2</v>
      </c>
    </row>
    <row r="67" spans="2:17" ht="15" customHeight="1">
      <c r="B67" s="1232" t="s">
        <v>453</v>
      </c>
      <c r="C67" s="1039" t="s">
        <v>275</v>
      </c>
      <c r="D67" s="1036">
        <f ca="1">'השקעות &amp; תפעול ק. - מ.יצור'!G62</f>
        <v>4703</v>
      </c>
      <c r="E67" s="496">
        <f ca="1">'השקעות &amp; תפעול ק. - מ.יצור'!I62</f>
        <v>4703</v>
      </c>
      <c r="F67" s="615">
        <f ca="1">'השקעות &amp; תפעול ק. - מ.יצור'!K62</f>
        <v>4237</v>
      </c>
      <c r="G67" s="634">
        <f ca="1">'השקעות &amp; תפעול ק. - מ.יצור'!M62</f>
        <v>4237</v>
      </c>
      <c r="H67" s="962">
        <f ca="1">'השקעות &amp; תפעול ק. - מ.יצור'!O62</f>
        <v>3771</v>
      </c>
      <c r="I67" s="618">
        <f ca="1">'השקעות &amp; תפעול ק. - מ.יצור'!Q62</f>
        <v>3771</v>
      </c>
      <c r="L67" s="606">
        <f t="shared" ca="1" si="21"/>
        <v>-466</v>
      </c>
      <c r="M67" s="887">
        <f t="shared" ca="1" si="22"/>
        <v>-466</v>
      </c>
      <c r="N67" s="888">
        <f t="shared" ca="1" si="23"/>
        <v>-466</v>
      </c>
      <c r="O67" s="889">
        <f t="shared" ca="1" si="24"/>
        <v>-466</v>
      </c>
      <c r="P67" s="890">
        <f t="shared" ca="1" si="25"/>
        <v>-932</v>
      </c>
      <c r="Q67" s="644">
        <f t="shared" ca="1" si="26"/>
        <v>-932</v>
      </c>
    </row>
    <row r="68" spans="2:17" ht="15" customHeight="1">
      <c r="B68" s="1226"/>
      <c r="C68" s="1040" t="s">
        <v>276</v>
      </c>
      <c r="D68" s="1037">
        <f ca="1">'השקעות &amp; תפעול ק. - מ.יצור'!H62</f>
        <v>763</v>
      </c>
      <c r="E68" s="1019">
        <f ca="1">'השקעות &amp; תפעול ק. - מ.יצור'!J62</f>
        <v>763</v>
      </c>
      <c r="F68" s="1020">
        <f ca="1">'השקעות &amp; תפעול ק. - מ.יצור'!L62</f>
        <v>1102</v>
      </c>
      <c r="G68" s="1021">
        <f ca="1">'השקעות &amp; תפעול ק. - מ.יצור'!N62</f>
        <v>1102</v>
      </c>
      <c r="H68" s="1022">
        <f ca="1">'השקעות &amp; תפעול ק. - מ.יצור'!P62</f>
        <v>1667</v>
      </c>
      <c r="I68" s="1023">
        <f ca="1">'השקעות &amp; תפעול ק. - מ.יצור'!R62</f>
        <v>1667</v>
      </c>
      <c r="L68" s="1034">
        <f t="shared" ref="L68:L69" ca="1" si="42">F68-D68</f>
        <v>339</v>
      </c>
      <c r="M68" s="1030">
        <f t="shared" ref="M68:M69" ca="1" si="43">+G68-E68</f>
        <v>339</v>
      </c>
      <c r="N68" s="1031">
        <f t="shared" ref="N68:N69" ca="1" si="44">+H68-F68</f>
        <v>565</v>
      </c>
      <c r="O68" s="1032">
        <f t="shared" ref="O68:O69" ca="1" si="45">+I68-G68</f>
        <v>565</v>
      </c>
      <c r="P68" s="1033">
        <f t="shared" ref="P68:P69" ca="1" si="46">+H68-D68</f>
        <v>904</v>
      </c>
      <c r="Q68" s="1035">
        <f t="shared" ref="Q68:Q69" ca="1" si="47">+I68-E68</f>
        <v>904</v>
      </c>
    </row>
    <row r="69" spans="2:17" ht="27.75" customHeight="1" thickBot="1">
      <c r="B69" s="1233"/>
      <c r="C69" s="1041" t="s">
        <v>454</v>
      </c>
      <c r="D69" s="1038">
        <f ca="1">'השקעות &amp; תפעול ק. -מתחדשות ואגי'!L71</f>
        <v>500</v>
      </c>
      <c r="E69" s="419">
        <f ca="1">'השקעות &amp; תפעול ק. -מתחדשות ואגי'!R71</f>
        <v>500</v>
      </c>
      <c r="F69" s="611">
        <f ca="1">'השקעות &amp; תפעול ק. -מתחדשות ואגי'!X71</f>
        <v>500</v>
      </c>
      <c r="G69" s="630">
        <f ca="1">'השקעות &amp; תפעול ק. -מתחדשות ואגי'!AD71</f>
        <v>500</v>
      </c>
      <c r="H69" s="964">
        <f ca="1">'השקעות &amp; תפעול ק. -מתחדשות ואגי'!AJ71</f>
        <v>500</v>
      </c>
      <c r="I69" s="620">
        <f ca="1">'השקעות &amp; תפעול ק. -מתחדשות ואגי'!AP71</f>
        <v>500</v>
      </c>
      <c r="L69" s="607">
        <f t="shared" ca="1" si="42"/>
        <v>0</v>
      </c>
      <c r="M69" s="891">
        <f t="shared" ca="1" si="43"/>
        <v>0</v>
      </c>
      <c r="N69" s="892">
        <f t="shared" ca="1" si="44"/>
        <v>0</v>
      </c>
      <c r="O69" s="893">
        <f t="shared" ca="1" si="45"/>
        <v>0</v>
      </c>
      <c r="P69" s="894">
        <f t="shared" ca="1" si="46"/>
        <v>0</v>
      </c>
      <c r="Q69" s="645">
        <f t="shared" ca="1" si="47"/>
        <v>0</v>
      </c>
    </row>
    <row r="70" spans="2:17" ht="15" customHeight="1">
      <c r="B70" s="1220" t="s">
        <v>281</v>
      </c>
      <c r="C70" s="388" t="s">
        <v>277</v>
      </c>
      <c r="D70" s="589">
        <f ca="1">'השקעות &amp; תפעול ק. -מתחדשות ואגי'!G71</f>
        <v>6240.7224464453247</v>
      </c>
      <c r="E70" s="417">
        <f ca="1">D70</f>
        <v>6240.7224464453247</v>
      </c>
      <c r="F70" s="609">
        <f ca="1">'השקעות &amp; תפעול ק. -מתחדשות ואגי'!S71</f>
        <v>11100.260444853671</v>
      </c>
      <c r="G70" s="628">
        <f ca="1">F70</f>
        <v>11100.260444853671</v>
      </c>
      <c r="H70" s="962">
        <f ca="1">'השקעות &amp; תפעול ק. -מתחדשות ואגי'!AE71</f>
        <v>14132.626496369259</v>
      </c>
      <c r="I70" s="618">
        <f ca="1">H70</f>
        <v>14132.626496369259</v>
      </c>
      <c r="L70" s="1024">
        <f t="shared" ca="1" si="21"/>
        <v>4859.5379984083465</v>
      </c>
      <c r="M70" s="1025">
        <f t="shared" ca="1" si="22"/>
        <v>4859.5379984083465</v>
      </c>
      <c r="N70" s="1026">
        <f t="shared" ca="1" si="23"/>
        <v>3032.366051515588</v>
      </c>
      <c r="O70" s="1027">
        <f t="shared" ca="1" si="24"/>
        <v>3032.366051515588</v>
      </c>
      <c r="P70" s="1028">
        <f t="shared" ca="1" si="25"/>
        <v>7891.9040499239345</v>
      </c>
      <c r="Q70" s="1029">
        <f t="shared" ca="1" si="26"/>
        <v>7891.9040499239345</v>
      </c>
    </row>
    <row r="71" spans="2:17" ht="15" customHeight="1">
      <c r="B71" s="1221"/>
      <c r="C71" s="386" t="s">
        <v>6</v>
      </c>
      <c r="D71" s="590">
        <f ca="1">'השקעות &amp; תפעול ק. -מתחדשות ואגי'!I71</f>
        <v>710</v>
      </c>
      <c r="E71" s="418">
        <f ca="1">D71</f>
        <v>710</v>
      </c>
      <c r="F71" s="610">
        <f ca="1">'השקעות &amp; תפעול ק. -מתחדשות ואגי'!U71</f>
        <v>710</v>
      </c>
      <c r="G71" s="629">
        <f ca="1">F71</f>
        <v>710</v>
      </c>
      <c r="H71" s="963">
        <f ca="1">E71</f>
        <v>710</v>
      </c>
      <c r="I71" s="619">
        <f t="shared" ref="I71" ca="1" si="48">H71</f>
        <v>710</v>
      </c>
      <c r="L71" s="899">
        <f t="shared" ca="1" si="21"/>
        <v>0</v>
      </c>
      <c r="M71" s="900">
        <f t="shared" ca="1" si="22"/>
        <v>0</v>
      </c>
      <c r="N71" s="901">
        <f t="shared" ca="1" si="23"/>
        <v>0</v>
      </c>
      <c r="O71" s="902">
        <f t="shared" ca="1" si="24"/>
        <v>0</v>
      </c>
      <c r="P71" s="903">
        <f t="shared" ca="1" si="25"/>
        <v>0</v>
      </c>
      <c r="Q71" s="904">
        <f t="shared" ca="1" si="26"/>
        <v>0</v>
      </c>
    </row>
    <row r="72" spans="2:17" ht="15" customHeight="1">
      <c r="B72" s="1221"/>
      <c r="C72" s="386" t="s">
        <v>15</v>
      </c>
      <c r="D72" s="590">
        <f ca="1">'השקעות &amp; תפעול ק. -מתחדשות ואגי'!K71</f>
        <v>0</v>
      </c>
      <c r="E72" s="418">
        <f t="shared" ref="E72:I73" ca="1" si="49">D72</f>
        <v>0</v>
      </c>
      <c r="F72" s="610">
        <f ca="1">'השקעות &amp; תפעול ק. -מתחדשות ואגי'!W71</f>
        <v>0</v>
      </c>
      <c r="G72" s="629">
        <f t="shared" ca="1" si="49"/>
        <v>0</v>
      </c>
      <c r="H72" s="963">
        <f ca="1">E72</f>
        <v>0</v>
      </c>
      <c r="I72" s="619">
        <f t="shared" ca="1" si="49"/>
        <v>0</v>
      </c>
      <c r="L72" s="899">
        <f t="shared" ca="1" si="21"/>
        <v>0</v>
      </c>
      <c r="M72" s="900">
        <f t="shared" ca="1" si="22"/>
        <v>0</v>
      </c>
      <c r="N72" s="901">
        <f t="shared" ca="1" si="23"/>
        <v>0</v>
      </c>
      <c r="O72" s="902">
        <f t="shared" ca="1" si="24"/>
        <v>0</v>
      </c>
      <c r="P72" s="903">
        <f t="shared" ca="1" si="25"/>
        <v>0</v>
      </c>
      <c r="Q72" s="904">
        <f t="shared" ca="1" si="26"/>
        <v>0</v>
      </c>
    </row>
    <row r="73" spans="2:17" ht="15" customHeight="1" thickBot="1">
      <c r="B73" s="1222"/>
      <c r="C73" s="387" t="s">
        <v>278</v>
      </c>
      <c r="D73" s="596">
        <f ca="1">'השקעות &amp; תפעול ק. -מתחדשות ואגי'!J71</f>
        <v>75</v>
      </c>
      <c r="E73" s="420">
        <f t="shared" ca="1" si="49"/>
        <v>75</v>
      </c>
      <c r="F73" s="616">
        <f ca="1">'השקעות &amp; תפעול ק. -מתחדשות ואגי'!V71</f>
        <v>75</v>
      </c>
      <c r="G73" s="635">
        <f t="shared" ca="1" si="49"/>
        <v>75</v>
      </c>
      <c r="H73" s="972">
        <f ca="1">E73</f>
        <v>75</v>
      </c>
      <c r="I73" s="625">
        <f t="shared" ca="1" si="49"/>
        <v>75</v>
      </c>
      <c r="L73" s="905">
        <f t="shared" ca="1" si="21"/>
        <v>0</v>
      </c>
      <c r="M73" s="906">
        <f t="shared" ca="1" si="22"/>
        <v>0</v>
      </c>
      <c r="N73" s="907">
        <f t="shared" ca="1" si="23"/>
        <v>0</v>
      </c>
      <c r="O73" s="908">
        <f t="shared" ca="1" si="24"/>
        <v>0</v>
      </c>
      <c r="P73" s="909">
        <f t="shared" ca="1" si="25"/>
        <v>0</v>
      </c>
      <c r="Q73" s="910">
        <f t="shared" ca="1" si="26"/>
        <v>0</v>
      </c>
    </row>
    <row r="74" spans="2:17" s="649" customFormat="1" ht="16.5" thickBot="1">
      <c r="D74" s="650"/>
      <c r="E74" s="651"/>
      <c r="F74" s="650"/>
      <c r="G74" s="651"/>
      <c r="H74" s="650"/>
      <c r="I74" s="651"/>
      <c r="J74" s="377"/>
      <c r="K74" s="377"/>
      <c r="L74" s="650"/>
      <c r="M74" s="656"/>
      <c r="N74" s="656"/>
      <c r="O74" s="656"/>
      <c r="P74" s="656"/>
      <c r="Q74" s="651"/>
    </row>
    <row r="75" spans="2:17">
      <c r="C75" s="393" t="s">
        <v>302</v>
      </c>
      <c r="D75" s="592">
        <f ca="1">+D37+D39+D45+D51+D57</f>
        <v>512566.09335690411</v>
      </c>
      <c r="E75" s="423">
        <f t="shared" ref="E75:I75" ca="1" si="50">+E37+E39+E45+E51+E57</f>
        <v>516220.87462119968</v>
      </c>
      <c r="F75" s="612">
        <f t="shared" ca="1" si="50"/>
        <v>506082.00293148536</v>
      </c>
      <c r="G75" s="631">
        <f t="shared" ca="1" si="50"/>
        <v>512790.64588730369</v>
      </c>
      <c r="H75" s="638">
        <f t="shared" ca="1" si="50"/>
        <v>502894.28199156688</v>
      </c>
      <c r="I75" s="621">
        <f t="shared" ca="1" si="50"/>
        <v>511464.84209293191</v>
      </c>
      <c r="L75" s="606">
        <f ca="1">+L37+L39+L45+L51+L57</f>
        <v>-6484.0904254187626</v>
      </c>
      <c r="M75" s="887">
        <f t="shared" ref="M75:Q75" ca="1" si="51">+M37+M39+M45+M51+M57</f>
        <v>-3430.2287338959177</v>
      </c>
      <c r="N75" s="888">
        <f t="shared" ca="1" si="51"/>
        <v>-3187.7209399184867</v>
      </c>
      <c r="O75" s="889">
        <f t="shared" ca="1" si="51"/>
        <v>-1325.8037943717882</v>
      </c>
      <c r="P75" s="890">
        <f t="shared" ca="1" si="51"/>
        <v>-9671.8113653372529</v>
      </c>
      <c r="Q75" s="644">
        <f t="shared" ca="1" si="51"/>
        <v>-4756.0325282677077</v>
      </c>
    </row>
    <row r="76" spans="2:17" ht="16.5" thickBot="1">
      <c r="C76" s="397" t="s">
        <v>303</v>
      </c>
      <c r="D76" s="594">
        <f ca="1">+D38+D40+D46+D52+D58</f>
        <v>362216.69010310411</v>
      </c>
      <c r="E76" s="424">
        <f t="shared" ref="E76:I76" ca="1" si="52">+E38+E40+E46+E52+E58</f>
        <v>364849.06610604416</v>
      </c>
      <c r="F76" s="614">
        <f t="shared" ca="1" si="52"/>
        <v>357973.95016290963</v>
      </c>
      <c r="G76" s="633">
        <f t="shared" ca="1" si="52"/>
        <v>362677.53484586067</v>
      </c>
      <c r="H76" s="639">
        <f t="shared" ca="1" si="52"/>
        <v>355832.06069055165</v>
      </c>
      <c r="I76" s="623">
        <f t="shared" ca="1" si="52"/>
        <v>361793.24200185284</v>
      </c>
      <c r="L76" s="607">
        <f ca="1">+L38+L40+L46+L52+L58</f>
        <v>-4242.739940194424</v>
      </c>
      <c r="M76" s="891">
        <f t="shared" ref="M76:Q76" ca="1" si="53">+M38+M40+M46+M52+M58</f>
        <v>-2171.5312601835449</v>
      </c>
      <c r="N76" s="892">
        <f t="shared" ca="1" si="53"/>
        <v>-2141.8894723579533</v>
      </c>
      <c r="O76" s="893">
        <f t="shared" ca="1" si="53"/>
        <v>-884.29284400784309</v>
      </c>
      <c r="P76" s="894">
        <f t="shared" ca="1" si="53"/>
        <v>-6384.6294125523764</v>
      </c>
      <c r="Q76" s="645">
        <f t="shared" ca="1" si="53"/>
        <v>-3055.8241041913898</v>
      </c>
    </row>
    <row r="85" spans="5:8" ht="16.5" thickBot="1"/>
    <row r="86" spans="5:8" ht="16.5" thickBot="1">
      <c r="F86" s="690">
        <v>0.17</v>
      </c>
      <c r="G86" s="691">
        <v>0.25</v>
      </c>
      <c r="H86" s="692">
        <v>0.3</v>
      </c>
    </row>
    <row r="87" spans="5:8">
      <c r="E87" s="696" t="s">
        <v>401</v>
      </c>
      <c r="F87" s="693">
        <v>0</v>
      </c>
      <c r="G87" s="694">
        <f ca="1">L76</f>
        <v>-4242.739940194424</v>
      </c>
      <c r="H87" s="695">
        <f ca="1">P76</f>
        <v>-6384.6294125523764</v>
      </c>
    </row>
    <row r="88" spans="5:8" ht="16.5" thickBot="1">
      <c r="E88" s="697" t="s">
        <v>402</v>
      </c>
      <c r="F88" s="954">
        <v>0</v>
      </c>
      <c r="G88" s="955">
        <f ca="1">M76</f>
        <v>-2171.5312601835449</v>
      </c>
      <c r="H88" s="956">
        <f ca="1">Q76</f>
        <v>-3055.8241041913898</v>
      </c>
    </row>
  </sheetData>
  <mergeCells count="15">
    <mergeCell ref="L31:Q31"/>
    <mergeCell ref="D31:I31"/>
    <mergeCell ref="B32:C32"/>
    <mergeCell ref="B67:B69"/>
    <mergeCell ref="H8:J8"/>
    <mergeCell ref="E8:G8"/>
    <mergeCell ref="C10:C21"/>
    <mergeCell ref="C22:C25"/>
    <mergeCell ref="B70:B73"/>
    <mergeCell ref="B59:B60"/>
    <mergeCell ref="B62:B66"/>
    <mergeCell ref="B33:B38"/>
    <mergeCell ref="B41:B52"/>
    <mergeCell ref="B53:B58"/>
    <mergeCell ref="B39:B40"/>
  </mergeCells>
  <dataValidations count="1">
    <dataValidation type="list" allowBlank="1" showInputMessage="1" showErrorMessage="1" sqref="E5" xr:uid="{00000000-0002-0000-0100-000000000000}">
      <formula1>"תרחיש עלות עודפת מקסימלית, תרחיש עלות עודפת מנימלית"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X155"/>
  <sheetViews>
    <sheetView rightToLeft="1" zoomScaleNormal="100" workbookViewId="0">
      <selection activeCell="C25" sqref="C25:E32"/>
    </sheetView>
  </sheetViews>
  <sheetFormatPr defaultColWidth="15.7109375" defaultRowHeight="15"/>
  <cols>
    <col min="1" max="1" width="2.28515625" bestFit="1" customWidth="1"/>
    <col min="2" max="2" width="42.7109375" bestFit="1" customWidth="1"/>
    <col min="3" max="3" width="27.5703125" bestFit="1" customWidth="1"/>
    <col min="4" max="4" width="18.7109375" bestFit="1" customWidth="1"/>
    <col min="5" max="6" width="14.28515625" bestFit="1" customWidth="1"/>
    <col min="7" max="7" width="40.28515625" bestFit="1" customWidth="1"/>
    <col min="8" max="8" width="65.7109375" bestFit="1" customWidth="1"/>
    <col min="9" max="9" width="22.7109375" bestFit="1" customWidth="1"/>
    <col min="10" max="10" width="30.7109375" bestFit="1" customWidth="1"/>
    <col min="11" max="11" width="15.28515625" bestFit="1" customWidth="1"/>
    <col min="12" max="12" width="37.7109375" bestFit="1" customWidth="1"/>
    <col min="13" max="13" width="24.5703125" bestFit="1" customWidth="1"/>
    <col min="14" max="14" width="17" customWidth="1"/>
    <col min="15" max="15" width="15.5703125" bestFit="1" customWidth="1"/>
    <col min="16" max="16" width="23.28515625" bestFit="1" customWidth="1"/>
    <col min="17" max="17" width="12.7109375" bestFit="1" customWidth="1"/>
    <col min="18" max="19" width="11" bestFit="1" customWidth="1"/>
    <col min="20" max="20" width="15.5703125" bestFit="1" customWidth="1"/>
    <col min="21" max="21" width="14.5703125" bestFit="1" customWidth="1"/>
    <col min="22" max="22" width="20.140625" customWidth="1"/>
    <col min="23" max="23" width="15.5703125" customWidth="1"/>
    <col min="24" max="27" width="23.28515625" customWidth="1"/>
    <col min="28" max="30" width="30.42578125" customWidth="1"/>
    <col min="31" max="31" width="10.28515625" bestFit="1" customWidth="1"/>
    <col min="32" max="32" width="6.7109375" bestFit="1" customWidth="1"/>
    <col min="33" max="33" width="7.28515625" bestFit="1" customWidth="1"/>
    <col min="34" max="34" width="7.42578125" bestFit="1" customWidth="1"/>
    <col min="35" max="35" width="8" bestFit="1" customWidth="1"/>
    <col min="36" max="36" width="15.28515625" bestFit="1" customWidth="1"/>
    <col min="37" max="37" width="14.7109375" bestFit="1" customWidth="1"/>
    <col min="38" max="38" width="6" bestFit="1" customWidth="1"/>
    <col min="39" max="39" width="18.7109375" bestFit="1" customWidth="1"/>
    <col min="40" max="40" width="3.28515625" bestFit="1" customWidth="1"/>
    <col min="41" max="41" width="21.140625" customWidth="1"/>
    <col min="42" max="42" width="11.42578125" bestFit="1" customWidth="1"/>
    <col min="43" max="43" width="9.42578125" bestFit="1" customWidth="1"/>
    <col min="44" max="44" width="16.5703125" bestFit="1" customWidth="1"/>
    <col min="45" max="45" width="12.7109375" bestFit="1" customWidth="1"/>
    <col min="46" max="46" width="6.7109375" bestFit="1" customWidth="1"/>
    <col min="47" max="47" width="10.7109375" bestFit="1" customWidth="1"/>
    <col min="48" max="48" width="15.7109375" bestFit="1" customWidth="1"/>
    <col min="49" max="49" width="11.7109375" bestFit="1" customWidth="1"/>
    <col min="50" max="50" width="11.140625" bestFit="1" customWidth="1"/>
    <col min="51" max="51" width="14" customWidth="1"/>
    <col min="52" max="52" width="17.28515625" customWidth="1"/>
    <col min="53" max="53" width="13" bestFit="1" customWidth="1"/>
    <col min="54" max="55" width="3.28515625" bestFit="1" customWidth="1"/>
  </cols>
  <sheetData>
    <row r="1" spans="1:76" ht="15.75" thickBot="1"/>
    <row r="2" spans="1:76" s="3" customFormat="1" ht="16.5" thickBot="1">
      <c r="A2" s="2">
        <v>1</v>
      </c>
      <c r="B2" s="2">
        <f>+A2+1</f>
        <v>2</v>
      </c>
      <c r="C2" s="2">
        <f t="shared" ref="C2:U2" si="0">+B2+1</f>
        <v>3</v>
      </c>
      <c r="D2" s="2">
        <f t="shared" si="0"/>
        <v>4</v>
      </c>
      <c r="E2" s="2">
        <f t="shared" si="0"/>
        <v>5</v>
      </c>
      <c r="F2" s="2">
        <f t="shared" si="0"/>
        <v>6</v>
      </c>
      <c r="G2" s="2">
        <f t="shared" si="0"/>
        <v>7</v>
      </c>
      <c r="H2" s="2">
        <f t="shared" si="0"/>
        <v>8</v>
      </c>
      <c r="I2" s="2">
        <f t="shared" si="0"/>
        <v>9</v>
      </c>
      <c r="J2" s="2">
        <f t="shared" si="0"/>
        <v>10</v>
      </c>
      <c r="K2" s="2">
        <f t="shared" si="0"/>
        <v>11</v>
      </c>
      <c r="L2" s="2">
        <f t="shared" si="0"/>
        <v>12</v>
      </c>
      <c r="M2" s="2">
        <f t="shared" si="0"/>
        <v>13</v>
      </c>
      <c r="N2" s="2">
        <f t="shared" si="0"/>
        <v>14</v>
      </c>
      <c r="O2" s="2">
        <f>+N2+1</f>
        <v>15</v>
      </c>
      <c r="P2" s="2">
        <f t="shared" si="0"/>
        <v>16</v>
      </c>
      <c r="Q2" s="2">
        <f t="shared" si="0"/>
        <v>17</v>
      </c>
      <c r="R2" s="2">
        <f t="shared" si="0"/>
        <v>18</v>
      </c>
      <c r="S2" s="2">
        <f t="shared" si="0"/>
        <v>19</v>
      </c>
      <c r="T2" s="2">
        <f t="shared" si="0"/>
        <v>20</v>
      </c>
      <c r="U2" s="2">
        <f t="shared" si="0"/>
        <v>21</v>
      </c>
      <c r="V2" s="2">
        <f t="shared" ref="V2" si="1">+U2+1</f>
        <v>22</v>
      </c>
      <c r="W2" s="2">
        <f t="shared" ref="W2" si="2">+V2+1</f>
        <v>23</v>
      </c>
      <c r="X2" s="2">
        <f t="shared" ref="X2" si="3">+W2+1</f>
        <v>24</v>
      </c>
      <c r="Y2" s="2">
        <f t="shared" ref="Y2" si="4">+X2+1</f>
        <v>25</v>
      </c>
      <c r="Z2" s="2">
        <f t="shared" ref="Z2" si="5">+Y2+1</f>
        <v>26</v>
      </c>
      <c r="AA2" s="2">
        <f t="shared" ref="AA2" si="6">+Z2+1</f>
        <v>27</v>
      </c>
      <c r="AB2" s="2">
        <f t="shared" ref="AB2" si="7">+AA2+1</f>
        <v>28</v>
      </c>
      <c r="AC2" s="2">
        <f t="shared" ref="AC2" si="8">+AB2+1</f>
        <v>29</v>
      </c>
      <c r="AD2" s="2">
        <f t="shared" ref="AD2" si="9">+AC2+1</f>
        <v>30</v>
      </c>
      <c r="AE2" s="2">
        <f t="shared" ref="AE2" si="10">+AD2+1</f>
        <v>31</v>
      </c>
      <c r="AF2" s="2">
        <f t="shared" ref="AF2" si="11">+AE2+1</f>
        <v>32</v>
      </c>
      <c r="AG2" s="2">
        <f t="shared" ref="AG2" si="12">+AF2+1</f>
        <v>33</v>
      </c>
      <c r="AH2" s="2">
        <f t="shared" ref="AH2" si="13">+AG2+1</f>
        <v>34</v>
      </c>
      <c r="AI2" s="2">
        <f t="shared" ref="AI2" si="14">+AH2+1</f>
        <v>35</v>
      </c>
      <c r="AJ2" s="2">
        <f t="shared" ref="AJ2" si="15">+AI2+1</f>
        <v>36</v>
      </c>
      <c r="AK2" s="2">
        <f t="shared" ref="AK2" si="16">+AJ2+1</f>
        <v>37</v>
      </c>
      <c r="AL2" s="2">
        <f t="shared" ref="AL2" si="17">+AK2+1</f>
        <v>38</v>
      </c>
      <c r="AM2" s="2">
        <f t="shared" ref="AM2" si="18">+AL2+1</f>
        <v>39</v>
      </c>
      <c r="AN2" s="2">
        <f t="shared" ref="AN2" si="19">+AM2+1</f>
        <v>40</v>
      </c>
      <c r="AO2" s="2">
        <f t="shared" ref="AO2" si="20">+AN2+1</f>
        <v>41</v>
      </c>
      <c r="AP2" s="2">
        <f t="shared" ref="AP2" si="21">+AO2+1</f>
        <v>42</v>
      </c>
      <c r="AQ2" s="2">
        <f t="shared" ref="AQ2" si="22">+AP2+1</f>
        <v>43</v>
      </c>
      <c r="AR2" s="2">
        <f t="shared" ref="AR2" si="23">+AQ2+1</f>
        <v>44</v>
      </c>
      <c r="AS2" s="2">
        <f t="shared" ref="AS2" si="24">+AR2+1</f>
        <v>45</v>
      </c>
      <c r="AT2" s="2">
        <f t="shared" ref="AT2" si="25">+AS2+1</f>
        <v>46</v>
      </c>
      <c r="AU2" s="2">
        <f t="shared" ref="AU2" si="26">+AT2+1</f>
        <v>47</v>
      </c>
      <c r="AV2" s="2">
        <f t="shared" ref="AV2" si="27">+AU2+1</f>
        <v>48</v>
      </c>
      <c r="AW2" s="2">
        <f t="shared" ref="AW2" si="28">+AV2+1</f>
        <v>49</v>
      </c>
      <c r="AX2" s="2">
        <f t="shared" ref="AX2" si="29">+AW2+1</f>
        <v>50</v>
      </c>
      <c r="AY2" s="2">
        <f t="shared" ref="AY2" si="30">+AX2+1</f>
        <v>51</v>
      </c>
      <c r="AZ2" s="2">
        <f t="shared" ref="AZ2" si="31">+AY2+1</f>
        <v>52</v>
      </c>
      <c r="BA2" s="2">
        <f t="shared" ref="BA2" si="32">+AZ2+1</f>
        <v>53</v>
      </c>
      <c r="BB2" s="2">
        <f t="shared" ref="BB2" si="33">+BA2+1</f>
        <v>54</v>
      </c>
      <c r="BC2" s="2">
        <f t="shared" ref="BC2" si="34">+BB2+1</f>
        <v>55</v>
      </c>
      <c r="BD2" s="2">
        <f t="shared" ref="BD2" si="35">+BC2+1</f>
        <v>56</v>
      </c>
      <c r="BE2" s="2">
        <f t="shared" ref="BE2" si="36">+BD2+1</f>
        <v>57</v>
      </c>
      <c r="BF2" s="2">
        <f t="shared" ref="BF2" si="37">+BE2+1</f>
        <v>58</v>
      </c>
      <c r="BG2" s="2">
        <f t="shared" ref="BG2" si="38">+BF2+1</f>
        <v>59</v>
      </c>
      <c r="BH2" s="2">
        <f t="shared" ref="BH2" si="39">+BG2+1</f>
        <v>60</v>
      </c>
      <c r="BI2" s="2">
        <f t="shared" ref="BI2" si="40">+BH2+1</f>
        <v>61</v>
      </c>
      <c r="BJ2" s="2">
        <f t="shared" ref="BJ2" si="41">+BI2+1</f>
        <v>62</v>
      </c>
      <c r="BK2" s="2">
        <f t="shared" ref="BK2" si="42">+BJ2+1</f>
        <v>63</v>
      </c>
      <c r="BL2" s="2">
        <f t="shared" ref="BL2" si="43">+BK2+1</f>
        <v>64</v>
      </c>
      <c r="BM2" s="2">
        <f t="shared" ref="BM2" si="44">+BL2+1</f>
        <v>65</v>
      </c>
      <c r="BN2" s="2">
        <f t="shared" ref="BN2" si="45">+BM2+1</f>
        <v>66</v>
      </c>
      <c r="BO2" s="2">
        <f t="shared" ref="BO2" si="46">+BN2+1</f>
        <v>67</v>
      </c>
      <c r="BP2" s="2">
        <f t="shared" ref="BP2" si="47">+BO2+1</f>
        <v>68</v>
      </c>
      <c r="BQ2" s="2">
        <f t="shared" ref="BQ2" si="48">+BP2+1</f>
        <v>69</v>
      </c>
      <c r="BR2" s="2">
        <f t="shared" ref="BR2" si="49">+BQ2+1</f>
        <v>70</v>
      </c>
      <c r="BS2" s="2">
        <f t="shared" ref="BS2" si="50">+BR2+1</f>
        <v>71</v>
      </c>
      <c r="BT2" s="2">
        <f t="shared" ref="BT2" si="51">+BS2+1</f>
        <v>72</v>
      </c>
      <c r="BU2" s="2">
        <f t="shared" ref="BU2" si="52">+BT2+1</f>
        <v>73</v>
      </c>
      <c r="BV2" s="2">
        <f t="shared" ref="BV2" si="53">+BU2+1</f>
        <v>74</v>
      </c>
      <c r="BW2" s="2">
        <f t="shared" ref="BW2" si="54">+BV2+1</f>
        <v>75</v>
      </c>
      <c r="BX2" s="2">
        <f t="shared" ref="BX2" si="55">+BW2+1</f>
        <v>76</v>
      </c>
    </row>
    <row r="3" spans="1:76" s="3" customFormat="1" ht="16.5" thickBot="1">
      <c r="A3" s="172"/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172"/>
      <c r="Z3" s="172"/>
      <c r="AA3" s="172"/>
      <c r="AB3" s="172"/>
      <c r="AC3" s="172"/>
      <c r="AD3" s="172"/>
      <c r="AE3" s="172"/>
      <c r="AF3" s="172"/>
      <c r="AG3" s="172"/>
      <c r="AH3" s="172"/>
      <c r="AI3" s="172"/>
      <c r="AJ3" s="172"/>
      <c r="AK3" s="172"/>
      <c r="AL3" s="172"/>
      <c r="AM3" s="172"/>
      <c r="AN3" s="172"/>
      <c r="AO3" s="172"/>
      <c r="AP3" s="172"/>
      <c r="AQ3" s="172"/>
      <c r="AR3" s="172"/>
      <c r="AS3" s="172"/>
      <c r="AT3" s="172"/>
      <c r="AU3" s="172"/>
      <c r="AV3" s="172"/>
      <c r="AW3" s="172"/>
      <c r="AX3" s="172"/>
      <c r="AY3" s="172"/>
      <c r="AZ3" s="172"/>
      <c r="BA3" s="172"/>
      <c r="BB3" s="172"/>
      <c r="BC3" s="172"/>
      <c r="BD3" s="172"/>
      <c r="BE3" s="172"/>
      <c r="BF3" s="172"/>
      <c r="BG3" s="172"/>
      <c r="BH3" s="172"/>
      <c r="BI3" s="172"/>
      <c r="BJ3" s="172"/>
      <c r="BK3" s="172"/>
      <c r="BL3" s="172"/>
      <c r="BM3" s="172"/>
      <c r="BN3" s="172"/>
      <c r="BO3" s="172"/>
      <c r="BP3" s="172"/>
      <c r="BQ3" s="172"/>
      <c r="BR3" s="172"/>
      <c r="BS3" s="172"/>
      <c r="BT3" s="172"/>
      <c r="BU3" s="172"/>
      <c r="BV3" s="172"/>
      <c r="BW3" s="172"/>
      <c r="BX3" s="172"/>
    </row>
    <row r="4" spans="1:76" s="3" customFormat="1" ht="16.5" thickBot="1">
      <c r="A4" s="172"/>
      <c r="B4" s="710" t="s">
        <v>387</v>
      </c>
      <c r="C4" s="852" t="s">
        <v>386</v>
      </c>
      <c r="D4" s="172"/>
      <c r="E4" s="172"/>
      <c r="F4" s="172"/>
      <c r="G4" s="172"/>
      <c r="H4" s="172"/>
      <c r="I4" s="172"/>
      <c r="J4" s="172"/>
      <c r="K4" s="172"/>
      <c r="L4" s="172"/>
      <c r="M4" s="172"/>
      <c r="N4" s="172"/>
      <c r="O4" s="172"/>
      <c r="P4" s="172"/>
      <c r="Q4" s="172"/>
      <c r="R4" s="172"/>
      <c r="S4" s="172"/>
      <c r="T4" s="172"/>
      <c r="U4" s="172"/>
      <c r="V4" s="172"/>
      <c r="W4" s="172"/>
      <c r="X4" s="172"/>
      <c r="Y4" s="172"/>
      <c r="Z4" s="172"/>
      <c r="AA4" s="172"/>
      <c r="AB4" s="172"/>
      <c r="AC4" s="172"/>
      <c r="AD4" s="172"/>
      <c r="AE4" s="172"/>
      <c r="AF4" s="172"/>
      <c r="AG4" s="172"/>
      <c r="AH4" s="172"/>
      <c r="AI4" s="172"/>
      <c r="AJ4" s="172"/>
      <c r="AK4" s="172"/>
      <c r="AL4" s="172"/>
      <c r="AM4" s="172"/>
      <c r="AN4" s="172"/>
      <c r="AO4" s="172"/>
      <c r="AP4" s="172"/>
      <c r="AQ4" s="172"/>
      <c r="AR4" s="172"/>
      <c r="AS4" s="172"/>
      <c r="AT4" s="172"/>
      <c r="AU4" s="172"/>
      <c r="AV4" s="172"/>
      <c r="AW4" s="172"/>
      <c r="AX4" s="172"/>
      <c r="AY4" s="172"/>
      <c r="AZ4" s="172"/>
      <c r="BA4" s="172"/>
      <c r="BB4" s="172"/>
      <c r="BC4" s="172"/>
    </row>
    <row r="5" spans="1:76" s="3" customFormat="1" ht="15.75">
      <c r="A5" s="172"/>
      <c r="B5" s="360" t="s">
        <v>253</v>
      </c>
      <c r="C5" s="361">
        <v>2020</v>
      </c>
      <c r="D5" s="172"/>
      <c r="E5" s="172"/>
      <c r="F5" s="172"/>
      <c r="G5" s="172"/>
      <c r="H5" s="172"/>
      <c r="I5" s="172"/>
      <c r="J5" s="172"/>
      <c r="K5" s="172"/>
      <c r="L5" s="172"/>
      <c r="M5" s="172"/>
      <c r="N5" s="172"/>
      <c r="O5" s="172"/>
      <c r="P5" s="172"/>
      <c r="Q5" s="172"/>
      <c r="R5" s="172"/>
      <c r="S5" s="172"/>
      <c r="T5" s="172"/>
      <c r="U5" s="172"/>
      <c r="V5" s="172"/>
      <c r="W5" s="172"/>
      <c r="X5" s="172"/>
      <c r="Y5" s="172"/>
      <c r="Z5" s="172"/>
      <c r="AA5" s="172"/>
      <c r="AB5" s="172"/>
      <c r="AC5" s="172"/>
      <c r="AD5" s="172"/>
      <c r="AE5" s="172"/>
      <c r="AF5" s="172"/>
      <c r="AG5" s="172"/>
      <c r="AH5" s="172"/>
      <c r="AI5" s="172"/>
      <c r="AJ5" s="172"/>
      <c r="AK5" s="172"/>
      <c r="AL5" s="172"/>
      <c r="AM5" s="172"/>
      <c r="AN5" s="172"/>
      <c r="AO5" s="172"/>
      <c r="AP5" s="172"/>
      <c r="AQ5" s="172"/>
      <c r="AR5" s="172"/>
      <c r="AS5" s="172"/>
      <c r="AT5" s="172"/>
      <c r="AU5" s="172"/>
      <c r="AV5" s="172"/>
      <c r="AW5" s="172"/>
      <c r="AX5" s="172"/>
      <c r="AY5" s="172"/>
      <c r="AZ5" s="172"/>
      <c r="BA5" s="172"/>
      <c r="BB5" s="172"/>
      <c r="BC5" s="172"/>
    </row>
    <row r="6" spans="1:76" ht="15.75">
      <c r="B6" s="362" t="s">
        <v>254</v>
      </c>
      <c r="C6" s="363">
        <v>2020</v>
      </c>
    </row>
    <row r="7" spans="1:76" ht="15.75">
      <c r="B7" s="362" t="s">
        <v>256</v>
      </c>
      <c r="C7" s="363">
        <v>2040</v>
      </c>
    </row>
    <row r="8" spans="1:76" ht="16.5" thickBot="1">
      <c r="B8" s="364" t="s">
        <v>257</v>
      </c>
      <c r="C8" s="365">
        <v>2040</v>
      </c>
    </row>
    <row r="9" spans="1:76" ht="16.5" thickBot="1">
      <c r="B9" s="1249" t="s">
        <v>11</v>
      </c>
      <c r="C9" s="36" t="s">
        <v>10</v>
      </c>
      <c r="D9" s="425">
        <v>0.03</v>
      </c>
      <c r="E9" s="18"/>
      <c r="G9" s="1249" t="s">
        <v>45</v>
      </c>
      <c r="H9" s="925" t="s">
        <v>86</v>
      </c>
      <c r="I9" s="163">
        <v>3.4119999999999999</v>
      </c>
      <c r="J9" s="164"/>
      <c r="AB9" s="123" t="s">
        <v>307</v>
      </c>
    </row>
    <row r="10" spans="1:76" ht="19.5" thickBot="1">
      <c r="B10" s="1250"/>
      <c r="C10" s="13" t="s">
        <v>2</v>
      </c>
      <c r="D10" s="754">
        <f>0.2*12%+0.8*3%</f>
        <v>4.8000000000000001E-2</v>
      </c>
      <c r="E10" s="14" t="s">
        <v>8</v>
      </c>
      <c r="G10" s="1250"/>
      <c r="H10" s="60" t="s">
        <v>101</v>
      </c>
      <c r="I10" s="158">
        <v>1000000000</v>
      </c>
      <c r="J10" s="159"/>
      <c r="P10" s="1254" t="s">
        <v>7</v>
      </c>
      <c r="Q10" s="1255"/>
      <c r="R10" s="1255"/>
      <c r="S10" s="1255"/>
      <c r="T10" s="1255"/>
      <c r="U10" s="1255"/>
      <c r="V10" s="1255"/>
      <c r="W10" s="1256"/>
      <c r="AB10" s="1257" t="s">
        <v>306</v>
      </c>
      <c r="AC10" s="1258"/>
      <c r="AD10" s="1259"/>
      <c r="AG10" s="1246" t="s">
        <v>55</v>
      </c>
      <c r="AH10" s="1247"/>
      <c r="AI10" s="1247"/>
      <c r="AJ10" s="1247"/>
      <c r="AK10" s="1247"/>
      <c r="AL10" s="1247"/>
      <c r="AM10" s="1248"/>
      <c r="AO10" s="1246" t="s">
        <v>65</v>
      </c>
      <c r="AP10" s="1247"/>
      <c r="AQ10" s="1247"/>
      <c r="AR10" s="1247"/>
      <c r="AS10" s="1247"/>
      <c r="AT10" s="1247"/>
      <c r="AU10" s="1247"/>
      <c r="AV10" s="1247"/>
      <c r="AW10" s="1247"/>
      <c r="AX10" s="1248"/>
    </row>
    <row r="11" spans="1:76" ht="75.75" thickBot="1">
      <c r="B11" s="1250"/>
      <c r="C11" s="26" t="s">
        <v>320</v>
      </c>
      <c r="D11" s="479">
        <v>3.5643360655737717</v>
      </c>
      <c r="E11" s="14" t="s">
        <v>321</v>
      </c>
      <c r="G11" s="1250"/>
      <c r="H11" s="60" t="s">
        <v>102</v>
      </c>
      <c r="I11" s="181">
        <v>27.8</v>
      </c>
      <c r="J11" s="159"/>
      <c r="L11" s="442" t="s">
        <v>486</v>
      </c>
      <c r="M11" s="443" t="s">
        <v>40</v>
      </c>
      <c r="N11" s="443" t="s">
        <v>44</v>
      </c>
      <c r="P11" s="442" t="s">
        <v>0</v>
      </c>
      <c r="Q11" s="443" t="str">
        <f ca="1">OFFSET($L$12,COUNT($A$2:A2)-1,0)</f>
        <v>PV קרקע ומאגרים גדולים</v>
      </c>
      <c r="R11" s="443" t="str">
        <f ca="1">OFFSET($L$12,COUNT($A$2:B2)-1,0)</f>
        <v>PV מאגרים קטנים</v>
      </c>
      <c r="S11" s="443" t="str">
        <f ca="1">OFFSET($L$12,COUNT($A$2:C2)-1,0)</f>
        <v>PV מחליפם</v>
      </c>
      <c r="T11" s="443" t="str">
        <f ca="1">OFFSET($L$12,COUNT($A$2:D2)-1,0)</f>
        <v>PV גגות גדולים</v>
      </c>
      <c r="U11" s="443" t="str">
        <f ca="1">OFFSET($L$12,COUNT($A$2:E2)-1,0)</f>
        <v>PV גגות קטנים</v>
      </c>
      <c r="V11" s="443" t="str">
        <f ca="1">OFFSET($L$12,COUNT($A$2:F2)-1,0)</f>
        <v>אחר 1</v>
      </c>
      <c r="W11" s="443" t="str">
        <f ca="1">OFFSET($L$12,COUNT($A$2:G2)-1,0)</f>
        <v>אחר 2</v>
      </c>
      <c r="AB11" s="249" t="s">
        <v>7</v>
      </c>
      <c r="AC11" s="727" t="s">
        <v>403</v>
      </c>
      <c r="AD11" s="727" t="s">
        <v>404</v>
      </c>
      <c r="AE11" s="727" t="s">
        <v>391</v>
      </c>
      <c r="AG11" s="249" t="s">
        <v>48</v>
      </c>
      <c r="AH11" s="249" t="s">
        <v>49</v>
      </c>
      <c r="AI11" s="249" t="s">
        <v>50</v>
      </c>
      <c r="AJ11" s="249" t="s">
        <v>51</v>
      </c>
      <c r="AK11" s="249" t="s">
        <v>52</v>
      </c>
      <c r="AL11" s="249" t="s">
        <v>53</v>
      </c>
      <c r="AM11" s="249" t="s">
        <v>54</v>
      </c>
      <c r="AO11" s="200" t="s">
        <v>0</v>
      </c>
      <c r="AP11" s="255" t="s">
        <v>56</v>
      </c>
      <c r="AQ11" s="255" t="s">
        <v>57</v>
      </c>
      <c r="AR11" s="255" t="s">
        <v>58</v>
      </c>
      <c r="AS11" s="255" t="s">
        <v>59</v>
      </c>
      <c r="AT11" s="255" t="s">
        <v>60</v>
      </c>
      <c r="AU11" s="255" t="s">
        <v>61</v>
      </c>
      <c r="AV11" s="255" t="s">
        <v>62</v>
      </c>
      <c r="AW11" s="255" t="s">
        <v>63</v>
      </c>
      <c r="AX11" s="255" t="s">
        <v>64</v>
      </c>
      <c r="AZ11" s="442" t="s">
        <v>405</v>
      </c>
      <c r="BA11" s="442" t="s">
        <v>406</v>
      </c>
    </row>
    <row r="12" spans="1:76" ht="16.5" thickBot="1">
      <c r="B12" s="1250"/>
      <c r="C12" s="26" t="s">
        <v>319</v>
      </c>
      <c r="D12" s="479">
        <v>3.9926077868852459</v>
      </c>
      <c r="E12" s="14" t="s">
        <v>321</v>
      </c>
      <c r="G12" s="1250"/>
      <c r="H12" s="26" t="s">
        <v>25</v>
      </c>
      <c r="I12" s="158">
        <v>4172</v>
      </c>
      <c r="J12" s="159" t="s">
        <v>26</v>
      </c>
      <c r="L12" s="1095" t="str">
        <f t="shared" ref="L12:L18" si="56">Q34</f>
        <v>PV קרקע ומאגרים גדולים</v>
      </c>
      <c r="M12" s="512">
        <v>0.80164874544682474</v>
      </c>
      <c r="N12" s="509">
        <v>0.5371804060425911</v>
      </c>
      <c r="P12" s="105">
        <f>B69</f>
        <v>2020</v>
      </c>
      <c r="Q12" s="444">
        <f>AM12*$D$11*$D$13+AB36</f>
        <v>3005.7316395213925</v>
      </c>
      <c r="R12" s="445">
        <f>AM36*$D$11*$D$13+AC36</f>
        <v>3911.0548763414886</v>
      </c>
      <c r="S12" s="445">
        <f>AM36*$D$11*$D$13+AC36</f>
        <v>3911.0548763414886</v>
      </c>
      <c r="T12" s="445">
        <f>AM36*$D$11*$D$13+AC36</f>
        <v>3911.0548763414886</v>
      </c>
      <c r="U12" s="445">
        <f t="shared" ref="U12:U32" si="57">AM60*$D$11*$D$13+AD36</f>
        <v>5255.0349871202061</v>
      </c>
      <c r="V12" s="445">
        <v>0</v>
      </c>
      <c r="W12" s="446">
        <v>0</v>
      </c>
      <c r="AB12" s="105">
        <f>P12</f>
        <v>2020</v>
      </c>
      <c r="AC12" s="728">
        <f t="shared" ref="AC12:AC32" si="58">AX12*$D$11*$AE$12</f>
        <v>3961.794864167256</v>
      </c>
      <c r="AD12" s="728">
        <f>AZ12*$D$11</f>
        <v>6166.3013934426253</v>
      </c>
      <c r="AE12" s="732">
        <v>4</v>
      </c>
      <c r="AG12" s="105">
        <v>2020</v>
      </c>
      <c r="AH12" s="109">
        <v>0.22678473397910293</v>
      </c>
      <c r="AI12" s="110">
        <v>3.754180422174911E-2</v>
      </c>
      <c r="AJ12" s="110">
        <v>0.18004294680532984</v>
      </c>
      <c r="AK12" s="110">
        <v>0.22002649848431458</v>
      </c>
      <c r="AL12" s="111">
        <v>0.10593868445541069</v>
      </c>
      <c r="AM12" s="108">
        <f>SUM(AH12:AL12)</f>
        <v>0.7703346679459071</v>
      </c>
      <c r="AO12" s="256">
        <v>2020</v>
      </c>
      <c r="AP12" s="109">
        <v>131.87747783046819</v>
      </c>
      <c r="AQ12" s="110">
        <v>17</v>
      </c>
      <c r="AR12" s="110">
        <v>36</v>
      </c>
      <c r="AS12" s="110">
        <v>14</v>
      </c>
      <c r="AT12" s="110">
        <v>38</v>
      </c>
      <c r="AU12" s="110">
        <v>17</v>
      </c>
      <c r="AV12" s="110">
        <v>18</v>
      </c>
      <c r="AW12" s="111">
        <v>6</v>
      </c>
      <c r="AX12" s="120">
        <f>SUM(AP12:AW12)</f>
        <v>277.87747783046819</v>
      </c>
      <c r="AZ12" s="728">
        <v>1730</v>
      </c>
      <c r="BA12" s="728">
        <v>36.200000000000003</v>
      </c>
    </row>
    <row r="13" spans="1:76" ht="15.75">
      <c r="B13" s="1250"/>
      <c r="C13" s="60" t="s">
        <v>72</v>
      </c>
      <c r="D13" s="61">
        <v>1000</v>
      </c>
      <c r="E13" s="14"/>
      <c r="G13" s="1250"/>
      <c r="H13" s="26" t="s">
        <v>470</v>
      </c>
      <c r="I13" s="158">
        <v>3912</v>
      </c>
      <c r="J13" s="159" t="str">
        <f>J12</f>
        <v>הסדרה 914 מוצמד נכון ל 11.2019</v>
      </c>
      <c r="L13" s="1096" t="str">
        <f t="shared" si="56"/>
        <v>PV מאגרים קטנים</v>
      </c>
      <c r="M13" s="513">
        <f>(1-M$12-M$16)/3</f>
        <v>4.6396038926480053E-2</v>
      </c>
      <c r="N13" s="1098">
        <f>(1-N$12-N$16)/3</f>
        <v>0.10825742416178678</v>
      </c>
      <c r="P13" s="106">
        <f t="shared" ref="P13:P32" si="59">+P12+1</f>
        <v>2021</v>
      </c>
      <c r="Q13" s="447">
        <f t="shared" ref="Q13:Q32" si="60">AM13*$D$11*$D$13+AB37</f>
        <v>2883.5728937445765</v>
      </c>
      <c r="R13" s="448">
        <f t="shared" ref="R13:R32" si="61">AM37*$D$11*$D$13+AC37</f>
        <v>3781.6318132189558</v>
      </c>
      <c r="S13" s="448">
        <f>AM37*$D$11*$D$13+AC37</f>
        <v>3781.6318132189558</v>
      </c>
      <c r="T13" s="448">
        <f>AM37*$D$11*$D$13+AC37</f>
        <v>3781.6318132189558</v>
      </c>
      <c r="U13" s="448">
        <f t="shared" si="57"/>
        <v>5162.6533296298367</v>
      </c>
      <c r="V13" s="448">
        <v>0</v>
      </c>
      <c r="W13" s="449">
        <v>0</v>
      </c>
      <c r="AB13" s="106">
        <f t="shared" ref="AB13:AB32" si="62">+AB12+1</f>
        <v>2021</v>
      </c>
      <c r="AC13" s="729">
        <f t="shared" si="58"/>
        <v>3737.8330733835605</v>
      </c>
      <c r="AD13" s="729">
        <f>AZ13*$D$11</f>
        <v>5894.9841321311487</v>
      </c>
      <c r="AG13" s="106">
        <v>2021</v>
      </c>
      <c r="AH13" s="112">
        <v>0.21655393843196472</v>
      </c>
      <c r="AI13" s="113">
        <v>3.5107301597607173E-2</v>
      </c>
      <c r="AJ13" s="113">
        <v>0.17389513886563568</v>
      </c>
      <c r="AK13" s="113">
        <v>0.21036679855085688</v>
      </c>
      <c r="AL13" s="114">
        <v>0.1012877178207829</v>
      </c>
      <c r="AM13" s="118">
        <f t="shared" ref="AM13:AM32" si="63">SUM(AH13:AL13)</f>
        <v>0.73721089526684747</v>
      </c>
      <c r="AO13" s="257">
        <v>2021</v>
      </c>
      <c r="AP13" s="112">
        <v>120.16895689813832</v>
      </c>
      <c r="AQ13" s="113">
        <v>16</v>
      </c>
      <c r="AR13" s="113">
        <v>35</v>
      </c>
      <c r="AS13" s="113">
        <v>14</v>
      </c>
      <c r="AT13" s="113">
        <v>37</v>
      </c>
      <c r="AU13" s="113">
        <v>17</v>
      </c>
      <c r="AV13" s="113">
        <v>17</v>
      </c>
      <c r="AW13" s="114">
        <v>6</v>
      </c>
      <c r="AX13" s="121">
        <f t="shared" ref="AX13:AX21" si="64">SUM(AP13:AW13)</f>
        <v>262.16895689813833</v>
      </c>
      <c r="AZ13" s="729">
        <v>1653.8799999999999</v>
      </c>
      <c r="BA13" s="729">
        <f>BA12*0.956</f>
        <v>34.607199999999999</v>
      </c>
    </row>
    <row r="14" spans="1:76" ht="15.75">
      <c r="B14" s="1250"/>
      <c r="C14" s="60" t="s">
        <v>103</v>
      </c>
      <c r="D14" s="61">
        <v>1000000</v>
      </c>
      <c r="E14" s="14"/>
      <c r="G14" s="1250"/>
      <c r="H14" s="26" t="s">
        <v>469</v>
      </c>
      <c r="I14" s="158">
        <v>3290</v>
      </c>
      <c r="J14" s="159" t="str">
        <f>J13</f>
        <v>הסדרה 914 מוצמד נכון ל 11.2019</v>
      </c>
      <c r="L14" s="1096" t="str">
        <f t="shared" si="56"/>
        <v>PV מחליפם</v>
      </c>
      <c r="M14" s="513">
        <f t="shared" ref="M14:N15" si="65">(1-M$12-M$16)/3</f>
        <v>4.6396038926480053E-2</v>
      </c>
      <c r="N14" s="1098">
        <f t="shared" si="65"/>
        <v>0.10825742416178678</v>
      </c>
      <c r="P14" s="106">
        <f t="shared" si="59"/>
        <v>2022</v>
      </c>
      <c r="Q14" s="447">
        <f t="shared" si="60"/>
        <v>2760.8922899772042</v>
      </c>
      <c r="R14" s="448">
        <f t="shared" si="61"/>
        <v>3648.9312040390428</v>
      </c>
      <c r="S14" s="448">
        <f t="shared" ref="S14:S32" si="66">AM38*$D$11*$D$13+AC38</f>
        <v>3648.9312040390428</v>
      </c>
      <c r="T14" s="448">
        <f t="shared" ref="T14:T32" si="67">AM38*$D$11*$D$13+AC38</f>
        <v>3648.9312040390428</v>
      </c>
      <c r="U14" s="448">
        <f t="shared" si="57"/>
        <v>5027.3005587696371</v>
      </c>
      <c r="V14" s="448">
        <v>0</v>
      </c>
      <c r="W14" s="449">
        <v>0</v>
      </c>
      <c r="AB14" s="106">
        <f t="shared" si="62"/>
        <v>2022</v>
      </c>
      <c r="AC14" s="729">
        <f t="shared" si="58"/>
        <v>3510.8874517971458</v>
      </c>
      <c r="AD14" s="729">
        <f t="shared" ref="AD14:AD32" si="68">AZ14*$D$11</f>
        <v>5635.6048303173784</v>
      </c>
      <c r="AG14" s="106">
        <v>2022</v>
      </c>
      <c r="AH14" s="112">
        <v>0.20449712503397666</v>
      </c>
      <c r="AI14" s="113">
        <v>3.3496117151772045E-2</v>
      </c>
      <c r="AJ14" s="113">
        <v>0.16795725607510179</v>
      </c>
      <c r="AK14" s="113">
        <v>0.20113118300472171</v>
      </c>
      <c r="AL14" s="114">
        <v>9.6840939965236336E-2</v>
      </c>
      <c r="AM14" s="118">
        <f t="shared" si="63"/>
        <v>0.70392262123080851</v>
      </c>
      <c r="AO14" s="257">
        <v>2022</v>
      </c>
      <c r="AP14" s="112">
        <v>110.25115219262989</v>
      </c>
      <c r="AQ14" s="113">
        <v>15</v>
      </c>
      <c r="AR14" s="113">
        <v>34</v>
      </c>
      <c r="AS14" s="113">
        <v>13</v>
      </c>
      <c r="AT14" s="113">
        <v>36</v>
      </c>
      <c r="AU14" s="113">
        <v>17</v>
      </c>
      <c r="AV14" s="113">
        <v>15</v>
      </c>
      <c r="AW14" s="114">
        <v>6</v>
      </c>
      <c r="AX14" s="121">
        <f t="shared" si="64"/>
        <v>246.25115219262989</v>
      </c>
      <c r="AZ14" s="729">
        <v>1581.1092799999999</v>
      </c>
      <c r="BA14" s="729">
        <f t="shared" ref="BA14:BA32" si="69">BA13*0.956</f>
        <v>33.084483200000001</v>
      </c>
    </row>
    <row r="15" spans="1:76" ht="15.75">
      <c r="B15" s="1250"/>
      <c r="C15" s="171" t="s">
        <v>85</v>
      </c>
      <c r="D15" s="61">
        <v>100</v>
      </c>
      <c r="E15" s="167"/>
      <c r="G15" s="1250"/>
      <c r="H15" s="26" t="s">
        <v>19</v>
      </c>
      <c r="I15" s="25">
        <v>1.0469999999999999</v>
      </c>
      <c r="J15" s="165" t="s">
        <v>8</v>
      </c>
      <c r="L15" s="1096" t="str">
        <f t="shared" si="56"/>
        <v>PV גגות גדולים</v>
      </c>
      <c r="M15" s="513">
        <f t="shared" si="65"/>
        <v>4.6396038926480053E-2</v>
      </c>
      <c r="N15" s="1098">
        <f t="shared" si="65"/>
        <v>0.10825742416178678</v>
      </c>
      <c r="P15" s="106">
        <f t="shared" si="59"/>
        <v>2023</v>
      </c>
      <c r="Q15" s="447">
        <f t="shared" si="60"/>
        <v>2644.8299177244553</v>
      </c>
      <c r="R15" s="448">
        <f t="shared" si="61"/>
        <v>3522.5012879247402</v>
      </c>
      <c r="S15" s="448">
        <f t="shared" si="66"/>
        <v>3522.5012879247402</v>
      </c>
      <c r="T15" s="448">
        <f t="shared" si="67"/>
        <v>3522.5012879247402</v>
      </c>
      <c r="U15" s="448">
        <f t="shared" si="57"/>
        <v>4934.5562363835415</v>
      </c>
      <c r="V15" s="448">
        <v>0</v>
      </c>
      <c r="W15" s="449">
        <v>0</v>
      </c>
      <c r="AB15" s="106">
        <f t="shared" si="62"/>
        <v>2023</v>
      </c>
      <c r="AC15" s="729">
        <f t="shared" si="58"/>
        <v>3270.0623062773379</v>
      </c>
      <c r="AD15" s="729">
        <f t="shared" si="68"/>
        <v>5387.6382177834139</v>
      </c>
      <c r="AG15" s="106">
        <v>2023</v>
      </c>
      <c r="AH15" s="112">
        <v>0.19332527486247297</v>
      </c>
      <c r="AI15" s="113">
        <v>3.2035508820721224E-2</v>
      </c>
      <c r="AJ15" s="113">
        <v>0.16222213025790322</v>
      </c>
      <c r="AK15" s="113">
        <v>0.19230103350695343</v>
      </c>
      <c r="AL15" s="114">
        <v>9.2589386503347915E-2</v>
      </c>
      <c r="AM15" s="118">
        <f t="shared" si="63"/>
        <v>0.67247333395139874</v>
      </c>
      <c r="AO15" s="257">
        <v>2023</v>
      </c>
      <c r="AP15" s="112">
        <v>101.35984753663631</v>
      </c>
      <c r="AQ15" s="113">
        <v>14</v>
      </c>
      <c r="AR15" s="113">
        <v>32</v>
      </c>
      <c r="AS15" s="113">
        <v>12</v>
      </c>
      <c r="AT15" s="113">
        <v>34</v>
      </c>
      <c r="AU15" s="113">
        <v>16</v>
      </c>
      <c r="AV15" s="113">
        <v>14</v>
      </c>
      <c r="AW15" s="114">
        <v>6</v>
      </c>
      <c r="AX15" s="121">
        <f t="shared" si="64"/>
        <v>229.35984753663632</v>
      </c>
      <c r="AZ15" s="729">
        <v>1511.5404716799999</v>
      </c>
      <c r="BA15" s="729">
        <f t="shared" si="69"/>
        <v>31.628765939200001</v>
      </c>
    </row>
    <row r="16" spans="1:76" ht="16.5" thickBot="1">
      <c r="B16" s="1251"/>
      <c r="C16" s="16" t="s">
        <v>252</v>
      </c>
      <c r="D16" s="134">
        <v>1000000</v>
      </c>
      <c r="E16" s="19"/>
      <c r="G16" s="1250"/>
      <c r="H16" s="26" t="s">
        <v>20</v>
      </c>
      <c r="I16" s="25">
        <v>1.0622</v>
      </c>
      <c r="J16" s="165" t="s">
        <v>8</v>
      </c>
      <c r="L16" s="1096" t="str">
        <f t="shared" si="56"/>
        <v>PV גגות קטנים</v>
      </c>
      <c r="M16" s="513">
        <v>5.9163137773735094E-2</v>
      </c>
      <c r="N16" s="1098">
        <v>0.13804732147204854</v>
      </c>
      <c r="P16" s="106">
        <f t="shared" si="59"/>
        <v>2024</v>
      </c>
      <c r="Q16" s="447">
        <f t="shared" si="60"/>
        <v>2534.9297698248661</v>
      </c>
      <c r="R16" s="448">
        <f t="shared" si="61"/>
        <v>3402.1386816980589</v>
      </c>
      <c r="S16" s="448">
        <f t="shared" si="66"/>
        <v>3402.1386816980589</v>
      </c>
      <c r="T16" s="448">
        <f t="shared" si="67"/>
        <v>3402.1386816980589</v>
      </c>
      <c r="U16" s="448">
        <f t="shared" si="57"/>
        <v>4813.0937988775295</v>
      </c>
      <c r="V16" s="448">
        <v>0</v>
      </c>
      <c r="W16" s="449">
        <v>0</v>
      </c>
      <c r="AB16" s="106">
        <f t="shared" si="62"/>
        <v>2024</v>
      </c>
      <c r="AC16" s="729">
        <f t="shared" si="58"/>
        <v>3066.5734699120881</v>
      </c>
      <c r="AD16" s="729">
        <f t="shared" si="68"/>
        <v>5150.5821362009438</v>
      </c>
      <c r="AG16" s="106">
        <v>2024</v>
      </c>
      <c r="AH16" s="112">
        <v>0.1830058572686061</v>
      </c>
      <c r="AI16" s="113">
        <v>3.0663646765151192E-2</v>
      </c>
      <c r="AJ16" s="113">
        <v>0.15668283800519434</v>
      </c>
      <c r="AK16" s="113">
        <v>0.18385854910908722</v>
      </c>
      <c r="AL16" s="114">
        <v>8.8524486608078989E-2</v>
      </c>
      <c r="AM16" s="118">
        <f t="shared" si="63"/>
        <v>0.64273537775611778</v>
      </c>
      <c r="AO16" s="257">
        <v>2024</v>
      </c>
      <c r="AP16" s="112">
        <v>93.087285085900277</v>
      </c>
      <c r="AQ16" s="113">
        <v>13</v>
      </c>
      <c r="AR16" s="113">
        <v>30</v>
      </c>
      <c r="AS16" s="113">
        <v>11</v>
      </c>
      <c r="AT16" s="113">
        <v>33</v>
      </c>
      <c r="AU16" s="113">
        <v>16</v>
      </c>
      <c r="AV16" s="113">
        <v>13</v>
      </c>
      <c r="AW16" s="114">
        <v>6</v>
      </c>
      <c r="AX16" s="121">
        <f t="shared" si="64"/>
        <v>215.08728508590028</v>
      </c>
      <c r="AZ16" s="729">
        <v>1445.0326909260798</v>
      </c>
      <c r="BA16" s="729">
        <f t="shared" si="69"/>
        <v>30.2371002378752</v>
      </c>
    </row>
    <row r="17" spans="2:53" ht="15.75">
      <c r="B17" s="1249" t="s">
        <v>3</v>
      </c>
      <c r="C17" s="12" t="s">
        <v>209</v>
      </c>
      <c r="D17" s="427">
        <v>25</v>
      </c>
      <c r="E17" s="37" t="s">
        <v>9</v>
      </c>
      <c r="G17" s="1250"/>
      <c r="H17" s="26" t="s">
        <v>75</v>
      </c>
      <c r="I17" s="25">
        <v>165</v>
      </c>
      <c r="J17" s="165" t="s">
        <v>8</v>
      </c>
      <c r="L17" s="1096" t="str">
        <f t="shared" si="56"/>
        <v>אחר 1</v>
      </c>
      <c r="M17" s="514">
        <v>0</v>
      </c>
      <c r="N17" s="510">
        <v>0</v>
      </c>
      <c r="P17" s="106">
        <f t="shared" si="59"/>
        <v>2025</v>
      </c>
      <c r="Q17" s="447">
        <f t="shared" si="60"/>
        <v>2433.9564213250383</v>
      </c>
      <c r="R17" s="448">
        <f t="shared" si="61"/>
        <v>3291.5857235534677</v>
      </c>
      <c r="S17" s="448">
        <f t="shared" si="66"/>
        <v>3291.5857235534677</v>
      </c>
      <c r="T17" s="448">
        <f t="shared" si="67"/>
        <v>3291.5857235534677</v>
      </c>
      <c r="U17" s="448">
        <f t="shared" si="57"/>
        <v>4612.4007548876425</v>
      </c>
      <c r="V17" s="448">
        <v>0</v>
      </c>
      <c r="W17" s="449">
        <v>0</v>
      </c>
      <c r="AB17" s="106">
        <f t="shared" si="62"/>
        <v>2025</v>
      </c>
      <c r="AC17" s="729">
        <f t="shared" si="58"/>
        <v>2938.1595306738022</v>
      </c>
      <c r="AD17" s="729">
        <f t="shared" si="68"/>
        <v>4923.956522208101</v>
      </c>
      <c r="AG17" s="106">
        <v>2025</v>
      </c>
      <c r="AH17" s="112">
        <v>0.17434869108017889</v>
      </c>
      <c r="AI17" s="113">
        <v>2.9378510453363055E-2</v>
      </c>
      <c r="AJ17" s="113">
        <v>0.15133269231721208</v>
      </c>
      <c r="AK17" s="113">
        <v>0.17578671036771268</v>
      </c>
      <c r="AL17" s="114">
        <v>8.4638045732602349E-2</v>
      </c>
      <c r="AM17" s="118">
        <f t="shared" si="63"/>
        <v>0.61548464995106911</v>
      </c>
      <c r="AO17" s="257">
        <v>2025</v>
      </c>
      <c r="AP17" s="112">
        <v>86.080422596236687</v>
      </c>
      <c r="AQ17" s="113">
        <v>13</v>
      </c>
      <c r="AR17" s="113">
        <v>30</v>
      </c>
      <c r="AS17" s="113">
        <v>11</v>
      </c>
      <c r="AT17" s="113">
        <v>32</v>
      </c>
      <c r="AU17" s="113">
        <v>16</v>
      </c>
      <c r="AV17" s="113">
        <v>12</v>
      </c>
      <c r="AW17" s="114">
        <v>6</v>
      </c>
      <c r="AX17" s="121">
        <f t="shared" si="64"/>
        <v>206.0804225962367</v>
      </c>
      <c r="AZ17" s="729">
        <v>1381.4512525253322</v>
      </c>
      <c r="BA17" s="729">
        <f t="shared" si="69"/>
        <v>28.90666782740869</v>
      </c>
    </row>
    <row r="18" spans="2:53" ht="16.5" thickBot="1">
      <c r="B18" s="1250"/>
      <c r="C18" s="13" t="s">
        <v>82</v>
      </c>
      <c r="D18" s="426">
        <v>25</v>
      </c>
      <c r="E18" s="27" t="s">
        <v>9</v>
      </c>
      <c r="G18" s="1250"/>
      <c r="H18" s="26" t="s">
        <v>76</v>
      </c>
      <c r="I18" s="25">
        <v>163</v>
      </c>
      <c r="J18" s="165" t="s">
        <v>8</v>
      </c>
      <c r="L18" s="1097" t="str">
        <f t="shared" si="56"/>
        <v>אחר 2</v>
      </c>
      <c r="M18" s="515">
        <v>0</v>
      </c>
      <c r="N18" s="511">
        <v>0</v>
      </c>
      <c r="P18" s="106">
        <f t="shared" si="59"/>
        <v>2026</v>
      </c>
      <c r="Q18" s="447">
        <f t="shared" si="60"/>
        <v>2360.1080220983117</v>
      </c>
      <c r="R18" s="448">
        <f t="shared" si="61"/>
        <v>3219.7737774481516</v>
      </c>
      <c r="S18" s="448">
        <f t="shared" si="66"/>
        <v>3219.7737774481516</v>
      </c>
      <c r="T18" s="448">
        <f t="shared" si="67"/>
        <v>3219.7737774481516</v>
      </c>
      <c r="U18" s="448">
        <f t="shared" si="57"/>
        <v>4485.4491428216752</v>
      </c>
      <c r="V18" s="448">
        <v>0</v>
      </c>
      <c r="W18" s="449">
        <v>0</v>
      </c>
      <c r="X18" s="459"/>
      <c r="Y18" s="459"/>
      <c r="Z18" s="459"/>
      <c r="AB18" s="106">
        <f t="shared" si="62"/>
        <v>2026</v>
      </c>
      <c r="AC18" s="729">
        <f t="shared" si="58"/>
        <v>2751.9478276383197</v>
      </c>
      <c r="AD18" s="729">
        <f t="shared" si="68"/>
        <v>4707.3024352309449</v>
      </c>
      <c r="AG18" s="106">
        <v>2026</v>
      </c>
      <c r="AH18" s="112">
        <v>0.16653154680252932</v>
      </c>
      <c r="AI18" s="113">
        <v>2.8270123953106244E-2</v>
      </c>
      <c r="AJ18" s="113">
        <v>0.14833600534063363</v>
      </c>
      <c r="AK18" s="113">
        <v>0.17056532293104795</v>
      </c>
      <c r="AL18" s="114">
        <v>8.2124044374208227E-2</v>
      </c>
      <c r="AM18" s="118">
        <f t="shared" si="63"/>
        <v>0.59582704340152537</v>
      </c>
      <c r="AO18" s="257">
        <v>2026</v>
      </c>
      <c r="AP18" s="112">
        <v>80.019666005828981</v>
      </c>
      <c r="AQ18" s="113">
        <v>12</v>
      </c>
      <c r="AR18" s="113">
        <v>28</v>
      </c>
      <c r="AS18" s="113">
        <v>10</v>
      </c>
      <c r="AT18" s="113">
        <v>30</v>
      </c>
      <c r="AU18" s="113">
        <v>16</v>
      </c>
      <c r="AV18" s="113">
        <v>11</v>
      </c>
      <c r="AW18" s="114">
        <v>6</v>
      </c>
      <c r="AX18" s="121">
        <f t="shared" si="64"/>
        <v>193.01966600582898</v>
      </c>
      <c r="AZ18" s="729">
        <v>1320.6673974142175</v>
      </c>
      <c r="BA18" s="729">
        <f t="shared" si="69"/>
        <v>27.634774443002705</v>
      </c>
    </row>
    <row r="19" spans="2:53" ht="15.75">
      <c r="B19" s="1250"/>
      <c r="C19" s="13" t="s">
        <v>35</v>
      </c>
      <c r="D19" s="426">
        <v>23</v>
      </c>
      <c r="E19" s="14"/>
      <c r="G19" s="1250"/>
      <c r="H19" s="26" t="s">
        <v>73</v>
      </c>
      <c r="I19" s="25">
        <f>1.03</f>
        <v>1.03</v>
      </c>
      <c r="J19" s="165" t="s">
        <v>74</v>
      </c>
      <c r="P19" s="106">
        <f t="shared" si="59"/>
        <v>2027</v>
      </c>
      <c r="Q19" s="447">
        <f t="shared" si="60"/>
        <v>2289.346088011428</v>
      </c>
      <c r="R19" s="448">
        <f t="shared" si="61"/>
        <v>3150.6583663410756</v>
      </c>
      <c r="S19" s="448">
        <f t="shared" si="66"/>
        <v>3150.6583663410756</v>
      </c>
      <c r="T19" s="448">
        <f t="shared" si="67"/>
        <v>3150.6583663410756</v>
      </c>
      <c r="U19" s="448">
        <f t="shared" si="57"/>
        <v>4362.8889135131958</v>
      </c>
      <c r="V19" s="448">
        <v>0</v>
      </c>
      <c r="W19" s="449">
        <v>0</v>
      </c>
      <c r="X19" s="459"/>
      <c r="Y19" s="459"/>
      <c r="Z19" s="459"/>
      <c r="AB19" s="106">
        <f t="shared" si="62"/>
        <v>2027</v>
      </c>
      <c r="AC19" s="729">
        <f t="shared" si="58"/>
        <v>2617.9856519981522</v>
      </c>
      <c r="AD19" s="729">
        <f t="shared" si="68"/>
        <v>4500.1811280807824</v>
      </c>
      <c r="AG19" s="106">
        <v>2027</v>
      </c>
      <c r="AH19" s="112">
        <v>0.1591843181068594</v>
      </c>
      <c r="AI19" s="113">
        <v>2.725193731476799E-2</v>
      </c>
      <c r="AJ19" s="113">
        <v>0.14539865870022506</v>
      </c>
      <c r="AK19" s="113">
        <v>0.16549902621032375</v>
      </c>
      <c r="AL19" s="114">
        <v>7.9684716323489169E-2</v>
      </c>
      <c r="AM19" s="118">
        <f t="shared" si="63"/>
        <v>0.57701865665566543</v>
      </c>
      <c r="AO19" s="257">
        <v>2027</v>
      </c>
      <c r="AP19" s="112">
        <v>74.62365415568074</v>
      </c>
      <c r="AQ19" s="113">
        <v>11</v>
      </c>
      <c r="AR19" s="113">
        <v>27</v>
      </c>
      <c r="AS19" s="113">
        <v>10</v>
      </c>
      <c r="AT19" s="113">
        <v>29</v>
      </c>
      <c r="AU19" s="113">
        <v>15</v>
      </c>
      <c r="AV19" s="113">
        <v>11</v>
      </c>
      <c r="AW19" s="114">
        <v>6</v>
      </c>
      <c r="AX19" s="121">
        <f t="shared" si="64"/>
        <v>183.62365415568075</v>
      </c>
      <c r="AZ19" s="729">
        <v>1262.5580319279918</v>
      </c>
      <c r="BA19" s="729">
        <f t="shared" si="69"/>
        <v>26.418844367510584</v>
      </c>
    </row>
    <row r="20" spans="2:53" ht="16.5" thickBot="1">
      <c r="B20" s="1250"/>
      <c r="C20" s="13" t="s">
        <v>36</v>
      </c>
      <c r="D20" s="426">
        <v>20</v>
      </c>
      <c r="E20" s="14"/>
      <c r="G20" s="1250"/>
      <c r="H20" s="26" t="s">
        <v>87</v>
      </c>
      <c r="I20" s="25">
        <f>0.55</f>
        <v>0.55000000000000004</v>
      </c>
      <c r="J20" s="165" t="s">
        <v>8</v>
      </c>
      <c r="P20" s="106">
        <f t="shared" si="59"/>
        <v>2028</v>
      </c>
      <c r="Q20" s="447">
        <f t="shared" si="60"/>
        <v>2222.9195059201847</v>
      </c>
      <c r="R20" s="448">
        <f t="shared" si="61"/>
        <v>3086.1100174098683</v>
      </c>
      <c r="S20" s="448">
        <f t="shared" si="66"/>
        <v>3086.1100174098683</v>
      </c>
      <c r="T20" s="448">
        <f t="shared" si="67"/>
        <v>3086.1100174098683</v>
      </c>
      <c r="U20" s="448">
        <f t="shared" si="57"/>
        <v>4246.5279700150313</v>
      </c>
      <c r="V20" s="448">
        <v>0</v>
      </c>
      <c r="W20" s="449">
        <v>0</v>
      </c>
      <c r="X20" s="459"/>
      <c r="Y20" s="459"/>
      <c r="Z20" s="459"/>
      <c r="AB20" s="106">
        <f t="shared" si="62"/>
        <v>2028</v>
      </c>
      <c r="AC20" s="729">
        <f t="shared" si="58"/>
        <v>2490.6024638597387</v>
      </c>
      <c r="AD20" s="729">
        <f t="shared" si="68"/>
        <v>4302.1731584452282</v>
      </c>
      <c r="AG20" s="106">
        <v>2028</v>
      </c>
      <c r="AH20" s="112">
        <v>0.15270515569033982</v>
      </c>
      <c r="AI20" s="113">
        <v>2.6284446870363094E-2</v>
      </c>
      <c r="AJ20" s="113">
        <v>0.14251947733982454</v>
      </c>
      <c r="AK20" s="113">
        <v>0.16058321355061114</v>
      </c>
      <c r="AL20" s="114">
        <v>7.7317843561405336E-2</v>
      </c>
      <c r="AM20" s="118">
        <f t="shared" si="63"/>
        <v>0.55941013701254394</v>
      </c>
      <c r="AO20" s="257">
        <v>2028</v>
      </c>
      <c r="AP20" s="112">
        <v>69.689087816051114</v>
      </c>
      <c r="AQ20" s="113">
        <v>11</v>
      </c>
      <c r="AR20" s="113">
        <v>26</v>
      </c>
      <c r="AS20" s="113">
        <v>9</v>
      </c>
      <c r="AT20" s="113">
        <v>28</v>
      </c>
      <c r="AU20" s="113">
        <v>15</v>
      </c>
      <c r="AV20" s="113">
        <v>10</v>
      </c>
      <c r="AW20" s="114">
        <v>6</v>
      </c>
      <c r="AX20" s="121">
        <f t="shared" si="64"/>
        <v>174.68908781605111</v>
      </c>
      <c r="AZ20" s="729">
        <v>1207.00547852316</v>
      </c>
      <c r="BA20" s="729">
        <f t="shared" si="69"/>
        <v>25.256415215340116</v>
      </c>
    </row>
    <row r="21" spans="2:53" ht="16.5" thickBot="1">
      <c r="B21" s="1250"/>
      <c r="C21" s="13" t="s">
        <v>6</v>
      </c>
      <c r="D21" s="426">
        <v>20</v>
      </c>
      <c r="E21" s="14"/>
      <c r="G21" s="1250"/>
      <c r="H21" s="26" t="s">
        <v>23</v>
      </c>
      <c r="I21" s="166">
        <v>0.5</v>
      </c>
      <c r="J21" s="165" t="s">
        <v>24</v>
      </c>
      <c r="L21" s="249" t="s">
        <v>71</v>
      </c>
      <c r="M21" s="249" t="s">
        <v>40</v>
      </c>
      <c r="N21" s="249" t="s">
        <v>44</v>
      </c>
      <c r="P21" s="106">
        <f t="shared" si="59"/>
        <v>2029</v>
      </c>
      <c r="Q21" s="447">
        <f t="shared" si="60"/>
        <v>2157.4140215363045</v>
      </c>
      <c r="R21" s="448">
        <f t="shared" si="61"/>
        <v>3021.4485652276512</v>
      </c>
      <c r="S21" s="448">
        <f t="shared" si="66"/>
        <v>3021.4485652276512</v>
      </c>
      <c r="T21" s="448">
        <f t="shared" si="67"/>
        <v>3021.4485652276512</v>
      </c>
      <c r="U21" s="448">
        <f t="shared" si="57"/>
        <v>4131.6938839399763</v>
      </c>
      <c r="V21" s="448">
        <v>0</v>
      </c>
      <c r="W21" s="449">
        <v>0</v>
      </c>
      <c r="X21" s="459"/>
      <c r="Y21" s="459"/>
      <c r="Z21" s="459"/>
      <c r="AB21" s="106">
        <f t="shared" si="62"/>
        <v>2029</v>
      </c>
      <c r="AC21" s="729">
        <f t="shared" si="58"/>
        <v>2412.8772102053758</v>
      </c>
      <c r="AD21" s="729">
        <f t="shared" si="68"/>
        <v>4112.8775394736376</v>
      </c>
      <c r="AG21" s="106">
        <v>2029</v>
      </c>
      <c r="AH21" s="112">
        <v>0.14609908017563988</v>
      </c>
      <c r="AI21" s="113">
        <v>2.5412771269737084E-2</v>
      </c>
      <c r="AJ21" s="113">
        <v>0.13969730947170919</v>
      </c>
      <c r="AK21" s="113">
        <v>0.15581341512831576</v>
      </c>
      <c r="AL21" s="114">
        <v>7.5021273950670528E-2</v>
      </c>
      <c r="AM21" s="118">
        <f t="shared" si="63"/>
        <v>0.54204384999607247</v>
      </c>
      <c r="AO21" s="257">
        <v>2029</v>
      </c>
      <c r="AP21" s="112">
        <v>65.237493730614389</v>
      </c>
      <c r="AQ21" s="113">
        <v>10</v>
      </c>
      <c r="AR21" s="113">
        <v>26</v>
      </c>
      <c r="AS21" s="113">
        <v>9</v>
      </c>
      <c r="AT21" s="113">
        <v>28</v>
      </c>
      <c r="AU21" s="113">
        <v>15</v>
      </c>
      <c r="AV21" s="113">
        <v>10</v>
      </c>
      <c r="AW21" s="114">
        <v>6</v>
      </c>
      <c r="AX21" s="121">
        <f t="shared" si="64"/>
        <v>169.2374937306144</v>
      </c>
      <c r="AZ21" s="729">
        <v>1153.8972374681409</v>
      </c>
      <c r="BA21" s="729">
        <f t="shared" si="69"/>
        <v>24.14513294586515</v>
      </c>
    </row>
    <row r="22" spans="2:53" ht="16.5" thickBot="1">
      <c r="B22" s="1250"/>
      <c r="C22" s="13" t="s">
        <v>223</v>
      </c>
      <c r="D22" s="426">
        <v>25</v>
      </c>
      <c r="E22" s="14"/>
      <c r="G22" s="1251"/>
      <c r="H22" s="714" t="s">
        <v>21</v>
      </c>
      <c r="I22" s="160">
        <v>0.9</v>
      </c>
      <c r="J22" s="161" t="s">
        <v>22</v>
      </c>
      <c r="L22" s="68" t="str">
        <f>L12</f>
        <v>PV קרקע ומאגרים גדולים</v>
      </c>
      <c r="M22" s="430">
        <f>0.821359150130645*$D$13*$D$11*$R34</f>
        <v>49.769200707194564</v>
      </c>
      <c r="N22" s="431">
        <f>M22</f>
        <v>49.769200707194564</v>
      </c>
      <c r="P22" s="106">
        <f t="shared" si="59"/>
        <v>2030</v>
      </c>
      <c r="Q22" s="447">
        <f t="shared" si="60"/>
        <v>2093.7616049503849</v>
      </c>
      <c r="R22" s="448">
        <f t="shared" si="61"/>
        <v>2958.4507688920862</v>
      </c>
      <c r="S22" s="448">
        <f t="shared" si="66"/>
        <v>2958.4507688920862</v>
      </c>
      <c r="T22" s="448">
        <f t="shared" si="67"/>
        <v>2958.4507688920862</v>
      </c>
      <c r="U22" s="448">
        <f t="shared" si="57"/>
        <v>4020.091836645342</v>
      </c>
      <c r="V22" s="448">
        <v>0</v>
      </c>
      <c r="W22" s="449">
        <v>0</v>
      </c>
      <c r="X22" s="459"/>
      <c r="Y22" s="459"/>
      <c r="Z22" s="459"/>
      <c r="AB22" s="106">
        <f t="shared" si="62"/>
        <v>2030</v>
      </c>
      <c r="AC22" s="729">
        <f t="shared" si="58"/>
        <v>2298.8116529474378</v>
      </c>
      <c r="AD22" s="729">
        <f t="shared" si="68"/>
        <v>3931.9109277367979</v>
      </c>
      <c r="AG22" s="106">
        <v>2030</v>
      </c>
      <c r="AH22" s="112">
        <v>0.13974576627294683</v>
      </c>
      <c r="AI22" s="113">
        <v>2.4526515860558814E-2</v>
      </c>
      <c r="AJ22" s="113">
        <v>0.13693102611583377</v>
      </c>
      <c r="AK22" s="113">
        <v>0.15118529388688062</v>
      </c>
      <c r="AL22" s="114">
        <v>7.2792919278868426E-2</v>
      </c>
      <c r="AM22" s="118">
        <f t="shared" si="63"/>
        <v>0.52518152141508845</v>
      </c>
      <c r="AO22" s="257">
        <v>2030</v>
      </c>
      <c r="AP22" s="112">
        <v>61.237016561833713</v>
      </c>
      <c r="AQ22" s="113">
        <v>10</v>
      </c>
      <c r="AR22" s="113">
        <v>25</v>
      </c>
      <c r="AS22" s="113">
        <v>8</v>
      </c>
      <c r="AT22" s="113">
        <v>27</v>
      </c>
      <c r="AU22" s="113">
        <v>15</v>
      </c>
      <c r="AV22" s="113">
        <v>9</v>
      </c>
      <c r="AW22" s="114">
        <v>6</v>
      </c>
      <c r="AX22" s="121">
        <f>SUM(AP22:AW22)</f>
        <v>161.23701656183371</v>
      </c>
      <c r="AZ22" s="729">
        <v>1103.1257590195428</v>
      </c>
      <c r="BA22" s="729">
        <f t="shared" si="69"/>
        <v>23.082747096247083</v>
      </c>
    </row>
    <row r="23" spans="2:53" ht="15.75">
      <c r="B23" s="1250"/>
      <c r="C23" s="13" t="s">
        <v>15</v>
      </c>
      <c r="D23" s="426">
        <v>25</v>
      </c>
      <c r="E23" s="14"/>
      <c r="G23" s="1249" t="s">
        <v>99</v>
      </c>
      <c r="H23" s="1092" t="s">
        <v>78</v>
      </c>
      <c r="I23" s="1093">
        <v>0.97</v>
      </c>
      <c r="J23" s="1094" t="s">
        <v>8</v>
      </c>
      <c r="L23" s="69" t="str">
        <f t="shared" ref="L23:L28" si="70">L13</f>
        <v>PV מאגרים קטנים</v>
      </c>
      <c r="M23" s="432">
        <f>1.12007786964532*$D$13*$D$11*$R35</f>
        <v>67.869677099473478</v>
      </c>
      <c r="N23" s="433">
        <f t="shared" ref="N23:N28" si="71">M23</f>
        <v>67.869677099473478</v>
      </c>
      <c r="P23" s="106">
        <f t="shared" si="59"/>
        <v>2031</v>
      </c>
      <c r="Q23" s="447">
        <f t="shared" si="60"/>
        <v>2031.876500227469</v>
      </c>
      <c r="R23" s="448">
        <f t="shared" si="61"/>
        <v>2896.8333404790869</v>
      </c>
      <c r="S23" s="448">
        <f t="shared" si="66"/>
        <v>2896.8333404790869</v>
      </c>
      <c r="T23" s="448">
        <f t="shared" si="67"/>
        <v>2896.8333404790869</v>
      </c>
      <c r="U23" s="448">
        <f t="shared" si="57"/>
        <v>3911.3920151562879</v>
      </c>
      <c r="V23" s="448">
        <v>0</v>
      </c>
      <c r="W23" s="449">
        <v>0</v>
      </c>
      <c r="X23" s="459"/>
      <c r="Y23" s="459"/>
      <c r="Z23" s="459"/>
      <c r="AB23" s="106">
        <f t="shared" si="62"/>
        <v>2031</v>
      </c>
      <c r="AC23" s="729">
        <f t="shared" si="58"/>
        <v>2298.8116529474378</v>
      </c>
      <c r="AD23" s="729">
        <f t="shared" si="68"/>
        <v>3758.9068469163781</v>
      </c>
      <c r="AG23" s="106">
        <v>2031</v>
      </c>
      <c r="AH23" s="112">
        <v>0.1335865173060975</v>
      </c>
      <c r="AI23" s="113">
        <v>2.3667909834328309E-2</v>
      </c>
      <c r="AJ23" s="113">
        <v>0.13421952064819348</v>
      </c>
      <c r="AK23" s="113">
        <v>0.14669464159321091</v>
      </c>
      <c r="AL23" s="114">
        <v>7.0630753359694112E-2</v>
      </c>
      <c r="AM23" s="118">
        <f t="shared" si="63"/>
        <v>0.50879934274152439</v>
      </c>
      <c r="AO23" s="257">
        <v>2031</v>
      </c>
      <c r="AP23" s="112">
        <v>61.237016561833713</v>
      </c>
      <c r="AQ23" s="113">
        <v>10</v>
      </c>
      <c r="AR23" s="113">
        <v>25</v>
      </c>
      <c r="AS23" s="113">
        <v>8</v>
      </c>
      <c r="AT23" s="113">
        <v>27</v>
      </c>
      <c r="AU23" s="113">
        <v>15</v>
      </c>
      <c r="AV23" s="113">
        <v>9</v>
      </c>
      <c r="AW23" s="114">
        <v>6</v>
      </c>
      <c r="AX23" s="121">
        <f t="shared" ref="AX23:AX32" si="72">SUM(AP23:AW23)</f>
        <v>161.23701656183371</v>
      </c>
      <c r="AZ23" s="729">
        <v>1054.5882256226828</v>
      </c>
      <c r="BA23" s="729">
        <f t="shared" si="69"/>
        <v>22.06710622401221</v>
      </c>
    </row>
    <row r="24" spans="2:53" ht="16.5" thickBot="1">
      <c r="B24" s="1251"/>
      <c r="C24" s="13" t="s">
        <v>12</v>
      </c>
      <c r="D24" s="426">
        <v>23</v>
      </c>
      <c r="E24" s="14"/>
      <c r="G24" s="1250"/>
      <c r="H24" s="26" t="s">
        <v>79</v>
      </c>
      <c r="I24" s="25">
        <v>0.98499999999999999</v>
      </c>
      <c r="J24" s="165" t="s">
        <v>8</v>
      </c>
      <c r="L24" s="69" t="str">
        <f t="shared" si="70"/>
        <v>PV מחליפם</v>
      </c>
      <c r="M24" s="432">
        <f>1.12007786964532*$D$13*$D$11*$R36</f>
        <v>67.869677099473478</v>
      </c>
      <c r="N24" s="433">
        <f t="shared" si="71"/>
        <v>67.869677099473478</v>
      </c>
      <c r="P24" s="106">
        <f t="shared" si="59"/>
        <v>2032</v>
      </c>
      <c r="Q24" s="447">
        <f t="shared" si="60"/>
        <v>1971.4832297931762</v>
      </c>
      <c r="R24" s="448">
        <f t="shared" si="61"/>
        <v>2836.2894068716637</v>
      </c>
      <c r="S24" s="448">
        <f t="shared" si="66"/>
        <v>2836.2894068716637</v>
      </c>
      <c r="T24" s="448">
        <f t="shared" si="67"/>
        <v>2836.2894068716637</v>
      </c>
      <c r="U24" s="448">
        <f t="shared" si="57"/>
        <v>3805.239096510049</v>
      </c>
      <c r="V24" s="448">
        <v>0</v>
      </c>
      <c r="W24" s="449">
        <v>0</v>
      </c>
      <c r="X24" s="459"/>
      <c r="Y24" s="459"/>
      <c r="Z24" s="459"/>
      <c r="AB24" s="106">
        <f t="shared" si="62"/>
        <v>2032</v>
      </c>
      <c r="AC24" s="729">
        <f t="shared" si="58"/>
        <v>2298.8116529474378</v>
      </c>
      <c r="AD24" s="729">
        <f t="shared" si="68"/>
        <v>3593.5149456520571</v>
      </c>
      <c r="AG24" s="106">
        <v>2032</v>
      </c>
      <c r="AH24" s="112">
        <v>0.12755799722444469</v>
      </c>
      <c r="AI24" s="113">
        <v>2.2830382947374196E-2</v>
      </c>
      <c r="AJ24" s="113">
        <v>0.13156170835813027</v>
      </c>
      <c r="AK24" s="113">
        <v>0.14233737501123433</v>
      </c>
      <c r="AL24" s="114">
        <v>6.8532810190594276E-2</v>
      </c>
      <c r="AM24" s="118">
        <f t="shared" si="63"/>
        <v>0.49282027373177778</v>
      </c>
      <c r="AO24" s="257">
        <v>2032</v>
      </c>
      <c r="AP24" s="112">
        <v>61.237016561833713</v>
      </c>
      <c r="AQ24" s="113">
        <v>10</v>
      </c>
      <c r="AR24" s="113">
        <v>25</v>
      </c>
      <c r="AS24" s="113">
        <v>8</v>
      </c>
      <c r="AT24" s="113">
        <v>27</v>
      </c>
      <c r="AU24" s="113">
        <v>15</v>
      </c>
      <c r="AV24" s="113">
        <v>9</v>
      </c>
      <c r="AW24" s="114">
        <v>6</v>
      </c>
      <c r="AX24" s="121">
        <f t="shared" si="72"/>
        <v>161.23701656183371</v>
      </c>
      <c r="AZ24" s="729">
        <v>1008.1863436952847</v>
      </c>
      <c r="BA24" s="729">
        <f t="shared" si="69"/>
        <v>21.096153550155673</v>
      </c>
    </row>
    <row r="25" spans="2:53" ht="15.75">
      <c r="B25" s="1249" t="s">
        <v>219</v>
      </c>
      <c r="C25" s="12" t="str">
        <f>C17</f>
        <v>גז במחזמים חדשים</v>
      </c>
      <c r="D25" s="428">
        <f>I17*$I$22</f>
        <v>148.5</v>
      </c>
      <c r="E25" s="18" t="s">
        <v>8</v>
      </c>
      <c r="G25" s="1250"/>
      <c r="H25" s="26" t="s">
        <v>80</v>
      </c>
      <c r="I25" s="25">
        <v>0.97</v>
      </c>
      <c r="J25" s="165" t="s">
        <v>8</v>
      </c>
      <c r="L25" s="69" t="str">
        <f t="shared" si="70"/>
        <v>PV גגות גדולים</v>
      </c>
      <c r="M25" s="432">
        <f>1.45671913484406*$D$13*$D$11*$R37</f>
        <v>88.268021345513802</v>
      </c>
      <c r="N25" s="433">
        <f t="shared" si="71"/>
        <v>88.268021345513802</v>
      </c>
      <c r="P25" s="106">
        <f t="shared" si="59"/>
        <v>2033</v>
      </c>
      <c r="Q25" s="447">
        <f t="shared" si="60"/>
        <v>1915.2463831669324</v>
      </c>
      <c r="R25" s="448">
        <f t="shared" si="61"/>
        <v>2780.4258698908839</v>
      </c>
      <c r="S25" s="448">
        <f t="shared" si="66"/>
        <v>2780.4258698908839</v>
      </c>
      <c r="T25" s="448">
        <f t="shared" si="67"/>
        <v>2780.4258698908839</v>
      </c>
      <c r="U25" s="448">
        <f t="shared" si="57"/>
        <v>3705.2131840386141</v>
      </c>
      <c r="V25" s="448">
        <v>0</v>
      </c>
      <c r="W25" s="449">
        <v>0</v>
      </c>
      <c r="X25" s="459"/>
      <c r="Y25" s="459"/>
      <c r="Z25" s="459"/>
      <c r="AB25" s="106">
        <f t="shared" si="62"/>
        <v>2033</v>
      </c>
      <c r="AC25" s="729">
        <f t="shared" si="58"/>
        <v>2298.8116529474378</v>
      </c>
      <c r="AD25" s="729">
        <f t="shared" si="68"/>
        <v>3435.4002880433668</v>
      </c>
      <c r="AG25" s="106">
        <v>2033</v>
      </c>
      <c r="AH25" s="112">
        <v>0.12242225786906843</v>
      </c>
      <c r="AI25" s="113">
        <v>2.200662888623596E-2</v>
      </c>
      <c r="AJ25" s="113">
        <v>0.12895652601440488</v>
      </c>
      <c r="AK25" s="113">
        <v>0.13810953218911848</v>
      </c>
      <c r="AL25" s="114">
        <v>6.6497182165131077E-2</v>
      </c>
      <c r="AM25" s="118">
        <f t="shared" si="63"/>
        <v>0.47799212712395883</v>
      </c>
      <c r="AO25" s="257">
        <v>2033</v>
      </c>
      <c r="AP25" s="112">
        <v>61.237016561833713</v>
      </c>
      <c r="AQ25" s="113">
        <v>10</v>
      </c>
      <c r="AR25" s="113">
        <v>25</v>
      </c>
      <c r="AS25" s="113">
        <v>8</v>
      </c>
      <c r="AT25" s="113">
        <v>27</v>
      </c>
      <c r="AU25" s="113">
        <v>15</v>
      </c>
      <c r="AV25" s="113">
        <v>9</v>
      </c>
      <c r="AW25" s="114">
        <v>6</v>
      </c>
      <c r="AX25" s="121">
        <f t="shared" si="72"/>
        <v>161.23701656183371</v>
      </c>
      <c r="AZ25" s="729">
        <v>963.8261445726921</v>
      </c>
      <c r="BA25" s="729">
        <f t="shared" si="69"/>
        <v>20.167922793948822</v>
      </c>
    </row>
    <row r="26" spans="2:53" ht="16.5" thickBot="1">
      <c r="B26" s="1250"/>
      <c r="C26" s="36" t="str">
        <f>C18</f>
        <v>גז בפיקרים חדשים</v>
      </c>
      <c r="D26" s="429">
        <f>I18*$I$22</f>
        <v>146.70000000000002</v>
      </c>
      <c r="E26" s="14" t="s">
        <v>8</v>
      </c>
      <c r="G26" s="1251"/>
      <c r="H26" s="60" t="s">
        <v>81</v>
      </c>
      <c r="I26" s="25">
        <v>1.1100000000000001</v>
      </c>
      <c r="J26" s="165"/>
      <c r="L26" s="69" t="str">
        <f t="shared" si="70"/>
        <v>PV גגות קטנים</v>
      </c>
      <c r="M26" s="432">
        <f>1.45671913484406*$D$13*$D$11*$R38</f>
        <v>88.268021345513802</v>
      </c>
      <c r="N26" s="433">
        <f t="shared" si="71"/>
        <v>88.268021345513802</v>
      </c>
      <c r="P26" s="106">
        <f t="shared" si="59"/>
        <v>2034</v>
      </c>
      <c r="Q26" s="447">
        <f t="shared" si="60"/>
        <v>1860.9839253243376</v>
      </c>
      <c r="R26" s="448">
        <f t="shared" si="61"/>
        <v>2725.956640611857</v>
      </c>
      <c r="S26" s="448">
        <f t="shared" si="66"/>
        <v>2725.956640611857</v>
      </c>
      <c r="T26" s="448">
        <f t="shared" si="67"/>
        <v>2725.956640611857</v>
      </c>
      <c r="U26" s="448">
        <f t="shared" si="57"/>
        <v>3607.9867368654168</v>
      </c>
      <c r="V26" s="448">
        <v>0</v>
      </c>
      <c r="W26" s="449">
        <v>0</v>
      </c>
      <c r="X26" s="459"/>
      <c r="Y26" s="459"/>
      <c r="Z26" s="459"/>
      <c r="AB26" s="106">
        <f t="shared" si="62"/>
        <v>2034</v>
      </c>
      <c r="AC26" s="729">
        <f t="shared" si="58"/>
        <v>2298.8116529474378</v>
      </c>
      <c r="AD26" s="729">
        <f t="shared" si="68"/>
        <v>3284.2426753694585</v>
      </c>
      <c r="AG26" s="106">
        <v>2034</v>
      </c>
      <c r="AH26" s="112">
        <v>0.11748547743483373</v>
      </c>
      <c r="AI26" s="113">
        <v>2.1285260545973357E-2</v>
      </c>
      <c r="AJ26" s="113">
        <v>0.12640293143986223</v>
      </c>
      <c r="AK26" s="113">
        <v>0.13400726885676842</v>
      </c>
      <c r="AL26" s="114">
        <v>6.4522018338444009E-2</v>
      </c>
      <c r="AM26" s="118">
        <f t="shared" si="63"/>
        <v>0.46370295661588173</v>
      </c>
      <c r="AO26" s="257">
        <v>2034</v>
      </c>
      <c r="AP26" s="112">
        <v>61.237016561833713</v>
      </c>
      <c r="AQ26" s="113">
        <v>10</v>
      </c>
      <c r="AR26" s="113">
        <v>25</v>
      </c>
      <c r="AS26" s="113">
        <v>8</v>
      </c>
      <c r="AT26" s="113">
        <v>27</v>
      </c>
      <c r="AU26" s="113">
        <v>15</v>
      </c>
      <c r="AV26" s="113">
        <v>9</v>
      </c>
      <c r="AW26" s="114">
        <v>6</v>
      </c>
      <c r="AX26" s="121">
        <f t="shared" si="72"/>
        <v>161.23701656183371</v>
      </c>
      <c r="AZ26" s="729">
        <v>921.41779421149363</v>
      </c>
      <c r="BA26" s="729">
        <f t="shared" si="69"/>
        <v>19.280534191015072</v>
      </c>
    </row>
    <row r="27" spans="2:53" ht="15.75">
      <c r="B27" s="1250"/>
      <c r="C27" s="13" t="s">
        <v>35</v>
      </c>
      <c r="D27" s="429">
        <f>SUMPRODUCT(M22:M28,M12:M18)</f>
        <v>55.512685332272802</v>
      </c>
      <c r="E27" s="14"/>
      <c r="G27" s="1249" t="s">
        <v>84</v>
      </c>
      <c r="H27" s="168" t="s">
        <v>330</v>
      </c>
      <c r="I27" s="173">
        <f>IF(סיכום!$E$5="תרחיש עלות עודפת מקסימלית",4.3,4.7)</f>
        <v>4.7</v>
      </c>
      <c r="J27" s="18"/>
      <c r="L27" s="69" t="str">
        <f t="shared" si="70"/>
        <v>אחר 1</v>
      </c>
      <c r="M27" s="432">
        <f>0*$D$13*$D$11*$R39</f>
        <v>0</v>
      </c>
      <c r="N27" s="433">
        <f t="shared" si="71"/>
        <v>0</v>
      </c>
      <c r="P27" s="106">
        <f t="shared" si="59"/>
        <v>2035</v>
      </c>
      <c r="Q27" s="447">
        <f t="shared" si="60"/>
        <v>1809.3704188260726</v>
      </c>
      <c r="R27" s="448">
        <f t="shared" si="61"/>
        <v>2674.1866575956442</v>
      </c>
      <c r="S27" s="448">
        <f t="shared" si="66"/>
        <v>2674.1866575956442</v>
      </c>
      <c r="T27" s="448">
        <f t="shared" si="67"/>
        <v>2674.1866575956442</v>
      </c>
      <c r="U27" s="448">
        <f t="shared" si="57"/>
        <v>3514.83972487447</v>
      </c>
      <c r="V27" s="448">
        <v>0</v>
      </c>
      <c r="W27" s="449">
        <v>0</v>
      </c>
      <c r="X27" s="459"/>
      <c r="Y27" s="459"/>
      <c r="Z27" s="459"/>
      <c r="AB27" s="106">
        <f t="shared" si="62"/>
        <v>2035</v>
      </c>
      <c r="AC27" s="729">
        <f t="shared" si="58"/>
        <v>2298.8116529474378</v>
      </c>
      <c r="AD27" s="729">
        <f t="shared" si="68"/>
        <v>3139.735997653202</v>
      </c>
      <c r="AG27" s="106">
        <v>2035</v>
      </c>
      <c r="AH27" s="112">
        <v>0.11302309358081994</v>
      </c>
      <c r="AI27" s="113">
        <v>2.0586876690476708E-2</v>
      </c>
      <c r="AJ27" s="113">
        <v>0.12389990309451841</v>
      </c>
      <c r="AK27" s="113">
        <v>0.13002685493032975</v>
      </c>
      <c r="AL27" s="114">
        <v>6.2605522744232797E-2</v>
      </c>
      <c r="AM27" s="118">
        <f t="shared" si="63"/>
        <v>0.45014225104037764</v>
      </c>
      <c r="AO27" s="257">
        <v>2035</v>
      </c>
      <c r="AP27" s="112">
        <v>61.237016561833713</v>
      </c>
      <c r="AQ27" s="113">
        <v>10</v>
      </c>
      <c r="AR27" s="113">
        <v>25</v>
      </c>
      <c r="AS27" s="113">
        <v>8</v>
      </c>
      <c r="AT27" s="113">
        <v>27</v>
      </c>
      <c r="AU27" s="113">
        <v>15</v>
      </c>
      <c r="AV27" s="113">
        <v>9</v>
      </c>
      <c r="AW27" s="114">
        <v>6</v>
      </c>
      <c r="AX27" s="121">
        <f t="shared" si="72"/>
        <v>161.23701656183371</v>
      </c>
      <c r="AZ27" s="729">
        <v>880.87541126618783</v>
      </c>
      <c r="BA27" s="729">
        <f t="shared" si="69"/>
        <v>18.432190686610408</v>
      </c>
    </row>
    <row r="28" spans="2:53" ht="16.5" thickBot="1">
      <c r="B28" s="1250"/>
      <c r="C28" s="13" t="s">
        <v>36</v>
      </c>
      <c r="D28" s="429">
        <f>SUMPRODUCT(N22:N28,N12:N18)</f>
        <v>63.170664832377113</v>
      </c>
      <c r="E28" s="14"/>
      <c r="G28" s="1250"/>
      <c r="H28" s="527" t="s">
        <v>351</v>
      </c>
      <c r="I28" s="176">
        <f>IF(סיכום!$E$5="תרחיש עלות עודפת מקסימלית",4.3,4.7)</f>
        <v>4.7</v>
      </c>
      <c r="J28" s="167"/>
      <c r="L28" s="70" t="str">
        <f t="shared" si="70"/>
        <v>אחר 2</v>
      </c>
      <c r="M28" s="434">
        <f>0*$D$13*$D$11*$R40</f>
        <v>0</v>
      </c>
      <c r="N28" s="435">
        <f t="shared" si="71"/>
        <v>0</v>
      </c>
      <c r="P28" s="106">
        <f t="shared" si="59"/>
        <v>2036</v>
      </c>
      <c r="Q28" s="447">
        <f t="shared" si="60"/>
        <v>1760.5608166620782</v>
      </c>
      <c r="R28" s="448">
        <f t="shared" si="61"/>
        <v>2625.1991551570914</v>
      </c>
      <c r="S28" s="448">
        <f t="shared" si="66"/>
        <v>2625.1991551570914</v>
      </c>
      <c r="T28" s="448">
        <f t="shared" si="67"/>
        <v>2625.1991551570914</v>
      </c>
      <c r="U28" s="448">
        <f t="shared" si="57"/>
        <v>3425.829648062253</v>
      </c>
      <c r="V28" s="448">
        <v>0</v>
      </c>
      <c r="W28" s="449">
        <v>0</v>
      </c>
      <c r="X28" s="459"/>
      <c r="Y28" s="459"/>
      <c r="Z28" s="459"/>
      <c r="AB28" s="106">
        <f t="shared" si="62"/>
        <v>2036</v>
      </c>
      <c r="AC28" s="729">
        <f t="shared" si="58"/>
        <v>2298.8116529474378</v>
      </c>
      <c r="AD28" s="729">
        <f t="shared" si="68"/>
        <v>3001.587613756461</v>
      </c>
      <c r="AG28" s="106">
        <v>2036</v>
      </c>
      <c r="AH28" s="112">
        <v>0.10905251023154806</v>
      </c>
      <c r="AI28" s="113">
        <v>1.9944141556357538E-2</v>
      </c>
      <c r="AJ28" s="113">
        <v>0.12144643966690417</v>
      </c>
      <c r="AK28" s="113">
        <v>0.12616467112051796</v>
      </c>
      <c r="AL28" s="114">
        <v>6.074595276173083E-2</v>
      </c>
      <c r="AM28" s="118">
        <f t="shared" si="63"/>
        <v>0.43735371533705852</v>
      </c>
      <c r="AO28" s="257">
        <v>2036</v>
      </c>
      <c r="AP28" s="112">
        <v>61.237016561833713</v>
      </c>
      <c r="AQ28" s="113">
        <v>10</v>
      </c>
      <c r="AR28" s="113">
        <v>25</v>
      </c>
      <c r="AS28" s="113">
        <v>8</v>
      </c>
      <c r="AT28" s="113">
        <v>27</v>
      </c>
      <c r="AU28" s="113">
        <v>15</v>
      </c>
      <c r="AV28" s="113">
        <v>9</v>
      </c>
      <c r="AW28" s="114">
        <v>6</v>
      </c>
      <c r="AX28" s="121">
        <f t="shared" si="72"/>
        <v>161.23701656183371</v>
      </c>
      <c r="AZ28" s="729">
        <v>842.11689317047558</v>
      </c>
      <c r="BA28" s="729">
        <f t="shared" si="69"/>
        <v>17.621174296399548</v>
      </c>
    </row>
    <row r="29" spans="2:53" ht="15.75">
      <c r="B29" s="1250"/>
      <c r="C29" s="36" t="str">
        <f>C21</f>
        <v>רוח</v>
      </c>
      <c r="D29" s="429">
        <f>R41*AR37*D13*D12</f>
        <v>86.409454824702422</v>
      </c>
      <c r="E29" s="14"/>
      <c r="G29" s="1250"/>
      <c r="H29" s="169" t="s">
        <v>42</v>
      </c>
      <c r="I29" s="176">
        <v>0</v>
      </c>
      <c r="J29" s="14"/>
      <c r="L29" s="123" t="s">
        <v>216</v>
      </c>
      <c r="P29" s="106">
        <f t="shared" si="59"/>
        <v>2037</v>
      </c>
      <c r="Q29" s="447">
        <f t="shared" si="60"/>
        <v>1715.5024963648434</v>
      </c>
      <c r="R29" s="448">
        <f t="shared" si="61"/>
        <v>2580.278209116218</v>
      </c>
      <c r="S29" s="448">
        <f t="shared" si="66"/>
        <v>2580.278209116218</v>
      </c>
      <c r="T29" s="448">
        <f t="shared" si="67"/>
        <v>2580.278209116218</v>
      </c>
      <c r="U29" s="448">
        <f t="shared" si="57"/>
        <v>3342.2382886577047</v>
      </c>
      <c r="V29" s="448">
        <v>0</v>
      </c>
      <c r="W29" s="449">
        <v>0</v>
      </c>
      <c r="X29" s="459"/>
      <c r="Y29" s="459"/>
      <c r="Z29" s="459"/>
      <c r="AB29" s="106">
        <f t="shared" si="62"/>
        <v>2037</v>
      </c>
      <c r="AC29" s="729">
        <f t="shared" si="58"/>
        <v>2298.8116529474378</v>
      </c>
      <c r="AD29" s="729">
        <f t="shared" si="68"/>
        <v>2869.5177587511771</v>
      </c>
      <c r="AG29" s="106">
        <v>2037</v>
      </c>
      <c r="AH29" s="112">
        <v>0.1058430584673585</v>
      </c>
      <c r="AI29" s="113">
        <v>1.9359929860214491E-2</v>
      </c>
      <c r="AJ29" s="113">
        <v>0.11904155967350014</v>
      </c>
      <c r="AK29" s="113">
        <v>0.12241720564169069</v>
      </c>
      <c r="AL29" s="114">
        <v>5.8941617531184369E-2</v>
      </c>
      <c r="AM29" s="118">
        <f t="shared" si="63"/>
        <v>0.4256033711739482</v>
      </c>
      <c r="AO29" s="257">
        <v>2037</v>
      </c>
      <c r="AP29" s="112">
        <v>61.237016561833713</v>
      </c>
      <c r="AQ29" s="113">
        <v>10</v>
      </c>
      <c r="AR29" s="113">
        <v>25</v>
      </c>
      <c r="AS29" s="113">
        <v>8</v>
      </c>
      <c r="AT29" s="113">
        <v>27</v>
      </c>
      <c r="AU29" s="113">
        <v>15</v>
      </c>
      <c r="AV29" s="113">
        <v>9</v>
      </c>
      <c r="AW29" s="114">
        <v>6</v>
      </c>
      <c r="AX29" s="121">
        <f t="shared" si="72"/>
        <v>161.23701656183371</v>
      </c>
      <c r="AZ29" s="729">
        <v>805.06374987097468</v>
      </c>
      <c r="BA29" s="729">
        <f t="shared" si="69"/>
        <v>16.845842627357968</v>
      </c>
    </row>
    <row r="30" spans="2:53" ht="16.5" thickBot="1">
      <c r="B30" s="1250"/>
      <c r="C30" s="36" t="str">
        <f>C22</f>
        <v>ביומסה/ביוגז</v>
      </c>
      <c r="D30" s="429">
        <f>R41*AR37*D13*D12</f>
        <v>86.409454824702422</v>
      </c>
      <c r="E30" s="14"/>
      <c r="G30" s="1251"/>
      <c r="H30" s="170" t="s">
        <v>43</v>
      </c>
      <c r="I30" s="177">
        <v>0</v>
      </c>
      <c r="J30" s="19"/>
      <c r="P30" s="106">
        <f t="shared" si="59"/>
        <v>2038</v>
      </c>
      <c r="Q30" s="447">
        <f t="shared" si="60"/>
        <v>1672.6930415935767</v>
      </c>
      <c r="R30" s="448">
        <f t="shared" si="61"/>
        <v>2537.2876942321791</v>
      </c>
      <c r="S30" s="448">
        <f t="shared" si="66"/>
        <v>2537.2876942321791</v>
      </c>
      <c r="T30" s="448">
        <f t="shared" si="67"/>
        <v>2537.2876942321791</v>
      </c>
      <c r="U30" s="448">
        <f t="shared" si="57"/>
        <v>3261.8709353344243</v>
      </c>
      <c r="V30" s="448">
        <v>0</v>
      </c>
      <c r="W30" s="449">
        <v>0</v>
      </c>
      <c r="X30" s="459"/>
      <c r="Y30" s="459"/>
      <c r="Z30" s="459"/>
      <c r="AB30" s="106">
        <f t="shared" si="62"/>
        <v>2038</v>
      </c>
      <c r="AC30" s="729">
        <f t="shared" si="58"/>
        <v>2298.8116529474378</v>
      </c>
      <c r="AD30" s="729">
        <f t="shared" si="68"/>
        <v>2743.2589773661248</v>
      </c>
      <c r="AG30" s="106">
        <v>2038</v>
      </c>
      <c r="AH30" s="112">
        <v>0.10294658645747723</v>
      </c>
      <c r="AI30" s="113">
        <v>1.8867114458963916E-2</v>
      </c>
      <c r="AJ30" s="113">
        <v>0.1166843010661041</v>
      </c>
      <c r="AK30" s="113">
        <v>0.11878105101867016</v>
      </c>
      <c r="AL30" s="114">
        <v>5.719087641639671E-2</v>
      </c>
      <c r="AM30" s="118">
        <f t="shared" si="63"/>
        <v>0.41446992941761207</v>
      </c>
      <c r="AO30" s="257">
        <v>2038</v>
      </c>
      <c r="AP30" s="112">
        <v>61.237016561833713</v>
      </c>
      <c r="AQ30" s="113">
        <v>10</v>
      </c>
      <c r="AR30" s="113">
        <v>25</v>
      </c>
      <c r="AS30" s="113">
        <v>8</v>
      </c>
      <c r="AT30" s="113">
        <v>27</v>
      </c>
      <c r="AU30" s="113">
        <v>15</v>
      </c>
      <c r="AV30" s="113">
        <v>9</v>
      </c>
      <c r="AW30" s="114">
        <v>6</v>
      </c>
      <c r="AX30" s="121">
        <f t="shared" si="72"/>
        <v>161.23701656183371</v>
      </c>
      <c r="AZ30" s="729">
        <v>769.6409448766517</v>
      </c>
      <c r="BA30" s="729">
        <f t="shared" si="69"/>
        <v>16.104625551754218</v>
      </c>
    </row>
    <row r="31" spans="2:53" ht="16.5" thickBot="1">
      <c r="B31" s="1250"/>
      <c r="C31" s="36" t="str">
        <f>C23</f>
        <v>תרמו סולארי</v>
      </c>
      <c r="D31" s="429">
        <f>R41*AR37*D13*D12</f>
        <v>86.409454824702422</v>
      </c>
      <c r="E31" s="14"/>
      <c r="G31" s="1249" t="s">
        <v>98</v>
      </c>
      <c r="H31" s="168" t="str">
        <f>H27</f>
        <v>גז פחמיות מוסבות</v>
      </c>
      <c r="I31" s="173">
        <f>I19</f>
        <v>1.03</v>
      </c>
      <c r="J31" s="18"/>
      <c r="L31" s="548" t="s">
        <v>244</v>
      </c>
      <c r="M31" s="548" t="s">
        <v>245</v>
      </c>
      <c r="N31" s="548" t="s">
        <v>246</v>
      </c>
      <c r="P31" s="106">
        <f t="shared" si="59"/>
        <v>2039</v>
      </c>
      <c r="Q31" s="447">
        <f t="shared" si="60"/>
        <v>1631.2488757360766</v>
      </c>
      <c r="R31" s="448">
        <f t="shared" si="61"/>
        <v>2495.3203767709251</v>
      </c>
      <c r="S31" s="448">
        <f t="shared" si="66"/>
        <v>2495.3203767709251</v>
      </c>
      <c r="T31" s="448">
        <f t="shared" si="67"/>
        <v>2495.3203767709251</v>
      </c>
      <c r="U31" s="448">
        <f t="shared" si="57"/>
        <v>3183.7691557849662</v>
      </c>
      <c r="V31" s="448">
        <v>0</v>
      </c>
      <c r="W31" s="449">
        <v>0</v>
      </c>
      <c r="X31" s="459"/>
      <c r="Y31" s="459"/>
      <c r="Z31" s="459"/>
      <c r="AB31" s="106">
        <f t="shared" si="62"/>
        <v>2039</v>
      </c>
      <c r="AC31" s="729">
        <f t="shared" si="58"/>
        <v>2298.8116529474378</v>
      </c>
      <c r="AD31" s="729">
        <f t="shared" si="68"/>
        <v>2622.5555823620152</v>
      </c>
      <c r="AG31" s="106">
        <v>2039</v>
      </c>
      <c r="AH31" s="112">
        <v>0.10017389449415202</v>
      </c>
      <c r="AI31" s="113">
        <v>1.8413063472366889E-2</v>
      </c>
      <c r="AJ31" s="113">
        <v>0.11437372084697334</v>
      </c>
      <c r="AK31" s="113">
        <v>0.11525290098841265</v>
      </c>
      <c r="AL31" s="114">
        <v>5.5492137512939382E-2</v>
      </c>
      <c r="AM31" s="118">
        <f t="shared" si="63"/>
        <v>0.40370571731484428</v>
      </c>
      <c r="AO31" s="257">
        <v>2039</v>
      </c>
      <c r="AP31" s="112">
        <v>61.237016561833713</v>
      </c>
      <c r="AQ31" s="113">
        <v>10</v>
      </c>
      <c r="AR31" s="113">
        <v>25</v>
      </c>
      <c r="AS31" s="113">
        <v>8</v>
      </c>
      <c r="AT31" s="113">
        <v>27</v>
      </c>
      <c r="AU31" s="113">
        <v>15</v>
      </c>
      <c r="AV31" s="113">
        <v>9</v>
      </c>
      <c r="AW31" s="114">
        <v>6</v>
      </c>
      <c r="AX31" s="121">
        <f t="shared" si="72"/>
        <v>161.23701656183371</v>
      </c>
      <c r="AZ31" s="729">
        <v>735.77674330207901</v>
      </c>
      <c r="BA31" s="729">
        <f t="shared" si="69"/>
        <v>15.396022027477031</v>
      </c>
    </row>
    <row r="32" spans="2:53" ht="16.5" thickBot="1">
      <c r="B32" s="1251"/>
      <c r="C32" s="36" t="str">
        <f>C24</f>
        <v>סוללות לית'יום-יון</v>
      </c>
      <c r="D32" s="429">
        <f>R44*AX12*D11*AE12</f>
        <v>59.42692296250884</v>
      </c>
      <c r="E32" s="14"/>
      <c r="G32" s="1250"/>
      <c r="H32" s="527" t="str">
        <f t="shared" ref="H32:H38" si="73">H28</f>
        <v>גז חח"י מחזמים ופקירים ויח"פים</v>
      </c>
      <c r="I32" s="176">
        <f>I19</f>
        <v>1.03</v>
      </c>
      <c r="J32" s="167"/>
      <c r="L32" s="338" t="str">
        <f>B118</f>
        <v>CO2</v>
      </c>
      <c r="M32" s="341">
        <v>0</v>
      </c>
      <c r="N32" s="342">
        <v>0.02</v>
      </c>
      <c r="P32" s="107">
        <f t="shared" si="59"/>
        <v>2040</v>
      </c>
      <c r="Q32" s="450">
        <f t="shared" si="60"/>
        <v>1590.6792573000998</v>
      </c>
      <c r="R32" s="451">
        <f t="shared" si="61"/>
        <v>2453.8480027922087</v>
      </c>
      <c r="S32" s="451">
        <f t="shared" si="66"/>
        <v>2453.8480027922087</v>
      </c>
      <c r="T32" s="451">
        <f t="shared" si="67"/>
        <v>2453.8480027922087</v>
      </c>
      <c r="U32" s="451">
        <f t="shared" si="57"/>
        <v>3107.3556320957841</v>
      </c>
      <c r="V32" s="451">
        <v>0</v>
      </c>
      <c r="W32" s="452">
        <v>0</v>
      </c>
      <c r="X32" s="459"/>
      <c r="Y32" s="459"/>
      <c r="Z32" s="459"/>
      <c r="AB32" s="107">
        <f t="shared" si="62"/>
        <v>2040</v>
      </c>
      <c r="AC32" s="730">
        <f t="shared" si="58"/>
        <v>2298.8116529474378</v>
      </c>
      <c r="AD32" s="730">
        <f t="shared" si="68"/>
        <v>2507.1631367380865</v>
      </c>
      <c r="AG32" s="107">
        <v>2040</v>
      </c>
      <c r="AH32" s="115">
        <v>9.741562488268761E-2</v>
      </c>
      <c r="AI32" s="116">
        <v>1.7975348068792352E-2</v>
      </c>
      <c r="AJ32" s="116">
        <v>0.11210889469158772</v>
      </c>
      <c r="AK32" s="116">
        <v>0.1118295474937073</v>
      </c>
      <c r="AL32" s="117">
        <v>5.3843856200673855E-2</v>
      </c>
      <c r="AM32" s="118">
        <f t="shared" si="63"/>
        <v>0.39317327133744878</v>
      </c>
      <c r="AO32" s="258">
        <v>2040</v>
      </c>
      <c r="AP32" s="115">
        <v>61.237016561833713</v>
      </c>
      <c r="AQ32" s="116">
        <v>10</v>
      </c>
      <c r="AR32" s="116">
        <v>25</v>
      </c>
      <c r="AS32" s="116">
        <v>8</v>
      </c>
      <c r="AT32" s="116">
        <v>27</v>
      </c>
      <c r="AU32" s="116">
        <v>15</v>
      </c>
      <c r="AV32" s="116">
        <v>9</v>
      </c>
      <c r="AW32" s="117">
        <v>6</v>
      </c>
      <c r="AX32" s="122">
        <f t="shared" si="72"/>
        <v>161.23701656183371</v>
      </c>
      <c r="AZ32" s="730">
        <v>703.40256659678755</v>
      </c>
      <c r="BA32" s="730">
        <f t="shared" si="69"/>
        <v>14.71859705826804</v>
      </c>
    </row>
    <row r="33" spans="2:44" ht="15.75" customHeight="1" thickBot="1">
      <c r="B33" s="1249" t="s">
        <v>226</v>
      </c>
      <c r="C33" s="12" t="str">
        <f>C27</f>
        <v>מוטה קרקע PV</v>
      </c>
      <c r="D33" s="427">
        <f>1678.18024955576*(1-VLOOKUP(C4,C39:D41,2,FALSE))</f>
        <v>1642.8445119183837</v>
      </c>
      <c r="E33" s="18"/>
      <c r="G33" s="1250"/>
      <c r="H33" s="169" t="str">
        <f t="shared" si="73"/>
        <v>אחר 1</v>
      </c>
      <c r="I33" s="176">
        <v>0</v>
      </c>
      <c r="J33" s="14"/>
      <c r="L33" s="339" t="str">
        <f>B119</f>
        <v>NOX</v>
      </c>
      <c r="M33" s="343">
        <v>0</v>
      </c>
      <c r="N33" s="1172">
        <f>(3.39+3.14)*0.5/100</f>
        <v>3.2649999999999998E-2</v>
      </c>
      <c r="AO33" s="123" t="s">
        <v>217</v>
      </c>
    </row>
    <row r="34" spans="2:44" ht="18.75" thickBot="1">
      <c r="B34" s="1250"/>
      <c r="C34" s="13" t="str">
        <f>C28</f>
        <v>מוטה דואלי PV</v>
      </c>
      <c r="D34" s="426">
        <f>D33</f>
        <v>1642.8445119183837</v>
      </c>
      <c r="E34" s="14"/>
      <c r="G34" s="1251"/>
      <c r="H34" s="170" t="str">
        <f t="shared" si="73"/>
        <v>אחר 2</v>
      </c>
      <c r="I34" s="177">
        <v>0</v>
      </c>
      <c r="J34" s="19"/>
      <c r="L34" s="339" t="str">
        <f>B120</f>
        <v>SOX</v>
      </c>
      <c r="M34" s="343">
        <v>0</v>
      </c>
      <c r="N34" s="344">
        <f>N33</f>
        <v>3.2649999999999998E-2</v>
      </c>
      <c r="P34" s="1249" t="s">
        <v>67</v>
      </c>
      <c r="Q34" s="485" t="s">
        <v>484</v>
      </c>
      <c r="R34" s="486">
        <v>1.7000000000000001E-2</v>
      </c>
      <c r="S34" s="331"/>
      <c r="V34" s="1252" t="s">
        <v>37</v>
      </c>
      <c r="W34" s="1253"/>
      <c r="X34" s="1252" t="s">
        <v>315</v>
      </c>
      <c r="Y34" s="1253"/>
      <c r="Z34" s="1252" t="s">
        <v>316</v>
      </c>
      <c r="AA34" s="1253"/>
      <c r="AG34" s="1246" t="s">
        <v>212</v>
      </c>
      <c r="AH34" s="1247"/>
      <c r="AI34" s="1247"/>
      <c r="AJ34" s="1247"/>
      <c r="AK34" s="1247"/>
      <c r="AL34" s="1247"/>
      <c r="AM34" s="1248"/>
    </row>
    <row r="35" spans="2:44" ht="30.75" thickBot="1">
      <c r="B35" s="1250"/>
      <c r="C35" s="13" t="str">
        <f>C29</f>
        <v>רוח</v>
      </c>
      <c r="D35" s="426">
        <v>3013.5429999999828</v>
      </c>
      <c r="E35" s="14"/>
      <c r="G35" s="1249" t="s">
        <v>97</v>
      </c>
      <c r="H35" s="168" t="str">
        <f>H31</f>
        <v>גז פחמיות מוסבות</v>
      </c>
      <c r="I35" s="173">
        <v>0.35751321765314537</v>
      </c>
      <c r="J35" s="18" t="s">
        <v>83</v>
      </c>
      <c r="L35" s="340" t="str">
        <f>B121</f>
        <v>חלקיקים</v>
      </c>
      <c r="M35" s="345">
        <v>0</v>
      </c>
      <c r="N35" s="346">
        <f>N34</f>
        <v>3.2649999999999998E-2</v>
      </c>
      <c r="P35" s="1250"/>
      <c r="Q35" s="487" t="s">
        <v>485</v>
      </c>
      <c r="R35" s="488">
        <v>1.7000000000000001E-2</v>
      </c>
      <c r="S35" s="332"/>
      <c r="U35" s="248" t="s">
        <v>0</v>
      </c>
      <c r="V35" s="248" t="s">
        <v>69</v>
      </c>
      <c r="W35" s="248" t="s">
        <v>68</v>
      </c>
      <c r="X35" s="248" t="s">
        <v>69</v>
      </c>
      <c r="Y35" s="248" t="s">
        <v>68</v>
      </c>
      <c r="Z35" s="248" t="s">
        <v>69</v>
      </c>
      <c r="AA35" s="248" t="s">
        <v>68</v>
      </c>
      <c r="AB35" s="255" t="s">
        <v>312</v>
      </c>
      <c r="AC35" s="255" t="s">
        <v>313</v>
      </c>
      <c r="AD35" s="255" t="s">
        <v>314</v>
      </c>
      <c r="AG35" s="200" t="s">
        <v>0</v>
      </c>
      <c r="AH35" s="200" t="s">
        <v>49</v>
      </c>
      <c r="AI35" s="200" t="s">
        <v>50</v>
      </c>
      <c r="AJ35" s="200" t="s">
        <v>214</v>
      </c>
      <c r="AK35" s="200" t="s">
        <v>215</v>
      </c>
      <c r="AL35" s="200" t="s">
        <v>53</v>
      </c>
      <c r="AM35" s="200" t="s">
        <v>54</v>
      </c>
      <c r="AP35" s="1260" t="s">
        <v>333</v>
      </c>
      <c r="AQ35" s="1261"/>
      <c r="AR35" s="1262"/>
    </row>
    <row r="36" spans="2:44" ht="60.75" thickBot="1">
      <c r="B36" s="1250"/>
      <c r="C36" s="13" t="str">
        <f>C30</f>
        <v>ביומסה/ביוגז</v>
      </c>
      <c r="D36" s="426">
        <v>6131.9999999990332</v>
      </c>
      <c r="E36" s="14"/>
      <c r="G36" s="1250"/>
      <c r="H36" s="527" t="str">
        <f t="shared" si="73"/>
        <v>גז חח"י מחזמים ופקירים ויח"פים</v>
      </c>
      <c r="I36" s="176">
        <v>0.35751321765314537</v>
      </c>
      <c r="J36" s="14" t="s">
        <v>83</v>
      </c>
      <c r="P36" s="1250"/>
      <c r="Q36" s="487" t="s">
        <v>41</v>
      </c>
      <c r="R36" s="488">
        <v>1.7000000000000001E-2</v>
      </c>
      <c r="S36" s="332"/>
      <c r="U36" s="105">
        <f>P12</f>
        <v>2020</v>
      </c>
      <c r="V36" s="466">
        <f>20000*13/$W$36</f>
        <v>23636.363636363636</v>
      </c>
      <c r="W36" s="493">
        <v>11</v>
      </c>
      <c r="X36" s="466">
        <v>6000</v>
      </c>
      <c r="Y36" s="467">
        <v>20</v>
      </c>
      <c r="Z36" s="466">
        <v>30000</v>
      </c>
      <c r="AA36" s="492">
        <v>9</v>
      </c>
      <c r="AB36" s="461">
        <f t="shared" ref="AB36:AB56" si="74">(V36*W36)/$D$13</f>
        <v>260</v>
      </c>
      <c r="AC36" s="462">
        <f t="shared" ref="AC36:AC56" si="75">(X36*Y36)/$D$13</f>
        <v>120</v>
      </c>
      <c r="AD36" s="245">
        <f t="shared" ref="AD36:AD56" si="76">(Z36*AA36)/$D$13</f>
        <v>270</v>
      </c>
      <c r="AG36" s="105">
        <v>2020</v>
      </c>
      <c r="AH36" s="109">
        <v>0.23812397067805807</v>
      </c>
      <c r="AI36" s="110">
        <v>8.467657847775642E-2</v>
      </c>
      <c r="AJ36" s="110">
        <v>0.22313464947810624</v>
      </c>
      <c r="AK36" s="110">
        <v>0.31238850926934875</v>
      </c>
      <c r="AL36" s="111">
        <v>0.20528387751985772</v>
      </c>
      <c r="AM36" s="108">
        <f>SUM(AH36:AL36)</f>
        <v>1.0636075854231273</v>
      </c>
      <c r="AO36" s="472" t="s">
        <v>0</v>
      </c>
      <c r="AP36" s="472" t="s">
        <v>317</v>
      </c>
      <c r="AQ36" s="472" t="s">
        <v>318</v>
      </c>
      <c r="AR36" s="472" t="s">
        <v>27</v>
      </c>
    </row>
    <row r="37" spans="2:44" ht="16.5" thickBot="1">
      <c r="B37" s="1251"/>
      <c r="C37" s="13" t="str">
        <f>C31</f>
        <v>תרמו סולארי</v>
      </c>
      <c r="D37" s="426">
        <v>3048.6200000000122</v>
      </c>
      <c r="E37" s="14"/>
      <c r="G37" s="1250"/>
      <c r="H37" s="169" t="str">
        <f t="shared" si="73"/>
        <v>אחר 1</v>
      </c>
      <c r="I37" s="176">
        <v>0</v>
      </c>
      <c r="J37" s="14"/>
      <c r="L37" s="549" t="s">
        <v>251</v>
      </c>
      <c r="M37" s="550"/>
      <c r="P37" s="1250"/>
      <c r="Q37" s="487" t="s">
        <v>39</v>
      </c>
      <c r="R37" s="488">
        <v>1.7000000000000001E-2</v>
      </c>
      <c r="S37" s="332"/>
      <c r="U37" s="106">
        <f t="shared" ref="U37:U56" si="77">+U36+1</f>
        <v>2021</v>
      </c>
      <c r="V37" s="468">
        <f>V36</f>
        <v>23636.363636363636</v>
      </c>
      <c r="W37" s="490">
        <f>W36/(1+1.6%)</f>
        <v>10.826771653543307</v>
      </c>
      <c r="X37" s="468">
        <v>6000</v>
      </c>
      <c r="Y37" s="469">
        <v>20</v>
      </c>
      <c r="Z37" s="468">
        <v>30000</v>
      </c>
      <c r="AA37" s="490">
        <f>AA36/(1+1.6%)</f>
        <v>8.8582677165354333</v>
      </c>
      <c r="AB37" s="463">
        <f t="shared" si="74"/>
        <v>255.90551181102364</v>
      </c>
      <c r="AC37" s="460">
        <f t="shared" si="75"/>
        <v>120</v>
      </c>
      <c r="AD37" s="246">
        <f t="shared" si="76"/>
        <v>265.74803149606299</v>
      </c>
      <c r="AG37" s="106">
        <v>2021</v>
      </c>
      <c r="AH37" s="112">
        <v>0.22738163535356296</v>
      </c>
      <c r="AI37" s="113">
        <v>8.0790504072676059E-2</v>
      </c>
      <c r="AJ37" s="113">
        <v>0.21660387924947874</v>
      </c>
      <c r="AK37" s="113">
        <v>0.30324543094927026</v>
      </c>
      <c r="AL37" s="114">
        <v>0.19927556890952042</v>
      </c>
      <c r="AM37" s="118">
        <f t="shared" ref="AM37:AM44" si="78">SUM(AH37:AL37)</f>
        <v>1.0272970185345085</v>
      </c>
      <c r="AO37" s="195">
        <v>2020</v>
      </c>
      <c r="AP37" s="473">
        <v>0.733079996495415</v>
      </c>
      <c r="AQ37" s="474">
        <v>0.54</v>
      </c>
      <c r="AR37" s="477">
        <v>1.2730799964954151</v>
      </c>
    </row>
    <row r="38" spans="2:44" ht="16.5" thickBot="1">
      <c r="B38" s="684" t="s">
        <v>229</v>
      </c>
      <c r="C38" s="685" t="s">
        <v>229</v>
      </c>
      <c r="D38" s="686">
        <v>6.0000000000000001E-3</v>
      </c>
      <c r="E38" s="687"/>
      <c r="G38" s="1251"/>
      <c r="H38" s="170" t="str">
        <f t="shared" si="73"/>
        <v>אחר 2</v>
      </c>
      <c r="I38" s="177">
        <v>0</v>
      </c>
      <c r="J38" s="19"/>
      <c r="L38" s="548" t="s">
        <v>249</v>
      </c>
      <c r="M38" s="548" t="s">
        <v>250</v>
      </c>
      <c r="P38" s="1250"/>
      <c r="Q38" s="487" t="s">
        <v>38</v>
      </c>
      <c r="R38" s="488">
        <v>1.7000000000000001E-2</v>
      </c>
      <c r="S38" s="332"/>
      <c r="U38" s="106">
        <f t="shared" si="77"/>
        <v>2022</v>
      </c>
      <c r="V38" s="468">
        <f t="shared" ref="V38:V56" si="79">V37</f>
        <v>23636.363636363636</v>
      </c>
      <c r="W38" s="490">
        <f t="shared" ref="W38:W56" si="80">W37/(1+1.6%)</f>
        <v>10.656271312542625</v>
      </c>
      <c r="X38" s="468">
        <v>6000</v>
      </c>
      <c r="Y38" s="469">
        <v>20</v>
      </c>
      <c r="Z38" s="468">
        <v>30000</v>
      </c>
      <c r="AA38" s="490">
        <f t="shared" ref="AA38:AA56" si="81">AA37/(1+1.6%)</f>
        <v>8.7187674375348756</v>
      </c>
      <c r="AB38" s="463">
        <f t="shared" si="74"/>
        <v>251.8755037510075</v>
      </c>
      <c r="AC38" s="460">
        <f t="shared" si="75"/>
        <v>120</v>
      </c>
      <c r="AD38" s="246">
        <f t="shared" si="76"/>
        <v>261.56302312604623</v>
      </c>
      <c r="AG38" s="106">
        <v>2022</v>
      </c>
      <c r="AH38" s="112">
        <v>0.21472198128567549</v>
      </c>
      <c r="AI38" s="113">
        <v>7.7267609679165641E-2</v>
      </c>
      <c r="AJ38" s="113">
        <v>0.21026425351534769</v>
      </c>
      <c r="AK38" s="113">
        <v>0.29436995492148677</v>
      </c>
      <c r="AL38" s="114">
        <v>0.19344311323411983</v>
      </c>
      <c r="AM38" s="118">
        <f t="shared" si="78"/>
        <v>0.99006691263579549</v>
      </c>
      <c r="AO38" s="196">
        <v>2021</v>
      </c>
      <c r="AP38" s="475">
        <v>0.58326934500000005</v>
      </c>
      <c r="AQ38" s="476">
        <v>0.54</v>
      </c>
      <c r="AR38" s="478">
        <v>1.1232693450000002</v>
      </c>
    </row>
    <row r="39" spans="2:44" ht="18.75">
      <c r="B39" s="1194" t="s">
        <v>356</v>
      </c>
      <c r="C39" s="711" t="s">
        <v>386</v>
      </c>
      <c r="D39" s="712">
        <f>AVERAGE('התפלגות ייצור וסל דלקים'!BZ172:BZ192)</f>
        <v>2.1055984687419777E-2</v>
      </c>
      <c r="E39" s="164"/>
      <c r="G39" s="1249" t="s">
        <v>96</v>
      </c>
      <c r="H39" s="168" t="s">
        <v>88</v>
      </c>
      <c r="I39" s="174">
        <v>63</v>
      </c>
      <c r="J39" s="18" t="s">
        <v>500</v>
      </c>
      <c r="L39" s="324" t="s">
        <v>248</v>
      </c>
      <c r="M39" s="1173">
        <f>IF(סיכום!E5="תרחיש עלות עודפת מקסימלית",6*D11,140)</f>
        <v>140</v>
      </c>
      <c r="P39" s="1250"/>
      <c r="Q39" s="487" t="s">
        <v>42</v>
      </c>
      <c r="R39" s="488">
        <v>1.7000000000000001E-2</v>
      </c>
      <c r="S39" s="332"/>
      <c r="U39" s="106">
        <f t="shared" si="77"/>
        <v>2023</v>
      </c>
      <c r="V39" s="468">
        <f t="shared" si="79"/>
        <v>23636.363636363636</v>
      </c>
      <c r="W39" s="490">
        <f t="shared" si="80"/>
        <v>10.488456016282111</v>
      </c>
      <c r="X39" s="468">
        <v>6000</v>
      </c>
      <c r="Y39" s="469">
        <v>20</v>
      </c>
      <c r="Z39" s="468">
        <v>30000</v>
      </c>
      <c r="AA39" s="490">
        <f t="shared" si="81"/>
        <v>8.5814640133217281</v>
      </c>
      <c r="AB39" s="463">
        <f t="shared" si="74"/>
        <v>247.90896038484991</v>
      </c>
      <c r="AC39" s="460">
        <f t="shared" si="75"/>
        <v>120</v>
      </c>
      <c r="AD39" s="246">
        <f t="shared" si="76"/>
        <v>257.44392039965186</v>
      </c>
      <c r="AG39" s="106">
        <v>2023</v>
      </c>
      <c r="AH39" s="112">
        <v>0.20299153860559663</v>
      </c>
      <c r="AI39" s="113">
        <v>7.3958765657469325E-2</v>
      </c>
      <c r="AJ39" s="113">
        <v>0.20411017780270341</v>
      </c>
      <c r="AK39" s="113">
        <v>0.28575424892378476</v>
      </c>
      <c r="AL39" s="114">
        <v>0.1877813635784871</v>
      </c>
      <c r="AM39" s="118">
        <f t="shared" si="78"/>
        <v>0.95459609456804118</v>
      </c>
      <c r="AO39" s="196">
        <v>2022</v>
      </c>
      <c r="AP39" s="475">
        <v>0.55725042015043325</v>
      </c>
      <c r="AQ39" s="476">
        <v>0.54</v>
      </c>
      <c r="AR39" s="478">
        <v>1.0972504201504334</v>
      </c>
    </row>
    <row r="40" spans="2:44" ht="16.5" thickBot="1">
      <c r="B40" s="1195"/>
      <c r="C40" s="26" t="s">
        <v>388</v>
      </c>
      <c r="D40" s="713">
        <f>AVERAGE('התפלגות ייצור וסל דלקים'!BZ198:BZ218)</f>
        <v>5.8728858695204032E-3</v>
      </c>
      <c r="E40" s="165"/>
      <c r="G40" s="1250"/>
      <c r="H40" s="169" t="s">
        <v>89</v>
      </c>
      <c r="I40" s="175">
        <v>23.8</v>
      </c>
      <c r="J40" s="14"/>
      <c r="L40" s="323" t="s">
        <v>247</v>
      </c>
      <c r="M40" s="350">
        <v>118208</v>
      </c>
      <c r="P40" s="1250"/>
      <c r="Q40" s="333" t="s">
        <v>43</v>
      </c>
      <c r="R40" s="489">
        <v>1.7000000000000001E-2</v>
      </c>
      <c r="S40" s="334"/>
      <c r="U40" s="106">
        <f t="shared" si="77"/>
        <v>2024</v>
      </c>
      <c r="V40" s="468">
        <f t="shared" si="79"/>
        <v>23636.363636363636</v>
      </c>
      <c r="W40" s="490">
        <f t="shared" si="80"/>
        <v>10.323283480592629</v>
      </c>
      <c r="X40" s="468">
        <v>6000</v>
      </c>
      <c r="Y40" s="469">
        <v>20</v>
      </c>
      <c r="Z40" s="468">
        <v>30000</v>
      </c>
      <c r="AA40" s="490">
        <f t="shared" si="81"/>
        <v>8.4463228477576067</v>
      </c>
      <c r="AB40" s="463">
        <f t="shared" si="74"/>
        <v>244.00488226855305</v>
      </c>
      <c r="AC40" s="460">
        <f t="shared" si="75"/>
        <v>120</v>
      </c>
      <c r="AD40" s="246">
        <f t="shared" si="76"/>
        <v>253.38968543272821</v>
      </c>
      <c r="AG40" s="106">
        <v>2024</v>
      </c>
      <c r="AH40" s="112">
        <v>0.19215615013203641</v>
      </c>
      <c r="AI40" s="113">
        <v>7.0859098613643895E-2</v>
      </c>
      <c r="AJ40" s="113">
        <v>0.19813622137920966</v>
      </c>
      <c r="AK40" s="113">
        <v>0.27739070993089354</v>
      </c>
      <c r="AL40" s="114">
        <v>0.18228532366887287</v>
      </c>
      <c r="AM40" s="118">
        <f t="shared" si="78"/>
        <v>0.92082750372465627</v>
      </c>
      <c r="AO40" s="196">
        <v>2023</v>
      </c>
      <c r="AP40" s="475">
        <v>0.53239216739195216</v>
      </c>
      <c r="AQ40" s="476">
        <v>0.54</v>
      </c>
      <c r="AR40" s="478">
        <v>1.0723921673919521</v>
      </c>
    </row>
    <row r="41" spans="2:44" ht="16.5" thickBot="1">
      <c r="B41" s="1196"/>
      <c r="C41" s="714" t="s">
        <v>389</v>
      </c>
      <c r="D41" s="715">
        <f>AVERAGE('התפלגות ייצור וסל דלקים'!BZ224:BZ244)</f>
        <v>8.3528135632977645E-4</v>
      </c>
      <c r="E41" s="716"/>
      <c r="G41" s="1250"/>
      <c r="H41" s="169" t="s">
        <v>90</v>
      </c>
      <c r="I41" s="175">
        <f>I39/I40</f>
        <v>2.6470588235294117</v>
      </c>
      <c r="J41" s="14"/>
      <c r="L41" s="323" t="s">
        <v>242</v>
      </c>
      <c r="M41" s="350">
        <v>85381</v>
      </c>
      <c r="P41" s="1250"/>
      <c r="Q41" s="485" t="str">
        <f t="shared" ref="Q41:Q43" si="82">C21</f>
        <v>רוח</v>
      </c>
      <c r="R41" s="486">
        <v>1.7000000000000001E-2</v>
      </c>
      <c r="S41" s="331"/>
      <c r="U41" s="106">
        <f t="shared" si="77"/>
        <v>2025</v>
      </c>
      <c r="V41" s="468">
        <f t="shared" si="79"/>
        <v>23636.363636363636</v>
      </c>
      <c r="W41" s="490">
        <f t="shared" si="80"/>
        <v>10.160712087197469</v>
      </c>
      <c r="X41" s="468">
        <v>6000</v>
      </c>
      <c r="Y41" s="469">
        <v>20</v>
      </c>
      <c r="Z41" s="468">
        <v>30000</v>
      </c>
      <c r="AA41" s="490">
        <f t="shared" si="81"/>
        <v>8.313309889525204</v>
      </c>
      <c r="AB41" s="463">
        <f t="shared" si="74"/>
        <v>240.16228569739471</v>
      </c>
      <c r="AC41" s="460">
        <f t="shared" si="75"/>
        <v>120</v>
      </c>
      <c r="AD41" s="246">
        <f t="shared" si="76"/>
        <v>249.39929668575613</v>
      </c>
      <c r="AG41" s="106">
        <v>2025</v>
      </c>
      <c r="AH41" s="112">
        <v>0.18306612563418784</v>
      </c>
      <c r="AI41" s="113">
        <v>6.8185740873182327E-2</v>
      </c>
      <c r="AJ41" s="113">
        <v>0.1923371124607938</v>
      </c>
      <c r="AK41" s="113">
        <v>0.26927195744511129</v>
      </c>
      <c r="AL41" s="114">
        <v>0.17695014346393029</v>
      </c>
      <c r="AM41" s="118">
        <f t="shared" si="78"/>
        <v>0.88981107987720542</v>
      </c>
      <c r="AO41" s="196">
        <v>2024</v>
      </c>
      <c r="AP41" s="475">
        <v>0.50864281057658722</v>
      </c>
      <c r="AQ41" s="476">
        <v>0.54</v>
      </c>
      <c r="AR41" s="478">
        <v>1.0486428105765873</v>
      </c>
    </row>
    <row r="42" spans="2:44" ht="16.5" thickBot="1">
      <c r="G42" s="1250"/>
      <c r="H42" s="169" t="s">
        <v>91</v>
      </c>
      <c r="I42" s="180">
        <v>0.36678124619383251</v>
      </c>
      <c r="J42" s="14" t="s">
        <v>83</v>
      </c>
      <c r="L42" s="325" t="s">
        <v>239</v>
      </c>
      <c r="M42" s="351">
        <v>270760</v>
      </c>
      <c r="P42" s="1250"/>
      <c r="Q42" s="487" t="str">
        <f t="shared" si="82"/>
        <v>ביומסה/ביוגז</v>
      </c>
      <c r="R42" s="488">
        <v>1.7000000000000001E-2</v>
      </c>
      <c r="S42" s="332"/>
      <c r="U42" s="106">
        <f t="shared" si="77"/>
        <v>2026</v>
      </c>
      <c r="V42" s="468">
        <f t="shared" si="79"/>
        <v>23636.363636363636</v>
      </c>
      <c r="W42" s="490">
        <f t="shared" si="80"/>
        <v>10.000700873225854</v>
      </c>
      <c r="X42" s="468">
        <v>6000</v>
      </c>
      <c r="Y42" s="469">
        <v>20</v>
      </c>
      <c r="Z42" s="468">
        <v>30000</v>
      </c>
      <c r="AA42" s="490">
        <f t="shared" si="81"/>
        <v>8.1823916235484297</v>
      </c>
      <c r="AB42" s="463">
        <f t="shared" si="74"/>
        <v>236.38020245806564</v>
      </c>
      <c r="AC42" s="460">
        <f t="shared" si="75"/>
        <v>120</v>
      </c>
      <c r="AD42" s="246">
        <f t="shared" si="76"/>
        <v>245.4717487064529</v>
      </c>
      <c r="AG42" s="106">
        <v>2026</v>
      </c>
      <c r="AH42" s="112">
        <v>0.17485812414265581</v>
      </c>
      <c r="AI42" s="113">
        <v>6.5729939462568401E-2</v>
      </c>
      <c r="AJ42" s="113">
        <v>0.18948062069157406</v>
      </c>
      <c r="AK42" s="113">
        <v>0.26527286896820368</v>
      </c>
      <c r="AL42" s="114">
        <v>0.17432217103624811</v>
      </c>
      <c r="AM42" s="118">
        <f t="shared" si="78"/>
        <v>0.86966372430125016</v>
      </c>
      <c r="AO42" s="196">
        <v>2025</v>
      </c>
      <c r="AP42" s="475">
        <v>0.48595288322635988</v>
      </c>
      <c r="AQ42" s="476">
        <v>0.54</v>
      </c>
      <c r="AR42" s="478">
        <v>1.0259528832263598</v>
      </c>
    </row>
    <row r="43" spans="2:44" ht="15.75">
      <c r="G43" s="1250"/>
      <c r="H43" s="169" t="s">
        <v>92</v>
      </c>
      <c r="I43" s="175">
        <v>46.09</v>
      </c>
      <c r="J43" s="1135" t="s">
        <v>501</v>
      </c>
      <c r="P43" s="1250"/>
      <c r="Q43" s="487" t="str">
        <f t="shared" si="82"/>
        <v>תרמו סולארי</v>
      </c>
      <c r="R43" s="488">
        <v>1.7000000000000001E-2</v>
      </c>
      <c r="S43" s="332"/>
      <c r="U43" s="106">
        <f t="shared" si="77"/>
        <v>2027</v>
      </c>
      <c r="V43" s="468">
        <f t="shared" si="79"/>
        <v>23636.363636363636</v>
      </c>
      <c r="W43" s="490">
        <f t="shared" si="80"/>
        <v>9.8432095208915893</v>
      </c>
      <c r="X43" s="468">
        <v>6000</v>
      </c>
      <c r="Y43" s="469">
        <v>20</v>
      </c>
      <c r="Z43" s="468">
        <v>30000</v>
      </c>
      <c r="AA43" s="490">
        <f t="shared" si="81"/>
        <v>8.0535350625476667</v>
      </c>
      <c r="AB43" s="463">
        <f t="shared" si="74"/>
        <v>232.65767958471028</v>
      </c>
      <c r="AC43" s="460">
        <f t="shared" si="75"/>
        <v>120</v>
      </c>
      <c r="AD43" s="246">
        <f t="shared" si="76"/>
        <v>241.60605187643</v>
      </c>
      <c r="AG43" s="106">
        <v>2027</v>
      </c>
      <c r="AH43" s="112">
        <v>0.16714353401220239</v>
      </c>
      <c r="AI43" s="113">
        <v>6.3396414047225333E-2</v>
      </c>
      <c r="AJ43" s="113">
        <v>0.18666655206744179</v>
      </c>
      <c r="AK43" s="113">
        <v>0.26133317289441849</v>
      </c>
      <c r="AL43" s="114">
        <v>0.17173322790204643</v>
      </c>
      <c r="AM43" s="118">
        <f t="shared" si="78"/>
        <v>0.85027290092333452</v>
      </c>
      <c r="AO43" s="196">
        <v>2026</v>
      </c>
      <c r="AP43" s="475">
        <v>0.46427512550175842</v>
      </c>
      <c r="AQ43" s="476">
        <v>0.54</v>
      </c>
      <c r="AR43" s="478">
        <v>1.0042751255017586</v>
      </c>
    </row>
    <row r="44" spans="2:44" ht="16.5" thickBot="1">
      <c r="G44" s="1250"/>
      <c r="H44" s="169" t="s">
        <v>94</v>
      </c>
      <c r="I44" s="175">
        <v>10</v>
      </c>
      <c r="J44" s="14"/>
      <c r="P44" s="1251"/>
      <c r="Q44" s="567" t="str">
        <f>C24</f>
        <v>סוללות לית'יום-יון</v>
      </c>
      <c r="R44" s="489">
        <v>1.4999999999999999E-2</v>
      </c>
      <c r="S44" s="334"/>
      <c r="U44" s="106">
        <f t="shared" si="77"/>
        <v>2028</v>
      </c>
      <c r="V44" s="468">
        <f t="shared" si="79"/>
        <v>23636.363636363636</v>
      </c>
      <c r="W44" s="490">
        <f t="shared" si="80"/>
        <v>9.6881983473342412</v>
      </c>
      <c r="X44" s="468">
        <v>6000</v>
      </c>
      <c r="Y44" s="469">
        <v>20</v>
      </c>
      <c r="Z44" s="468">
        <v>30000</v>
      </c>
      <c r="AA44" s="490">
        <f t="shared" si="81"/>
        <v>7.9267077387280187</v>
      </c>
      <c r="AB44" s="463">
        <f t="shared" si="74"/>
        <v>228.99377911880933</v>
      </c>
      <c r="AC44" s="460">
        <f t="shared" si="75"/>
        <v>120</v>
      </c>
      <c r="AD44" s="246">
        <f t="shared" si="76"/>
        <v>237.80123216184057</v>
      </c>
      <c r="AG44" s="106">
        <v>2028</v>
      </c>
      <c r="AH44" s="112">
        <v>0.16034041347485681</v>
      </c>
      <c r="AI44" s="113">
        <v>6.1293987940839983E-2</v>
      </c>
      <c r="AJ44" s="113">
        <v>0.18389427654168766</v>
      </c>
      <c r="AK44" s="113">
        <v>0.25745198715836276</v>
      </c>
      <c r="AL44" s="114">
        <v>0.16918273441835266</v>
      </c>
      <c r="AM44" s="118">
        <f t="shared" si="78"/>
        <v>0.8321633995340999</v>
      </c>
      <c r="AO44" s="196">
        <v>2027</v>
      </c>
      <c r="AP44" s="475">
        <v>0.44356438576632201</v>
      </c>
      <c r="AQ44" s="476">
        <v>0.54</v>
      </c>
      <c r="AR44" s="478">
        <v>0.9835643857663221</v>
      </c>
    </row>
    <row r="45" spans="2:44" ht="16.5" thickBot="1">
      <c r="G45" s="1250"/>
      <c r="H45" s="169" t="s">
        <v>93</v>
      </c>
      <c r="I45" s="175">
        <f>(((I43+I44*D11)/I40)/I42)*I9*D15/D13</f>
        <v>3.1946574692121619</v>
      </c>
      <c r="J45" s="14" t="s">
        <v>77</v>
      </c>
      <c r="L45" s="1263" t="s">
        <v>390</v>
      </c>
      <c r="M45" s="1264"/>
      <c r="U45" s="106">
        <f t="shared" si="77"/>
        <v>2029</v>
      </c>
      <c r="V45" s="468">
        <f t="shared" si="79"/>
        <v>23636.363636363636</v>
      </c>
      <c r="W45" s="490">
        <f t="shared" si="80"/>
        <v>9.5356282946203166</v>
      </c>
      <c r="X45" s="468">
        <v>6000</v>
      </c>
      <c r="Y45" s="469">
        <v>20</v>
      </c>
      <c r="Z45" s="468">
        <v>30000</v>
      </c>
      <c r="AA45" s="490">
        <f t="shared" si="81"/>
        <v>7.8018776955984439</v>
      </c>
      <c r="AB45" s="463">
        <f t="shared" si="74"/>
        <v>225.38757787284382</v>
      </c>
      <c r="AC45" s="460">
        <f t="shared" si="75"/>
        <v>120</v>
      </c>
      <c r="AD45" s="246">
        <f t="shared" si="76"/>
        <v>234.05633086795331</v>
      </c>
      <c r="AG45" s="106">
        <v>2029</v>
      </c>
      <c r="AH45" s="112">
        <v>0.15340403418442189</v>
      </c>
      <c r="AI45" s="113">
        <v>5.9156396263565232E-2</v>
      </c>
      <c r="AJ45" s="113">
        <v>0.1811631734247319</v>
      </c>
      <c r="AK45" s="113">
        <v>0.25362844279462465</v>
      </c>
      <c r="AL45" s="114">
        <v>0.16667011955075334</v>
      </c>
      <c r="AM45" s="118">
        <f>SUM(AH45:AL45)</f>
        <v>0.81402216621809709</v>
      </c>
      <c r="AO45" s="196">
        <v>2028</v>
      </c>
      <c r="AP45" s="475">
        <v>0.42377752654230738</v>
      </c>
      <c r="AQ45" s="476">
        <v>0.54</v>
      </c>
      <c r="AR45" s="478">
        <v>0.96377752654230742</v>
      </c>
    </row>
    <row r="46" spans="2:44" ht="15.75">
      <c r="G46" s="1250"/>
      <c r="H46" s="169" t="s">
        <v>95</v>
      </c>
      <c r="I46" s="175">
        <v>0.49310355731225297</v>
      </c>
      <c r="J46" s="14" t="s">
        <v>83</v>
      </c>
      <c r="L46" s="326" t="s">
        <v>357</v>
      </c>
      <c r="M46" s="233">
        <v>450000000</v>
      </c>
      <c r="U46" s="106">
        <f t="shared" si="77"/>
        <v>2030</v>
      </c>
      <c r="V46" s="468">
        <f t="shared" si="79"/>
        <v>23636.363636363636</v>
      </c>
      <c r="W46" s="490">
        <f t="shared" si="80"/>
        <v>9.3854609199018864</v>
      </c>
      <c r="X46" s="468">
        <v>6000</v>
      </c>
      <c r="Y46" s="469">
        <v>20</v>
      </c>
      <c r="Z46" s="468">
        <v>30000</v>
      </c>
      <c r="AA46" s="490">
        <f t="shared" si="81"/>
        <v>7.6790134799197283</v>
      </c>
      <c r="AB46" s="463">
        <f t="shared" si="74"/>
        <v>221.83816719768095</v>
      </c>
      <c r="AC46" s="460">
        <f t="shared" si="75"/>
        <v>120</v>
      </c>
      <c r="AD46" s="246">
        <f t="shared" si="76"/>
        <v>230.37040439759187</v>
      </c>
      <c r="AG46" s="106">
        <v>2030</v>
      </c>
      <c r="AH46" s="112">
        <v>0.14673305458659416</v>
      </c>
      <c r="AI46" s="113">
        <v>5.7085493139340575E-2</v>
      </c>
      <c r="AJ46" s="113">
        <v>0.17847263124515667</v>
      </c>
      <c r="AK46" s="113">
        <v>0.24986168374321932</v>
      </c>
      <c r="AL46" s="114">
        <v>0.16419482074554412</v>
      </c>
      <c r="AM46" s="118">
        <f t="shared" ref="AM46:AM56" si="83">SUM(AH46:AL46)</f>
        <v>0.79634768345985485</v>
      </c>
      <c r="AO46" s="196">
        <v>2029</v>
      </c>
      <c r="AP46" s="475">
        <v>0.40487333466155695</v>
      </c>
      <c r="AQ46" s="476">
        <v>0.54</v>
      </c>
      <c r="AR46" s="478">
        <v>0.94487333466155699</v>
      </c>
    </row>
    <row r="47" spans="2:44" ht="16.5" thickBot="1">
      <c r="G47" s="1250"/>
      <c r="H47" s="170" t="s">
        <v>203</v>
      </c>
      <c r="I47" s="1136">
        <f>((I41*I9*D11/I42)*D15/D13)+I45+I46</f>
        <v>12.464721411227444</v>
      </c>
      <c r="J47" s="19" t="s">
        <v>77</v>
      </c>
      <c r="L47" s="327" t="s">
        <v>358</v>
      </c>
      <c r="M47" s="236">
        <v>60000000</v>
      </c>
      <c r="U47" s="106">
        <f t="shared" si="77"/>
        <v>2031</v>
      </c>
      <c r="V47" s="468">
        <f t="shared" si="79"/>
        <v>23636.363636363636</v>
      </c>
      <c r="W47" s="490">
        <f t="shared" si="80"/>
        <v>9.237658385730203</v>
      </c>
      <c r="X47" s="468">
        <v>6000</v>
      </c>
      <c r="Y47" s="469">
        <v>20</v>
      </c>
      <c r="Z47" s="468">
        <v>30000</v>
      </c>
      <c r="AA47" s="490">
        <f t="shared" si="81"/>
        <v>7.5580841337792597</v>
      </c>
      <c r="AB47" s="463">
        <f t="shared" si="74"/>
        <v>218.34465275362297</v>
      </c>
      <c r="AC47" s="460">
        <f t="shared" si="75"/>
        <v>120</v>
      </c>
      <c r="AD47" s="246">
        <f t="shared" si="76"/>
        <v>226.74252401337779</v>
      </c>
      <c r="AG47" s="106">
        <v>2031</v>
      </c>
      <c r="AH47" s="112">
        <v>0.14026584317140237</v>
      </c>
      <c r="AI47" s="113">
        <v>5.5065431558326473E-2</v>
      </c>
      <c r="AJ47" s="113">
        <v>0.17582204761280287</v>
      </c>
      <c r="AK47" s="113">
        <v>0.24615086665792399</v>
      </c>
      <c r="AL47" s="114">
        <v>0.16175628380377863</v>
      </c>
      <c r="AM47" s="118">
        <f t="shared" si="83"/>
        <v>0.77906047280423429</v>
      </c>
      <c r="AO47" s="196">
        <v>2030</v>
      </c>
      <c r="AP47" s="475">
        <v>0.38681243542442562</v>
      </c>
      <c r="AQ47" s="476">
        <v>0.54</v>
      </c>
      <c r="AR47" s="478">
        <v>0.9268124354244256</v>
      </c>
    </row>
    <row r="48" spans="2:44" ht="16.5" thickBot="1">
      <c r="B48" s="31"/>
      <c r="C48" s="31"/>
      <c r="D48" s="31"/>
      <c r="E48" s="31"/>
      <c r="F48" s="31"/>
      <c r="G48" s="286" t="s">
        <v>355</v>
      </c>
      <c r="H48" s="681" t="s">
        <v>32</v>
      </c>
      <c r="I48" s="682">
        <v>33.751294580477023</v>
      </c>
      <c r="J48" s="683" t="s">
        <v>354</v>
      </c>
      <c r="L48" s="327" t="s">
        <v>359</v>
      </c>
      <c r="M48" s="236">
        <v>8000000</v>
      </c>
      <c r="U48" s="106">
        <f t="shared" si="77"/>
        <v>2032</v>
      </c>
      <c r="V48" s="468">
        <f t="shared" si="79"/>
        <v>23636.363636363636</v>
      </c>
      <c r="W48" s="490">
        <f t="shared" si="80"/>
        <v>9.0921834505218531</v>
      </c>
      <c r="X48" s="468">
        <v>6000</v>
      </c>
      <c r="Y48" s="469">
        <v>20</v>
      </c>
      <c r="Z48" s="468">
        <v>30000</v>
      </c>
      <c r="AA48" s="490">
        <f t="shared" si="81"/>
        <v>7.43905918679061</v>
      </c>
      <c r="AB48" s="463">
        <f t="shared" si="74"/>
        <v>214.906154285062</v>
      </c>
      <c r="AC48" s="460">
        <f t="shared" si="75"/>
        <v>120</v>
      </c>
      <c r="AD48" s="246">
        <f t="shared" si="76"/>
        <v>223.17177560371829</v>
      </c>
      <c r="AG48" s="106">
        <v>2032</v>
      </c>
      <c r="AH48" s="112">
        <v>0.13393589708566694</v>
      </c>
      <c r="AI48" s="113">
        <v>5.3078589157169197E-2</v>
      </c>
      <c r="AJ48" s="113">
        <v>0.17321082908389987</v>
      </c>
      <c r="AK48" s="113">
        <v>0.2424951607174598</v>
      </c>
      <c r="AL48" s="114">
        <v>0.15935396275718788</v>
      </c>
      <c r="AM48" s="118">
        <f t="shared" si="83"/>
        <v>0.76207443880138359</v>
      </c>
      <c r="AO48" s="196">
        <v>2031</v>
      </c>
      <c r="AP48" s="475">
        <v>0.36955721058797197</v>
      </c>
      <c r="AQ48" s="476">
        <v>0.54</v>
      </c>
      <c r="AR48" s="478">
        <v>0.90955721058797201</v>
      </c>
    </row>
    <row r="49" spans="2:44" ht="16.5" thickBot="1">
      <c r="B49" s="31"/>
      <c r="C49" s="162"/>
      <c r="D49" s="31"/>
      <c r="E49" s="31"/>
      <c r="F49" s="31"/>
      <c r="G49" s="1249" t="s">
        <v>2</v>
      </c>
      <c r="H49" s="524" t="str">
        <f t="shared" ref="H49:H56" si="84">C25</f>
        <v>גז במחזמים חדשים</v>
      </c>
      <c r="I49" s="407">
        <f>0.2*12%+0.8*1.19%</f>
        <v>3.3520000000000001E-2</v>
      </c>
      <c r="J49" s="18" t="s">
        <v>8</v>
      </c>
      <c r="K49" s="31"/>
      <c r="L49" s="67" t="s">
        <v>360</v>
      </c>
      <c r="M49" s="239">
        <v>3000000</v>
      </c>
      <c r="Q49" s="1183" t="s">
        <v>210</v>
      </c>
      <c r="R49" s="1185"/>
      <c r="U49" s="106">
        <f t="shared" si="77"/>
        <v>2033</v>
      </c>
      <c r="V49" s="468">
        <f t="shared" si="79"/>
        <v>23636.363636363636</v>
      </c>
      <c r="W49" s="490">
        <f t="shared" si="80"/>
        <v>8.9489994591750524</v>
      </c>
      <c r="X49" s="468">
        <v>6000</v>
      </c>
      <c r="Y49" s="469">
        <v>20</v>
      </c>
      <c r="Z49" s="468">
        <v>30000</v>
      </c>
      <c r="AA49" s="490">
        <f t="shared" si="81"/>
        <v>7.3219086484159543</v>
      </c>
      <c r="AB49" s="463">
        <f t="shared" si="74"/>
        <v>211.52180539868306</v>
      </c>
      <c r="AC49" s="460">
        <f t="shared" si="75"/>
        <v>120</v>
      </c>
      <c r="AD49" s="246">
        <f t="shared" si="76"/>
        <v>219.65725945247863</v>
      </c>
      <c r="AG49" s="106">
        <v>2033</v>
      </c>
      <c r="AH49" s="112">
        <v>0.12854337076252187</v>
      </c>
      <c r="AI49" s="113">
        <v>5.1338694602590877E-2</v>
      </c>
      <c r="AJ49" s="113">
        <v>0.17063839102819836</v>
      </c>
      <c r="AK49" s="113">
        <v>0.23889374743947767</v>
      </c>
      <c r="AL49" s="114">
        <v>0.15698731974594249</v>
      </c>
      <c r="AM49" s="118">
        <f t="shared" si="83"/>
        <v>0.74640152357873124</v>
      </c>
      <c r="AO49" s="196">
        <v>2032</v>
      </c>
      <c r="AP49" s="475">
        <v>0.35307172001259468</v>
      </c>
      <c r="AQ49" s="476">
        <v>0.54</v>
      </c>
      <c r="AR49" s="478">
        <v>0.89307172001259472</v>
      </c>
    </row>
    <row r="50" spans="2:44" ht="30.75" thickBot="1">
      <c r="B50" s="31"/>
      <c r="C50" s="162"/>
      <c r="D50" s="31"/>
      <c r="E50" s="31"/>
      <c r="F50" s="31"/>
      <c r="G50" s="1250"/>
      <c r="H50" s="525" t="str">
        <f t="shared" si="84"/>
        <v>גז בפיקרים חדשים</v>
      </c>
      <c r="I50" s="406">
        <f>0.2*11%+0.8*1.19%</f>
        <v>3.1520000000000006E-2</v>
      </c>
      <c r="J50" s="14" t="s">
        <v>8</v>
      </c>
      <c r="K50" s="31"/>
      <c r="P50" s="255" t="s">
        <v>0</v>
      </c>
      <c r="Q50" s="275" t="s">
        <v>209</v>
      </c>
      <c r="R50" s="275" t="s">
        <v>82</v>
      </c>
      <c r="U50" s="106">
        <f t="shared" si="77"/>
        <v>2034</v>
      </c>
      <c r="V50" s="468">
        <f t="shared" si="79"/>
        <v>23636.363636363636</v>
      </c>
      <c r="W50" s="490">
        <f t="shared" si="80"/>
        <v>8.8080703338337134</v>
      </c>
      <c r="X50" s="468">
        <v>6000</v>
      </c>
      <c r="Y50" s="469">
        <v>20</v>
      </c>
      <c r="Z50" s="468">
        <v>30000</v>
      </c>
      <c r="AA50" s="490">
        <f t="shared" si="81"/>
        <v>7.2066030004094035</v>
      </c>
      <c r="AB50" s="463">
        <f t="shared" si="74"/>
        <v>208.19075334516049</v>
      </c>
      <c r="AC50" s="460">
        <f t="shared" si="75"/>
        <v>120</v>
      </c>
      <c r="AD50" s="246">
        <f t="shared" si="76"/>
        <v>216.19809001228211</v>
      </c>
      <c r="AG50" s="106">
        <v>2034</v>
      </c>
      <c r="AH50" s="112">
        <v>0.12335975130657542</v>
      </c>
      <c r="AI50" s="113">
        <v>4.9654237163355777E-2</v>
      </c>
      <c r="AJ50" s="113">
        <v>0.16810415749807658</v>
      </c>
      <c r="AK50" s="113">
        <v>0.23534582049730721</v>
      </c>
      <c r="AL50" s="114">
        <v>0.15465582489823046</v>
      </c>
      <c r="AM50" s="118">
        <f t="shared" si="83"/>
        <v>0.73111979136354555</v>
      </c>
      <c r="AO50" s="196">
        <v>2033</v>
      </c>
      <c r="AP50" s="475">
        <v>0.33732162680391592</v>
      </c>
      <c r="AQ50" s="476">
        <v>0.54</v>
      </c>
      <c r="AR50" s="478">
        <v>0.8773216268039159</v>
      </c>
    </row>
    <row r="51" spans="2:44" ht="15.75">
      <c r="B51" s="31"/>
      <c r="C51" s="162"/>
      <c r="D51" s="31"/>
      <c r="E51" s="31"/>
      <c r="F51" s="31"/>
      <c r="G51" s="1250"/>
      <c r="H51" s="525" t="str">
        <f t="shared" si="84"/>
        <v>מוטה קרקע PV</v>
      </c>
      <c r="I51" s="406">
        <f>M12*SUMPRODUCT(I61:I63,J61:J63)+(1-M12)*SUMPRODUCT(I61:I63,K61:K63)</f>
        <v>3.1755633651151478E-2</v>
      </c>
      <c r="J51" s="14"/>
      <c r="K51" s="31"/>
      <c r="P51" s="256">
        <f>P12</f>
        <v>2020</v>
      </c>
      <c r="Q51" s="272">
        <f t="shared" ref="Q51:Q71" si="85">6500/8760</f>
        <v>0.74200913242009137</v>
      </c>
      <c r="R51" s="276">
        <f>1500/8760</f>
        <v>0.17123287671232876</v>
      </c>
      <c r="U51" s="106">
        <f t="shared" si="77"/>
        <v>2035</v>
      </c>
      <c r="V51" s="468">
        <f t="shared" si="79"/>
        <v>23636.363636363636</v>
      </c>
      <c r="W51" s="490">
        <f t="shared" si="80"/>
        <v>8.6693605647969623</v>
      </c>
      <c r="X51" s="468">
        <v>6000</v>
      </c>
      <c r="Y51" s="469">
        <v>20</v>
      </c>
      <c r="Z51" s="468">
        <v>30000</v>
      </c>
      <c r="AA51" s="490">
        <f t="shared" si="81"/>
        <v>7.0931131893793342</v>
      </c>
      <c r="AB51" s="463">
        <f t="shared" si="74"/>
        <v>204.91215880429183</v>
      </c>
      <c r="AC51" s="460">
        <f t="shared" si="75"/>
        <v>120</v>
      </c>
      <c r="AD51" s="246">
        <f t="shared" si="76"/>
        <v>212.79339568138002</v>
      </c>
      <c r="AG51" s="106">
        <v>2035</v>
      </c>
      <c r="AH51" s="112">
        <v>0.11867424825986093</v>
      </c>
      <c r="AI51" s="113">
        <v>4.8104000900584656E-2</v>
      </c>
      <c r="AJ51" s="113">
        <v>0.16560756109959029</v>
      </c>
      <c r="AK51" s="113">
        <v>0.23185058553942642</v>
      </c>
      <c r="AL51" s="114">
        <v>0.15235895621162307</v>
      </c>
      <c r="AM51" s="118">
        <f t="shared" si="83"/>
        <v>0.71659535201108537</v>
      </c>
      <c r="AO51" s="196">
        <v>2034</v>
      </c>
      <c r="AP51" s="475">
        <v>0.32227412579399273</v>
      </c>
      <c r="AQ51" s="476">
        <v>0.54</v>
      </c>
      <c r="AR51" s="478">
        <v>0.86227412579399276</v>
      </c>
    </row>
    <row r="52" spans="2:44" ht="15.75">
      <c r="B52" s="31"/>
      <c r="C52" s="162"/>
      <c r="D52" s="31"/>
      <c r="E52" s="31"/>
      <c r="F52" s="31"/>
      <c r="G52" s="1250"/>
      <c r="H52" s="525" t="str">
        <f t="shared" si="84"/>
        <v>מוטה דואלי PV</v>
      </c>
      <c r="I52" s="406">
        <f>N12*SUMPRODUCT(I61:I63,J61:J63)+(1-N12)*SUMPRODUCT(I61:I63,K61:K63)</f>
        <v>3.2229983067023182E-2</v>
      </c>
      <c r="J52" s="14"/>
      <c r="K52" s="31"/>
      <c r="P52" s="257">
        <f>+P51+1</f>
        <v>2021</v>
      </c>
      <c r="Q52" s="273">
        <f t="shared" si="85"/>
        <v>0.74200913242009137</v>
      </c>
      <c r="R52" s="277">
        <f t="shared" ref="R52:R71" si="86">1500/8760</f>
        <v>0.17123287671232876</v>
      </c>
      <c r="U52" s="106">
        <f t="shared" si="77"/>
        <v>2036</v>
      </c>
      <c r="V52" s="468">
        <f t="shared" si="79"/>
        <v>23636.363636363636</v>
      </c>
      <c r="W52" s="490">
        <f t="shared" si="80"/>
        <v>8.5328352015718139</v>
      </c>
      <c r="X52" s="468">
        <v>6000</v>
      </c>
      <c r="Y52" s="469">
        <v>20</v>
      </c>
      <c r="Z52" s="468">
        <v>30000</v>
      </c>
      <c r="AA52" s="490">
        <f t="shared" si="81"/>
        <v>6.9814106194678489</v>
      </c>
      <c r="AB52" s="463">
        <f t="shared" si="74"/>
        <v>201.68519567351558</v>
      </c>
      <c r="AC52" s="460">
        <f t="shared" si="75"/>
        <v>120</v>
      </c>
      <c r="AD52" s="246">
        <f t="shared" si="76"/>
        <v>209.44231858403546</v>
      </c>
      <c r="AG52" s="106">
        <v>2036</v>
      </c>
      <c r="AH52" s="112">
        <v>0.11450513574312547</v>
      </c>
      <c r="AI52" s="113">
        <v>4.6694919447869077E-2</v>
      </c>
      <c r="AJ52" s="113">
        <v>0.16314804286543796</v>
      </c>
      <c r="AK52" s="113">
        <v>0.22840726001161316</v>
      </c>
      <c r="AL52" s="114">
        <v>0.15009619943620295</v>
      </c>
      <c r="AM52" s="118">
        <f t="shared" si="83"/>
        <v>0.70285155750424866</v>
      </c>
      <c r="AO52" s="196">
        <v>2035</v>
      </c>
      <c r="AP52" s="475">
        <v>0.30789787521289325</v>
      </c>
      <c r="AQ52" s="476">
        <v>0.54</v>
      </c>
      <c r="AR52" s="478">
        <v>0.84789787521289328</v>
      </c>
    </row>
    <row r="53" spans="2:44" ht="15.75">
      <c r="B53" s="31"/>
      <c r="C53" s="162"/>
      <c r="D53" s="31"/>
      <c r="E53" s="31"/>
      <c r="F53" s="31"/>
      <c r="G53" s="1250"/>
      <c r="H53" s="525" t="str">
        <f t="shared" si="84"/>
        <v>רוח</v>
      </c>
      <c r="I53" s="406">
        <f>0.2*10%+0.8*2.15%</f>
        <v>3.7200000000000004E-2</v>
      </c>
      <c r="J53" s="14"/>
      <c r="P53" s="257">
        <f t="shared" ref="P53:P71" si="87">+P52+1</f>
        <v>2022</v>
      </c>
      <c r="Q53" s="273">
        <f t="shared" si="85"/>
        <v>0.74200913242009137</v>
      </c>
      <c r="R53" s="277">
        <f t="shared" si="86"/>
        <v>0.17123287671232876</v>
      </c>
      <c r="U53" s="106">
        <f t="shared" si="77"/>
        <v>2037</v>
      </c>
      <c r="V53" s="468">
        <f t="shared" si="79"/>
        <v>23636.363636363636</v>
      </c>
      <c r="W53" s="490">
        <f t="shared" si="80"/>
        <v>8.3984598440667462</v>
      </c>
      <c r="X53" s="468">
        <v>6000</v>
      </c>
      <c r="Y53" s="469">
        <v>20</v>
      </c>
      <c r="Z53" s="468">
        <v>30000</v>
      </c>
      <c r="AA53" s="490">
        <f t="shared" si="81"/>
        <v>6.8714671451455205</v>
      </c>
      <c r="AB53" s="463">
        <f t="shared" si="74"/>
        <v>198.50905085975944</v>
      </c>
      <c r="AC53" s="460">
        <f t="shared" si="75"/>
        <v>120</v>
      </c>
      <c r="AD53" s="246">
        <f t="shared" si="76"/>
        <v>206.14401435436562</v>
      </c>
      <c r="AG53" s="106">
        <v>2037</v>
      </c>
      <c r="AH53" s="112">
        <v>0.11113521139072643</v>
      </c>
      <c r="AI53" s="113">
        <v>4.5506280045235943E-2</v>
      </c>
      <c r="AJ53" s="113">
        <v>0.16072505212981264</v>
      </c>
      <c r="AK53" s="113">
        <v>0.2250150729817377</v>
      </c>
      <c r="AL53" s="114">
        <v>0.14786704795942762</v>
      </c>
      <c r="AM53" s="118">
        <f t="shared" si="83"/>
        <v>0.69024866450694033</v>
      </c>
      <c r="AO53" s="196">
        <v>2036</v>
      </c>
      <c r="AP53" s="475">
        <v>0.29416293140831939</v>
      </c>
      <c r="AQ53" s="476">
        <v>0.54</v>
      </c>
      <c r="AR53" s="478">
        <v>0.83416293140831943</v>
      </c>
    </row>
    <row r="54" spans="2:44" ht="15.75">
      <c r="B54" s="31"/>
      <c r="C54" s="162"/>
      <c r="D54" s="31"/>
      <c r="E54" s="31"/>
      <c r="F54" s="31"/>
      <c r="G54" s="1250"/>
      <c r="H54" s="525" t="str">
        <f t="shared" si="84"/>
        <v>ביומסה/ביוגז</v>
      </c>
      <c r="I54" s="406">
        <f>0.2*10%+0.8*2.15%</f>
        <v>3.7200000000000004E-2</v>
      </c>
      <c r="J54" s="14"/>
      <c r="P54" s="257">
        <f t="shared" si="87"/>
        <v>2023</v>
      </c>
      <c r="Q54" s="273">
        <f t="shared" si="85"/>
        <v>0.74200913242009137</v>
      </c>
      <c r="R54" s="277">
        <f t="shared" si="86"/>
        <v>0.17123287671232876</v>
      </c>
      <c r="U54" s="106">
        <f t="shared" si="77"/>
        <v>2038</v>
      </c>
      <c r="V54" s="468">
        <f t="shared" si="79"/>
        <v>23636.363636363636</v>
      </c>
      <c r="W54" s="490">
        <f t="shared" si="80"/>
        <v>8.2662006339239635</v>
      </c>
      <c r="X54" s="468">
        <v>6000</v>
      </c>
      <c r="Y54" s="469">
        <v>20</v>
      </c>
      <c r="Z54" s="468">
        <v>30000</v>
      </c>
      <c r="AA54" s="490">
        <f t="shared" si="81"/>
        <v>6.7632550641196065</v>
      </c>
      <c r="AB54" s="463">
        <f t="shared" si="74"/>
        <v>195.3829240745664</v>
      </c>
      <c r="AC54" s="460">
        <f t="shared" si="75"/>
        <v>120</v>
      </c>
      <c r="AD54" s="246">
        <f t="shared" si="76"/>
        <v>202.8976519235882</v>
      </c>
      <c r="AG54" s="106">
        <v>2038</v>
      </c>
      <c r="AH54" s="112">
        <v>0.1080939157803511</v>
      </c>
      <c r="AI54" s="113">
        <v>4.441113794516334E-2</v>
      </c>
      <c r="AJ54" s="113">
        <v>0.15833804640511248</v>
      </c>
      <c r="AK54" s="113">
        <v>0.22167326496715742</v>
      </c>
      <c r="AL54" s="114">
        <v>0.14567100269270344</v>
      </c>
      <c r="AM54" s="118">
        <f t="shared" si="83"/>
        <v>0.67818736779048772</v>
      </c>
      <c r="AO54" s="196">
        <v>2037</v>
      </c>
      <c r="AP54" s="475">
        <v>0.28104068647730668</v>
      </c>
      <c r="AQ54" s="476">
        <v>0.54</v>
      </c>
      <c r="AR54" s="478">
        <v>0.82104068647730677</v>
      </c>
    </row>
    <row r="55" spans="2:44" ht="15.75">
      <c r="B55" s="31"/>
      <c r="C55" s="162"/>
      <c r="D55" s="31"/>
      <c r="E55" s="31"/>
      <c r="F55" s="31"/>
      <c r="G55" s="1250"/>
      <c r="H55" s="525" t="str">
        <f t="shared" si="84"/>
        <v>תרמו סולארי</v>
      </c>
      <c r="I55" s="406">
        <f>0.2*10%+0.8*2.15%</f>
        <v>3.7200000000000004E-2</v>
      </c>
      <c r="J55" s="14"/>
      <c r="P55" s="257">
        <f t="shared" si="87"/>
        <v>2024</v>
      </c>
      <c r="Q55" s="273">
        <f t="shared" si="85"/>
        <v>0.74200913242009137</v>
      </c>
      <c r="R55" s="277">
        <f t="shared" si="86"/>
        <v>0.17123287671232876</v>
      </c>
      <c r="U55" s="106">
        <f t="shared" si="77"/>
        <v>2039</v>
      </c>
      <c r="V55" s="468">
        <f t="shared" si="79"/>
        <v>23636.363636363636</v>
      </c>
      <c r="W55" s="490">
        <f t="shared" si="80"/>
        <v>8.1360242459881533</v>
      </c>
      <c r="X55" s="468">
        <v>6000</v>
      </c>
      <c r="Y55" s="469">
        <v>20</v>
      </c>
      <c r="Z55" s="468">
        <v>30000</v>
      </c>
      <c r="AA55" s="490">
        <f t="shared" si="81"/>
        <v>6.6567471103539431</v>
      </c>
      <c r="AB55" s="463">
        <f t="shared" si="74"/>
        <v>192.30602763244724</v>
      </c>
      <c r="AC55" s="460">
        <f t="shared" si="75"/>
        <v>120</v>
      </c>
      <c r="AD55" s="246">
        <f t="shared" si="76"/>
        <v>199.70241331061828</v>
      </c>
      <c r="AG55" s="106">
        <v>2039</v>
      </c>
      <c r="AH55" s="112">
        <v>0.10518258921885963</v>
      </c>
      <c r="AI55" s="113">
        <v>4.3355396232327502E-2</v>
      </c>
      <c r="AJ55" s="113">
        <v>0.15598649126048209</v>
      </c>
      <c r="AK55" s="113">
        <v>0.21838108776467491</v>
      </c>
      <c r="AL55" s="114">
        <v>0.14350757195964353</v>
      </c>
      <c r="AM55" s="118">
        <f t="shared" si="83"/>
        <v>0.66641313643598754</v>
      </c>
      <c r="AO55" s="196">
        <v>2038</v>
      </c>
      <c r="AP55" s="475">
        <v>0.26850380868009666</v>
      </c>
      <c r="AQ55" s="476">
        <v>0.54</v>
      </c>
      <c r="AR55" s="478">
        <v>0.80850380868009664</v>
      </c>
    </row>
    <row r="56" spans="2:44" ht="16.5" thickBot="1">
      <c r="B56" s="31"/>
      <c r="C56" s="162"/>
      <c r="D56" s="31"/>
      <c r="E56" s="31"/>
      <c r="F56" s="31"/>
      <c r="G56" s="1251"/>
      <c r="H56" s="526" t="str">
        <f t="shared" si="84"/>
        <v>סוללות לית'יום-יון</v>
      </c>
      <c r="I56" s="842">
        <f>0.2*12%+0.8*3%</f>
        <v>4.8000000000000001E-2</v>
      </c>
      <c r="J56" s="843"/>
      <c r="K56" s="31"/>
      <c r="P56" s="257">
        <f t="shared" si="87"/>
        <v>2025</v>
      </c>
      <c r="Q56" s="273">
        <f t="shared" si="85"/>
        <v>0.74200913242009137</v>
      </c>
      <c r="R56" s="277">
        <f t="shared" si="86"/>
        <v>0.17123287671232876</v>
      </c>
      <c r="U56" s="107">
        <f t="shared" si="77"/>
        <v>2040</v>
      </c>
      <c r="V56" s="470">
        <f t="shared" si="79"/>
        <v>23636.363636363636</v>
      </c>
      <c r="W56" s="491">
        <f t="shared" si="80"/>
        <v>8.0078978799095992</v>
      </c>
      <c r="X56" s="470">
        <v>6000</v>
      </c>
      <c r="Y56" s="471">
        <v>20</v>
      </c>
      <c r="Z56" s="470">
        <v>30000</v>
      </c>
      <c r="AA56" s="491">
        <f t="shared" si="81"/>
        <v>6.5519164471987628</v>
      </c>
      <c r="AB56" s="464">
        <f t="shared" si="74"/>
        <v>189.27758625240872</v>
      </c>
      <c r="AC56" s="465">
        <f t="shared" si="75"/>
        <v>120</v>
      </c>
      <c r="AD56" s="247">
        <f t="shared" si="76"/>
        <v>196.55749341596288</v>
      </c>
      <c r="AG56" s="107">
        <v>2040</v>
      </c>
      <c r="AH56" s="115">
        <v>0.10228640612682199</v>
      </c>
      <c r="AI56" s="116">
        <v>4.2307423020788423E-2</v>
      </c>
      <c r="AJ56" s="116">
        <v>0.15366986020215812</v>
      </c>
      <c r="AK56" s="116">
        <v>0.21513780428302132</v>
      </c>
      <c r="AL56" s="117">
        <v>0.14137627138598544</v>
      </c>
      <c r="AM56" s="118">
        <f t="shared" si="83"/>
        <v>0.65477776501877527</v>
      </c>
      <c r="AO56" s="196">
        <v>2039</v>
      </c>
      <c r="AP56" s="475">
        <v>0.25652618551207312</v>
      </c>
      <c r="AQ56" s="476">
        <v>0.54</v>
      </c>
      <c r="AR56" s="478">
        <v>0.7965261855120731</v>
      </c>
    </row>
    <row r="57" spans="2:44" ht="16.5" thickBot="1">
      <c r="B57" s="31"/>
      <c r="C57" s="162"/>
      <c r="D57" s="31"/>
      <c r="E57" s="31"/>
      <c r="F57" s="31"/>
      <c r="G57" s="1194" t="s">
        <v>416</v>
      </c>
      <c r="H57" s="168" t="s">
        <v>417</v>
      </c>
      <c r="I57" s="407">
        <v>3.5000000000000003E-2</v>
      </c>
      <c r="J57" s="844"/>
      <c r="K57" s="31"/>
      <c r="P57" s="257">
        <f t="shared" si="87"/>
        <v>2026</v>
      </c>
      <c r="Q57" s="273">
        <f t="shared" si="85"/>
        <v>0.74200913242009137</v>
      </c>
      <c r="R57" s="277">
        <f t="shared" si="86"/>
        <v>0.17123287671232876</v>
      </c>
      <c r="AO57" s="197">
        <v>2040</v>
      </c>
      <c r="AP57" s="545">
        <v>0.24508286931518869</v>
      </c>
      <c r="AQ57" s="546">
        <v>0.54</v>
      </c>
      <c r="AR57" s="547">
        <v>0.78508286931518878</v>
      </c>
    </row>
    <row r="58" spans="2:44" ht="18.75" thickBot="1">
      <c r="B58" s="31"/>
      <c r="C58" s="162"/>
      <c r="D58" s="31"/>
      <c r="E58" s="31"/>
      <c r="F58" s="31"/>
      <c r="G58" s="1196"/>
      <c r="H58" s="170" t="s">
        <v>418</v>
      </c>
      <c r="I58" s="441">
        <v>45</v>
      </c>
      <c r="J58" s="845"/>
      <c r="K58" s="31"/>
      <c r="P58" s="257">
        <f t="shared" si="87"/>
        <v>2027</v>
      </c>
      <c r="Q58" s="273">
        <f t="shared" si="85"/>
        <v>0.74200913242009137</v>
      </c>
      <c r="R58" s="277">
        <f t="shared" si="86"/>
        <v>0.17123287671232876</v>
      </c>
      <c r="AG58" s="1246" t="s">
        <v>213</v>
      </c>
      <c r="AH58" s="1247"/>
      <c r="AI58" s="1247"/>
      <c r="AJ58" s="1247"/>
      <c r="AK58" s="1247"/>
      <c r="AL58" s="1247"/>
      <c r="AM58" s="1248"/>
    </row>
    <row r="59" spans="2:44" ht="30.75" thickBot="1">
      <c r="B59" s="31"/>
      <c r="C59" s="162"/>
      <c r="D59" s="31"/>
      <c r="E59" s="31"/>
      <c r="F59" s="31"/>
      <c r="P59" s="257">
        <f t="shared" si="87"/>
        <v>2028</v>
      </c>
      <c r="Q59" s="273">
        <f t="shared" si="85"/>
        <v>0.74200913242009137</v>
      </c>
      <c r="R59" s="277">
        <f t="shared" si="86"/>
        <v>0.17123287671232876</v>
      </c>
      <c r="AG59" s="200" t="s">
        <v>48</v>
      </c>
      <c r="AH59" s="200" t="s">
        <v>49</v>
      </c>
      <c r="AI59" s="200" t="s">
        <v>50</v>
      </c>
      <c r="AJ59" s="200" t="s">
        <v>214</v>
      </c>
      <c r="AK59" s="200" t="s">
        <v>215</v>
      </c>
      <c r="AL59" s="200" t="s">
        <v>53</v>
      </c>
      <c r="AM59" s="200" t="s">
        <v>54</v>
      </c>
    </row>
    <row r="60" spans="2:44" ht="16.5" thickBot="1">
      <c r="B60" s="31"/>
      <c r="C60" s="162"/>
      <c r="D60" s="31"/>
      <c r="E60" s="31"/>
      <c r="H60" s="724" t="s">
        <v>324</v>
      </c>
      <c r="I60" s="725" t="s">
        <v>2</v>
      </c>
      <c r="J60" s="726" t="s">
        <v>328</v>
      </c>
      <c r="K60" s="726" t="s">
        <v>329</v>
      </c>
      <c r="P60" s="257">
        <f t="shared" si="87"/>
        <v>2029</v>
      </c>
      <c r="Q60" s="273">
        <f t="shared" si="85"/>
        <v>0.74200913242009137</v>
      </c>
      <c r="R60" s="277">
        <f t="shared" si="86"/>
        <v>0.17123287671232876</v>
      </c>
      <c r="AG60" s="105">
        <v>2020</v>
      </c>
      <c r="AH60" s="109">
        <v>0.26080244407596836</v>
      </c>
      <c r="AI60" s="110">
        <v>0.14735623760783936</v>
      </c>
      <c r="AJ60" s="110">
        <v>0.34642857142857142</v>
      </c>
      <c r="AK60" s="110">
        <v>0.44800000000000001</v>
      </c>
      <c r="AL60" s="111">
        <v>0.19600000000000001</v>
      </c>
      <c r="AM60" s="108">
        <f>SUM(AH60:AL60)</f>
        <v>1.3985872531123791</v>
      </c>
    </row>
    <row r="61" spans="2:44" ht="15.75">
      <c r="B61" s="31"/>
      <c r="C61" s="162"/>
      <c r="D61" s="31"/>
      <c r="E61" s="31"/>
      <c r="H61" s="497" t="s">
        <v>325</v>
      </c>
      <c r="I61" s="500">
        <v>2.98696E-2</v>
      </c>
      <c r="J61" s="503">
        <v>0.17002382595707866</v>
      </c>
      <c r="K61" s="504">
        <v>6.0000747341739734E-2</v>
      </c>
      <c r="P61" s="257">
        <f t="shared" si="87"/>
        <v>2030</v>
      </c>
      <c r="Q61" s="273">
        <f t="shared" si="85"/>
        <v>0.74200913242009137</v>
      </c>
      <c r="R61" s="277">
        <f t="shared" si="86"/>
        <v>0.17123287671232876</v>
      </c>
      <c r="AG61" s="106">
        <v>2021</v>
      </c>
      <c r="AH61" s="112">
        <v>0.24903702919675941</v>
      </c>
      <c r="AI61" s="113">
        <v>0.14368195161406444</v>
      </c>
      <c r="AJ61" s="113">
        <v>0.34514285714285714</v>
      </c>
      <c r="AK61" s="113">
        <v>0.442</v>
      </c>
      <c r="AL61" s="114">
        <v>0.19400000000000001</v>
      </c>
      <c r="AM61" s="118">
        <f t="shared" ref="AM61:AM68" si="88">SUM(AH61:AL61)</f>
        <v>1.3738618379536809</v>
      </c>
    </row>
    <row r="62" spans="2:44" ht="15.75">
      <c r="B62" s="28"/>
      <c r="C62" s="3"/>
      <c r="D62" s="30"/>
      <c r="E62" s="29"/>
      <c r="H62" s="498" t="s">
        <v>326</v>
      </c>
      <c r="I62" s="501">
        <v>3.1171600000000001E-2</v>
      </c>
      <c r="J62" s="505">
        <v>0.71756552138196639</v>
      </c>
      <c r="K62" s="506">
        <v>0.41500205518978428</v>
      </c>
      <c r="P62" s="257">
        <f t="shared" si="87"/>
        <v>2031</v>
      </c>
      <c r="Q62" s="273">
        <f t="shared" si="85"/>
        <v>0.74200913242009137</v>
      </c>
      <c r="R62" s="277">
        <f t="shared" si="86"/>
        <v>0.17123287671232876</v>
      </c>
      <c r="AG62" s="106">
        <v>2022</v>
      </c>
      <c r="AH62" s="112">
        <v>0.22494683753737435</v>
      </c>
      <c r="AI62" s="113">
        <v>0.14025780277278405</v>
      </c>
      <c r="AJ62" s="113">
        <v>0.34385714285714286</v>
      </c>
      <c r="AK62" s="113">
        <v>0.436</v>
      </c>
      <c r="AL62" s="114">
        <v>0.192</v>
      </c>
      <c r="AM62" s="118">
        <f t="shared" si="88"/>
        <v>1.3370617831673013</v>
      </c>
    </row>
    <row r="63" spans="2:44" ht="16.5" thickBot="1">
      <c r="H63" s="499" t="s">
        <v>327</v>
      </c>
      <c r="I63" s="502">
        <v>3.5171600000000004E-2</v>
      </c>
      <c r="J63" s="507">
        <v>0.11241065266095501</v>
      </c>
      <c r="K63" s="508">
        <v>0.52499719746847595</v>
      </c>
      <c r="P63" s="257">
        <f t="shared" si="87"/>
        <v>2032</v>
      </c>
      <c r="Q63" s="273">
        <f t="shared" si="85"/>
        <v>0.74200913242009137</v>
      </c>
      <c r="R63" s="277">
        <f t="shared" si="86"/>
        <v>0.17123287671232876</v>
      </c>
      <c r="AG63" s="106">
        <v>2023</v>
      </c>
      <c r="AH63" s="112">
        <v>0.21265780234872028</v>
      </c>
      <c r="AI63" s="113">
        <v>0.1369681124106038</v>
      </c>
      <c r="AJ63" s="113">
        <v>0.34257142857142858</v>
      </c>
      <c r="AK63" s="113">
        <v>0.43</v>
      </c>
      <c r="AL63" s="114">
        <v>0.19</v>
      </c>
      <c r="AM63" s="118">
        <f t="shared" si="88"/>
        <v>1.3121973433307526</v>
      </c>
    </row>
    <row r="64" spans="2:44" ht="15.75">
      <c r="P64" s="257">
        <f t="shared" si="87"/>
        <v>2033</v>
      </c>
      <c r="Q64" s="273">
        <f t="shared" si="85"/>
        <v>0.74200913242009137</v>
      </c>
      <c r="R64" s="277">
        <f t="shared" si="86"/>
        <v>0.17123287671232876</v>
      </c>
      <c r="AG64" s="106">
        <v>2024</v>
      </c>
      <c r="AH64" s="112">
        <v>0.19215615013203641</v>
      </c>
      <c r="AI64" s="113">
        <v>0.13381576717451604</v>
      </c>
      <c r="AJ64" s="113">
        <v>0.3412857142857143</v>
      </c>
      <c r="AK64" s="113">
        <v>0.42399999999999999</v>
      </c>
      <c r="AL64" s="114">
        <v>0.188</v>
      </c>
      <c r="AM64" s="118">
        <f t="shared" si="88"/>
        <v>1.2792576315922666</v>
      </c>
    </row>
    <row r="65" spans="2:39" ht="15.75">
      <c r="P65" s="257">
        <f t="shared" si="87"/>
        <v>2034</v>
      </c>
      <c r="Q65" s="273">
        <f t="shared" si="85"/>
        <v>0.74200913242009137</v>
      </c>
      <c r="R65" s="277">
        <f t="shared" si="86"/>
        <v>0.17123287671232876</v>
      </c>
      <c r="AG65" s="106">
        <v>2025</v>
      </c>
      <c r="AH65" s="112">
        <v>0.18306612563418784</v>
      </c>
      <c r="AI65" s="113">
        <v>0.13100516785074615</v>
      </c>
      <c r="AJ65" s="113">
        <v>0.33999999999999997</v>
      </c>
      <c r="AK65" s="113">
        <v>0.39</v>
      </c>
      <c r="AL65" s="114">
        <v>0.18</v>
      </c>
      <c r="AM65" s="118">
        <f t="shared" si="88"/>
        <v>1.2240712934849338</v>
      </c>
    </row>
    <row r="66" spans="2:39" ht="16.5" thickBot="1">
      <c r="P66" s="257">
        <f t="shared" si="87"/>
        <v>2035</v>
      </c>
      <c r="Q66" s="273">
        <f t="shared" si="85"/>
        <v>0.74200913242009137</v>
      </c>
      <c r="R66" s="277">
        <f t="shared" si="86"/>
        <v>0.17123287671232876</v>
      </c>
      <c r="AG66" s="106">
        <v>2026</v>
      </c>
      <c r="AH66" s="112">
        <v>0.17485812414265581</v>
      </c>
      <c r="AI66" s="113">
        <v>0.12836125377973986</v>
      </c>
      <c r="AJ66" s="113">
        <v>0.33326732673267323</v>
      </c>
      <c r="AK66" s="113">
        <v>0.37841584158415842</v>
      </c>
      <c r="AL66" s="114">
        <v>0.17465346534653464</v>
      </c>
      <c r="AM66" s="118">
        <f t="shared" si="88"/>
        <v>1.189556011585762</v>
      </c>
    </row>
    <row r="67" spans="2:39" ht="16.5" thickBot="1">
      <c r="B67" s="3"/>
      <c r="C67" s="1243" t="s">
        <v>218</v>
      </c>
      <c r="D67" s="1244"/>
      <c r="E67" s="1244"/>
      <c r="F67" s="1244"/>
      <c r="G67" s="1244"/>
      <c r="H67" s="1244"/>
      <c r="I67" s="1244"/>
      <c r="J67" s="1245"/>
      <c r="P67" s="257">
        <f t="shared" si="87"/>
        <v>2036</v>
      </c>
      <c r="Q67" s="273">
        <f t="shared" si="85"/>
        <v>0.74200913242009137</v>
      </c>
      <c r="R67" s="277">
        <f t="shared" si="86"/>
        <v>0.17123287671232876</v>
      </c>
      <c r="AG67" s="106">
        <v>2027</v>
      </c>
      <c r="AH67" s="112">
        <v>0.16714353401220239</v>
      </c>
      <c r="AI67" s="113">
        <v>0.12580239729905082</v>
      </c>
      <c r="AJ67" s="113">
        <v>0.32666797372806589</v>
      </c>
      <c r="AK67" s="113">
        <v>0.36717576708165867</v>
      </c>
      <c r="AL67" s="114">
        <v>0.16946573865307321</v>
      </c>
      <c r="AM67" s="118">
        <f t="shared" si="88"/>
        <v>1.156255410774051</v>
      </c>
    </row>
    <row r="68" spans="2:39" ht="16.5" thickBot="1">
      <c r="B68" s="4" t="s">
        <v>0</v>
      </c>
      <c r="C68" s="4" t="str">
        <f ca="1">OFFSET($C$17,COUNTA($A$2:A2)-1,0)</f>
        <v>גז במחזמים חדשים</v>
      </c>
      <c r="D68" s="4" t="str">
        <f ca="1">OFFSET($C$17,COUNTA($A$2:B2)-1,0)</f>
        <v>גז בפיקרים חדשים</v>
      </c>
      <c r="E68" s="7" t="str">
        <f ca="1">OFFSET($C$17,COUNTA($A$2:C2)-1,0)</f>
        <v>מוטה קרקע PV</v>
      </c>
      <c r="F68" s="7" t="str">
        <f ca="1">OFFSET($C$17,COUNTA($A$2:D2)-1,0)</f>
        <v>מוטה דואלי PV</v>
      </c>
      <c r="G68" s="7" t="str">
        <f ca="1">OFFSET($C$17,COUNTA($A$2:E2)-1,0)</f>
        <v>רוח</v>
      </c>
      <c r="H68" s="7" t="str">
        <f ca="1">OFFSET($C$17,COUNTA($A$2:F2)-1,0)</f>
        <v>ביומסה/ביוגז</v>
      </c>
      <c r="I68" s="7" t="str">
        <f ca="1">OFFSET($C$17,COUNTA($A$2:G2)-1,0)</f>
        <v>תרמו סולארי</v>
      </c>
      <c r="J68" s="4" t="str">
        <f ca="1">OFFSET($C$17,COUNTA($A$2:H2)-1,0)</f>
        <v>סוללות לית'יום-יון</v>
      </c>
      <c r="P68" s="257">
        <f t="shared" si="87"/>
        <v>2037</v>
      </c>
      <c r="Q68" s="273">
        <f t="shared" si="85"/>
        <v>0.74200913242009137</v>
      </c>
      <c r="R68" s="277">
        <f t="shared" si="86"/>
        <v>0.17123287671232876</v>
      </c>
      <c r="AG68" s="106">
        <v>2028</v>
      </c>
      <c r="AH68" s="112">
        <v>0.16034041347485681</v>
      </c>
      <c r="AI68" s="113">
        <v>0.12343561098050507</v>
      </c>
      <c r="AJ68" s="113">
        <v>0.32019930098097549</v>
      </c>
      <c r="AK68" s="113">
        <v>0.35626955617824307</v>
      </c>
      <c r="AL68" s="114">
        <v>0.16443210285149676</v>
      </c>
      <c r="AM68" s="118">
        <f t="shared" si="88"/>
        <v>1.1246769844660771</v>
      </c>
    </row>
    <row r="69" spans="2:39" ht="15.75">
      <c r="B69" s="24">
        <v>2020</v>
      </c>
      <c r="C69" s="480">
        <f t="shared" ref="C69:C89" si="89">$I$22*$I$16*($I$13*$I$21+$I$12*(1-$I$21))</f>
        <v>3864.0711600000004</v>
      </c>
      <c r="D69" s="482">
        <f t="shared" ref="D69:D89" si="90">$I$22*$I$15*$I$14</f>
        <v>3100.1669999999999</v>
      </c>
      <c r="E69" s="919">
        <f>MMULT($Q12:$W12,M$12:M$18)</f>
        <v>3264.817719779961</v>
      </c>
      <c r="F69" s="427">
        <f t="shared" ref="F69:F89" si="91">MMULT($Q12:$W12,N$12:N$18)</f>
        <v>3610.2658267913857</v>
      </c>
      <c r="G69" s="427">
        <f>AR37*$D$13*$D$12</f>
        <v>5082.9091073354357</v>
      </c>
      <c r="H69" s="427">
        <f>G69</f>
        <v>5082.9091073354357</v>
      </c>
      <c r="I69" s="494">
        <f>H69</f>
        <v>5082.9091073354357</v>
      </c>
      <c r="J69" s="735">
        <f>IF($C$4='התפלגות ייצור וסל דלקים'!$B$90,0,IF($C$4='התפלגות ייצור וסל דלקים'!$B$116,'הנחות עבודה'!AD12,'הנחות עבודה'!AC12))</f>
        <v>0</v>
      </c>
      <c r="P69" s="257">
        <f t="shared" si="87"/>
        <v>2038</v>
      </c>
      <c r="Q69" s="273">
        <f t="shared" si="85"/>
        <v>0.74200913242009137</v>
      </c>
      <c r="R69" s="277">
        <f t="shared" si="86"/>
        <v>0.17123287671232876</v>
      </c>
      <c r="AG69" s="106">
        <v>2029</v>
      </c>
      <c r="AH69" s="112">
        <v>0.15340403418442189</v>
      </c>
      <c r="AI69" s="113">
        <v>0.12101209033101243</v>
      </c>
      <c r="AJ69" s="113">
        <v>0.31385872076353039</v>
      </c>
      <c r="AK69" s="113">
        <v>0.34568729213334476</v>
      </c>
      <c r="AL69" s="114">
        <v>0.15954798098462061</v>
      </c>
      <c r="AM69" s="118">
        <f>SUM(AH69:AL69)</f>
        <v>1.09351011839693</v>
      </c>
    </row>
    <row r="70" spans="2:39" ht="15.75">
      <c r="B70" s="10">
        <f t="shared" ref="B70:B71" si="92">+B69+1</f>
        <v>2021</v>
      </c>
      <c r="C70" s="436">
        <f t="shared" si="89"/>
        <v>3864.0711600000004</v>
      </c>
      <c r="D70" s="483">
        <f t="shared" si="90"/>
        <v>3100.1669999999999</v>
      </c>
      <c r="E70" s="920">
        <f t="shared" ref="E70:E89" si="93">MMULT($Q13:$W13,M$12:M$18)</f>
        <v>3143.4095733288982</v>
      </c>
      <c r="F70" s="426">
        <f t="shared" si="91"/>
        <v>3489.8584794413268</v>
      </c>
      <c r="G70" s="426">
        <f t="shared" ref="G70:G89" si="94">AR38*$D$13*$D$12</f>
        <v>4484.7739336164905</v>
      </c>
      <c r="H70" s="440">
        <f t="shared" ref="H70:I89" si="95">G70</f>
        <v>4484.7739336164905</v>
      </c>
      <c r="I70" s="733">
        <f t="shared" si="95"/>
        <v>4484.7739336164905</v>
      </c>
      <c r="J70" s="736">
        <f>IF($C$4='התפלגות ייצור וסל דלקים'!$B$90,0,IF($C$4='התפלגות ייצור וסל דלקים'!$B$116,'הנחות עבודה'!AD13,'הנחות עבודה'!AC13))</f>
        <v>0</v>
      </c>
      <c r="P70" s="257">
        <f t="shared" si="87"/>
        <v>2039</v>
      </c>
      <c r="Q70" s="273">
        <f t="shared" si="85"/>
        <v>0.74200913242009137</v>
      </c>
      <c r="R70" s="277">
        <f t="shared" si="86"/>
        <v>0.17123287671232876</v>
      </c>
      <c r="AG70" s="106">
        <v>2030</v>
      </c>
      <c r="AH70" s="112">
        <v>0.14673305458659416</v>
      </c>
      <c r="AI70" s="113">
        <v>0.11862844215248664</v>
      </c>
      <c r="AJ70" s="113">
        <v>0.30764369658999513</v>
      </c>
      <c r="AK70" s="113">
        <v>0.33541935276304741</v>
      </c>
      <c r="AL70" s="114">
        <v>0.15480893204448337</v>
      </c>
      <c r="AM70" s="118">
        <f t="shared" ref="AM70:AM80" si="96">SUM(AH70:AL70)</f>
        <v>1.0632334781366068</v>
      </c>
    </row>
    <row r="71" spans="2:39" ht="16.5" thickBot="1">
      <c r="B71" s="10">
        <f t="shared" si="92"/>
        <v>2022</v>
      </c>
      <c r="C71" s="436">
        <f t="shared" si="89"/>
        <v>3864.0711600000004</v>
      </c>
      <c r="D71" s="483">
        <f t="shared" si="90"/>
        <v>3100.1669999999999</v>
      </c>
      <c r="E71" s="920">
        <f t="shared" si="93"/>
        <v>3018.5845787104295</v>
      </c>
      <c r="F71" s="426">
        <f t="shared" si="91"/>
        <v>3362.1742970213973</v>
      </c>
      <c r="G71" s="426">
        <f t="shared" si="94"/>
        <v>4380.8905716557283</v>
      </c>
      <c r="H71" s="440">
        <f t="shared" si="95"/>
        <v>4380.8905716557283</v>
      </c>
      <c r="I71" s="733">
        <f t="shared" si="95"/>
        <v>4380.8905716557283</v>
      </c>
      <c r="J71" s="736">
        <f>IF($C$4='התפלגות ייצור וסל דלקים'!$B$90,0,IF($C$4='התפלגות ייצור וסל דלקים'!$B$116,'הנחות עבודה'!AD14,'הנחות עבודה'!AC14))</f>
        <v>0</v>
      </c>
      <c r="P71" s="258">
        <f t="shared" si="87"/>
        <v>2040</v>
      </c>
      <c r="Q71" s="274">
        <f t="shared" si="85"/>
        <v>0.74200913242009137</v>
      </c>
      <c r="R71" s="278">
        <f t="shared" si="86"/>
        <v>0.17123287671232876</v>
      </c>
      <c r="AG71" s="106">
        <v>2031</v>
      </c>
      <c r="AH71" s="112">
        <v>0.14026584317140237</v>
      </c>
      <c r="AI71" s="113">
        <v>0.11627015885922502</v>
      </c>
      <c r="AJ71" s="113">
        <v>0.30155174220207448</v>
      </c>
      <c r="AK71" s="113">
        <v>0.32545640169087764</v>
      </c>
      <c r="AL71" s="114">
        <v>0.15021064693425118</v>
      </c>
      <c r="AM71" s="118">
        <f t="shared" si="96"/>
        <v>1.0337547928578308</v>
      </c>
    </row>
    <row r="72" spans="2:39" ht="15.75">
      <c r="B72" s="10">
        <f>+B71+1</f>
        <v>2023</v>
      </c>
      <c r="C72" s="436">
        <f t="shared" si="89"/>
        <v>3864.0711600000004</v>
      </c>
      <c r="D72" s="483">
        <f t="shared" si="90"/>
        <v>3100.1669999999999</v>
      </c>
      <c r="E72" s="920">
        <f t="shared" si="93"/>
        <v>2902.4587365488387</v>
      </c>
      <c r="F72" s="426">
        <f t="shared" si="91"/>
        <v>3245.9638283146828</v>
      </c>
      <c r="G72" s="426">
        <f t="shared" si="94"/>
        <v>4281.641318123854</v>
      </c>
      <c r="H72" s="440">
        <f t="shared" si="95"/>
        <v>4281.641318123854</v>
      </c>
      <c r="I72" s="733">
        <f t="shared" si="95"/>
        <v>4281.641318123854</v>
      </c>
      <c r="J72" s="736">
        <f>IF($C$4='התפלגות ייצור וסל דלקים'!$B$90,0,IF($C$4='התפלגות ייצור וסל דלקים'!$B$116,'הנחות עבודה'!AD15,'הנחות עבודה'!AC15))</f>
        <v>0</v>
      </c>
      <c r="AG72" s="106">
        <v>2032</v>
      </c>
      <c r="AH72" s="112">
        <v>0.13393589708566694</v>
      </c>
      <c r="AI72" s="113">
        <v>0.11391998855170188</v>
      </c>
      <c r="AJ72" s="113">
        <v>0.29558042057431066</v>
      </c>
      <c r="AK72" s="113">
        <v>0.31578937985847533</v>
      </c>
      <c r="AL72" s="114">
        <v>0.14574894455006548</v>
      </c>
      <c r="AM72" s="118">
        <f t="shared" si="96"/>
        <v>1.0049746306202203</v>
      </c>
    </row>
    <row r="73" spans="2:39" ht="15.75">
      <c r="B73" s="10">
        <f t="shared" ref="B73:B89" si="97">+B72+1</f>
        <v>2024</v>
      </c>
      <c r="C73" s="436">
        <f t="shared" si="89"/>
        <v>3864.0711600000004</v>
      </c>
      <c r="D73" s="483">
        <f t="shared" si="90"/>
        <v>3100.1669999999999</v>
      </c>
      <c r="E73" s="920">
        <f t="shared" si="93"/>
        <v>2790.4182774448532</v>
      </c>
      <c r="F73" s="426">
        <f t="shared" si="91"/>
        <v>3131.0696209381699</v>
      </c>
      <c r="G73" s="426">
        <f t="shared" si="94"/>
        <v>4186.8194511693118</v>
      </c>
      <c r="H73" s="440">
        <f t="shared" si="95"/>
        <v>4186.8194511693118</v>
      </c>
      <c r="I73" s="733">
        <f t="shared" si="95"/>
        <v>4186.8194511693118</v>
      </c>
      <c r="J73" s="736">
        <f>IF($C$4='התפלגות ייצור וסל דלקים'!$B$90,0,IF($C$4='התפלגות ייצור וסל דלקים'!$B$116,'הנחות עבודה'!AD16,'הנחות עבודה'!AC16))</f>
        <v>0</v>
      </c>
      <c r="AG73" s="106">
        <v>2033</v>
      </c>
      <c r="AH73" s="112">
        <v>0.12854337076252187</v>
      </c>
      <c r="AI73" s="113">
        <v>0.11179768849565665</v>
      </c>
      <c r="AJ73" s="113">
        <v>0.28972734293917579</v>
      </c>
      <c r="AK73" s="113">
        <v>0.3064094972884216</v>
      </c>
      <c r="AL73" s="114">
        <v>0.14141976797927144</v>
      </c>
      <c r="AM73" s="118">
        <f t="shared" si="96"/>
        <v>0.97789766746504736</v>
      </c>
    </row>
    <row r="74" spans="2:39" ht="15.75">
      <c r="B74" s="10">
        <f t="shared" si="97"/>
        <v>2025</v>
      </c>
      <c r="C74" s="436">
        <f t="shared" si="89"/>
        <v>3864.0711600000004</v>
      </c>
      <c r="D74" s="483">
        <f t="shared" si="90"/>
        <v>3100.1669999999999</v>
      </c>
      <c r="E74" s="920">
        <f t="shared" si="93"/>
        <v>2682.2118310360547</v>
      </c>
      <c r="F74" s="426">
        <f t="shared" si="91"/>
        <v>3013.2190439840783</v>
      </c>
      <c r="G74" s="426">
        <f t="shared" si="94"/>
        <v>4096.2274705469335</v>
      </c>
      <c r="H74" s="440">
        <f t="shared" si="95"/>
        <v>4096.2274705469335</v>
      </c>
      <c r="I74" s="733">
        <f t="shared" si="95"/>
        <v>4096.2274705469335</v>
      </c>
      <c r="J74" s="736">
        <f>IF($C$4='התפלגות ייצור וסל דלקים'!$B$90,0,IF($C$4='התפלגות ייצור וסל דלקים'!$B$116,'הנחות עבודה'!AD17,'הנחות עבודה'!AC17))</f>
        <v>0</v>
      </c>
      <c r="AG74" s="106">
        <v>2034</v>
      </c>
      <c r="AH74" s="112">
        <v>0.12335975130657542</v>
      </c>
      <c r="AI74" s="113">
        <v>0.10971326138309126</v>
      </c>
      <c r="AJ74" s="113">
        <v>0.28399016783146935</v>
      </c>
      <c r="AK74" s="113">
        <v>0.29730822509173577</v>
      </c>
      <c r="AL74" s="114">
        <v>0.13721918081157031</v>
      </c>
      <c r="AM74" s="118">
        <f t="shared" si="96"/>
        <v>0.95159058642444228</v>
      </c>
    </row>
    <row r="75" spans="2:39" ht="15.75">
      <c r="B75" s="10">
        <f t="shared" si="97"/>
        <v>2026</v>
      </c>
      <c r="C75" s="436">
        <f t="shared" si="89"/>
        <v>3864.0711600000004</v>
      </c>
      <c r="D75" s="483">
        <f t="shared" si="90"/>
        <v>3100.1669999999999</v>
      </c>
      <c r="E75" s="920">
        <f t="shared" si="93"/>
        <v>2605.5051291867717</v>
      </c>
      <c r="F75" s="426">
        <f t="shared" si="91"/>
        <v>2932.7012719713848</v>
      </c>
      <c r="G75" s="426">
        <f t="shared" si="94"/>
        <v>4009.6766862534787</v>
      </c>
      <c r="H75" s="440">
        <f t="shared" si="95"/>
        <v>4009.6766862534787</v>
      </c>
      <c r="I75" s="733">
        <f t="shared" si="95"/>
        <v>4009.6766862534787</v>
      </c>
      <c r="J75" s="736">
        <f>IF($C$4='התפלגות ייצור וסל דלקים'!$B$90,0,IF($C$4='התפלגות ייצור וסל דלקים'!$B$116,'הנחות עבודה'!AD18,'הנחות עבודה'!AC18))</f>
        <v>0</v>
      </c>
      <c r="AG75" s="106">
        <v>2035</v>
      </c>
      <c r="AH75" s="112">
        <v>0.11867424825986093</v>
      </c>
      <c r="AI75" s="113">
        <v>0.10775123706266544</v>
      </c>
      <c r="AJ75" s="113">
        <v>0.27836660015163828</v>
      </c>
      <c r="AK75" s="113">
        <v>0.28847728771277331</v>
      </c>
      <c r="AL75" s="114">
        <v>0.13314336355974146</v>
      </c>
      <c r="AM75" s="118">
        <f t="shared" si="96"/>
        <v>0.92641273674667945</v>
      </c>
    </row>
    <row r="76" spans="2:39" ht="15.75">
      <c r="B76" s="10">
        <f t="shared" si="97"/>
        <v>2027</v>
      </c>
      <c r="C76" s="436">
        <f t="shared" si="89"/>
        <v>3864.0711600000004</v>
      </c>
      <c r="D76" s="483">
        <f t="shared" si="90"/>
        <v>3100.1669999999999</v>
      </c>
      <c r="E76" s="920">
        <f t="shared" si="93"/>
        <v>2531.9078218560417</v>
      </c>
      <c r="F76" s="426">
        <f t="shared" si="91"/>
        <v>2855.3234669821932</v>
      </c>
      <c r="G76" s="426">
        <f t="shared" si="94"/>
        <v>3926.9868255136212</v>
      </c>
      <c r="H76" s="440">
        <f t="shared" si="95"/>
        <v>3926.9868255136212</v>
      </c>
      <c r="I76" s="733">
        <f t="shared" si="95"/>
        <v>3926.9868255136212</v>
      </c>
      <c r="J76" s="736">
        <f>IF($C$4='התפלגות ייצור וסל דלקים'!$B$90,0,IF($C$4='התפלגות ייצור וסל דלקים'!$B$116,'הנחות עבודה'!AD19,'הנחות עבודה'!AC19))</f>
        <v>0</v>
      </c>
      <c r="AG76" s="106">
        <v>2036</v>
      </c>
      <c r="AH76" s="112">
        <v>0.11450513574312547</v>
      </c>
      <c r="AI76" s="113">
        <v>0.10592369956866492</v>
      </c>
      <c r="AJ76" s="113">
        <v>0.27285439024764546</v>
      </c>
      <c r="AK76" s="113">
        <v>0.27990865540447313</v>
      </c>
      <c r="AL76" s="114">
        <v>0.12918861018667982</v>
      </c>
      <c r="AM76" s="118">
        <f t="shared" si="96"/>
        <v>0.90238049115058871</v>
      </c>
    </row>
    <row r="77" spans="2:39" ht="15.75">
      <c r="B77" s="10">
        <f t="shared" si="97"/>
        <v>2028</v>
      </c>
      <c r="C77" s="436">
        <f t="shared" si="89"/>
        <v>3864.0711600000004</v>
      </c>
      <c r="D77" s="483">
        <f t="shared" si="90"/>
        <v>3100.1669999999999</v>
      </c>
      <c r="E77" s="920">
        <f t="shared" si="93"/>
        <v>2462.788393997655</v>
      </c>
      <c r="F77" s="426">
        <f t="shared" si="91"/>
        <v>2782.6135781009493</v>
      </c>
      <c r="G77" s="426">
        <f t="shared" si="94"/>
        <v>3847.9856572978183</v>
      </c>
      <c r="H77" s="440">
        <f t="shared" si="95"/>
        <v>3847.9856572978183</v>
      </c>
      <c r="I77" s="733">
        <f t="shared" si="95"/>
        <v>3847.9856572978183</v>
      </c>
      <c r="J77" s="736">
        <f>IF($C$4='התפלגות ייצור וסל דלקים'!$B$90,0,IF($C$4='התפלגות ייצור וסל דלקים'!$B$116,'הנחות עבודה'!AD20,'הנחות עבודה'!AC20))</f>
        <v>0</v>
      </c>
      <c r="AG77" s="106">
        <v>2037</v>
      </c>
      <c r="AH77" s="112">
        <v>0.11113521139072643</v>
      </c>
      <c r="AI77" s="113">
        <v>0.10432129364112308</v>
      </c>
      <c r="AJ77" s="113">
        <v>0.26745133301501878</v>
      </c>
      <c r="AK77" s="113">
        <v>0.2715945369271125</v>
      </c>
      <c r="AL77" s="114">
        <v>0.1253513247355903</v>
      </c>
      <c r="AM77" s="118">
        <f t="shared" si="96"/>
        <v>0.87985369970957106</v>
      </c>
    </row>
    <row r="78" spans="2:39" ht="15.75">
      <c r="B78" s="10">
        <f t="shared" si="97"/>
        <v>2029</v>
      </c>
      <c r="C78" s="436">
        <f t="shared" si="89"/>
        <v>3864.0711600000004</v>
      </c>
      <c r="D78" s="483">
        <f t="shared" si="90"/>
        <v>3100.1669999999999</v>
      </c>
      <c r="E78" s="920">
        <f t="shared" si="93"/>
        <v>2394.4819540083849</v>
      </c>
      <c r="F78" s="426">
        <f t="shared" si="91"/>
        <v>2710.5725306378258</v>
      </c>
      <c r="G78" s="426">
        <f t="shared" si="94"/>
        <v>3772.5086335899614</v>
      </c>
      <c r="H78" s="440">
        <f t="shared" si="95"/>
        <v>3772.5086335899614</v>
      </c>
      <c r="I78" s="733">
        <f t="shared" si="95"/>
        <v>3772.5086335899614</v>
      </c>
      <c r="J78" s="736">
        <f>IF($C$4='התפלגות ייצור וסל דלקים'!$B$90,0,IF($C$4='התפלגות ייצור וסל דלקים'!$B$116,'הנחות עבודה'!AD21,'הנחות עבודה'!AC21))</f>
        <v>0</v>
      </c>
      <c r="AG78" s="106">
        <v>2038</v>
      </c>
      <c r="AH78" s="112">
        <v>0.1080939157803511</v>
      </c>
      <c r="AI78" s="113">
        <v>0.10281228029225473</v>
      </c>
      <c r="AJ78" s="113">
        <v>0.26215526701472136</v>
      </c>
      <c r="AK78" s="113">
        <v>0.26352737246393093</v>
      </c>
      <c r="AL78" s="114">
        <v>0.12162801806027573</v>
      </c>
      <c r="AM78" s="118">
        <f t="shared" si="96"/>
        <v>0.85821685361153399</v>
      </c>
    </row>
    <row r="79" spans="2:39" ht="15.75">
      <c r="B79" s="10">
        <f t="shared" si="97"/>
        <v>2030</v>
      </c>
      <c r="C79" s="436">
        <f t="shared" si="89"/>
        <v>3864.0711600000004</v>
      </c>
      <c r="D79" s="483">
        <f t="shared" si="90"/>
        <v>3100.1669999999999</v>
      </c>
      <c r="E79" s="920">
        <f t="shared" si="93"/>
        <v>2328.0838021744989</v>
      </c>
      <c r="F79" s="426">
        <f t="shared" si="91"/>
        <v>2640.5133984733175</v>
      </c>
      <c r="G79" s="426">
        <f t="shared" si="94"/>
        <v>3700.398546657641</v>
      </c>
      <c r="H79" s="440">
        <f t="shared" si="95"/>
        <v>3700.398546657641</v>
      </c>
      <c r="I79" s="733">
        <f t="shared" si="95"/>
        <v>3700.398546657641</v>
      </c>
      <c r="J79" s="736">
        <f>IF($C$4='התפלגות ייצור וסל דלקים'!$B$90,0,IF($C$4='התפלגות ייצור וסל דלקים'!$B$116,'הנחות עבודה'!AD22,'הנחות עבודה'!AC22))</f>
        <v>0</v>
      </c>
      <c r="AG79" s="106">
        <v>2039</v>
      </c>
      <c r="AH79" s="112">
        <v>0.10518258921885963</v>
      </c>
      <c r="AI79" s="113">
        <v>0.10133949307465653</v>
      </c>
      <c r="AJ79" s="113">
        <v>0.25696407360848927</v>
      </c>
      <c r="AK79" s="113">
        <v>0.2556998267471805</v>
      </c>
      <c r="AL79" s="114">
        <v>0.11801530465254477</v>
      </c>
      <c r="AM79" s="118">
        <f t="shared" si="96"/>
        <v>0.83720128730173071</v>
      </c>
    </row>
    <row r="80" spans="2:39" ht="16.5" thickBot="1">
      <c r="B80" s="10">
        <f t="shared" si="97"/>
        <v>2031</v>
      </c>
      <c r="C80" s="436">
        <f t="shared" si="89"/>
        <v>3864.0711600000004</v>
      </c>
      <c r="D80" s="483">
        <f t="shared" si="90"/>
        <v>3100.1669999999999</v>
      </c>
      <c r="E80" s="920">
        <f t="shared" si="93"/>
        <v>2263.4662492751936</v>
      </c>
      <c r="F80" s="426">
        <f t="shared" si="91"/>
        <v>2572.2525813388256</v>
      </c>
      <c r="G80" s="426">
        <f t="shared" si="94"/>
        <v>3631.5052016111604</v>
      </c>
      <c r="H80" s="440">
        <f t="shared" si="95"/>
        <v>3631.5052016111604</v>
      </c>
      <c r="I80" s="733">
        <f t="shared" si="95"/>
        <v>3631.5052016111604</v>
      </c>
      <c r="J80" s="736">
        <f>IF($C$4='התפלגות ייצור וסל דלקים'!$B$90,0,IF($C$4='התפלגות ייצור וסל דלקים'!$B$116,'הנחות עבודה'!AD23,'הנחות עבודה'!AC23))</f>
        <v>0</v>
      </c>
      <c r="AG80" s="107">
        <v>2040</v>
      </c>
      <c r="AH80" s="115">
        <v>0.10228640612682199</v>
      </c>
      <c r="AI80" s="116">
        <v>9.9868491792646785E-2</v>
      </c>
      <c r="AJ80" s="116">
        <v>0.25187567611129147</v>
      </c>
      <c r="AK80" s="116">
        <v>0.24810478238835337</v>
      </c>
      <c r="AL80" s="117">
        <v>0.11450989956385532</v>
      </c>
      <c r="AM80" s="119">
        <f t="shared" si="96"/>
        <v>0.81664525598296889</v>
      </c>
    </row>
    <row r="81" spans="2:10" ht="15.75">
      <c r="B81" s="10">
        <f t="shared" si="97"/>
        <v>2032</v>
      </c>
      <c r="C81" s="436">
        <f t="shared" si="89"/>
        <v>3864.0711600000004</v>
      </c>
      <c r="D81" s="483">
        <f t="shared" si="90"/>
        <v>3100.1669999999999</v>
      </c>
      <c r="E81" s="920">
        <f t="shared" si="93"/>
        <v>2200.3447239459233</v>
      </c>
      <c r="F81" s="426">
        <f t="shared" si="91"/>
        <v>2505.4933828162525</v>
      </c>
      <c r="G81" s="426">
        <f t="shared" si="94"/>
        <v>3565.6851035692857</v>
      </c>
      <c r="H81" s="440">
        <f t="shared" si="95"/>
        <v>3565.6851035692857</v>
      </c>
      <c r="I81" s="733">
        <f t="shared" si="95"/>
        <v>3565.6851035692857</v>
      </c>
      <c r="J81" s="736">
        <f>IF($C$4='התפלגות ייצור וסל דלקים'!$B$90,0,IF($C$4='התפלגות ייצור וסל דלקים'!$B$116,'הנחות עבודה'!AD24,'הנחות עבודה'!AC24))</f>
        <v>0</v>
      </c>
    </row>
    <row r="82" spans="2:10" ht="15.75">
      <c r="B82" s="10">
        <f t="shared" si="97"/>
        <v>2033</v>
      </c>
      <c r="C82" s="436">
        <f t="shared" si="89"/>
        <v>3864.0711600000004</v>
      </c>
      <c r="D82" s="483">
        <f t="shared" si="90"/>
        <v>3100.1669999999999</v>
      </c>
      <c r="E82" s="920">
        <f t="shared" si="93"/>
        <v>2141.5691390506254</v>
      </c>
      <c r="F82" s="426">
        <f t="shared" si="91"/>
        <v>2443.3328135622151</v>
      </c>
      <c r="G82" s="426">
        <f t="shared" si="94"/>
        <v>3502.8011587801466</v>
      </c>
      <c r="H82" s="440">
        <f t="shared" si="95"/>
        <v>3502.8011587801466</v>
      </c>
      <c r="I82" s="733">
        <f t="shared" si="95"/>
        <v>3502.8011587801466</v>
      </c>
      <c r="J82" s="736">
        <f>IF($C$4='התפלגות ייצור וסל דלקים'!$B$90,0,IF($C$4='התפלגות ייצור וסל דלקים'!$B$116,'הנחות עבודה'!AD25,'הנחות עבודה'!AC25))</f>
        <v>0</v>
      </c>
    </row>
    <row r="83" spans="2:10" ht="15.75">
      <c r="B83" s="10">
        <f t="shared" si="97"/>
        <v>2034</v>
      </c>
      <c r="C83" s="436">
        <f t="shared" si="89"/>
        <v>3864.0711600000004</v>
      </c>
      <c r="D83" s="483">
        <f t="shared" si="90"/>
        <v>3100.1669999999999</v>
      </c>
      <c r="E83" s="920">
        <f t="shared" si="93"/>
        <v>2084.7360166611134</v>
      </c>
      <c r="F83" s="426">
        <f t="shared" si="91"/>
        <v>2383.0721384434819</v>
      </c>
      <c r="G83" s="426">
        <f t="shared" si="94"/>
        <v>3442.7223890747637</v>
      </c>
      <c r="H83" s="440">
        <f t="shared" si="95"/>
        <v>3442.7223890747637</v>
      </c>
      <c r="I83" s="733">
        <f t="shared" si="95"/>
        <v>3442.7223890747637</v>
      </c>
      <c r="J83" s="736">
        <f>IF($C$4='התפלגות ייצור וסל דלקים'!$B$90,0,IF($C$4='התפלגות ייצור וסל דלקים'!$B$116,'הנחות עבודה'!AD26,'הנחות עבודה'!AC26))</f>
        <v>0</v>
      </c>
    </row>
    <row r="84" spans="2:10" ht="15.75">
      <c r="B84" s="10">
        <f t="shared" si="97"/>
        <v>2035</v>
      </c>
      <c r="C84" s="436">
        <f t="shared" si="89"/>
        <v>3864.0711600000004</v>
      </c>
      <c r="D84" s="483">
        <f t="shared" si="90"/>
        <v>3100.1669999999999</v>
      </c>
      <c r="E84" s="920">
        <f t="shared" si="93"/>
        <v>2030.6434779833057</v>
      </c>
      <c r="F84" s="426">
        <f t="shared" si="91"/>
        <v>2325.6742235262832</v>
      </c>
      <c r="G84" s="426">
        <f t="shared" si="94"/>
        <v>3385.323659058452</v>
      </c>
      <c r="H84" s="440">
        <f t="shared" si="95"/>
        <v>3385.323659058452</v>
      </c>
      <c r="I84" s="733">
        <f t="shared" si="95"/>
        <v>3385.323659058452</v>
      </c>
      <c r="J84" s="736">
        <f>IF($C$4='התפלגות ייצור וסל דלקים'!$B$90,0,IF($C$4='התפלגות ייצור וסל דלקים'!$B$116,'הנחות עבודה'!AD27,'הנחות עבודה'!AC27))</f>
        <v>0</v>
      </c>
    </row>
    <row r="85" spans="2:10" ht="15.75">
      <c r="B85" s="10">
        <f t="shared" si="97"/>
        <v>2036</v>
      </c>
      <c r="C85" s="436">
        <f t="shared" si="89"/>
        <v>3864.0711600000004</v>
      </c>
      <c r="D85" s="483">
        <f t="shared" si="90"/>
        <v>3100.1669999999999</v>
      </c>
      <c r="E85" s="920">
        <f t="shared" si="93"/>
        <v>1979.4307279949387</v>
      </c>
      <c r="F85" s="426">
        <f t="shared" si="91"/>
        <v>2271.2572764387523</v>
      </c>
      <c r="G85" s="426">
        <f t="shared" si="94"/>
        <v>3330.4854154718792</v>
      </c>
      <c r="H85" s="440">
        <f t="shared" si="95"/>
        <v>3330.4854154718792</v>
      </c>
      <c r="I85" s="733">
        <f t="shared" si="95"/>
        <v>3330.4854154718792</v>
      </c>
      <c r="J85" s="736">
        <f>IF($C$4='התפלגות ייצור וסל דלקים'!$B$90,0,IF($C$4='התפלגות ייצור וסל דלקים'!$B$116,'הנחות עבודה'!AD28,'הנחות עבודה'!AC28))</f>
        <v>0</v>
      </c>
    </row>
    <row r="86" spans="2:10" ht="15.75">
      <c r="B86" s="10">
        <f t="shared" si="97"/>
        <v>2037</v>
      </c>
      <c r="C86" s="436">
        <f t="shared" si="89"/>
        <v>3864.0711600000004</v>
      </c>
      <c r="D86" s="483">
        <f t="shared" si="90"/>
        <v>3100.1669999999999</v>
      </c>
      <c r="E86" s="920">
        <f t="shared" si="93"/>
        <v>1932.111793060194</v>
      </c>
      <c r="F86" s="426">
        <f t="shared" si="91"/>
        <v>2220.9241886539949</v>
      </c>
      <c r="G86" s="426">
        <f t="shared" si="94"/>
        <v>3278.0934381789025</v>
      </c>
      <c r="H86" s="440">
        <f t="shared" si="95"/>
        <v>3278.0934381789025</v>
      </c>
      <c r="I86" s="733">
        <f t="shared" si="95"/>
        <v>3278.0934381789025</v>
      </c>
      <c r="J86" s="736">
        <f>IF($C$4='התפלגות ייצור וסל דלקים'!$B$90,0,IF($C$4='התפלגות ייצור וסל דלקים'!$B$116,'הנחות עבודה'!AD29,'הנחות עבודה'!AC29))</f>
        <v>0</v>
      </c>
    </row>
    <row r="87" spans="2:10" ht="15.75">
      <c r="B87" s="10">
        <f t="shared" si="97"/>
        <v>2038</v>
      </c>
      <c r="C87" s="436">
        <f t="shared" si="89"/>
        <v>3864.0711600000004</v>
      </c>
      <c r="D87" s="483">
        <f t="shared" si="90"/>
        <v>3100.1669999999999</v>
      </c>
      <c r="E87" s="920">
        <f t="shared" si="93"/>
        <v>1887.0550937462822</v>
      </c>
      <c r="F87" s="426">
        <f t="shared" si="91"/>
        <v>2172.8711632832219</v>
      </c>
      <c r="G87" s="426">
        <f t="shared" si="94"/>
        <v>3228.038602262533</v>
      </c>
      <c r="H87" s="440">
        <f t="shared" si="95"/>
        <v>3228.038602262533</v>
      </c>
      <c r="I87" s="733">
        <f t="shared" si="95"/>
        <v>3228.038602262533</v>
      </c>
      <c r="J87" s="736">
        <f>IF($C$4='התפלגות ייצור וסל דלקים'!$B$90,0,IF($C$4='התפלגות ייצור וסל דלקים'!$B$116,'הנחות עבודה'!AD30,'הנחות עבודה'!AC30))</f>
        <v>0</v>
      </c>
    </row>
    <row r="88" spans="2:10" ht="15.75">
      <c r="B88" s="10">
        <f t="shared" si="97"/>
        <v>2039</v>
      </c>
      <c r="C88" s="436">
        <f t="shared" si="89"/>
        <v>3864.0711600000004</v>
      </c>
      <c r="D88" s="483">
        <f t="shared" si="90"/>
        <v>3100.1669999999999</v>
      </c>
      <c r="E88" s="920">
        <f t="shared" si="93"/>
        <v>1843.3693319529516</v>
      </c>
      <c r="F88" s="426">
        <f t="shared" si="91"/>
        <v>2126.1966069087848</v>
      </c>
      <c r="G88" s="426">
        <f t="shared" si="94"/>
        <v>3180.216650733505</v>
      </c>
      <c r="H88" s="440">
        <f t="shared" si="95"/>
        <v>3180.216650733505</v>
      </c>
      <c r="I88" s="733">
        <f t="shared" si="95"/>
        <v>3180.216650733505</v>
      </c>
      <c r="J88" s="736">
        <f>IF($C$4='התפלגות ייצור וסל דלקים'!$B$90,0,IF($C$4='התפלגות ייצור וסל דלקים'!$B$116,'הנחות עבודה'!AD31,'הנחות עבודה'!AC31))</f>
        <v>0</v>
      </c>
    </row>
    <row r="89" spans="2:10" ht="16.5" thickBot="1">
      <c r="B89" s="11">
        <f t="shared" si="97"/>
        <v>2040</v>
      </c>
      <c r="C89" s="438">
        <f t="shared" si="89"/>
        <v>3864.0711600000004</v>
      </c>
      <c r="D89" s="484">
        <f t="shared" si="90"/>
        <v>3100.1669999999999</v>
      </c>
      <c r="E89" s="921">
        <f t="shared" si="93"/>
        <v>1800.5534227682242</v>
      </c>
      <c r="F89" s="441">
        <f t="shared" si="91"/>
        <v>2080.3856433923902</v>
      </c>
      <c r="G89" s="441">
        <f t="shared" si="94"/>
        <v>3134.5279773780344</v>
      </c>
      <c r="H89" s="481">
        <f t="shared" si="95"/>
        <v>3134.5279773780344</v>
      </c>
      <c r="I89" s="734">
        <f t="shared" si="95"/>
        <v>3134.5279773780344</v>
      </c>
      <c r="J89" s="737">
        <f>IF($C$4='התפלגות ייצור וסל דלקים'!$B$90,0,IF($C$4='התפלגות ייצור וסל דלקים'!$B$116,'הנחות עבודה'!AD32,'הנחות עבודה'!AC32))</f>
        <v>0</v>
      </c>
    </row>
    <row r="90" spans="2:10">
      <c r="C90" s="123" t="s">
        <v>66</v>
      </c>
    </row>
    <row r="91" spans="2:10" ht="15.75" thickBot="1"/>
    <row r="92" spans="2:10" ht="16.5" thickBot="1">
      <c r="B92" s="3"/>
      <c r="C92" s="1243" t="s">
        <v>219</v>
      </c>
      <c r="D92" s="1244"/>
      <c r="E92" s="1244"/>
      <c r="F92" s="1244"/>
      <c r="G92" s="1244"/>
      <c r="H92" s="1244"/>
      <c r="I92" s="1244"/>
      <c r="J92" s="1245"/>
    </row>
    <row r="93" spans="2:10" ht="16.5" thickBot="1">
      <c r="B93" s="4" t="s">
        <v>0</v>
      </c>
      <c r="C93" s="4" t="str">
        <f t="shared" ref="C93:J93" ca="1" si="98">C68</f>
        <v>גז במחזמים חדשים</v>
      </c>
      <c r="D93" s="4" t="str">
        <f t="shared" ca="1" si="98"/>
        <v>גז בפיקרים חדשים</v>
      </c>
      <c r="E93" s="4" t="str">
        <f t="shared" ca="1" si="98"/>
        <v>מוטה קרקע PV</v>
      </c>
      <c r="F93" s="4" t="str">
        <f t="shared" ca="1" si="98"/>
        <v>מוטה דואלי PV</v>
      </c>
      <c r="G93" s="4" t="str">
        <f t="shared" ca="1" si="98"/>
        <v>רוח</v>
      </c>
      <c r="H93" s="4" t="str">
        <f t="shared" ca="1" si="98"/>
        <v>ביומסה/ביוגז</v>
      </c>
      <c r="I93" s="4" t="str">
        <f t="shared" ca="1" si="98"/>
        <v>תרמו סולארי</v>
      </c>
      <c r="J93" s="4" t="str">
        <f t="shared" ca="1" si="98"/>
        <v>סוללות לית'יום-יון</v>
      </c>
    </row>
    <row r="94" spans="2:10" ht="15.75">
      <c r="B94" s="24">
        <f t="shared" ref="B94:B114" si="99">B69</f>
        <v>2020</v>
      </c>
      <c r="C94" s="480">
        <f t="shared" ref="C94:I103" ca="1" si="100">VLOOKUP(C$93,$C$25:$D$32,2,FALSE)</f>
        <v>148.5</v>
      </c>
      <c r="D94" s="494">
        <f t="shared" ca="1" si="100"/>
        <v>146.70000000000002</v>
      </c>
      <c r="E94" s="480">
        <f t="shared" ca="1" si="100"/>
        <v>55.512685332272802</v>
      </c>
      <c r="F94" s="427">
        <f t="shared" ca="1" si="100"/>
        <v>63.170664832377113</v>
      </c>
      <c r="G94" s="427">
        <f t="shared" ca="1" si="100"/>
        <v>86.409454824702422</v>
      </c>
      <c r="H94" s="427">
        <f t="shared" ca="1" si="100"/>
        <v>86.409454824702422</v>
      </c>
      <c r="I94" s="427">
        <f t="shared" ca="1" si="100"/>
        <v>86.409454824702422</v>
      </c>
      <c r="J94" s="482">
        <f>IF($C$4='התפלגות ייצור וסל דלקים'!$B$90,0,IF($C$4='התפלגות ייצור וסל דלקים'!$B$116,BA12*$D$11,VLOOKUP(J$93,$C$25:$D$32,2,FALSE)))</f>
        <v>0</v>
      </c>
    </row>
    <row r="95" spans="2:10" ht="15.75">
      <c r="B95" s="10">
        <f t="shared" si="99"/>
        <v>2021</v>
      </c>
      <c r="C95" s="436">
        <f t="shared" ca="1" si="100"/>
        <v>148.5</v>
      </c>
      <c r="D95" s="437">
        <f t="shared" ca="1" si="100"/>
        <v>146.70000000000002</v>
      </c>
      <c r="E95" s="436">
        <f t="shared" ca="1" si="100"/>
        <v>55.512685332272802</v>
      </c>
      <c r="F95" s="426">
        <f t="shared" ca="1" si="100"/>
        <v>63.170664832377113</v>
      </c>
      <c r="G95" s="426">
        <f t="shared" ca="1" si="100"/>
        <v>86.409454824702422</v>
      </c>
      <c r="H95" s="426">
        <f t="shared" ca="1" si="100"/>
        <v>86.409454824702422</v>
      </c>
      <c r="I95" s="426">
        <f t="shared" ca="1" si="100"/>
        <v>86.409454824702422</v>
      </c>
      <c r="J95" s="483">
        <f>IF($C$4='התפלגות ייצור וסל דלקים'!$B$90,0,IF($C$4='התפלגות ייצור וסל דלקים'!$B$116,BA13*$D$11,VLOOKUP(J$93,$C$25:$D$32,2,FALSE)))</f>
        <v>0</v>
      </c>
    </row>
    <row r="96" spans="2:10" ht="15.75">
      <c r="B96" s="10">
        <f t="shared" si="99"/>
        <v>2022</v>
      </c>
      <c r="C96" s="436">
        <f t="shared" ca="1" si="100"/>
        <v>148.5</v>
      </c>
      <c r="D96" s="437">
        <f t="shared" ca="1" si="100"/>
        <v>146.70000000000002</v>
      </c>
      <c r="E96" s="436">
        <f t="shared" ca="1" si="100"/>
        <v>55.512685332272802</v>
      </c>
      <c r="F96" s="426">
        <f t="shared" ca="1" si="100"/>
        <v>63.170664832377113</v>
      </c>
      <c r="G96" s="426">
        <f t="shared" ca="1" si="100"/>
        <v>86.409454824702422</v>
      </c>
      <c r="H96" s="426">
        <f t="shared" ca="1" si="100"/>
        <v>86.409454824702422</v>
      </c>
      <c r="I96" s="426">
        <f t="shared" ca="1" si="100"/>
        <v>86.409454824702422</v>
      </c>
      <c r="J96" s="483">
        <f>IF($C$4='התפלגות ייצור וסל דלקים'!$B$90,0,IF($C$4='התפלגות ייצור וסל דלקים'!$B$116,BA14*$D$11,VLOOKUP(J$93,$C$25:$D$32,2,FALSE)))</f>
        <v>0</v>
      </c>
    </row>
    <row r="97" spans="2:10" ht="15.75">
      <c r="B97" s="10">
        <f t="shared" si="99"/>
        <v>2023</v>
      </c>
      <c r="C97" s="436">
        <f t="shared" ca="1" si="100"/>
        <v>148.5</v>
      </c>
      <c r="D97" s="437">
        <f t="shared" ca="1" si="100"/>
        <v>146.70000000000002</v>
      </c>
      <c r="E97" s="436">
        <f t="shared" ca="1" si="100"/>
        <v>55.512685332272802</v>
      </c>
      <c r="F97" s="426">
        <f t="shared" ca="1" si="100"/>
        <v>63.170664832377113</v>
      </c>
      <c r="G97" s="426">
        <f t="shared" ca="1" si="100"/>
        <v>86.409454824702422</v>
      </c>
      <c r="H97" s="426">
        <f t="shared" ca="1" si="100"/>
        <v>86.409454824702422</v>
      </c>
      <c r="I97" s="426">
        <f t="shared" ca="1" si="100"/>
        <v>86.409454824702422</v>
      </c>
      <c r="J97" s="483">
        <f>IF($C$4='התפלגות ייצור וסל דלקים'!$B$90,0,IF($C$4='התפלגות ייצור וסל דלקים'!$B$116,BA15*$D$11,VLOOKUP(J$93,$C$25:$D$32,2,FALSE)))</f>
        <v>0</v>
      </c>
    </row>
    <row r="98" spans="2:10" ht="15.75">
      <c r="B98" s="10">
        <f t="shared" si="99"/>
        <v>2024</v>
      </c>
      <c r="C98" s="436">
        <f t="shared" ca="1" si="100"/>
        <v>148.5</v>
      </c>
      <c r="D98" s="437">
        <f t="shared" ca="1" si="100"/>
        <v>146.70000000000002</v>
      </c>
      <c r="E98" s="436">
        <f t="shared" ca="1" si="100"/>
        <v>55.512685332272802</v>
      </c>
      <c r="F98" s="426">
        <f t="shared" ca="1" si="100"/>
        <v>63.170664832377113</v>
      </c>
      <c r="G98" s="426">
        <f t="shared" ca="1" si="100"/>
        <v>86.409454824702422</v>
      </c>
      <c r="H98" s="426">
        <f t="shared" ca="1" si="100"/>
        <v>86.409454824702422</v>
      </c>
      <c r="I98" s="426">
        <f t="shared" ca="1" si="100"/>
        <v>86.409454824702422</v>
      </c>
      <c r="J98" s="483">
        <f>IF($C$4='התפלגות ייצור וסל דלקים'!$B$90,0,IF($C$4='התפלגות ייצור וסל דלקים'!$B$116,BA16*$D$11,VLOOKUP(J$93,$C$25:$D$32,2,FALSE)))</f>
        <v>0</v>
      </c>
    </row>
    <row r="99" spans="2:10" ht="15.75">
      <c r="B99" s="10">
        <f t="shared" si="99"/>
        <v>2025</v>
      </c>
      <c r="C99" s="436">
        <f t="shared" ca="1" si="100"/>
        <v>148.5</v>
      </c>
      <c r="D99" s="437">
        <f t="shared" ca="1" si="100"/>
        <v>146.70000000000002</v>
      </c>
      <c r="E99" s="436">
        <f t="shared" ca="1" si="100"/>
        <v>55.512685332272802</v>
      </c>
      <c r="F99" s="426">
        <f t="shared" ca="1" si="100"/>
        <v>63.170664832377113</v>
      </c>
      <c r="G99" s="426">
        <f t="shared" ca="1" si="100"/>
        <v>86.409454824702422</v>
      </c>
      <c r="H99" s="426">
        <f t="shared" ca="1" si="100"/>
        <v>86.409454824702422</v>
      </c>
      <c r="I99" s="426">
        <f t="shared" ca="1" si="100"/>
        <v>86.409454824702422</v>
      </c>
      <c r="J99" s="483">
        <f>IF($C$4='התפלגות ייצור וסל דלקים'!$B$90,0,IF($C$4='התפלגות ייצור וסל דלקים'!$B$116,BA17*$D$11,VLOOKUP(J$93,$C$25:$D$32,2,FALSE)))</f>
        <v>0</v>
      </c>
    </row>
    <row r="100" spans="2:10" ht="15.75">
      <c r="B100" s="10">
        <f t="shared" si="99"/>
        <v>2026</v>
      </c>
      <c r="C100" s="436">
        <f t="shared" ca="1" si="100"/>
        <v>148.5</v>
      </c>
      <c r="D100" s="437">
        <f t="shared" ca="1" si="100"/>
        <v>146.70000000000002</v>
      </c>
      <c r="E100" s="436">
        <f t="shared" ca="1" si="100"/>
        <v>55.512685332272802</v>
      </c>
      <c r="F100" s="426">
        <f t="shared" ca="1" si="100"/>
        <v>63.170664832377113</v>
      </c>
      <c r="G100" s="426">
        <f t="shared" ca="1" si="100"/>
        <v>86.409454824702422</v>
      </c>
      <c r="H100" s="426">
        <f t="shared" ca="1" si="100"/>
        <v>86.409454824702422</v>
      </c>
      <c r="I100" s="426">
        <f t="shared" ca="1" si="100"/>
        <v>86.409454824702422</v>
      </c>
      <c r="J100" s="483">
        <f>IF($C$4='התפלגות ייצור וסל דלקים'!$B$90,0,IF($C$4='התפלגות ייצור וסל דלקים'!$B$116,BA18*$D$11,VLOOKUP(J$93,$C$25:$D$32,2,FALSE)))</f>
        <v>0</v>
      </c>
    </row>
    <row r="101" spans="2:10" ht="15.75">
      <c r="B101" s="10">
        <f t="shared" si="99"/>
        <v>2027</v>
      </c>
      <c r="C101" s="436">
        <f t="shared" ca="1" si="100"/>
        <v>148.5</v>
      </c>
      <c r="D101" s="437">
        <f t="shared" ca="1" si="100"/>
        <v>146.70000000000002</v>
      </c>
      <c r="E101" s="436">
        <f t="shared" ca="1" si="100"/>
        <v>55.512685332272802</v>
      </c>
      <c r="F101" s="426">
        <f t="shared" ca="1" si="100"/>
        <v>63.170664832377113</v>
      </c>
      <c r="G101" s="426">
        <f t="shared" ca="1" si="100"/>
        <v>86.409454824702422</v>
      </c>
      <c r="H101" s="426">
        <f t="shared" ca="1" si="100"/>
        <v>86.409454824702422</v>
      </c>
      <c r="I101" s="426">
        <f t="shared" ca="1" si="100"/>
        <v>86.409454824702422</v>
      </c>
      <c r="J101" s="483">
        <f>IF($C$4='התפלגות ייצור וסל דלקים'!$B$90,0,IF($C$4='התפלגות ייצור וסל דלקים'!$B$116,BA19*$D$11,VLOOKUP(J$93,$C$25:$D$32,2,FALSE)))</f>
        <v>0</v>
      </c>
    </row>
    <row r="102" spans="2:10" ht="15.75">
      <c r="B102" s="10">
        <f t="shared" si="99"/>
        <v>2028</v>
      </c>
      <c r="C102" s="436">
        <f t="shared" ca="1" si="100"/>
        <v>148.5</v>
      </c>
      <c r="D102" s="437">
        <f t="shared" ca="1" si="100"/>
        <v>146.70000000000002</v>
      </c>
      <c r="E102" s="436">
        <f t="shared" ca="1" si="100"/>
        <v>55.512685332272802</v>
      </c>
      <c r="F102" s="426">
        <f t="shared" ca="1" si="100"/>
        <v>63.170664832377113</v>
      </c>
      <c r="G102" s="426">
        <f t="shared" ca="1" si="100"/>
        <v>86.409454824702422</v>
      </c>
      <c r="H102" s="426">
        <f t="shared" ca="1" si="100"/>
        <v>86.409454824702422</v>
      </c>
      <c r="I102" s="426">
        <f t="shared" ca="1" si="100"/>
        <v>86.409454824702422</v>
      </c>
      <c r="J102" s="483">
        <f>IF($C$4='התפלגות ייצור וסל דלקים'!$B$90,0,IF($C$4='התפלגות ייצור וסל דלקים'!$B$116,BA20*$D$11,VLOOKUP(J$93,$C$25:$D$32,2,FALSE)))</f>
        <v>0</v>
      </c>
    </row>
    <row r="103" spans="2:10" ht="15.75">
      <c r="B103" s="10">
        <f t="shared" si="99"/>
        <v>2029</v>
      </c>
      <c r="C103" s="436">
        <f t="shared" ca="1" si="100"/>
        <v>148.5</v>
      </c>
      <c r="D103" s="437">
        <f t="shared" ca="1" si="100"/>
        <v>146.70000000000002</v>
      </c>
      <c r="E103" s="436">
        <f t="shared" ca="1" si="100"/>
        <v>55.512685332272802</v>
      </c>
      <c r="F103" s="426">
        <f t="shared" ca="1" si="100"/>
        <v>63.170664832377113</v>
      </c>
      <c r="G103" s="426">
        <f t="shared" ca="1" si="100"/>
        <v>86.409454824702422</v>
      </c>
      <c r="H103" s="426">
        <f t="shared" ca="1" si="100"/>
        <v>86.409454824702422</v>
      </c>
      <c r="I103" s="426">
        <f t="shared" ca="1" si="100"/>
        <v>86.409454824702422</v>
      </c>
      <c r="J103" s="483">
        <f>IF($C$4='התפלגות ייצור וסל דלקים'!$B$90,0,IF($C$4='התפלגות ייצור וסל דלקים'!$B$116,BA21*$D$11,VLOOKUP(J$93,$C$25:$D$32,2,FALSE)))</f>
        <v>0</v>
      </c>
    </row>
    <row r="104" spans="2:10" ht="15.75">
      <c r="B104" s="10">
        <f t="shared" si="99"/>
        <v>2030</v>
      </c>
      <c r="C104" s="436">
        <f t="shared" ref="C104:I114" ca="1" si="101">VLOOKUP(C$93,$C$25:$D$32,2,FALSE)</f>
        <v>148.5</v>
      </c>
      <c r="D104" s="437">
        <f t="shared" ca="1" si="101"/>
        <v>146.70000000000002</v>
      </c>
      <c r="E104" s="436">
        <f t="shared" ca="1" si="101"/>
        <v>55.512685332272802</v>
      </c>
      <c r="F104" s="426">
        <f t="shared" ca="1" si="101"/>
        <v>63.170664832377113</v>
      </c>
      <c r="G104" s="426">
        <f t="shared" ca="1" si="101"/>
        <v>86.409454824702422</v>
      </c>
      <c r="H104" s="426">
        <f t="shared" ca="1" si="101"/>
        <v>86.409454824702422</v>
      </c>
      <c r="I104" s="426">
        <f t="shared" ca="1" si="101"/>
        <v>86.409454824702422</v>
      </c>
      <c r="J104" s="483">
        <f>IF($C$4='התפלגות ייצור וסל דלקים'!$B$90,0,IF($C$4='התפלגות ייצור וסל דלקים'!$B$116,BA22*$D$11,VLOOKUP(J$93,$C$25:$D$32,2,FALSE)))</f>
        <v>0</v>
      </c>
    </row>
    <row r="105" spans="2:10" ht="15.75">
      <c r="B105" s="10">
        <f t="shared" si="99"/>
        <v>2031</v>
      </c>
      <c r="C105" s="436">
        <f t="shared" ca="1" si="101"/>
        <v>148.5</v>
      </c>
      <c r="D105" s="437">
        <f t="shared" ca="1" si="101"/>
        <v>146.70000000000002</v>
      </c>
      <c r="E105" s="436">
        <f t="shared" ca="1" si="101"/>
        <v>55.512685332272802</v>
      </c>
      <c r="F105" s="426">
        <f t="shared" ca="1" si="101"/>
        <v>63.170664832377113</v>
      </c>
      <c r="G105" s="426">
        <f t="shared" ca="1" si="101"/>
        <v>86.409454824702422</v>
      </c>
      <c r="H105" s="426">
        <f t="shared" ca="1" si="101"/>
        <v>86.409454824702422</v>
      </c>
      <c r="I105" s="426">
        <f t="shared" ca="1" si="101"/>
        <v>86.409454824702422</v>
      </c>
      <c r="J105" s="483">
        <f>IF($C$4='התפלגות ייצור וסל דלקים'!$B$90,0,IF($C$4='התפלגות ייצור וסל דלקים'!$B$116,BA23*$D$11,VLOOKUP(J$93,$C$25:$D$32,2,FALSE)))</f>
        <v>0</v>
      </c>
    </row>
    <row r="106" spans="2:10" ht="15.75">
      <c r="B106" s="10">
        <f t="shared" si="99"/>
        <v>2032</v>
      </c>
      <c r="C106" s="436">
        <f t="shared" ca="1" si="101"/>
        <v>148.5</v>
      </c>
      <c r="D106" s="437">
        <f t="shared" ca="1" si="101"/>
        <v>146.70000000000002</v>
      </c>
      <c r="E106" s="436">
        <f t="shared" ca="1" si="101"/>
        <v>55.512685332272802</v>
      </c>
      <c r="F106" s="426">
        <f t="shared" ca="1" si="101"/>
        <v>63.170664832377113</v>
      </c>
      <c r="G106" s="426">
        <f t="shared" ca="1" si="101"/>
        <v>86.409454824702422</v>
      </c>
      <c r="H106" s="426">
        <f t="shared" ca="1" si="101"/>
        <v>86.409454824702422</v>
      </c>
      <c r="I106" s="426">
        <f t="shared" ca="1" si="101"/>
        <v>86.409454824702422</v>
      </c>
      <c r="J106" s="483">
        <f>IF($C$4='התפלגות ייצור וסל דלקים'!$B$90,0,IF($C$4='התפלגות ייצור וסל דלקים'!$B$116,BA24*$D$11,VLOOKUP(J$93,$C$25:$D$32,2,FALSE)))</f>
        <v>0</v>
      </c>
    </row>
    <row r="107" spans="2:10" ht="15.75">
      <c r="B107" s="10">
        <f t="shared" si="99"/>
        <v>2033</v>
      </c>
      <c r="C107" s="436">
        <f t="shared" ca="1" si="101"/>
        <v>148.5</v>
      </c>
      <c r="D107" s="437">
        <f t="shared" ca="1" si="101"/>
        <v>146.70000000000002</v>
      </c>
      <c r="E107" s="436">
        <f t="shared" ca="1" si="101"/>
        <v>55.512685332272802</v>
      </c>
      <c r="F107" s="426">
        <f t="shared" ca="1" si="101"/>
        <v>63.170664832377113</v>
      </c>
      <c r="G107" s="426">
        <f t="shared" ca="1" si="101"/>
        <v>86.409454824702422</v>
      </c>
      <c r="H107" s="426">
        <f t="shared" ca="1" si="101"/>
        <v>86.409454824702422</v>
      </c>
      <c r="I107" s="426">
        <f t="shared" ca="1" si="101"/>
        <v>86.409454824702422</v>
      </c>
      <c r="J107" s="483">
        <f>IF($C$4='התפלגות ייצור וסל דלקים'!$B$90,0,IF($C$4='התפלגות ייצור וסל דלקים'!$B$116,BA25*$D$11,VLOOKUP(J$93,$C$25:$D$32,2,FALSE)))</f>
        <v>0</v>
      </c>
    </row>
    <row r="108" spans="2:10" ht="15.75">
      <c r="B108" s="10">
        <f t="shared" si="99"/>
        <v>2034</v>
      </c>
      <c r="C108" s="436">
        <f t="shared" ca="1" si="101"/>
        <v>148.5</v>
      </c>
      <c r="D108" s="437">
        <f t="shared" ca="1" si="101"/>
        <v>146.70000000000002</v>
      </c>
      <c r="E108" s="436">
        <f t="shared" ca="1" si="101"/>
        <v>55.512685332272802</v>
      </c>
      <c r="F108" s="426">
        <f t="shared" ca="1" si="101"/>
        <v>63.170664832377113</v>
      </c>
      <c r="G108" s="426">
        <f t="shared" ca="1" si="101"/>
        <v>86.409454824702422</v>
      </c>
      <c r="H108" s="426">
        <f t="shared" ca="1" si="101"/>
        <v>86.409454824702422</v>
      </c>
      <c r="I108" s="426">
        <f t="shared" ca="1" si="101"/>
        <v>86.409454824702422</v>
      </c>
      <c r="J108" s="483">
        <f>IF($C$4='התפלגות ייצור וסל דלקים'!$B$90,0,IF($C$4='התפלגות ייצור וסל דלקים'!$B$116,BA26*$D$11,VLOOKUP(J$93,$C$25:$D$32,2,FALSE)))</f>
        <v>0</v>
      </c>
    </row>
    <row r="109" spans="2:10" ht="15.75">
      <c r="B109" s="10">
        <f t="shared" si="99"/>
        <v>2035</v>
      </c>
      <c r="C109" s="436">
        <f t="shared" ca="1" si="101"/>
        <v>148.5</v>
      </c>
      <c r="D109" s="437">
        <f t="shared" ca="1" si="101"/>
        <v>146.70000000000002</v>
      </c>
      <c r="E109" s="436">
        <f t="shared" ca="1" si="101"/>
        <v>55.512685332272802</v>
      </c>
      <c r="F109" s="426">
        <f t="shared" ca="1" si="101"/>
        <v>63.170664832377113</v>
      </c>
      <c r="G109" s="426">
        <f t="shared" ca="1" si="101"/>
        <v>86.409454824702422</v>
      </c>
      <c r="H109" s="426">
        <f t="shared" ca="1" si="101"/>
        <v>86.409454824702422</v>
      </c>
      <c r="I109" s="426">
        <f t="shared" ca="1" si="101"/>
        <v>86.409454824702422</v>
      </c>
      <c r="J109" s="483">
        <f>IF($C$4='התפלגות ייצור וסל דלקים'!$B$90,0,IF($C$4='התפלגות ייצור וסל דלקים'!$B$116,BA27*$D$11,VLOOKUP(J$93,$C$25:$D$32,2,FALSE)))</f>
        <v>0</v>
      </c>
    </row>
    <row r="110" spans="2:10" ht="15.75">
      <c r="B110" s="10">
        <f t="shared" si="99"/>
        <v>2036</v>
      </c>
      <c r="C110" s="436">
        <f t="shared" ca="1" si="101"/>
        <v>148.5</v>
      </c>
      <c r="D110" s="437">
        <f t="shared" ca="1" si="101"/>
        <v>146.70000000000002</v>
      </c>
      <c r="E110" s="436">
        <f t="shared" ca="1" si="101"/>
        <v>55.512685332272802</v>
      </c>
      <c r="F110" s="426">
        <f t="shared" ca="1" si="101"/>
        <v>63.170664832377113</v>
      </c>
      <c r="G110" s="426">
        <f t="shared" ca="1" si="101"/>
        <v>86.409454824702422</v>
      </c>
      <c r="H110" s="426">
        <f t="shared" ca="1" si="101"/>
        <v>86.409454824702422</v>
      </c>
      <c r="I110" s="426">
        <f t="shared" ca="1" si="101"/>
        <v>86.409454824702422</v>
      </c>
      <c r="J110" s="483">
        <f>IF($C$4='התפלגות ייצור וסל דלקים'!$B$90,0,IF($C$4='התפלגות ייצור וסל דלקים'!$B$116,BA28*$D$11,VLOOKUP(J$93,$C$25:$D$32,2,FALSE)))</f>
        <v>0</v>
      </c>
    </row>
    <row r="111" spans="2:10" ht="15.75">
      <c r="B111" s="10">
        <f t="shared" si="99"/>
        <v>2037</v>
      </c>
      <c r="C111" s="436">
        <f t="shared" ca="1" si="101"/>
        <v>148.5</v>
      </c>
      <c r="D111" s="437">
        <f t="shared" ca="1" si="101"/>
        <v>146.70000000000002</v>
      </c>
      <c r="E111" s="436">
        <f t="shared" ca="1" si="101"/>
        <v>55.512685332272802</v>
      </c>
      <c r="F111" s="426">
        <f t="shared" ca="1" si="101"/>
        <v>63.170664832377113</v>
      </c>
      <c r="G111" s="426">
        <f t="shared" ca="1" si="101"/>
        <v>86.409454824702422</v>
      </c>
      <c r="H111" s="426">
        <f t="shared" ca="1" si="101"/>
        <v>86.409454824702422</v>
      </c>
      <c r="I111" s="426">
        <f t="shared" ca="1" si="101"/>
        <v>86.409454824702422</v>
      </c>
      <c r="J111" s="483">
        <f>IF($C$4='התפלגות ייצור וסל דלקים'!$B$90,0,IF($C$4='התפלגות ייצור וסל דלקים'!$B$116,BA29*$D$11,VLOOKUP(J$93,$C$25:$D$32,2,FALSE)))</f>
        <v>0</v>
      </c>
    </row>
    <row r="112" spans="2:10" ht="15.75">
      <c r="B112" s="10">
        <f t="shared" si="99"/>
        <v>2038</v>
      </c>
      <c r="C112" s="436">
        <f t="shared" ca="1" si="101"/>
        <v>148.5</v>
      </c>
      <c r="D112" s="437">
        <f t="shared" ca="1" si="101"/>
        <v>146.70000000000002</v>
      </c>
      <c r="E112" s="436">
        <f t="shared" ca="1" si="101"/>
        <v>55.512685332272802</v>
      </c>
      <c r="F112" s="426">
        <f t="shared" ca="1" si="101"/>
        <v>63.170664832377113</v>
      </c>
      <c r="G112" s="426">
        <f t="shared" ca="1" si="101"/>
        <v>86.409454824702422</v>
      </c>
      <c r="H112" s="426">
        <f t="shared" ca="1" si="101"/>
        <v>86.409454824702422</v>
      </c>
      <c r="I112" s="426">
        <f t="shared" ca="1" si="101"/>
        <v>86.409454824702422</v>
      </c>
      <c r="J112" s="483">
        <f>IF($C$4='התפלגות ייצור וסל דלקים'!$B$90,0,IF($C$4='התפלגות ייצור וסל דלקים'!$B$116,BA30*$D$11,VLOOKUP(J$93,$C$25:$D$32,2,FALSE)))</f>
        <v>0</v>
      </c>
    </row>
    <row r="113" spans="2:15" ht="15.75">
      <c r="B113" s="10">
        <f t="shared" si="99"/>
        <v>2039</v>
      </c>
      <c r="C113" s="436">
        <f t="shared" ca="1" si="101"/>
        <v>148.5</v>
      </c>
      <c r="D113" s="437">
        <f t="shared" ca="1" si="101"/>
        <v>146.70000000000002</v>
      </c>
      <c r="E113" s="436">
        <f t="shared" ca="1" si="101"/>
        <v>55.512685332272802</v>
      </c>
      <c r="F113" s="426">
        <f t="shared" ca="1" si="101"/>
        <v>63.170664832377113</v>
      </c>
      <c r="G113" s="426">
        <f t="shared" ca="1" si="101"/>
        <v>86.409454824702422</v>
      </c>
      <c r="H113" s="426">
        <f t="shared" ca="1" si="101"/>
        <v>86.409454824702422</v>
      </c>
      <c r="I113" s="426">
        <f t="shared" ca="1" si="101"/>
        <v>86.409454824702422</v>
      </c>
      <c r="J113" s="483">
        <f>IF($C$4='התפלגות ייצור וסל דלקים'!$B$90,0,IF($C$4='התפלגות ייצור וסל דלקים'!$B$116,BA31*$D$11,VLOOKUP(J$93,$C$25:$D$32,2,FALSE)))</f>
        <v>0</v>
      </c>
    </row>
    <row r="114" spans="2:15" ht="16.5" thickBot="1">
      <c r="B114" s="11">
        <f t="shared" si="99"/>
        <v>2040</v>
      </c>
      <c r="C114" s="438">
        <f t="shared" ca="1" si="101"/>
        <v>148.5</v>
      </c>
      <c r="D114" s="439">
        <f t="shared" ca="1" si="101"/>
        <v>146.70000000000002</v>
      </c>
      <c r="E114" s="438">
        <f t="shared" ca="1" si="101"/>
        <v>55.512685332272802</v>
      </c>
      <c r="F114" s="441">
        <f t="shared" ca="1" si="101"/>
        <v>63.170664832377113</v>
      </c>
      <c r="G114" s="441">
        <f t="shared" ca="1" si="101"/>
        <v>86.409454824702422</v>
      </c>
      <c r="H114" s="441">
        <f t="shared" ca="1" si="101"/>
        <v>86.409454824702422</v>
      </c>
      <c r="I114" s="441">
        <f t="shared" ca="1" si="101"/>
        <v>86.409454824702422</v>
      </c>
      <c r="J114" s="484">
        <f>IF($C$4='התפלגות ייצור וסל דלקים'!$B$90,0,IF($C$4='התפלגות ייצור וסל דלקים'!$B$116,BA32*$D$11,VLOOKUP(J$93,$C$25:$D$32,2,FALSE)))</f>
        <v>0</v>
      </c>
    </row>
    <row r="115" spans="2:15" ht="15.75" thickBot="1"/>
    <row r="116" spans="2:15" ht="16.5" thickBot="1">
      <c r="B116" s="1243" t="s">
        <v>243</v>
      </c>
      <c r="C116" s="1244"/>
      <c r="D116" s="1244"/>
      <c r="E116" s="1244"/>
      <c r="F116" s="1244"/>
      <c r="G116" s="1244"/>
      <c r="H116" s="1244"/>
      <c r="I116" s="1244"/>
      <c r="J116" s="1244"/>
      <c r="K116" s="1244"/>
      <c r="L116" s="1244"/>
      <c r="M116" s="1244"/>
      <c r="N116" s="1245"/>
    </row>
    <row r="117" spans="2:15" ht="16.5" thickBot="1">
      <c r="B117" s="4"/>
      <c r="C117" s="4" t="str">
        <f ca="1">OFFSET($C$19,COUNTA($A$2:A2)-1,0)</f>
        <v>מוטה קרקע PV</v>
      </c>
      <c r="D117" s="4" t="str">
        <f ca="1">OFFSET($C$19,COUNTA($A$2:B2)-1,0)</f>
        <v>מוטה דואלי PV</v>
      </c>
      <c r="E117" s="4" t="str">
        <f ca="1">OFFSET($C$19,COUNTA($A$2:C2)-1,0)</f>
        <v>רוח</v>
      </c>
      <c r="F117" s="4" t="str">
        <f ca="1">OFFSET($C$19,COUNTA($A$2:D2)-1,0)</f>
        <v>ביומסה/ביוגז</v>
      </c>
      <c r="G117" s="4" t="str">
        <f ca="1">OFFSET($C$19,COUNTA($A$2:E2)-1,0)</f>
        <v>תרמו סולארי</v>
      </c>
      <c r="H117" s="4" t="s">
        <v>392</v>
      </c>
      <c r="I117" s="4" t="str">
        <f ca="1">OFFSET($H$27,L2-$L$2,0)</f>
        <v>גז פחמיות מוסבות</v>
      </c>
      <c r="J117" s="4" t="str">
        <f ca="1">OFFSET($H$27,M2-$L$2,0)</f>
        <v>גז חח"י מחזמים ופקירים ויח"פים</v>
      </c>
      <c r="K117" s="4" t="str">
        <f ca="1">OFFSET($H$27,N2-$L$2,0)</f>
        <v>אחר 1</v>
      </c>
      <c r="L117" s="4" t="str">
        <f ca="1">OFFSET($H$27,O2-$L$2,0)</f>
        <v>אחר 2</v>
      </c>
      <c r="M117" s="4" t="str">
        <f>H47</f>
        <v>יחידה פחמית</v>
      </c>
      <c r="N117" s="198" t="s">
        <v>353</v>
      </c>
    </row>
    <row r="118" spans="2:15" ht="15.75">
      <c r="B118" s="324" t="s">
        <v>240</v>
      </c>
      <c r="C118" s="326">
        <v>0</v>
      </c>
      <c r="D118" s="251">
        <v>0</v>
      </c>
      <c r="E118" s="251">
        <v>0</v>
      </c>
      <c r="F118" s="251">
        <v>0</v>
      </c>
      <c r="G118" s="251">
        <v>0</v>
      </c>
      <c r="H118" s="251">
        <v>0</v>
      </c>
      <c r="I118" s="329">
        <v>474</v>
      </c>
      <c r="J118" s="251">
        <f>(378+360)/2</f>
        <v>369</v>
      </c>
      <c r="K118" s="330">
        <v>0</v>
      </c>
      <c r="L118" s="330">
        <v>0</v>
      </c>
      <c r="M118" s="331">
        <v>880</v>
      </c>
      <c r="N118" s="538"/>
    </row>
    <row r="119" spans="2:15" ht="15.75">
      <c r="B119" s="323" t="s">
        <v>241</v>
      </c>
      <c r="C119" s="327">
        <v>0</v>
      </c>
      <c r="D119" s="250">
        <v>0</v>
      </c>
      <c r="E119" s="250">
        <v>0</v>
      </c>
      <c r="F119" s="250">
        <v>0</v>
      </c>
      <c r="G119" s="250">
        <v>0</v>
      </c>
      <c r="H119" s="250">
        <v>0</v>
      </c>
      <c r="I119" s="541">
        <v>0.24</v>
      </c>
      <c r="J119" s="542">
        <v>0.16</v>
      </c>
      <c r="K119" s="542">
        <v>0</v>
      </c>
      <c r="L119" s="542">
        <v>0</v>
      </c>
      <c r="M119" s="490">
        <v>0.38574999999999998</v>
      </c>
      <c r="N119" s="539"/>
    </row>
    <row r="120" spans="2:15" ht="15.75">
      <c r="B120" s="323" t="s">
        <v>242</v>
      </c>
      <c r="C120" s="327">
        <v>0</v>
      </c>
      <c r="D120" s="250">
        <v>0</v>
      </c>
      <c r="E120" s="250">
        <v>0</v>
      </c>
      <c r="F120" s="250">
        <v>0</v>
      </c>
      <c r="G120" s="250">
        <v>0</v>
      </c>
      <c r="H120" s="250">
        <v>0</v>
      </c>
      <c r="I120" s="541">
        <v>8.0000000000000002E-3</v>
      </c>
      <c r="J120" s="542">
        <v>8.0000000000000002E-3</v>
      </c>
      <c r="K120" s="542">
        <v>0</v>
      </c>
      <c r="L120" s="542">
        <v>0</v>
      </c>
      <c r="M120" s="490">
        <v>0.32250000000000001</v>
      </c>
      <c r="N120" s="539"/>
    </row>
    <row r="121" spans="2:15" ht="16.5" thickBot="1">
      <c r="B121" s="325" t="s">
        <v>239</v>
      </c>
      <c r="C121" s="67">
        <v>0</v>
      </c>
      <c r="D121" s="254">
        <v>0</v>
      </c>
      <c r="E121" s="254">
        <v>0</v>
      </c>
      <c r="F121" s="254">
        <v>0</v>
      </c>
      <c r="G121" s="254">
        <v>0</v>
      </c>
      <c r="H121" s="254">
        <v>0</v>
      </c>
      <c r="I121" s="543">
        <v>0.01</v>
      </c>
      <c r="J121" s="544">
        <v>1.6E-2</v>
      </c>
      <c r="K121" s="544">
        <v>0</v>
      </c>
      <c r="L121" s="544">
        <v>0</v>
      </c>
      <c r="M121" s="491">
        <v>1.4324999999999999E-2</v>
      </c>
      <c r="N121" s="540"/>
    </row>
    <row r="122" spans="2:15" ht="15.75" thickBot="1"/>
    <row r="123" spans="2:15" ht="15.75" thickBot="1">
      <c r="B123" s="1183" t="s">
        <v>407</v>
      </c>
      <c r="C123" s="1184"/>
      <c r="D123" s="1184"/>
      <c r="E123" s="1184"/>
      <c r="F123" s="1184"/>
      <c r="G123" s="1184"/>
      <c r="H123" s="1184"/>
      <c r="I123" s="1184"/>
      <c r="J123" s="1184"/>
      <c r="K123" s="1184"/>
      <c r="L123" s="1184"/>
      <c r="M123" s="1184"/>
      <c r="N123" s="1185"/>
    </row>
    <row r="124" spans="2:15" ht="16.5" thickBot="1">
      <c r="B124" s="741"/>
      <c r="C124" s="698"/>
      <c r="D124" s="1237" t="s">
        <v>361</v>
      </c>
      <c r="E124" s="1238"/>
      <c r="F124" s="1238"/>
      <c r="G124" s="1239"/>
      <c r="H124" s="1237" t="s">
        <v>385</v>
      </c>
      <c r="I124" s="1238"/>
      <c r="J124" s="1238"/>
      <c r="K124" s="1238"/>
      <c r="L124" s="1239"/>
    </row>
    <row r="125" spans="2:15" ht="63.75" thickBot="1">
      <c r="B125" s="700" t="s">
        <v>362</v>
      </c>
      <c r="C125" s="775" t="s">
        <v>363</v>
      </c>
      <c r="D125" s="775" t="s">
        <v>364</v>
      </c>
      <c r="E125" s="775" t="s">
        <v>365</v>
      </c>
      <c r="F125" s="775" t="s">
        <v>366</v>
      </c>
      <c r="G125" s="775" t="s">
        <v>367</v>
      </c>
      <c r="H125" s="775" t="s">
        <v>368</v>
      </c>
      <c r="I125" s="775" t="s">
        <v>369</v>
      </c>
      <c r="J125" s="775" t="s">
        <v>370</v>
      </c>
      <c r="K125" s="775" t="s">
        <v>371</v>
      </c>
      <c r="L125" s="775" t="s">
        <v>372</v>
      </c>
      <c r="M125" s="775" t="s">
        <v>411</v>
      </c>
      <c r="N125" s="775" t="s">
        <v>408</v>
      </c>
      <c r="O125" s="775" t="s">
        <v>412</v>
      </c>
    </row>
    <row r="126" spans="2:15" ht="15.75">
      <c r="B126" s="1240" t="s">
        <v>373</v>
      </c>
      <c r="C126" s="776" t="s">
        <v>374</v>
      </c>
      <c r="D126" s="777">
        <v>6</v>
      </c>
      <c r="E126" s="778">
        <v>90</v>
      </c>
      <c r="F126" s="779"/>
      <c r="G126" s="780">
        <v>0</v>
      </c>
      <c r="H126" s="781">
        <f>D126*$M$47/$D$16</f>
        <v>360</v>
      </c>
      <c r="I126" s="782">
        <f>E126*$M$49/$D$16</f>
        <v>270</v>
      </c>
      <c r="J126" s="779">
        <f>F126*$M$46/$D$16</f>
        <v>0</v>
      </c>
      <c r="K126" s="783">
        <f>G126*$M$48/$D$16</f>
        <v>0</v>
      </c>
      <c r="L126" s="784">
        <f t="shared" ref="L126:L134" si="102">SUM(H126:K126)</f>
        <v>630</v>
      </c>
      <c r="M126" s="784">
        <v>633</v>
      </c>
      <c r="N126" s="784">
        <f>(L126*$D$16/M126)/$D$13</f>
        <v>995.26066350710903</v>
      </c>
      <c r="O126" s="784">
        <v>721.89158154969505</v>
      </c>
    </row>
    <row r="127" spans="2:15" ht="15.75">
      <c r="B127" s="1241"/>
      <c r="C127" s="785" t="s">
        <v>375</v>
      </c>
      <c r="D127" s="786">
        <v>8</v>
      </c>
      <c r="E127" s="787">
        <v>105</v>
      </c>
      <c r="F127" s="788"/>
      <c r="G127" s="789">
        <v>0</v>
      </c>
      <c r="H127" s="790">
        <f t="shared" ref="H127:H134" si="103">D127*$M$47/$D$16</f>
        <v>480</v>
      </c>
      <c r="I127" s="791">
        <f t="shared" ref="I127:I134" si="104">E127*$M$49/$D$16</f>
        <v>315</v>
      </c>
      <c r="J127" s="788">
        <f t="shared" ref="J127:J134" si="105">F127*$M$46/$D$16</f>
        <v>0</v>
      </c>
      <c r="K127" s="792">
        <f t="shared" ref="K127:K134" si="106">G127*$M$48/$D$16</f>
        <v>0</v>
      </c>
      <c r="L127" s="793">
        <f t="shared" si="102"/>
        <v>795</v>
      </c>
      <c r="M127" s="793">
        <v>899</v>
      </c>
      <c r="N127" s="793">
        <f t="shared" ref="N127:N135" si="107">(L127*$D$16/M127)/$D$13</f>
        <v>884.31590656284754</v>
      </c>
      <c r="O127" s="793">
        <v>962.52210873292677</v>
      </c>
    </row>
    <row r="128" spans="2:15" ht="16.5" thickBot="1">
      <c r="B128" s="1242"/>
      <c r="C128" s="794" t="s">
        <v>376</v>
      </c>
      <c r="D128" s="795">
        <v>10</v>
      </c>
      <c r="E128" s="796">
        <v>115</v>
      </c>
      <c r="F128" s="797">
        <v>1</v>
      </c>
      <c r="G128" s="798">
        <v>100</v>
      </c>
      <c r="H128" s="799">
        <f t="shared" si="103"/>
        <v>600</v>
      </c>
      <c r="I128" s="800">
        <f t="shared" si="104"/>
        <v>345</v>
      </c>
      <c r="J128" s="797">
        <f t="shared" si="105"/>
        <v>450</v>
      </c>
      <c r="K128" s="801">
        <f t="shared" si="106"/>
        <v>800</v>
      </c>
      <c r="L128" s="802">
        <f t="shared" si="102"/>
        <v>2195</v>
      </c>
      <c r="M128" s="802">
        <v>1115</v>
      </c>
      <c r="N128" s="802">
        <f t="shared" si="107"/>
        <v>1968.6098654708519</v>
      </c>
      <c r="O128" s="802">
        <v>940.61596090253488</v>
      </c>
    </row>
    <row r="129" spans="2:15" ht="32.25" thickBot="1">
      <c r="B129" s="699" t="s">
        <v>377</v>
      </c>
      <c r="C129" s="803" t="s">
        <v>378</v>
      </c>
      <c r="D129" s="804"/>
      <c r="E129" s="805"/>
      <c r="F129" s="805"/>
      <c r="G129" s="806">
        <v>0</v>
      </c>
      <c r="H129" s="807">
        <f t="shared" si="103"/>
        <v>0</v>
      </c>
      <c r="I129" s="808">
        <f t="shared" si="104"/>
        <v>0</v>
      </c>
      <c r="J129" s="805">
        <f t="shared" si="105"/>
        <v>0</v>
      </c>
      <c r="K129" s="809">
        <f t="shared" si="106"/>
        <v>0</v>
      </c>
      <c r="L129" s="810">
        <f t="shared" si="102"/>
        <v>0</v>
      </c>
      <c r="M129" s="810">
        <v>1227</v>
      </c>
      <c r="N129" s="810">
        <f t="shared" si="107"/>
        <v>0</v>
      </c>
      <c r="O129" s="810">
        <v>2328.5393657348</v>
      </c>
    </row>
    <row r="130" spans="2:15" ht="16.5" thickBot="1">
      <c r="B130" s="699" t="s">
        <v>379</v>
      </c>
      <c r="C130" s="803" t="s">
        <v>379</v>
      </c>
      <c r="D130" s="811">
        <v>14</v>
      </c>
      <c r="E130" s="812">
        <v>100</v>
      </c>
      <c r="F130" s="813">
        <v>1</v>
      </c>
      <c r="G130" s="814">
        <v>35</v>
      </c>
      <c r="H130" s="815">
        <f t="shared" si="103"/>
        <v>840</v>
      </c>
      <c r="I130" s="816">
        <f t="shared" si="104"/>
        <v>300</v>
      </c>
      <c r="J130" s="813">
        <f t="shared" si="105"/>
        <v>450</v>
      </c>
      <c r="K130" s="817">
        <f t="shared" si="106"/>
        <v>280</v>
      </c>
      <c r="L130" s="810">
        <f t="shared" si="102"/>
        <v>1870</v>
      </c>
      <c r="M130" s="810">
        <v>1398</v>
      </c>
      <c r="N130" s="810">
        <f t="shared" si="107"/>
        <v>1337.6251788268955</v>
      </c>
      <c r="O130" s="810">
        <v>1191.8257824849638</v>
      </c>
    </row>
    <row r="131" spans="2:15" ht="15.75">
      <c r="B131" s="1240" t="s">
        <v>380</v>
      </c>
      <c r="C131" s="776" t="s">
        <v>381</v>
      </c>
      <c r="D131" s="777">
        <v>12</v>
      </c>
      <c r="E131" s="778">
        <v>120</v>
      </c>
      <c r="F131" s="818">
        <v>1</v>
      </c>
      <c r="G131" s="780">
        <v>45</v>
      </c>
      <c r="H131" s="781">
        <f t="shared" si="103"/>
        <v>720</v>
      </c>
      <c r="I131" s="782">
        <f t="shared" si="104"/>
        <v>360</v>
      </c>
      <c r="J131" s="818">
        <f t="shared" si="105"/>
        <v>450</v>
      </c>
      <c r="K131" s="783">
        <f t="shared" si="106"/>
        <v>360</v>
      </c>
      <c r="L131" s="784">
        <f t="shared" si="102"/>
        <v>1890</v>
      </c>
      <c r="M131" s="784">
        <v>1310</v>
      </c>
      <c r="N131" s="784">
        <f t="shared" si="107"/>
        <v>1442.7480916030536</v>
      </c>
      <c r="O131" s="784">
        <v>1140.0350698340617</v>
      </c>
    </row>
    <row r="132" spans="2:15" ht="16.5" thickBot="1">
      <c r="B132" s="1242"/>
      <c r="C132" s="794" t="s">
        <v>382</v>
      </c>
      <c r="D132" s="795">
        <v>4</v>
      </c>
      <c r="E132" s="796">
        <v>35</v>
      </c>
      <c r="F132" s="819"/>
      <c r="G132" s="798"/>
      <c r="H132" s="799">
        <f t="shared" si="103"/>
        <v>240</v>
      </c>
      <c r="I132" s="800">
        <f t="shared" si="104"/>
        <v>105</v>
      </c>
      <c r="J132" s="819">
        <f t="shared" si="105"/>
        <v>0</v>
      </c>
      <c r="K132" s="801">
        <f t="shared" si="106"/>
        <v>0</v>
      </c>
      <c r="L132" s="802">
        <f t="shared" si="102"/>
        <v>345</v>
      </c>
      <c r="M132" s="802">
        <v>473</v>
      </c>
      <c r="N132" s="802">
        <f t="shared" si="107"/>
        <v>729.38689217758986</v>
      </c>
      <c r="O132" s="802">
        <v>380.01168994468719</v>
      </c>
    </row>
    <row r="133" spans="2:15" ht="16.5" thickBot="1">
      <c r="B133" s="699" t="s">
        <v>383</v>
      </c>
      <c r="C133" s="803" t="str">
        <f>B133</f>
        <v>נגב</v>
      </c>
      <c r="D133" s="811">
        <v>30</v>
      </c>
      <c r="E133" s="812">
        <v>300</v>
      </c>
      <c r="F133" s="813">
        <v>2</v>
      </c>
      <c r="G133" s="814">
        <v>280</v>
      </c>
      <c r="H133" s="815">
        <f t="shared" si="103"/>
        <v>1800</v>
      </c>
      <c r="I133" s="816">
        <f t="shared" si="104"/>
        <v>900</v>
      </c>
      <c r="J133" s="813">
        <f t="shared" si="105"/>
        <v>900</v>
      </c>
      <c r="K133" s="817">
        <f t="shared" si="106"/>
        <v>2240</v>
      </c>
      <c r="L133" s="810">
        <f t="shared" si="102"/>
        <v>5840</v>
      </c>
      <c r="M133" s="810">
        <v>3272</v>
      </c>
      <c r="N133" s="810">
        <f t="shared" si="107"/>
        <v>1784.8410757946212</v>
      </c>
      <c r="O133" s="810">
        <v>2789.4520459876985</v>
      </c>
    </row>
    <row r="134" spans="2:15" ht="16.5" thickBot="1">
      <c r="B134" s="700" t="s">
        <v>384</v>
      </c>
      <c r="C134" s="775" t="str">
        <f>B134</f>
        <v>פארן - אילת</v>
      </c>
      <c r="D134" s="820">
        <v>12</v>
      </c>
      <c r="E134" s="821">
        <v>105</v>
      </c>
      <c r="F134" s="822">
        <v>1</v>
      </c>
      <c r="G134" s="823">
        <v>135</v>
      </c>
      <c r="H134" s="824">
        <f t="shared" si="103"/>
        <v>720</v>
      </c>
      <c r="I134" s="825">
        <f t="shared" si="104"/>
        <v>315</v>
      </c>
      <c r="J134" s="822">
        <f t="shared" si="105"/>
        <v>450</v>
      </c>
      <c r="K134" s="826">
        <f t="shared" si="106"/>
        <v>1080</v>
      </c>
      <c r="L134" s="810">
        <f t="shared" si="102"/>
        <v>2565</v>
      </c>
      <c r="M134" s="810">
        <v>1261</v>
      </c>
      <c r="N134" s="810">
        <f t="shared" si="107"/>
        <v>2034.0999206978588</v>
      </c>
      <c r="O134" s="810">
        <v>1075.0302658895132</v>
      </c>
    </row>
    <row r="135" spans="2:15" ht="16.5" thickBot="1">
      <c r="B135" s="701" t="s">
        <v>27</v>
      </c>
      <c r="C135" s="827" t="str">
        <f>B135</f>
        <v>סה"כ</v>
      </c>
      <c r="D135" s="828"/>
      <c r="E135" s="828"/>
      <c r="F135" s="828"/>
      <c r="G135" s="828"/>
      <c r="H135" s="828">
        <f t="shared" ref="H135:M135" si="108">SUM(H126:H134)</f>
        <v>5760</v>
      </c>
      <c r="I135" s="828">
        <f t="shared" si="108"/>
        <v>2910</v>
      </c>
      <c r="J135" s="828">
        <f t="shared" si="108"/>
        <v>2700</v>
      </c>
      <c r="K135" s="828">
        <f t="shared" si="108"/>
        <v>4760</v>
      </c>
      <c r="L135" s="828">
        <f t="shared" si="108"/>
        <v>16130</v>
      </c>
      <c r="M135" s="828">
        <f t="shared" si="108"/>
        <v>11588</v>
      </c>
      <c r="N135" s="828">
        <f t="shared" si="107"/>
        <v>1391.9571971004486</v>
      </c>
      <c r="O135" s="828">
        <f>SUM(O126:O134)</f>
        <v>11529.923871060881</v>
      </c>
    </row>
    <row r="136" spans="2:15" ht="15.75" thickBot="1"/>
    <row r="137" spans="2:15" ht="15.75" thickBot="1">
      <c r="C137" s="1183" t="s">
        <v>409</v>
      </c>
      <c r="D137" s="1184"/>
      <c r="E137" s="1184"/>
      <c r="F137" s="1184"/>
      <c r="G137" s="1184"/>
      <c r="H137" s="1184"/>
      <c r="I137" s="1185"/>
    </row>
    <row r="138" spans="2:15" ht="63.75" thickBot="1">
      <c r="B138" s="762" t="s">
        <v>362</v>
      </c>
      <c r="C138" s="700" t="s">
        <v>363</v>
      </c>
      <c r="D138" s="763" t="s">
        <v>46</v>
      </c>
      <c r="E138" s="764" t="s">
        <v>47</v>
      </c>
      <c r="F138" s="763" t="s">
        <v>342</v>
      </c>
      <c r="G138" s="764" t="s">
        <v>343</v>
      </c>
      <c r="H138" s="763" t="s">
        <v>344</v>
      </c>
      <c r="I138" s="772" t="s">
        <v>345</v>
      </c>
      <c r="J138" s="763" t="s">
        <v>46</v>
      </c>
      <c r="K138" s="764" t="s">
        <v>47</v>
      </c>
      <c r="L138" s="763" t="s">
        <v>342</v>
      </c>
      <c r="M138" s="764" t="s">
        <v>343</v>
      </c>
      <c r="N138" s="763" t="s">
        <v>344</v>
      </c>
      <c r="O138" s="772" t="s">
        <v>345</v>
      </c>
    </row>
    <row r="139" spans="2:15" ht="15.75">
      <c r="B139" s="1234" t="s">
        <v>373</v>
      </c>
      <c r="C139" s="758" t="s">
        <v>374</v>
      </c>
      <c r="D139" s="767">
        <f t="shared" ref="D139:D147" si="109">M126*$D$150/$M$135</f>
        <v>340.90242566447108</v>
      </c>
      <c r="E139" s="768">
        <f t="shared" ref="E139:E147" si="110">O126*$E$150/$O$135</f>
        <v>390.73328213246702</v>
      </c>
      <c r="F139" s="768">
        <f t="shared" ref="F139:F147" si="111">M126*$F$150/$M$135</f>
        <v>606.35699530483032</v>
      </c>
      <c r="G139" s="768">
        <f t="shared" ref="G139:G147" si="112">O126*$G$150/$O$135</f>
        <v>694.99024085157612</v>
      </c>
      <c r="H139" s="768">
        <f t="shared" ref="H139:H147" si="113">M126*$H$150/$M$135</f>
        <v>772.00143011751311</v>
      </c>
      <c r="I139" s="1116">
        <f t="shared" ref="I139:I147" si="114">O126*$I$150/$O$135</f>
        <v>884.84748095534587</v>
      </c>
      <c r="J139" s="231">
        <f>D139*$N126*$D$13</f>
        <v>339286774.35800439</v>
      </c>
      <c r="K139" s="232">
        <f t="shared" ref="K139:O147" si="115">E139*$N126*$D$13</f>
        <v>388881465.62946957</v>
      </c>
      <c r="L139" s="232">
        <f t="shared" si="115"/>
        <v>603483265.46926236</v>
      </c>
      <c r="M139" s="232">
        <f t="shared" si="115"/>
        <v>691696448.24090517</v>
      </c>
      <c r="N139" s="232">
        <f t="shared" si="115"/>
        <v>768342655.56719315</v>
      </c>
      <c r="O139" s="233">
        <f t="shared" si="115"/>
        <v>880653890.99821162</v>
      </c>
    </row>
    <row r="140" spans="2:15" ht="15.75">
      <c r="B140" s="1235"/>
      <c r="C140" s="759" t="s">
        <v>375</v>
      </c>
      <c r="D140" s="769">
        <f t="shared" si="109"/>
        <v>484.15684150451733</v>
      </c>
      <c r="E140" s="766">
        <f t="shared" si="110"/>
        <v>520.97770950995607</v>
      </c>
      <c r="F140" s="766">
        <f t="shared" si="111"/>
        <v>861.16104072518556</v>
      </c>
      <c r="G140" s="766">
        <f t="shared" si="112"/>
        <v>926.65365446876808</v>
      </c>
      <c r="H140" s="766">
        <f t="shared" si="113"/>
        <v>1096.4127735792167</v>
      </c>
      <c r="I140" s="1117">
        <f t="shared" si="114"/>
        <v>1179.7966412737946</v>
      </c>
      <c r="J140" s="234">
        <f t="shared" ref="J140:J147" si="116">D140*$N127*$D$13</f>
        <v>428147596.21367216</v>
      </c>
      <c r="K140" s="235">
        <f t="shared" si="115"/>
        <v>460708875.48433262</v>
      </c>
      <c r="L140" s="235">
        <f t="shared" si="115"/>
        <v>761538406.42549777</v>
      </c>
      <c r="M140" s="235">
        <f t="shared" si="115"/>
        <v>819454566.52132428</v>
      </c>
      <c r="N140" s="235">
        <f t="shared" si="115"/>
        <v>969575255.83479106</v>
      </c>
      <c r="O140" s="236">
        <f t="shared" si="115"/>
        <v>1043312936.3878384</v>
      </c>
    </row>
    <row r="141" spans="2:15" ht="16.5" thickBot="1">
      <c r="B141" s="1236"/>
      <c r="C141" s="760" t="s">
        <v>376</v>
      </c>
      <c r="D141" s="769">
        <f t="shared" si="109"/>
        <v>600.48373557011882</v>
      </c>
      <c r="E141" s="766">
        <f t="shared" si="110"/>
        <v>509.12071981868786</v>
      </c>
      <c r="F141" s="766">
        <f t="shared" si="111"/>
        <v>1068.0695888860755</v>
      </c>
      <c r="G141" s="766">
        <f t="shared" si="112"/>
        <v>905.56384078221504</v>
      </c>
      <c r="H141" s="766">
        <f t="shared" si="113"/>
        <v>1359.8445412022545</v>
      </c>
      <c r="I141" s="1117">
        <f t="shared" si="114"/>
        <v>1152.9455181680967</v>
      </c>
      <c r="J141" s="234">
        <f t="shared" si="116"/>
        <v>1182118205.8981261</v>
      </c>
      <c r="K141" s="235">
        <f t="shared" si="115"/>
        <v>1002260071.7506903</v>
      </c>
      <c r="L141" s="235">
        <f t="shared" si="115"/>
        <v>2102612329.6905253</v>
      </c>
      <c r="M141" s="235">
        <f t="shared" si="115"/>
        <v>1782701910.7775443</v>
      </c>
      <c r="N141" s="235">
        <f t="shared" si="115"/>
        <v>2677003379.3174424</v>
      </c>
      <c r="O141" s="236">
        <f t="shared" si="115"/>
        <v>2269699921.4161181</v>
      </c>
    </row>
    <row r="142" spans="2:15" ht="32.25" thickBot="1">
      <c r="B142" s="761" t="s">
        <v>377</v>
      </c>
      <c r="C142" s="761" t="s">
        <v>378</v>
      </c>
      <c r="D142" s="769">
        <f t="shared" si="109"/>
        <v>660.80138434487515</v>
      </c>
      <c r="E142" s="766">
        <f t="shared" si="110"/>
        <v>1260.3524576295092</v>
      </c>
      <c r="F142" s="766">
        <f t="shared" si="111"/>
        <v>1175.3555027472778</v>
      </c>
      <c r="G142" s="766">
        <f t="shared" si="112"/>
        <v>2241.7661820495969</v>
      </c>
      <c r="H142" s="766">
        <f t="shared" si="113"/>
        <v>1496.4387910808666</v>
      </c>
      <c r="I142" s="1117">
        <f t="shared" si="114"/>
        <v>2854.1712422420851</v>
      </c>
      <c r="J142" s="234">
        <f t="shared" si="116"/>
        <v>0</v>
      </c>
      <c r="K142" s="235">
        <f t="shared" si="115"/>
        <v>0</v>
      </c>
      <c r="L142" s="235">
        <f t="shared" si="115"/>
        <v>0</v>
      </c>
      <c r="M142" s="235">
        <f t="shared" si="115"/>
        <v>0</v>
      </c>
      <c r="N142" s="235">
        <f t="shared" si="115"/>
        <v>0</v>
      </c>
      <c r="O142" s="236">
        <f t="shared" si="115"/>
        <v>0</v>
      </c>
    </row>
    <row r="143" spans="2:15" ht="16.5" thickBot="1">
      <c r="B143" s="761" t="s">
        <v>379</v>
      </c>
      <c r="C143" s="761" t="s">
        <v>379</v>
      </c>
      <c r="D143" s="769">
        <f t="shared" si="109"/>
        <v>752.89350881347639</v>
      </c>
      <c r="E143" s="766">
        <f t="shared" si="110"/>
        <v>645.09132897872394</v>
      </c>
      <c r="F143" s="766">
        <f t="shared" si="111"/>
        <v>1339.1581033746488</v>
      </c>
      <c r="G143" s="766">
        <f t="shared" si="112"/>
        <v>1147.4123106467098</v>
      </c>
      <c r="H143" s="766">
        <f t="shared" si="113"/>
        <v>1704.9889404491046</v>
      </c>
      <c r="I143" s="1117">
        <f t="shared" si="114"/>
        <v>1460.8620855580052</v>
      </c>
      <c r="J143" s="234">
        <f t="shared" si="116"/>
        <v>1007089314.3642352</v>
      </c>
      <c r="K143" s="235">
        <f t="shared" si="115"/>
        <v>862890404.28484535</v>
      </c>
      <c r="L143" s="235">
        <f t="shared" si="115"/>
        <v>1791291597.5040009</v>
      </c>
      <c r="M143" s="235">
        <f t="shared" si="115"/>
        <v>1534807597.2169867</v>
      </c>
      <c r="N143" s="235">
        <f t="shared" si="115"/>
        <v>2280636136.3661127</v>
      </c>
      <c r="O143" s="236">
        <f t="shared" si="115"/>
        <v>1954085908.4359581</v>
      </c>
    </row>
    <row r="144" spans="2:15" ht="15.75">
      <c r="B144" s="1234" t="s">
        <v>380</v>
      </c>
      <c r="C144" s="758" t="s">
        <v>381</v>
      </c>
      <c r="D144" s="769">
        <f t="shared" si="109"/>
        <v>705.50107049045346</v>
      </c>
      <c r="E144" s="766">
        <f t="shared" si="110"/>
        <v>617.0589268074383</v>
      </c>
      <c r="F144" s="766">
        <f t="shared" si="111"/>
        <v>1254.8620281979902</v>
      </c>
      <c r="G144" s="766">
        <f t="shared" si="112"/>
        <v>1097.5515825553023</v>
      </c>
      <c r="H144" s="766">
        <f t="shared" si="113"/>
        <v>1597.664886973052</v>
      </c>
      <c r="I144" s="1117">
        <f t="shared" si="114"/>
        <v>1397.3804176769977</v>
      </c>
      <c r="J144" s="234">
        <f t="shared" si="116"/>
        <v>1017860323.0740131</v>
      </c>
      <c r="K144" s="235">
        <f t="shared" si="115"/>
        <v>890260589.05805993</v>
      </c>
      <c r="L144" s="235">
        <f t="shared" si="115"/>
        <v>1810449796.4077876</v>
      </c>
      <c r="M144" s="235">
        <f t="shared" si="115"/>
        <v>1583490451.1675737</v>
      </c>
      <c r="N144" s="235">
        <f t="shared" si="115"/>
        <v>2305027966.7015791</v>
      </c>
      <c r="O144" s="236">
        <f t="shared" si="115"/>
        <v>2016067930.8469663</v>
      </c>
    </row>
    <row r="145" spans="2:15" ht="16.5" thickBot="1">
      <c r="B145" s="1236"/>
      <c r="C145" s="760" t="s">
        <v>382</v>
      </c>
      <c r="D145" s="769">
        <f t="shared" si="109"/>
        <v>254.73435598624772</v>
      </c>
      <c r="E145" s="766">
        <f t="shared" si="110"/>
        <v>205.68630893581275</v>
      </c>
      <c r="F145" s="766">
        <f t="shared" si="111"/>
        <v>453.09140407454146</v>
      </c>
      <c r="G145" s="766">
        <f t="shared" si="112"/>
        <v>365.85052751843403</v>
      </c>
      <c r="H145" s="766">
        <f t="shared" si="113"/>
        <v>576.8667874337815</v>
      </c>
      <c r="I145" s="1117">
        <f t="shared" si="114"/>
        <v>465.79347255899916</v>
      </c>
      <c r="J145" s="234">
        <f t="shared" si="116"/>
        <v>185799900.24366906</v>
      </c>
      <c r="K145" s="235">
        <f t="shared" si="115"/>
        <v>150024897.63817209</v>
      </c>
      <c r="L145" s="235">
        <f t="shared" si="115"/>
        <v>330478931.09031039</v>
      </c>
      <c r="M145" s="235">
        <f t="shared" si="115"/>
        <v>266846579.26820242</v>
      </c>
      <c r="N145" s="235">
        <f t="shared" si="115"/>
        <v>420759073.28679621</v>
      </c>
      <c r="O145" s="236">
        <f t="shared" si="115"/>
        <v>339743653.34641588</v>
      </c>
    </row>
    <row r="146" spans="2:15" ht="16.5" thickBot="1">
      <c r="B146" s="761" t="s">
        <v>383</v>
      </c>
      <c r="C146" s="761" t="str">
        <f>B146</f>
        <v>נגב</v>
      </c>
      <c r="D146" s="769">
        <f t="shared" si="109"/>
        <v>1762.1370249196671</v>
      </c>
      <c r="E146" s="766">
        <f t="shared" si="110"/>
        <v>1509.8274881390453</v>
      </c>
      <c r="F146" s="766">
        <f t="shared" si="111"/>
        <v>3134.2813406594073</v>
      </c>
      <c r="G146" s="766">
        <f t="shared" si="112"/>
        <v>2685.5029187668342</v>
      </c>
      <c r="H146" s="766">
        <f t="shared" si="113"/>
        <v>3990.5034428823105</v>
      </c>
      <c r="I146" s="1117">
        <f t="shared" si="114"/>
        <v>3419.1278568997095</v>
      </c>
      <c r="J146" s="234">
        <f t="shared" si="116"/>
        <v>3145134543.2551517</v>
      </c>
      <c r="K146" s="235">
        <f t="shared" si="115"/>
        <v>2694802118.1943846</v>
      </c>
      <c r="L146" s="235">
        <f t="shared" si="115"/>
        <v>5594194079.9055443</v>
      </c>
      <c r="M146" s="235">
        <f t="shared" si="115"/>
        <v>4793195918.5813913</v>
      </c>
      <c r="N146" s="235">
        <f t="shared" si="115"/>
        <v>7122414457.9562035</v>
      </c>
      <c r="O146" s="236">
        <f t="shared" si="115"/>
        <v>6102599842.3882351</v>
      </c>
    </row>
    <row r="147" spans="2:15" ht="16.5" thickBot="1">
      <c r="B147" s="762" t="s">
        <v>384</v>
      </c>
      <c r="C147" s="762" t="str">
        <f>B147</f>
        <v>פארן - אילת</v>
      </c>
      <c r="D147" s="770">
        <f t="shared" si="109"/>
        <v>679.11209915149766</v>
      </c>
      <c r="E147" s="771">
        <f t="shared" si="110"/>
        <v>581.87422449368455</v>
      </c>
      <c r="F147" s="771">
        <f t="shared" si="111"/>
        <v>1207.9244408837142</v>
      </c>
      <c r="G147" s="771">
        <f t="shared" si="112"/>
        <v>1034.9691872142353</v>
      </c>
      <c r="H147" s="771">
        <f t="shared" si="113"/>
        <v>1537.9049026511595</v>
      </c>
      <c r="I147" s="1118">
        <f t="shared" si="114"/>
        <v>1317.7017810362265</v>
      </c>
      <c r="J147" s="237">
        <f t="shared" si="116"/>
        <v>1381381867.0290177</v>
      </c>
      <c r="K147" s="238">
        <f t="shared" si="115"/>
        <v>1183590313.8987317</v>
      </c>
      <c r="L147" s="238">
        <f t="shared" si="115"/>
        <v>2457039009.4105687</v>
      </c>
      <c r="M147" s="238">
        <f t="shared" si="115"/>
        <v>2105230741.6372035</v>
      </c>
      <c r="N147" s="238">
        <f t="shared" si="115"/>
        <v>3128252240.523572</v>
      </c>
      <c r="O147" s="239">
        <f t="shared" si="115"/>
        <v>2680337088.309216</v>
      </c>
    </row>
    <row r="148" spans="2:15" ht="16.5" thickBot="1">
      <c r="B148" s="761" t="s">
        <v>27</v>
      </c>
      <c r="C148" s="835" t="str">
        <f>B148</f>
        <v>סה"כ</v>
      </c>
      <c r="D148" s="765">
        <f t="shared" ref="D148:E148" si="117">SUM(D139:D147)</f>
        <v>6240.7224464453247</v>
      </c>
      <c r="E148" s="765">
        <f t="shared" si="117"/>
        <v>6240.7224464453257</v>
      </c>
      <c r="F148" s="765">
        <f t="shared" ref="F148" si="118">SUM(F139:F147)</f>
        <v>11100.260444853671</v>
      </c>
      <c r="G148" s="765">
        <f t="shared" ref="G148" si="119">SUM(G139:G147)</f>
        <v>11100.260444853673</v>
      </c>
      <c r="H148" s="765">
        <f t="shared" ref="H148" si="120">SUM(H139:H147)</f>
        <v>14132.626496369259</v>
      </c>
      <c r="I148" s="765">
        <f t="shared" ref="I148" si="121">SUM(I139:I147)</f>
        <v>14132.626496369259</v>
      </c>
      <c r="J148" s="765">
        <f t="shared" ref="J148:O148" si="122">SUM(J139:J147)</f>
        <v>8686818524.4358902</v>
      </c>
      <c r="K148" s="765">
        <f t="shared" si="122"/>
        <v>7633418735.9386864</v>
      </c>
      <c r="L148" s="765">
        <f t="shared" si="122"/>
        <v>15451087415.903496</v>
      </c>
      <c r="M148" s="765">
        <f t="shared" si="122"/>
        <v>13577424213.411133</v>
      </c>
      <c r="N148" s="765">
        <f t="shared" si="122"/>
        <v>19672011165.553692</v>
      </c>
      <c r="O148" s="765">
        <f t="shared" si="122"/>
        <v>17286501172.12896</v>
      </c>
    </row>
    <row r="149" spans="2:15" ht="15.75" thickBot="1"/>
    <row r="150" spans="2:15" ht="32.25" thickBot="1">
      <c r="C150" s="835" t="s">
        <v>413</v>
      </c>
      <c r="D150" s="757">
        <f>'הספק קיים ותחזית יצור'!J124-'הספק קיים ותחזית יצור'!J113</f>
        <v>6240.7224464453247</v>
      </c>
      <c r="E150" s="757">
        <f>D150</f>
        <v>6240.7224464453247</v>
      </c>
      <c r="F150" s="757">
        <f>'הספק קיים ותחזית יצור'!K124-'הספק קיים ותחזית יצור'!K113</f>
        <v>11100.260444853671</v>
      </c>
      <c r="G150" s="757">
        <f>F150</f>
        <v>11100.260444853671</v>
      </c>
      <c r="H150" s="757">
        <f>'הספק קיים ותחזית יצור'!L124-'הספק קיים ותחזית יצור'!L113</f>
        <v>14132.626496369259</v>
      </c>
      <c r="I150" s="757">
        <f>H150</f>
        <v>14132.626496369259</v>
      </c>
    </row>
    <row r="155" spans="2:15">
      <c r="H155" s="243"/>
    </row>
  </sheetData>
  <mergeCells count="37">
    <mergeCell ref="B9:B16"/>
    <mergeCell ref="B17:B24"/>
    <mergeCell ref="B33:B37"/>
    <mergeCell ref="B25:B32"/>
    <mergeCell ref="L45:M45"/>
    <mergeCell ref="B39:B41"/>
    <mergeCell ref="G9:G22"/>
    <mergeCell ref="AO10:AX10"/>
    <mergeCell ref="P10:W10"/>
    <mergeCell ref="AG10:AM10"/>
    <mergeCell ref="AB10:AD10"/>
    <mergeCell ref="AP35:AR35"/>
    <mergeCell ref="AG58:AM58"/>
    <mergeCell ref="G23:G26"/>
    <mergeCell ref="G27:G30"/>
    <mergeCell ref="G31:G34"/>
    <mergeCell ref="G35:G38"/>
    <mergeCell ref="G39:G47"/>
    <mergeCell ref="AG34:AM34"/>
    <mergeCell ref="V34:W34"/>
    <mergeCell ref="X34:Y34"/>
    <mergeCell ref="Z34:AA34"/>
    <mergeCell ref="Q49:R49"/>
    <mergeCell ref="G49:G56"/>
    <mergeCell ref="P34:P44"/>
    <mergeCell ref="B139:B141"/>
    <mergeCell ref="B144:B145"/>
    <mergeCell ref="C137:I137"/>
    <mergeCell ref="G57:G58"/>
    <mergeCell ref="D124:G124"/>
    <mergeCell ref="H124:L124"/>
    <mergeCell ref="B126:B128"/>
    <mergeCell ref="B131:B132"/>
    <mergeCell ref="B123:N123"/>
    <mergeCell ref="C67:J67"/>
    <mergeCell ref="C92:J92"/>
    <mergeCell ref="B116:N116"/>
  </mergeCells>
  <dataValidations count="2">
    <dataValidation type="list" allowBlank="1" showInputMessage="1" showErrorMessage="1" sqref="C6" xr:uid="{00000000-0002-0000-0200-000000000000}">
      <formula1>$B$69:$B$89</formula1>
    </dataValidation>
    <dataValidation type="list" allowBlank="1" showInputMessage="1" showErrorMessage="1" sqref="C4" xr:uid="{00000000-0002-0000-0200-000001000000}">
      <formula1>"תרחיש ללא אגירה, תרחיש אגירה- מחיר גבוה, תרחיש אגירה- מחיר נמוך"</formula1>
    </dataValidation>
  </dataValidations>
  <hyperlinks>
    <hyperlink ref="J43" r:id="rId1" xr:uid="{00000000-0004-0000-0200-000000000000}"/>
  </hyperlinks>
  <pageMargins left="0.7" right="0.7" top="0.75" bottom="0.75" header="0.3" footer="0.3"/>
  <pageSetup orientation="portrait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134"/>
  <sheetViews>
    <sheetView rightToLeft="1" tabSelected="1" zoomScale="115" zoomScaleNormal="115" workbookViewId="0">
      <selection activeCell="D9" sqref="D9"/>
    </sheetView>
  </sheetViews>
  <sheetFormatPr defaultRowHeight="15"/>
  <cols>
    <col min="1" max="1" width="2.28515625" bestFit="1" customWidth="1"/>
    <col min="2" max="2" width="12.28515625" bestFit="1" customWidth="1"/>
    <col min="3" max="3" width="15.7109375" bestFit="1" customWidth="1"/>
    <col min="4" max="5" width="12" bestFit="1" customWidth="1"/>
    <col min="6" max="7" width="2.28515625" bestFit="1" customWidth="1"/>
    <col min="8" max="8" width="51" bestFit="1" customWidth="1"/>
    <col min="9" max="9" width="27" bestFit="1" customWidth="1"/>
    <col min="10" max="10" width="23.7109375" bestFit="1" customWidth="1"/>
    <col min="11" max="11" width="18.7109375" bestFit="1" customWidth="1"/>
    <col min="12" max="12" width="16.7109375" bestFit="1" customWidth="1"/>
    <col min="13" max="13" width="13.28515625" bestFit="1" customWidth="1"/>
    <col min="14" max="14" width="15.7109375" bestFit="1" customWidth="1"/>
    <col min="15" max="15" width="12.7109375" bestFit="1" customWidth="1"/>
    <col min="16" max="16" width="31.7109375" bestFit="1" customWidth="1"/>
    <col min="17" max="17" width="27.42578125" bestFit="1" customWidth="1"/>
    <col min="18" max="18" width="3.28515625" bestFit="1" customWidth="1"/>
    <col min="19" max="19" width="12.7109375" bestFit="1" customWidth="1"/>
    <col min="20" max="20" width="5.28515625" bestFit="1" customWidth="1"/>
    <col min="21" max="21" width="7.140625" bestFit="1" customWidth="1"/>
    <col min="22" max="22" width="19.28515625" bestFit="1" customWidth="1"/>
    <col min="23" max="23" width="20" bestFit="1" customWidth="1"/>
    <col min="24" max="24" width="8.42578125" bestFit="1" customWidth="1"/>
    <col min="25" max="25" width="14" bestFit="1" customWidth="1"/>
    <col min="26" max="26" width="3.28515625" bestFit="1" customWidth="1"/>
    <col min="27" max="27" width="5.28515625" bestFit="1" customWidth="1"/>
    <col min="28" max="28" width="7.140625" bestFit="1" customWidth="1"/>
    <col min="29" max="29" width="19.28515625" bestFit="1" customWidth="1"/>
    <col min="30" max="30" width="20" bestFit="1" customWidth="1"/>
    <col min="31" max="31" width="8.42578125" bestFit="1" customWidth="1"/>
    <col min="32" max="32" width="14" bestFit="1" customWidth="1"/>
    <col min="33" max="35" width="3.28515625" bestFit="1" customWidth="1"/>
  </cols>
  <sheetData>
    <row r="1" spans="1:35" ht="15.75" thickBot="1"/>
    <row r="2" spans="1:35" s="3" customFormat="1" ht="16.5" thickBot="1">
      <c r="A2" s="2">
        <v>1</v>
      </c>
      <c r="B2" s="2">
        <f t="shared" ref="B2:V2" si="0">+A2+1</f>
        <v>2</v>
      </c>
      <c r="C2" s="2">
        <f t="shared" si="0"/>
        <v>3</v>
      </c>
      <c r="D2" s="2"/>
      <c r="E2" s="2">
        <f>+C2+1</f>
        <v>4</v>
      </c>
      <c r="F2" s="2">
        <f t="shared" ref="F2" si="1">+E2+1</f>
        <v>5</v>
      </c>
      <c r="G2" s="2">
        <f t="shared" ref="G2" si="2">+F2+1</f>
        <v>6</v>
      </c>
      <c r="H2" s="2">
        <f>+G2+1</f>
        <v>7</v>
      </c>
      <c r="I2" s="2">
        <f>+H2+1</f>
        <v>8</v>
      </c>
      <c r="J2" s="2">
        <f t="shared" ref="J2" si="3">+I2+1</f>
        <v>9</v>
      </c>
      <c r="K2" s="2">
        <f t="shared" ref="K2" si="4">+J2+1</f>
        <v>10</v>
      </c>
      <c r="L2" s="2">
        <f t="shared" ref="L2" si="5">+K2+1</f>
        <v>11</v>
      </c>
      <c r="M2" s="2">
        <f t="shared" ref="M2" si="6">+L2+1</f>
        <v>12</v>
      </c>
      <c r="N2" s="2">
        <f t="shared" ref="N2" si="7">+M2+1</f>
        <v>13</v>
      </c>
      <c r="O2" s="2">
        <f t="shared" ref="O2" si="8">+N2+1</f>
        <v>14</v>
      </c>
      <c r="P2" s="2">
        <f t="shared" si="0"/>
        <v>15</v>
      </c>
      <c r="Q2" s="2">
        <f t="shared" si="0"/>
        <v>16</v>
      </c>
      <c r="R2" s="2">
        <f t="shared" si="0"/>
        <v>17</v>
      </c>
      <c r="S2" s="2">
        <f t="shared" si="0"/>
        <v>18</v>
      </c>
      <c r="T2" s="2">
        <f t="shared" si="0"/>
        <v>19</v>
      </c>
      <c r="U2" s="2">
        <f t="shared" si="0"/>
        <v>20</v>
      </c>
      <c r="V2" s="2">
        <f t="shared" si="0"/>
        <v>21</v>
      </c>
      <c r="W2" s="2">
        <f t="shared" ref="W2" si="9">+V2+1</f>
        <v>22</v>
      </c>
      <c r="X2" s="2">
        <f t="shared" ref="X2" si="10">+W2+1</f>
        <v>23</v>
      </c>
      <c r="Y2" s="2">
        <f t="shared" ref="Y2" si="11">+X2+1</f>
        <v>24</v>
      </c>
      <c r="Z2" s="2">
        <f t="shared" ref="Z2" si="12">+Y2+1</f>
        <v>25</v>
      </c>
      <c r="AA2" s="2">
        <f t="shared" ref="AA2" si="13">+Z2+1</f>
        <v>26</v>
      </c>
      <c r="AB2" s="2">
        <f t="shared" ref="AB2" si="14">+AA2+1</f>
        <v>27</v>
      </c>
      <c r="AC2" s="2">
        <f t="shared" ref="AC2" si="15">+AB2+1</f>
        <v>28</v>
      </c>
      <c r="AD2" s="2">
        <f t="shared" ref="AD2" si="16">+AC2+1</f>
        <v>29</v>
      </c>
      <c r="AE2" s="2">
        <f t="shared" ref="AE2" si="17">+AD2+1</f>
        <v>30</v>
      </c>
      <c r="AF2" s="2">
        <f t="shared" ref="AF2" si="18">+AE2+1</f>
        <v>31</v>
      </c>
      <c r="AG2" s="2">
        <f t="shared" ref="AG2" si="19">+AF2+1</f>
        <v>32</v>
      </c>
      <c r="AH2" s="2">
        <f t="shared" ref="AH2" si="20">+AG2+1</f>
        <v>33</v>
      </c>
      <c r="AI2" s="2">
        <f t="shared" ref="AI2" si="21">+AH2+1</f>
        <v>34</v>
      </c>
    </row>
    <row r="3" spans="1:35" ht="15.75" thickBot="1"/>
    <row r="4" spans="1:35" ht="18.75" thickBot="1">
      <c r="B4" s="1265" t="s">
        <v>108</v>
      </c>
      <c r="C4" s="1266"/>
      <c r="D4" s="1267"/>
      <c r="H4" s="203"/>
      <c r="I4" s="204" t="s">
        <v>109</v>
      </c>
      <c r="J4" s="204" t="s">
        <v>110</v>
      </c>
      <c r="K4" s="204" t="s">
        <v>202</v>
      </c>
      <c r="L4" s="204" t="s">
        <v>111</v>
      </c>
      <c r="M4" s="204" t="s">
        <v>112</v>
      </c>
      <c r="N4" s="204" t="s">
        <v>113</v>
      </c>
      <c r="O4" s="204" t="s">
        <v>114</v>
      </c>
      <c r="P4" s="204" t="s">
        <v>228</v>
      </c>
      <c r="Q4" s="204" t="s">
        <v>207</v>
      </c>
      <c r="T4" s="1283" t="s">
        <v>204</v>
      </c>
      <c r="U4" s="1284"/>
      <c r="V4" s="1284"/>
      <c r="W4" s="1284"/>
      <c r="X4" s="1284"/>
      <c r="Y4" s="1285"/>
      <c r="AA4" s="1283" t="s">
        <v>206</v>
      </c>
      <c r="AB4" s="1284"/>
      <c r="AC4" s="1284"/>
      <c r="AD4" s="1284"/>
      <c r="AE4" s="1284"/>
      <c r="AF4" s="1285"/>
    </row>
    <row r="5" spans="1:35" ht="30.75" customHeight="1" thickBot="1">
      <c r="B5" s="1177" t="s">
        <v>0</v>
      </c>
      <c r="C5" s="1175" t="s">
        <v>106</v>
      </c>
      <c r="D5" s="1178" t="s">
        <v>513</v>
      </c>
      <c r="H5" s="1271" t="s">
        <v>115</v>
      </c>
      <c r="I5" s="205" t="s">
        <v>116</v>
      </c>
      <c r="J5" s="206" t="s">
        <v>117</v>
      </c>
      <c r="K5" s="206" t="s">
        <v>492</v>
      </c>
      <c r="L5" s="206">
        <v>360</v>
      </c>
      <c r="M5" s="207">
        <v>30204</v>
      </c>
      <c r="N5" s="207">
        <v>44742</v>
      </c>
      <c r="O5" s="206" t="s">
        <v>30</v>
      </c>
      <c r="P5" s="206">
        <f>365-MIN(365,N5-DATE(YEAR(N5),1,1)+1)</f>
        <v>184</v>
      </c>
      <c r="Q5" s="225">
        <f>MIN(365,DATE(YEAR(M5),12,31)-M5+1)</f>
        <v>113</v>
      </c>
      <c r="T5" s="204" t="s">
        <v>0</v>
      </c>
      <c r="U5" s="204" t="s">
        <v>492</v>
      </c>
      <c r="V5" s="204" t="str">
        <f ca="1">'הנחות עבודה'!I117</f>
        <v>גז פחמיות מוסבות</v>
      </c>
      <c r="W5" s="204" t="s">
        <v>493</v>
      </c>
      <c r="X5" s="204" t="s">
        <v>490</v>
      </c>
      <c r="Y5" s="204" t="s">
        <v>208</v>
      </c>
      <c r="AA5" s="204" t="s">
        <v>0</v>
      </c>
      <c r="AB5" s="204" t="str">
        <f>U5</f>
        <v>קיטורי</v>
      </c>
      <c r="AC5" s="204" t="str">
        <f t="shared" ref="AC5:AF5" ca="1" si="22">V5</f>
        <v>גז פחמיות מוסבות</v>
      </c>
      <c r="AD5" s="204" t="str">
        <f t="shared" si="22"/>
        <v>מחז"מים וקוגנרציה</v>
      </c>
      <c r="AE5" s="204" t="str">
        <f t="shared" si="22"/>
        <v xml:space="preserve">פקירים </v>
      </c>
      <c r="AF5" s="204" t="str">
        <f t="shared" si="22"/>
        <v>יחידות בסולר</v>
      </c>
    </row>
    <row r="6" spans="1:35" ht="15.75" customHeight="1">
      <c r="B6" s="1177">
        <v>2019</v>
      </c>
      <c r="C6" s="1176">
        <v>72.121123999999995</v>
      </c>
      <c r="D6" s="1179"/>
      <c r="H6" s="1272"/>
      <c r="I6" s="208" t="s">
        <v>118</v>
      </c>
      <c r="J6" s="209" t="s">
        <v>117</v>
      </c>
      <c r="K6" s="209" t="s">
        <v>492</v>
      </c>
      <c r="L6" s="209">
        <v>360</v>
      </c>
      <c r="M6" s="210">
        <v>29824</v>
      </c>
      <c r="N6" s="210">
        <v>44742</v>
      </c>
      <c r="O6" s="209" t="s">
        <v>30</v>
      </c>
      <c r="P6" s="209">
        <f t="shared" ref="P6:P69" si="23">365-MIN(365,N6-DATE(YEAR(N6),1,1)+1)</f>
        <v>184</v>
      </c>
      <c r="Q6" s="226">
        <f>MIN(365,DATE(YEAR(M6),12,31)-M6+1)</f>
        <v>128</v>
      </c>
      <c r="T6" s="240">
        <f>'הנחות עבודה'!B69</f>
        <v>2020</v>
      </c>
      <c r="U6" s="231">
        <f t="shared" ref="U6:U26" si="24">IF(MATCH($T6,$T$6:$T$26,0)&gt;1,U5-U29+AB5,SUMIFS($L$5:$L$104,$K$5:$K$104,U$5,$M$5:$M$104,"&lt;"&amp;DATE($T6,1,1),$N$5:$N$104,"&gt;="&amp;DATE($T6,1,1)))</f>
        <v>6180</v>
      </c>
      <c r="V6" s="232">
        <f t="shared" ref="V6:V26" ca="1" si="25">IF(MATCH($T6,$T$6:$T$26,0)&gt;1,V5-V29+AC5,SUMIFS($L$5:$L$104,$K$5:$K$104,V$5,$M$5:$M$104,"&lt;"&amp;DATE($T6,1,1),$N$5:$N$104,"&gt;="&amp;DATE($T6,1,1)))</f>
        <v>0</v>
      </c>
      <c r="W6" s="232">
        <f t="shared" ref="W6:W26" si="26">IF(MATCH($T6,$T$6:$T$26,0)&gt;1,W5-W29+AD5,SUMIFS($L$5:$L$104,$K$5:$K$104,W$5,$M$5:$M$104,"&lt;"&amp;DATE($T6,1,1),$N$5:$N$104,"&gt;="&amp;DATE($T6,1,1)))</f>
        <v>8737.6809999999987</v>
      </c>
      <c r="X6" s="232">
        <f t="shared" ref="X6:X26" si="27">IF(MATCH($T6,$T$6:$T$26,0)&gt;1,X5-X29+AE5,SUMIFS($L$5:$L$104,$K$5:$K$104,X$5,$M$5:$M$104,"&lt;"&amp;DATE($T6,1,1),$N$5:$N$104,"&gt;="&amp;DATE($T6,1,1)))</f>
        <v>2074</v>
      </c>
      <c r="Y6" s="233">
        <f t="shared" ref="Y6:Y26" si="28">IF(MATCH($T6,$T$6:$T$26,0)&gt;1,Y5-Y29+AF5,SUMIFS($L$5:$L$104,$K$5:$K$104,Y$5,$M$5:$M$104,"&lt;"&amp;DATE($T6,1,1),$N$5:$N$104,"&gt;="&amp;DATE($T6,1,1)))</f>
        <v>0</v>
      </c>
      <c r="AA6" s="240">
        <f>T6</f>
        <v>2020</v>
      </c>
      <c r="AB6" s="231">
        <f t="shared" ref="AB6:AF15" si="29">SUMIFS($L$5:$L$104,$K$5:$K$104,AB$5,$M$5:$M$104,"&gt;="&amp;DATE($AA6,1,1),$M$5:$M$104,"&lt;="&amp;DATE($AA6,12,31))</f>
        <v>0</v>
      </c>
      <c r="AC6" s="232">
        <f t="shared" ca="1" si="29"/>
        <v>0</v>
      </c>
      <c r="AD6" s="232">
        <f t="shared" si="29"/>
        <v>451</v>
      </c>
      <c r="AE6" s="232">
        <f t="shared" si="29"/>
        <v>0</v>
      </c>
      <c r="AF6" s="233">
        <f t="shared" si="29"/>
        <v>0</v>
      </c>
    </row>
    <row r="7" spans="1:35" ht="15.75" customHeight="1">
      <c r="B7" s="1177">
        <f>+B6+1</f>
        <v>2020</v>
      </c>
      <c r="C7" s="1176">
        <v>73.902080999999995</v>
      </c>
      <c r="D7" s="1337">
        <f>(C7-C6)/C6</f>
        <v>2.4693971768936947E-2</v>
      </c>
      <c r="H7" s="1272"/>
      <c r="I7" s="208" t="s">
        <v>119</v>
      </c>
      <c r="J7" s="209" t="s">
        <v>117</v>
      </c>
      <c r="K7" s="209" t="s">
        <v>492</v>
      </c>
      <c r="L7" s="209">
        <v>360</v>
      </c>
      <c r="M7" s="210">
        <v>30489</v>
      </c>
      <c r="N7" s="210">
        <v>44742</v>
      </c>
      <c r="O7" s="209" t="s">
        <v>30</v>
      </c>
      <c r="P7" s="209">
        <f t="shared" si="23"/>
        <v>184</v>
      </c>
      <c r="Q7" s="226">
        <f t="shared" ref="Q7:Q70" si="30">MIN(365,DATE(YEAR(M7),12,31)-M7+1)</f>
        <v>193</v>
      </c>
      <c r="S7" s="243"/>
      <c r="T7" s="241">
        <f>+T6+1</f>
        <v>2021</v>
      </c>
      <c r="U7" s="234">
        <f t="shared" si="24"/>
        <v>6180</v>
      </c>
      <c r="V7" s="235">
        <f t="shared" ca="1" si="25"/>
        <v>0</v>
      </c>
      <c r="W7" s="235">
        <f t="shared" si="26"/>
        <v>9188.6809999999987</v>
      </c>
      <c r="X7" s="235">
        <f t="shared" si="27"/>
        <v>2074</v>
      </c>
      <c r="Y7" s="236">
        <f t="shared" si="28"/>
        <v>0</v>
      </c>
      <c r="AA7" s="241">
        <f>+AA6+1</f>
        <v>2021</v>
      </c>
      <c r="AB7" s="234">
        <f t="shared" si="29"/>
        <v>0</v>
      </c>
      <c r="AC7" s="235">
        <f t="shared" ca="1" si="29"/>
        <v>0</v>
      </c>
      <c r="AD7" s="235">
        <f t="shared" si="29"/>
        <v>0</v>
      </c>
      <c r="AE7" s="235">
        <f t="shared" si="29"/>
        <v>0</v>
      </c>
      <c r="AF7" s="236">
        <f t="shared" si="29"/>
        <v>0</v>
      </c>
    </row>
    <row r="8" spans="1:35" ht="15.75" customHeight="1">
      <c r="B8" s="1177">
        <f t="shared" ref="B8:B27" si="31">+B7+1</f>
        <v>2021</v>
      </c>
      <c r="C8" s="1176">
        <v>76.111512000000005</v>
      </c>
      <c r="D8" s="1337">
        <f t="shared" ref="D8:D27" si="32">(C8-C7)/C7</f>
        <v>2.9896735925474267E-2</v>
      </c>
      <c r="H8" s="1272"/>
      <c r="I8" s="208" t="s">
        <v>120</v>
      </c>
      <c r="J8" s="209" t="s">
        <v>117</v>
      </c>
      <c r="K8" s="209" t="s">
        <v>492</v>
      </c>
      <c r="L8" s="209">
        <v>360</v>
      </c>
      <c r="M8" s="210">
        <v>30802</v>
      </c>
      <c r="N8" s="210">
        <v>44742</v>
      </c>
      <c r="O8" s="209" t="s">
        <v>30</v>
      </c>
      <c r="P8" s="209">
        <f t="shared" si="23"/>
        <v>184</v>
      </c>
      <c r="Q8" s="226">
        <f t="shared" si="30"/>
        <v>246</v>
      </c>
      <c r="S8" s="243"/>
      <c r="T8" s="241">
        <f t="shared" ref="T8:T24" si="33">+T7+1</f>
        <v>2022</v>
      </c>
      <c r="U8" s="234">
        <f t="shared" si="24"/>
        <v>6180</v>
      </c>
      <c r="V8" s="235">
        <f t="shared" ca="1" si="25"/>
        <v>0</v>
      </c>
      <c r="W8" s="235">
        <f t="shared" si="26"/>
        <v>9188.6809999999987</v>
      </c>
      <c r="X8" s="235">
        <f t="shared" si="27"/>
        <v>2074</v>
      </c>
      <c r="Y8" s="236">
        <f t="shared" si="28"/>
        <v>0</v>
      </c>
      <c r="AA8" s="241">
        <f t="shared" ref="AA8:AA21" si="34">+AA7+1</f>
        <v>2022</v>
      </c>
      <c r="AB8" s="234">
        <f t="shared" si="29"/>
        <v>550</v>
      </c>
      <c r="AC8" s="235">
        <f t="shared" ca="1" si="29"/>
        <v>0</v>
      </c>
      <c r="AD8" s="235">
        <f t="shared" si="29"/>
        <v>1288</v>
      </c>
      <c r="AE8" s="235">
        <f t="shared" si="29"/>
        <v>0</v>
      </c>
      <c r="AF8" s="236">
        <f t="shared" si="29"/>
        <v>0</v>
      </c>
    </row>
    <row r="9" spans="1:35" ht="15.75" customHeight="1">
      <c r="B9" s="1177">
        <f t="shared" si="31"/>
        <v>2022</v>
      </c>
      <c r="C9" s="1176">
        <v>78.195786999999996</v>
      </c>
      <c r="D9" s="1337">
        <f t="shared" si="32"/>
        <v>2.7384490798185574E-2</v>
      </c>
      <c r="H9" s="1272"/>
      <c r="I9" s="208" t="s">
        <v>121</v>
      </c>
      <c r="J9" s="209" t="s">
        <v>117</v>
      </c>
      <c r="K9" s="209" t="s">
        <v>492</v>
      </c>
      <c r="L9" s="209">
        <v>575</v>
      </c>
      <c r="M9" s="210">
        <v>34977</v>
      </c>
      <c r="N9" s="210">
        <v>45915</v>
      </c>
      <c r="O9" s="209" t="s">
        <v>30</v>
      </c>
      <c r="P9" s="209">
        <f t="shared" si="23"/>
        <v>107</v>
      </c>
      <c r="Q9" s="226">
        <f t="shared" si="30"/>
        <v>88</v>
      </c>
      <c r="S9" s="243"/>
      <c r="T9" s="241">
        <f t="shared" si="33"/>
        <v>2023</v>
      </c>
      <c r="U9" s="234">
        <f t="shared" si="24"/>
        <v>4740</v>
      </c>
      <c r="V9" s="235">
        <f t="shared" ca="1" si="25"/>
        <v>0</v>
      </c>
      <c r="W9" s="235">
        <f t="shared" si="26"/>
        <v>10476.680999999999</v>
      </c>
      <c r="X9" s="235">
        <f t="shared" si="27"/>
        <v>2074</v>
      </c>
      <c r="Y9" s="236">
        <f t="shared" si="28"/>
        <v>0</v>
      </c>
      <c r="AA9" s="241">
        <f t="shared" si="34"/>
        <v>2023</v>
      </c>
      <c r="AB9" s="234">
        <f t="shared" si="29"/>
        <v>0</v>
      </c>
      <c r="AC9" s="235">
        <f t="shared" ca="1" si="29"/>
        <v>0</v>
      </c>
      <c r="AD9" s="235">
        <f t="shared" si="29"/>
        <v>0</v>
      </c>
      <c r="AE9" s="235">
        <f t="shared" si="29"/>
        <v>650</v>
      </c>
      <c r="AF9" s="236">
        <f t="shared" si="29"/>
        <v>0</v>
      </c>
    </row>
    <row r="10" spans="1:35" ht="15.75" customHeight="1">
      <c r="B10" s="1177">
        <f t="shared" si="31"/>
        <v>2023</v>
      </c>
      <c r="C10" s="1176">
        <v>80.341870999999998</v>
      </c>
      <c r="D10" s="1337">
        <f t="shared" si="32"/>
        <v>2.7445008002796902E-2</v>
      </c>
      <c r="H10" s="1272"/>
      <c r="I10" s="208" t="s">
        <v>122</v>
      </c>
      <c r="J10" s="209" t="s">
        <v>117</v>
      </c>
      <c r="K10" s="209" t="s">
        <v>492</v>
      </c>
      <c r="L10" s="209">
        <v>575</v>
      </c>
      <c r="M10" s="210">
        <v>35248</v>
      </c>
      <c r="N10" s="210">
        <v>45792</v>
      </c>
      <c r="O10" s="209" t="s">
        <v>30</v>
      </c>
      <c r="P10" s="209">
        <f t="shared" si="23"/>
        <v>230</v>
      </c>
      <c r="Q10" s="226">
        <f t="shared" si="30"/>
        <v>183</v>
      </c>
      <c r="S10" s="243"/>
      <c r="T10" s="241">
        <f t="shared" si="33"/>
        <v>2024</v>
      </c>
      <c r="U10" s="234">
        <f t="shared" si="24"/>
        <v>4084</v>
      </c>
      <c r="V10" s="235">
        <f t="shared" ca="1" si="25"/>
        <v>0</v>
      </c>
      <c r="W10" s="235">
        <f t="shared" si="26"/>
        <v>10476.680999999999</v>
      </c>
      <c r="X10" s="235">
        <f t="shared" si="27"/>
        <v>2724</v>
      </c>
      <c r="Y10" s="236">
        <f t="shared" si="28"/>
        <v>0</v>
      </c>
      <c r="AA10" s="241">
        <f t="shared" si="34"/>
        <v>2024</v>
      </c>
      <c r="AB10" s="234">
        <f t="shared" si="29"/>
        <v>550</v>
      </c>
      <c r="AC10" s="235">
        <f t="shared" ca="1" si="29"/>
        <v>0</v>
      </c>
      <c r="AD10" s="235">
        <f t="shared" si="29"/>
        <v>200</v>
      </c>
      <c r="AE10" s="235">
        <f t="shared" si="29"/>
        <v>0</v>
      </c>
      <c r="AF10" s="236">
        <f t="shared" si="29"/>
        <v>0</v>
      </c>
    </row>
    <row r="11" spans="1:35" ht="15.75" customHeight="1">
      <c r="B11" s="1177">
        <f t="shared" si="31"/>
        <v>2024</v>
      </c>
      <c r="C11" s="1176">
        <v>82.335504</v>
      </c>
      <c r="D11" s="1337">
        <f t="shared" si="32"/>
        <v>2.481437107681999E-2</v>
      </c>
      <c r="H11" s="1272"/>
      <c r="I11" s="208" t="s">
        <v>123</v>
      </c>
      <c r="J11" s="209" t="s">
        <v>117</v>
      </c>
      <c r="K11" s="209" t="s">
        <v>492</v>
      </c>
      <c r="L11" s="209">
        <v>575</v>
      </c>
      <c r="M11" s="210">
        <v>33570</v>
      </c>
      <c r="N11" s="210">
        <v>45672</v>
      </c>
      <c r="O11" s="209" t="s">
        <v>30</v>
      </c>
      <c r="P11" s="209">
        <f t="shared" si="23"/>
        <v>350</v>
      </c>
      <c r="Q11" s="226">
        <f t="shared" si="30"/>
        <v>34</v>
      </c>
      <c r="S11" s="243"/>
      <c r="T11" s="241">
        <f t="shared" si="33"/>
        <v>2025</v>
      </c>
      <c r="U11" s="234">
        <f t="shared" si="24"/>
        <v>3509</v>
      </c>
      <c r="V11" s="235">
        <f t="shared" ca="1" si="25"/>
        <v>0</v>
      </c>
      <c r="W11" s="235">
        <f t="shared" si="26"/>
        <v>10676.680999999999</v>
      </c>
      <c r="X11" s="235">
        <f t="shared" si="27"/>
        <v>2724</v>
      </c>
      <c r="Y11" s="236">
        <f t="shared" si="28"/>
        <v>0</v>
      </c>
      <c r="AA11" s="241">
        <f t="shared" si="34"/>
        <v>2025</v>
      </c>
      <c r="AB11" s="234">
        <f t="shared" si="29"/>
        <v>1725</v>
      </c>
      <c r="AC11" s="235">
        <f t="shared" ca="1" si="29"/>
        <v>0</v>
      </c>
      <c r="AD11" s="235">
        <f t="shared" si="29"/>
        <v>0</v>
      </c>
      <c r="AE11" s="235">
        <f t="shared" si="29"/>
        <v>0</v>
      </c>
      <c r="AF11" s="236">
        <f t="shared" si="29"/>
        <v>0</v>
      </c>
    </row>
    <row r="12" spans="1:35" ht="15.75" customHeight="1">
      <c r="B12" s="1177">
        <f t="shared" si="31"/>
        <v>2025</v>
      </c>
      <c r="C12" s="1176">
        <v>84.823728000000003</v>
      </c>
      <c r="D12" s="1337">
        <f t="shared" si="32"/>
        <v>3.0220547383787225E-2</v>
      </c>
      <c r="H12" s="1272"/>
      <c r="I12" s="208" t="s">
        <v>124</v>
      </c>
      <c r="J12" s="209" t="s">
        <v>117</v>
      </c>
      <c r="K12" s="209" t="s">
        <v>492</v>
      </c>
      <c r="L12" s="209">
        <v>575</v>
      </c>
      <c r="M12" s="210">
        <v>33097</v>
      </c>
      <c r="N12" s="210">
        <v>45550</v>
      </c>
      <c r="O12" s="209" t="s">
        <v>30</v>
      </c>
      <c r="P12" s="209">
        <f t="shared" si="23"/>
        <v>106</v>
      </c>
      <c r="Q12" s="226">
        <f t="shared" si="30"/>
        <v>142</v>
      </c>
      <c r="S12" s="243"/>
      <c r="T12" s="241">
        <f t="shared" si="33"/>
        <v>2026</v>
      </c>
      <c r="U12" s="234">
        <f t="shared" si="24"/>
        <v>3281</v>
      </c>
      <c r="V12" s="235">
        <f t="shared" ca="1" si="25"/>
        <v>0</v>
      </c>
      <c r="W12" s="235">
        <f t="shared" si="26"/>
        <v>10676.680999999999</v>
      </c>
      <c r="X12" s="235">
        <f t="shared" si="27"/>
        <v>2724</v>
      </c>
      <c r="Y12" s="236">
        <f t="shared" si="28"/>
        <v>0</v>
      </c>
      <c r="AA12" s="241">
        <f t="shared" si="34"/>
        <v>2026</v>
      </c>
      <c r="AB12" s="234">
        <f t="shared" si="29"/>
        <v>575</v>
      </c>
      <c r="AC12" s="235">
        <f t="shared" ca="1" si="29"/>
        <v>0</v>
      </c>
      <c r="AD12" s="235">
        <f t="shared" si="29"/>
        <v>0</v>
      </c>
      <c r="AE12" s="235">
        <f t="shared" si="29"/>
        <v>0</v>
      </c>
      <c r="AF12" s="236">
        <f t="shared" si="29"/>
        <v>0</v>
      </c>
    </row>
    <row r="13" spans="1:35" ht="15.75" customHeight="1">
      <c r="B13" s="1177">
        <f t="shared" si="31"/>
        <v>2026</v>
      </c>
      <c r="C13" s="1176">
        <v>87.166240000000002</v>
      </c>
      <c r="D13" s="1337">
        <f t="shared" si="32"/>
        <v>2.7616234928981184E-2</v>
      </c>
      <c r="H13" s="1272"/>
      <c r="I13" s="208" t="s">
        <v>125</v>
      </c>
      <c r="J13" s="209" t="s">
        <v>117</v>
      </c>
      <c r="K13" s="209" t="s">
        <v>492</v>
      </c>
      <c r="L13" s="209">
        <v>550</v>
      </c>
      <c r="M13" s="210">
        <v>36923</v>
      </c>
      <c r="N13" s="210">
        <v>45427</v>
      </c>
      <c r="O13" s="209" t="s">
        <v>30</v>
      </c>
      <c r="P13" s="209">
        <f t="shared" si="23"/>
        <v>229</v>
      </c>
      <c r="Q13" s="226">
        <f t="shared" si="30"/>
        <v>334</v>
      </c>
      <c r="S13" s="243"/>
      <c r="T13" s="241">
        <f t="shared" si="33"/>
        <v>2027</v>
      </c>
      <c r="U13" s="234">
        <f t="shared" si="24"/>
        <v>3856</v>
      </c>
      <c r="V13" s="235">
        <f t="shared" ca="1" si="25"/>
        <v>0</v>
      </c>
      <c r="W13" s="235">
        <f t="shared" si="26"/>
        <v>10676.680999999999</v>
      </c>
      <c r="X13" s="235">
        <f t="shared" si="27"/>
        <v>2724</v>
      </c>
      <c r="Y13" s="236">
        <f t="shared" si="28"/>
        <v>0</v>
      </c>
      <c r="AA13" s="241">
        <f t="shared" si="34"/>
        <v>2027</v>
      </c>
      <c r="AB13" s="234">
        <f t="shared" si="29"/>
        <v>0</v>
      </c>
      <c r="AC13" s="235">
        <f t="shared" ca="1" si="29"/>
        <v>0</v>
      </c>
      <c r="AD13" s="235">
        <f t="shared" si="29"/>
        <v>0</v>
      </c>
      <c r="AE13" s="235">
        <f t="shared" si="29"/>
        <v>0</v>
      </c>
      <c r="AF13" s="236">
        <f t="shared" si="29"/>
        <v>0</v>
      </c>
    </row>
    <row r="14" spans="1:35" ht="16.5" customHeight="1" thickBot="1">
      <c r="B14" s="1177">
        <f t="shared" si="31"/>
        <v>2027</v>
      </c>
      <c r="C14" s="1176">
        <v>89.578157000000004</v>
      </c>
      <c r="D14" s="1337">
        <f t="shared" si="32"/>
        <v>2.7670311349898797E-2</v>
      </c>
      <c r="H14" s="1272"/>
      <c r="I14" s="211" t="s">
        <v>126</v>
      </c>
      <c r="J14" s="212" t="s">
        <v>117</v>
      </c>
      <c r="K14" s="212" t="s">
        <v>492</v>
      </c>
      <c r="L14" s="212">
        <v>550</v>
      </c>
      <c r="M14" s="213">
        <v>36678</v>
      </c>
      <c r="N14" s="213">
        <v>44607</v>
      </c>
      <c r="O14" s="212" t="s">
        <v>30</v>
      </c>
      <c r="P14" s="212">
        <f t="shared" si="23"/>
        <v>319</v>
      </c>
      <c r="Q14" s="228">
        <f t="shared" si="30"/>
        <v>214</v>
      </c>
      <c r="S14" s="243"/>
      <c r="T14" s="241">
        <f t="shared" si="33"/>
        <v>2028</v>
      </c>
      <c r="U14" s="234">
        <f t="shared" si="24"/>
        <v>3400</v>
      </c>
      <c r="V14" s="235">
        <f t="shared" ca="1" si="25"/>
        <v>0</v>
      </c>
      <c r="W14" s="235">
        <f t="shared" si="26"/>
        <v>10676.680999999999</v>
      </c>
      <c r="X14" s="235">
        <f t="shared" si="27"/>
        <v>2724</v>
      </c>
      <c r="Y14" s="236">
        <f t="shared" si="28"/>
        <v>0</v>
      </c>
      <c r="AA14" s="241">
        <f t="shared" si="34"/>
        <v>2028</v>
      </c>
      <c r="AB14" s="234">
        <f t="shared" si="29"/>
        <v>0</v>
      </c>
      <c r="AC14" s="235">
        <f t="shared" ca="1" si="29"/>
        <v>0</v>
      </c>
      <c r="AD14" s="235">
        <f t="shared" si="29"/>
        <v>0</v>
      </c>
      <c r="AE14" s="235">
        <f t="shared" si="29"/>
        <v>0</v>
      </c>
      <c r="AF14" s="236">
        <f t="shared" si="29"/>
        <v>0</v>
      </c>
    </row>
    <row r="15" spans="1:35" ht="15.75">
      <c r="B15" s="1177">
        <f t="shared" si="31"/>
        <v>2028</v>
      </c>
      <c r="C15" s="1176">
        <v>91.816361000000001</v>
      </c>
      <c r="D15" s="1337">
        <f t="shared" si="32"/>
        <v>2.4986046542573945E-2</v>
      </c>
      <c r="H15" s="1272"/>
      <c r="I15" s="205" t="s">
        <v>127</v>
      </c>
      <c r="J15" s="206" t="s">
        <v>117</v>
      </c>
      <c r="K15" s="206" t="s">
        <v>492</v>
      </c>
      <c r="L15" s="206">
        <v>228</v>
      </c>
      <c r="M15" s="207">
        <v>27139</v>
      </c>
      <c r="N15" s="207">
        <v>45291</v>
      </c>
      <c r="O15" s="206" t="s">
        <v>31</v>
      </c>
      <c r="P15" s="206">
        <f t="shared" si="23"/>
        <v>0</v>
      </c>
      <c r="Q15" s="225">
        <f t="shared" si="30"/>
        <v>256</v>
      </c>
      <c r="S15" s="243"/>
      <c r="T15" s="241">
        <f t="shared" si="33"/>
        <v>2029</v>
      </c>
      <c r="U15" s="234">
        <f t="shared" si="24"/>
        <v>3400</v>
      </c>
      <c r="V15" s="235">
        <f t="shared" ca="1" si="25"/>
        <v>0</v>
      </c>
      <c r="W15" s="235">
        <f t="shared" si="26"/>
        <v>10676.680999999999</v>
      </c>
      <c r="X15" s="235">
        <f t="shared" si="27"/>
        <v>2724</v>
      </c>
      <c r="Y15" s="236">
        <f t="shared" si="28"/>
        <v>0</v>
      </c>
      <c r="AA15" s="241">
        <f t="shared" si="34"/>
        <v>2029</v>
      </c>
      <c r="AB15" s="234">
        <f t="shared" si="29"/>
        <v>0</v>
      </c>
      <c r="AC15" s="235">
        <f t="shared" ca="1" si="29"/>
        <v>0</v>
      </c>
      <c r="AD15" s="235">
        <f t="shared" si="29"/>
        <v>0</v>
      </c>
      <c r="AE15" s="235">
        <f t="shared" si="29"/>
        <v>0</v>
      </c>
      <c r="AF15" s="236">
        <f t="shared" si="29"/>
        <v>0</v>
      </c>
    </row>
    <row r="16" spans="1:35" ht="15.75" customHeight="1">
      <c r="B16" s="1177">
        <f t="shared" si="31"/>
        <v>2029</v>
      </c>
      <c r="C16" s="1176">
        <v>94.62012</v>
      </c>
      <c r="D16" s="1337">
        <f t="shared" si="32"/>
        <v>3.0536594670747184E-2</v>
      </c>
      <c r="H16" s="1272"/>
      <c r="I16" s="208" t="s">
        <v>128</v>
      </c>
      <c r="J16" s="209" t="s">
        <v>117</v>
      </c>
      <c r="K16" s="209" t="s">
        <v>492</v>
      </c>
      <c r="L16" s="209">
        <v>228</v>
      </c>
      <c r="M16" s="210">
        <v>27591</v>
      </c>
      <c r="N16" s="210">
        <v>46022</v>
      </c>
      <c r="O16" s="209" t="s">
        <v>31</v>
      </c>
      <c r="P16" s="209">
        <f t="shared" si="23"/>
        <v>0</v>
      </c>
      <c r="Q16" s="226">
        <f t="shared" si="30"/>
        <v>169</v>
      </c>
      <c r="R16" s="230"/>
      <c r="S16" s="243"/>
      <c r="T16" s="241">
        <f t="shared" si="33"/>
        <v>2030</v>
      </c>
      <c r="U16" s="234">
        <f t="shared" si="24"/>
        <v>3400</v>
      </c>
      <c r="V16" s="235">
        <f t="shared" ca="1" si="25"/>
        <v>0</v>
      </c>
      <c r="W16" s="235">
        <f t="shared" si="26"/>
        <v>10341.680999999999</v>
      </c>
      <c r="X16" s="235">
        <f t="shared" si="27"/>
        <v>2524</v>
      </c>
      <c r="Y16" s="236">
        <f t="shared" si="28"/>
        <v>0</v>
      </c>
      <c r="AA16" s="241">
        <f t="shared" si="34"/>
        <v>2030</v>
      </c>
      <c r="AB16" s="234">
        <f t="shared" ref="AB16:AF26" si="35">SUMIFS($L$5:$L$104,$K$5:$K$104,AB$5,$M$5:$M$104,"&gt;="&amp;DATE($AA16,1,1),$M$5:$M$104,"&lt;="&amp;DATE($AA16,12,31))</f>
        <v>0</v>
      </c>
      <c r="AC16" s="235">
        <f t="shared" ca="1" si="35"/>
        <v>0</v>
      </c>
      <c r="AD16" s="235">
        <f t="shared" si="35"/>
        <v>0</v>
      </c>
      <c r="AE16" s="235">
        <f t="shared" si="35"/>
        <v>0</v>
      </c>
      <c r="AF16" s="236">
        <f t="shared" si="35"/>
        <v>0</v>
      </c>
    </row>
    <row r="17" spans="2:32" ht="15.75" customHeight="1">
      <c r="B17" s="1177">
        <f t="shared" si="31"/>
        <v>2030</v>
      </c>
      <c r="C17" s="1176">
        <v>97.256231</v>
      </c>
      <c r="D17" s="1337">
        <f t="shared" si="32"/>
        <v>2.7859941416265376E-2</v>
      </c>
      <c r="H17" s="1272"/>
      <c r="I17" s="208" t="s">
        <v>129</v>
      </c>
      <c r="J17" s="209" t="s">
        <v>117</v>
      </c>
      <c r="K17" s="209" t="s">
        <v>492</v>
      </c>
      <c r="L17" s="209">
        <v>228</v>
      </c>
      <c r="M17" s="210">
        <v>28330</v>
      </c>
      <c r="N17" s="210">
        <v>46752</v>
      </c>
      <c r="O17" s="209" t="s">
        <v>31</v>
      </c>
      <c r="P17" s="209">
        <f t="shared" si="23"/>
        <v>0</v>
      </c>
      <c r="Q17" s="226">
        <f t="shared" si="30"/>
        <v>161</v>
      </c>
      <c r="R17" s="230"/>
      <c r="S17" s="243"/>
      <c r="T17" s="241">
        <f t="shared" si="33"/>
        <v>2031</v>
      </c>
      <c r="U17" s="234">
        <f t="shared" si="24"/>
        <v>3400</v>
      </c>
      <c r="V17" s="235">
        <f t="shared" ca="1" si="25"/>
        <v>0</v>
      </c>
      <c r="W17" s="235">
        <f t="shared" si="26"/>
        <v>10341.680999999999</v>
      </c>
      <c r="X17" s="235">
        <f t="shared" si="27"/>
        <v>2304</v>
      </c>
      <c r="Y17" s="236">
        <f t="shared" si="28"/>
        <v>0</v>
      </c>
      <c r="AA17" s="241">
        <f t="shared" si="34"/>
        <v>2031</v>
      </c>
      <c r="AB17" s="234">
        <f t="shared" si="35"/>
        <v>0</v>
      </c>
      <c r="AC17" s="235">
        <f t="shared" ca="1" si="35"/>
        <v>0</v>
      </c>
      <c r="AD17" s="235">
        <f t="shared" si="35"/>
        <v>0</v>
      </c>
      <c r="AE17" s="235">
        <f t="shared" si="35"/>
        <v>0</v>
      </c>
      <c r="AF17" s="236">
        <f t="shared" si="35"/>
        <v>0</v>
      </c>
    </row>
    <row r="18" spans="2:32" ht="15.75" customHeight="1">
      <c r="B18" s="1177">
        <f t="shared" si="31"/>
        <v>2031</v>
      </c>
      <c r="C18" s="1176">
        <f>C17*1.03</f>
        <v>100.17391793</v>
      </c>
      <c r="D18" s="1337">
        <f t="shared" si="32"/>
        <v>3.0000000000000023E-2</v>
      </c>
      <c r="H18" s="1272"/>
      <c r="I18" s="208" t="s">
        <v>130</v>
      </c>
      <c r="J18" s="209" t="s">
        <v>117</v>
      </c>
      <c r="K18" s="209" t="s">
        <v>492</v>
      </c>
      <c r="L18" s="209">
        <v>228</v>
      </c>
      <c r="M18" s="210">
        <v>28664</v>
      </c>
      <c r="N18" s="210">
        <v>46752</v>
      </c>
      <c r="O18" s="209" t="s">
        <v>31</v>
      </c>
      <c r="P18" s="209">
        <f t="shared" si="23"/>
        <v>0</v>
      </c>
      <c r="Q18" s="226">
        <f t="shared" si="30"/>
        <v>192</v>
      </c>
      <c r="R18" s="243"/>
      <c r="S18" s="243"/>
      <c r="T18" s="241">
        <f t="shared" si="33"/>
        <v>2032</v>
      </c>
      <c r="U18" s="234">
        <f t="shared" si="24"/>
        <v>3400</v>
      </c>
      <c r="V18" s="235">
        <f t="shared" ca="1" si="25"/>
        <v>0</v>
      </c>
      <c r="W18" s="235">
        <f t="shared" si="26"/>
        <v>10341.680999999999</v>
      </c>
      <c r="X18" s="235">
        <f t="shared" si="27"/>
        <v>2084</v>
      </c>
      <c r="Y18" s="236">
        <f t="shared" si="28"/>
        <v>0</v>
      </c>
      <c r="AA18" s="241">
        <f t="shared" si="34"/>
        <v>2032</v>
      </c>
      <c r="AB18" s="234">
        <f t="shared" si="35"/>
        <v>0</v>
      </c>
      <c r="AC18" s="235">
        <f t="shared" ca="1" si="35"/>
        <v>0</v>
      </c>
      <c r="AD18" s="235">
        <f t="shared" si="35"/>
        <v>0</v>
      </c>
      <c r="AE18" s="235">
        <f t="shared" si="35"/>
        <v>0</v>
      </c>
      <c r="AF18" s="236">
        <f t="shared" si="35"/>
        <v>0</v>
      </c>
    </row>
    <row r="19" spans="2:32" ht="15.75" customHeight="1">
      <c r="B19" s="1177">
        <f t="shared" si="31"/>
        <v>2032</v>
      </c>
      <c r="C19" s="1176">
        <f t="shared" ref="C19:C27" si="36">C18*1.03</f>
        <v>103.17913546790001</v>
      </c>
      <c r="D19" s="1337">
        <f t="shared" si="32"/>
        <v>3.0000000000000089E-2</v>
      </c>
      <c r="H19" s="1272"/>
      <c r="I19" s="208" t="s">
        <v>131</v>
      </c>
      <c r="J19" s="209" t="s">
        <v>117</v>
      </c>
      <c r="K19" s="209" t="s">
        <v>492</v>
      </c>
      <c r="L19" s="209">
        <v>214</v>
      </c>
      <c r="M19" s="210">
        <v>25852</v>
      </c>
      <c r="N19" s="210">
        <v>45291</v>
      </c>
      <c r="O19" s="209" t="s">
        <v>31</v>
      </c>
      <c r="P19" s="209">
        <f t="shared" si="23"/>
        <v>0</v>
      </c>
      <c r="Q19" s="226">
        <f t="shared" si="30"/>
        <v>82</v>
      </c>
      <c r="R19" s="243"/>
      <c r="S19" s="243"/>
      <c r="T19" s="241">
        <f t="shared" si="33"/>
        <v>2033</v>
      </c>
      <c r="U19" s="234">
        <f t="shared" si="24"/>
        <v>3400</v>
      </c>
      <c r="V19" s="235">
        <f t="shared" ca="1" si="25"/>
        <v>0</v>
      </c>
      <c r="W19" s="235">
        <f t="shared" si="26"/>
        <v>9681.6809999999987</v>
      </c>
      <c r="X19" s="235">
        <f t="shared" si="27"/>
        <v>2084</v>
      </c>
      <c r="Y19" s="236">
        <f t="shared" si="28"/>
        <v>0</v>
      </c>
      <c r="AA19" s="241">
        <f t="shared" si="34"/>
        <v>2033</v>
      </c>
      <c r="AB19" s="234">
        <f t="shared" si="35"/>
        <v>0</v>
      </c>
      <c r="AC19" s="235">
        <f t="shared" ca="1" si="35"/>
        <v>0</v>
      </c>
      <c r="AD19" s="235">
        <f t="shared" si="35"/>
        <v>0</v>
      </c>
      <c r="AE19" s="235">
        <f t="shared" si="35"/>
        <v>0</v>
      </c>
      <c r="AF19" s="236">
        <f t="shared" si="35"/>
        <v>0</v>
      </c>
    </row>
    <row r="20" spans="2:32" ht="16.5" customHeight="1" thickBot="1">
      <c r="B20" s="1177">
        <f t="shared" si="31"/>
        <v>2033</v>
      </c>
      <c r="C20" s="1176">
        <f t="shared" si="36"/>
        <v>106.27450953193701</v>
      </c>
      <c r="D20" s="1337">
        <f t="shared" si="32"/>
        <v>3.0000000000000023E-2</v>
      </c>
      <c r="H20" s="1273"/>
      <c r="I20" s="208" t="s">
        <v>132</v>
      </c>
      <c r="J20" s="209" t="s">
        <v>117</v>
      </c>
      <c r="K20" s="209" t="s">
        <v>492</v>
      </c>
      <c r="L20" s="209">
        <v>214</v>
      </c>
      <c r="M20" s="210">
        <v>26242</v>
      </c>
      <c r="N20" s="210">
        <v>45291</v>
      </c>
      <c r="O20" s="209" t="s">
        <v>31</v>
      </c>
      <c r="P20" s="209">
        <f t="shared" si="23"/>
        <v>0</v>
      </c>
      <c r="Q20" s="226">
        <f t="shared" si="30"/>
        <v>57</v>
      </c>
      <c r="R20" s="243"/>
      <c r="S20" s="243"/>
      <c r="T20" s="241">
        <f t="shared" si="33"/>
        <v>2034</v>
      </c>
      <c r="U20" s="234">
        <f t="shared" si="24"/>
        <v>3400</v>
      </c>
      <c r="V20" s="235">
        <f t="shared" ca="1" si="25"/>
        <v>0</v>
      </c>
      <c r="W20" s="235">
        <f t="shared" si="26"/>
        <v>9681.6809999999987</v>
      </c>
      <c r="X20" s="235">
        <f t="shared" si="27"/>
        <v>2084</v>
      </c>
      <c r="Y20" s="236">
        <f t="shared" si="28"/>
        <v>0</v>
      </c>
      <c r="AA20" s="241">
        <f t="shared" si="34"/>
        <v>2034</v>
      </c>
      <c r="AB20" s="234">
        <f t="shared" si="35"/>
        <v>0</v>
      </c>
      <c r="AC20" s="235">
        <f t="shared" ca="1" si="35"/>
        <v>0</v>
      </c>
      <c r="AD20" s="235">
        <f t="shared" si="35"/>
        <v>0</v>
      </c>
      <c r="AE20" s="235">
        <f t="shared" si="35"/>
        <v>0</v>
      </c>
      <c r="AF20" s="236">
        <f t="shared" si="35"/>
        <v>0</v>
      </c>
    </row>
    <row r="21" spans="2:32" ht="15.75" customHeight="1">
      <c r="B21" s="1177">
        <f t="shared" si="31"/>
        <v>2034</v>
      </c>
      <c r="C21" s="1176">
        <f t="shared" si="36"/>
        <v>109.46274481789513</v>
      </c>
      <c r="D21" s="1337">
        <f t="shared" si="32"/>
        <v>3.0000000000000041E-2</v>
      </c>
      <c r="H21" s="1274" t="s">
        <v>133</v>
      </c>
      <c r="I21" s="205" t="s">
        <v>134</v>
      </c>
      <c r="J21" s="206" t="s">
        <v>117</v>
      </c>
      <c r="K21" s="206" t="s">
        <v>490</v>
      </c>
      <c r="L21" s="206">
        <v>100</v>
      </c>
      <c r="M21" s="207">
        <v>32813</v>
      </c>
      <c r="N21" s="207">
        <v>47483</v>
      </c>
      <c r="O21" s="206" t="s">
        <v>31</v>
      </c>
      <c r="P21" s="206">
        <f t="shared" si="23"/>
        <v>0</v>
      </c>
      <c r="Q21" s="225">
        <f t="shared" si="30"/>
        <v>61</v>
      </c>
      <c r="R21" s="243"/>
      <c r="S21" s="243"/>
      <c r="T21" s="241">
        <f t="shared" si="33"/>
        <v>2035</v>
      </c>
      <c r="U21" s="234">
        <f t="shared" si="24"/>
        <v>3400</v>
      </c>
      <c r="V21" s="235">
        <f t="shared" ca="1" si="25"/>
        <v>0</v>
      </c>
      <c r="W21" s="235">
        <f t="shared" si="26"/>
        <v>9681.6809999999987</v>
      </c>
      <c r="X21" s="235">
        <f t="shared" si="27"/>
        <v>2084</v>
      </c>
      <c r="Y21" s="236">
        <f t="shared" si="28"/>
        <v>0</v>
      </c>
      <c r="AA21" s="241">
        <f t="shared" si="34"/>
        <v>2035</v>
      </c>
      <c r="AB21" s="234">
        <f t="shared" si="35"/>
        <v>0</v>
      </c>
      <c r="AC21" s="235">
        <f t="shared" ca="1" si="35"/>
        <v>0</v>
      </c>
      <c r="AD21" s="235">
        <f t="shared" si="35"/>
        <v>0</v>
      </c>
      <c r="AE21" s="235">
        <f t="shared" si="35"/>
        <v>0</v>
      </c>
      <c r="AF21" s="236">
        <f t="shared" si="35"/>
        <v>0</v>
      </c>
    </row>
    <row r="22" spans="2:32" ht="15.75" customHeight="1">
      <c r="B22" s="1177">
        <f t="shared" si="31"/>
        <v>2035</v>
      </c>
      <c r="C22" s="1176">
        <f t="shared" si="36"/>
        <v>112.74662716243199</v>
      </c>
      <c r="D22" s="1337">
        <f t="shared" si="32"/>
        <v>3.0000000000000086E-2</v>
      </c>
      <c r="H22" s="1275"/>
      <c r="I22" s="208" t="s">
        <v>135</v>
      </c>
      <c r="J22" s="209" t="s">
        <v>117</v>
      </c>
      <c r="K22" s="209" t="s">
        <v>490</v>
      </c>
      <c r="L22" s="209">
        <v>100</v>
      </c>
      <c r="M22" s="210">
        <v>32811</v>
      </c>
      <c r="N22" s="210">
        <v>47483</v>
      </c>
      <c r="O22" s="209" t="s">
        <v>31</v>
      </c>
      <c r="P22" s="209">
        <f t="shared" si="23"/>
        <v>0</v>
      </c>
      <c r="Q22" s="226">
        <f t="shared" si="30"/>
        <v>63</v>
      </c>
      <c r="R22" s="243"/>
      <c r="S22" s="243"/>
      <c r="T22" s="241">
        <f>+T21+1</f>
        <v>2036</v>
      </c>
      <c r="U22" s="234">
        <f t="shared" si="24"/>
        <v>3400</v>
      </c>
      <c r="V22" s="235">
        <f t="shared" ca="1" si="25"/>
        <v>0</v>
      </c>
      <c r="W22" s="235">
        <f t="shared" si="26"/>
        <v>9304.6809999999987</v>
      </c>
      <c r="X22" s="235">
        <f t="shared" si="27"/>
        <v>2050</v>
      </c>
      <c r="Y22" s="236">
        <f t="shared" si="28"/>
        <v>0</v>
      </c>
      <c r="AA22" s="241">
        <f>+AA21+1</f>
        <v>2036</v>
      </c>
      <c r="AB22" s="234">
        <f t="shared" si="35"/>
        <v>0</v>
      </c>
      <c r="AC22" s="235">
        <f t="shared" ca="1" si="35"/>
        <v>0</v>
      </c>
      <c r="AD22" s="235">
        <f t="shared" si="35"/>
        <v>0</v>
      </c>
      <c r="AE22" s="235">
        <f t="shared" si="35"/>
        <v>0</v>
      </c>
      <c r="AF22" s="236">
        <f t="shared" si="35"/>
        <v>0</v>
      </c>
    </row>
    <row r="23" spans="2:32" ht="15.75" customHeight="1">
      <c r="B23" s="1177">
        <f t="shared" si="31"/>
        <v>2036</v>
      </c>
      <c r="C23" s="1176">
        <f t="shared" si="36"/>
        <v>116.12902597730495</v>
      </c>
      <c r="D23" s="1337">
        <f t="shared" si="32"/>
        <v>2.9999999999999975E-2</v>
      </c>
      <c r="H23" s="1275"/>
      <c r="I23" s="208" t="s">
        <v>136</v>
      </c>
      <c r="J23" s="209" t="s">
        <v>117</v>
      </c>
      <c r="K23" s="209" t="s">
        <v>490</v>
      </c>
      <c r="L23" s="209">
        <v>118</v>
      </c>
      <c r="M23" s="210">
        <v>40140</v>
      </c>
      <c r="N23" s="210">
        <v>54788</v>
      </c>
      <c r="O23" s="209" t="s">
        <v>31</v>
      </c>
      <c r="P23" s="209">
        <f t="shared" si="23"/>
        <v>0</v>
      </c>
      <c r="Q23" s="226">
        <f t="shared" si="30"/>
        <v>39</v>
      </c>
      <c r="R23" s="243"/>
      <c r="S23" s="243"/>
      <c r="T23" s="241">
        <f t="shared" si="33"/>
        <v>2037</v>
      </c>
      <c r="U23" s="234">
        <f t="shared" si="24"/>
        <v>3400</v>
      </c>
      <c r="V23" s="235">
        <f t="shared" ca="1" si="25"/>
        <v>0</v>
      </c>
      <c r="W23" s="235">
        <f t="shared" si="26"/>
        <v>8573.6809999999987</v>
      </c>
      <c r="X23" s="235">
        <f t="shared" si="27"/>
        <v>2050</v>
      </c>
      <c r="Y23" s="236">
        <f t="shared" si="28"/>
        <v>0</v>
      </c>
      <c r="AA23" s="241">
        <f t="shared" ref="AA23:AA24" si="37">+AA22+1</f>
        <v>2037</v>
      </c>
      <c r="AB23" s="234">
        <f t="shared" si="35"/>
        <v>0</v>
      </c>
      <c r="AC23" s="235">
        <f t="shared" ca="1" si="35"/>
        <v>0</v>
      </c>
      <c r="AD23" s="235">
        <f t="shared" si="35"/>
        <v>0</v>
      </c>
      <c r="AE23" s="235">
        <f t="shared" si="35"/>
        <v>0</v>
      </c>
      <c r="AF23" s="236">
        <f t="shared" si="35"/>
        <v>0</v>
      </c>
    </row>
    <row r="24" spans="2:32" ht="15.75" customHeight="1">
      <c r="B24" s="1177">
        <f t="shared" si="31"/>
        <v>2037</v>
      </c>
      <c r="C24" s="1176">
        <f t="shared" si="36"/>
        <v>119.6128967566241</v>
      </c>
      <c r="D24" s="1337">
        <f t="shared" si="32"/>
        <v>2.9999999999999992E-2</v>
      </c>
      <c r="H24" s="1275"/>
      <c r="I24" s="208" t="s">
        <v>137</v>
      </c>
      <c r="J24" s="209" t="s">
        <v>117</v>
      </c>
      <c r="K24" s="209" t="s">
        <v>490</v>
      </c>
      <c r="L24" s="209">
        <v>118</v>
      </c>
      <c r="M24" s="210">
        <v>40184</v>
      </c>
      <c r="N24" s="210">
        <v>54788</v>
      </c>
      <c r="O24" s="209" t="s">
        <v>31</v>
      </c>
      <c r="P24" s="209">
        <f t="shared" si="23"/>
        <v>0</v>
      </c>
      <c r="Q24" s="226">
        <f t="shared" si="30"/>
        <v>360</v>
      </c>
      <c r="R24" s="243"/>
      <c r="S24" s="243"/>
      <c r="T24" s="241">
        <f t="shared" si="33"/>
        <v>2038</v>
      </c>
      <c r="U24" s="234">
        <f t="shared" si="24"/>
        <v>3400</v>
      </c>
      <c r="V24" s="235">
        <f t="shared" ca="1" si="25"/>
        <v>0</v>
      </c>
      <c r="W24" s="235">
        <f t="shared" si="26"/>
        <v>8201.6809999999987</v>
      </c>
      <c r="X24" s="235">
        <f t="shared" si="27"/>
        <v>1982</v>
      </c>
      <c r="Y24" s="236">
        <f t="shared" si="28"/>
        <v>0</v>
      </c>
      <c r="AA24" s="241">
        <f t="shared" si="37"/>
        <v>2038</v>
      </c>
      <c r="AB24" s="234">
        <f t="shared" si="35"/>
        <v>0</v>
      </c>
      <c r="AC24" s="235">
        <f t="shared" ca="1" si="35"/>
        <v>0</v>
      </c>
      <c r="AD24" s="235">
        <f t="shared" si="35"/>
        <v>0</v>
      </c>
      <c r="AE24" s="235">
        <f t="shared" si="35"/>
        <v>0</v>
      </c>
      <c r="AF24" s="236">
        <f t="shared" si="35"/>
        <v>0</v>
      </c>
    </row>
    <row r="25" spans="2:32" ht="15.75" customHeight="1">
      <c r="B25" s="1177">
        <f t="shared" si="31"/>
        <v>2038</v>
      </c>
      <c r="C25" s="1176">
        <f t="shared" si="36"/>
        <v>123.20128365932283</v>
      </c>
      <c r="D25" s="1337">
        <f t="shared" si="32"/>
        <v>3.0000000000000058E-2</v>
      </c>
      <c r="H25" s="1275"/>
      <c r="I25" s="208" t="s">
        <v>138</v>
      </c>
      <c r="J25" s="209" t="s">
        <v>117</v>
      </c>
      <c r="K25" s="209" t="s">
        <v>490</v>
      </c>
      <c r="L25" s="209">
        <v>110</v>
      </c>
      <c r="M25" s="210">
        <v>33238</v>
      </c>
      <c r="N25" s="210">
        <v>47848</v>
      </c>
      <c r="O25" s="209" t="s">
        <v>32</v>
      </c>
      <c r="P25" s="209">
        <f t="shared" si="23"/>
        <v>0</v>
      </c>
      <c r="Q25" s="226">
        <f t="shared" si="30"/>
        <v>1</v>
      </c>
      <c r="R25" s="243"/>
      <c r="S25" s="243"/>
      <c r="T25" s="241">
        <f>+T24+1</f>
        <v>2039</v>
      </c>
      <c r="U25" s="234">
        <f t="shared" si="24"/>
        <v>3400</v>
      </c>
      <c r="V25" s="235">
        <f t="shared" ca="1" si="25"/>
        <v>0</v>
      </c>
      <c r="W25" s="235">
        <f t="shared" si="26"/>
        <v>7838.6809999999987</v>
      </c>
      <c r="X25" s="235">
        <f t="shared" si="27"/>
        <v>1390</v>
      </c>
      <c r="Y25" s="236">
        <f t="shared" si="28"/>
        <v>0</v>
      </c>
      <c r="AA25" s="241">
        <f>+AA24+1</f>
        <v>2039</v>
      </c>
      <c r="AB25" s="234">
        <f t="shared" si="35"/>
        <v>0</v>
      </c>
      <c r="AC25" s="235">
        <f t="shared" ca="1" si="35"/>
        <v>0</v>
      </c>
      <c r="AD25" s="235">
        <f t="shared" si="35"/>
        <v>0</v>
      </c>
      <c r="AE25" s="235">
        <f t="shared" si="35"/>
        <v>0</v>
      </c>
      <c r="AF25" s="236">
        <f t="shared" si="35"/>
        <v>0</v>
      </c>
    </row>
    <row r="26" spans="2:32" ht="16.5" customHeight="1" thickBot="1">
      <c r="B26" s="1177">
        <f t="shared" si="31"/>
        <v>2039</v>
      </c>
      <c r="C26" s="1176">
        <f t="shared" si="36"/>
        <v>126.89732216910251</v>
      </c>
      <c r="D26" s="1337">
        <f t="shared" si="32"/>
        <v>2.9999999999999985E-2</v>
      </c>
      <c r="H26" s="1275"/>
      <c r="I26" s="208" t="s">
        <v>139</v>
      </c>
      <c r="J26" s="209" t="s">
        <v>117</v>
      </c>
      <c r="K26" s="209" t="s">
        <v>490</v>
      </c>
      <c r="L26" s="209">
        <v>110</v>
      </c>
      <c r="M26" s="210">
        <v>33225</v>
      </c>
      <c r="N26" s="210">
        <v>47848</v>
      </c>
      <c r="O26" s="209" t="s">
        <v>32</v>
      </c>
      <c r="P26" s="209">
        <f t="shared" si="23"/>
        <v>0</v>
      </c>
      <c r="Q26" s="226">
        <f t="shared" si="30"/>
        <v>14</v>
      </c>
      <c r="R26" s="243"/>
      <c r="S26" s="243"/>
      <c r="T26" s="242">
        <f>+T25+1</f>
        <v>2040</v>
      </c>
      <c r="U26" s="237">
        <f t="shared" si="24"/>
        <v>3400</v>
      </c>
      <c r="V26" s="238">
        <f t="shared" ca="1" si="25"/>
        <v>0</v>
      </c>
      <c r="W26" s="238">
        <f t="shared" si="26"/>
        <v>7838.6809999999987</v>
      </c>
      <c r="X26" s="238">
        <f t="shared" si="27"/>
        <v>1390</v>
      </c>
      <c r="Y26" s="239">
        <f t="shared" si="28"/>
        <v>0</v>
      </c>
      <c r="AA26" s="242">
        <f>+AA25+1</f>
        <v>2040</v>
      </c>
      <c r="AB26" s="237">
        <f t="shared" si="35"/>
        <v>0</v>
      </c>
      <c r="AC26" s="238">
        <f t="shared" ca="1" si="35"/>
        <v>0</v>
      </c>
      <c r="AD26" s="238">
        <f t="shared" si="35"/>
        <v>0</v>
      </c>
      <c r="AE26" s="238">
        <f t="shared" si="35"/>
        <v>0</v>
      </c>
      <c r="AF26" s="239">
        <f t="shared" si="35"/>
        <v>0</v>
      </c>
    </row>
    <row r="27" spans="2:32" ht="16.5" customHeight="1" thickBot="1">
      <c r="B27" s="1177">
        <f t="shared" si="31"/>
        <v>2040</v>
      </c>
      <c r="C27" s="1176">
        <f t="shared" si="36"/>
        <v>130.70424183417558</v>
      </c>
      <c r="D27" s="1337">
        <f t="shared" si="32"/>
        <v>2.999999999999994E-2</v>
      </c>
      <c r="H27" s="1275"/>
      <c r="I27" s="208" t="s">
        <v>140</v>
      </c>
      <c r="J27" s="209" t="s">
        <v>117</v>
      </c>
      <c r="K27" s="209" t="s">
        <v>490</v>
      </c>
      <c r="L27" s="209">
        <v>110</v>
      </c>
      <c r="M27" s="210">
        <v>33573</v>
      </c>
      <c r="N27" s="210">
        <v>48213</v>
      </c>
      <c r="O27" s="209" t="s">
        <v>32</v>
      </c>
      <c r="P27" s="209">
        <f t="shared" si="23"/>
        <v>0</v>
      </c>
      <c r="Q27" s="226">
        <f t="shared" si="30"/>
        <v>31</v>
      </c>
    </row>
    <row r="28" spans="2:32" ht="15" customHeight="1" thickBot="1">
      <c r="B28" s="1180" t="s">
        <v>107</v>
      </c>
      <c r="C28" s="1181">
        <f>SUM(C6:C27)</f>
        <v>2156.6504213066942</v>
      </c>
      <c r="D28" s="1182">
        <f>AVERAGE(D7:D26)</f>
        <v>2.8656212693223382E-2</v>
      </c>
      <c r="H28" s="1275"/>
      <c r="I28" s="208" t="s">
        <v>141</v>
      </c>
      <c r="J28" s="209" t="s">
        <v>117</v>
      </c>
      <c r="K28" s="209" t="s">
        <v>490</v>
      </c>
      <c r="L28" s="209">
        <v>110</v>
      </c>
      <c r="M28" s="210">
        <v>33635</v>
      </c>
      <c r="N28" s="210">
        <v>48213</v>
      </c>
      <c r="O28" s="209" t="s">
        <v>32</v>
      </c>
      <c r="P28" s="209">
        <f t="shared" si="23"/>
        <v>0</v>
      </c>
      <c r="Q28" s="226">
        <f t="shared" si="30"/>
        <v>335</v>
      </c>
      <c r="T28" s="1283" t="s">
        <v>205</v>
      </c>
      <c r="U28" s="1284"/>
      <c r="V28" s="1284"/>
      <c r="W28" s="1284"/>
      <c r="X28" s="1284"/>
      <c r="Y28" s="1285"/>
      <c r="AA28" s="1283" t="str">
        <f>"ימי עבודה של"&amp;" "&amp;AA4</f>
        <v>ימי עבודה של יחידות חדשות</v>
      </c>
      <c r="AB28" s="1284"/>
      <c r="AC28" s="1284"/>
      <c r="AD28" s="1284"/>
      <c r="AE28" s="1284"/>
      <c r="AF28" s="1285"/>
    </row>
    <row r="29" spans="2:32" ht="15" customHeight="1" thickBot="1">
      <c r="H29" s="1275"/>
      <c r="I29" s="208" t="s">
        <v>142</v>
      </c>
      <c r="J29" s="209" t="s">
        <v>117</v>
      </c>
      <c r="K29" s="209" t="s">
        <v>490</v>
      </c>
      <c r="L29" s="209">
        <v>148</v>
      </c>
      <c r="M29" s="210">
        <v>36322</v>
      </c>
      <c r="N29" s="210">
        <v>50770</v>
      </c>
      <c r="O29" s="209" t="s">
        <v>31</v>
      </c>
      <c r="P29" s="209">
        <f t="shared" si="23"/>
        <v>0</v>
      </c>
      <c r="Q29" s="226">
        <f t="shared" si="30"/>
        <v>204</v>
      </c>
      <c r="T29" s="204" t="s">
        <v>0</v>
      </c>
      <c r="U29" s="204" t="str">
        <f>U5</f>
        <v>קיטורי</v>
      </c>
      <c r="V29" s="204" t="str">
        <f t="shared" ref="V29:Y29" ca="1" si="38">V5</f>
        <v>גז פחמיות מוסבות</v>
      </c>
      <c r="W29" s="204" t="str">
        <f t="shared" si="38"/>
        <v>מחז"מים וקוגנרציה</v>
      </c>
      <c r="X29" s="204" t="str">
        <f t="shared" si="38"/>
        <v xml:space="preserve">פקירים </v>
      </c>
      <c r="Y29" s="204" t="str">
        <f t="shared" si="38"/>
        <v>יחידות בסולר</v>
      </c>
      <c r="AA29" s="204" t="s">
        <v>0</v>
      </c>
      <c r="AB29" s="204" t="str">
        <f>AB5</f>
        <v>קיטורי</v>
      </c>
      <c r="AC29" s="204" t="str">
        <f t="shared" ref="AC29:AF29" ca="1" si="39">AC5</f>
        <v>גז פחמיות מוסבות</v>
      </c>
      <c r="AD29" s="204" t="str">
        <f t="shared" si="39"/>
        <v>מחז"מים וקוגנרציה</v>
      </c>
      <c r="AE29" s="204" t="str">
        <f t="shared" si="39"/>
        <v xml:space="preserve">פקירים </v>
      </c>
      <c r="AF29" s="204" t="str">
        <f t="shared" si="39"/>
        <v>יחידות בסולר</v>
      </c>
    </row>
    <row r="30" spans="2:32" ht="15" customHeight="1" thickBot="1">
      <c r="B30" s="1183" t="s">
        <v>233</v>
      </c>
      <c r="C30" s="1184"/>
      <c r="D30" s="1184"/>
      <c r="E30" s="1185"/>
      <c r="H30" s="1275"/>
      <c r="I30" s="208" t="s">
        <v>143</v>
      </c>
      <c r="J30" s="209" t="s">
        <v>117</v>
      </c>
      <c r="K30" s="209" t="s">
        <v>490</v>
      </c>
      <c r="L30" s="209">
        <v>148</v>
      </c>
      <c r="M30" s="210">
        <v>36266</v>
      </c>
      <c r="N30" s="210">
        <v>50770</v>
      </c>
      <c r="O30" s="209" t="s">
        <v>31</v>
      </c>
      <c r="P30" s="209">
        <f t="shared" si="23"/>
        <v>0</v>
      </c>
      <c r="Q30" s="226">
        <f t="shared" si="30"/>
        <v>260</v>
      </c>
      <c r="T30" s="240">
        <f>T6</f>
        <v>2020</v>
      </c>
      <c r="U30" s="231">
        <f t="shared" ref="U30:Y39" si="40">SUMIFS($L$5:$L$104,$K$5:$K$104,U$29,$N$5:$N$104,"&gt;="&amp;DATE($T30,1,1),$N$5:$N$104,"&lt;="&amp;DATE($T30,12,31))</f>
        <v>0</v>
      </c>
      <c r="V30" s="232">
        <f t="shared" ca="1" si="40"/>
        <v>0</v>
      </c>
      <c r="W30" s="232">
        <f t="shared" si="40"/>
        <v>0</v>
      </c>
      <c r="X30" s="232">
        <f t="shared" si="40"/>
        <v>0</v>
      </c>
      <c r="Y30" s="233">
        <f t="shared" si="40"/>
        <v>0</v>
      </c>
      <c r="AA30" s="195">
        <f>AA6</f>
        <v>2020</v>
      </c>
      <c r="AB30" s="231">
        <f t="shared" ref="AB30:AF39" si="41">IF(AB6=0,0,AVERAGEIFS($Q$5:$Q$104,$K$5:$K$104,AB$29,$M$5:$M$104,"&gt;="&amp;DATE($AA30,1,1),$M$5:$M$104,"&lt;="&amp;DATE($AA30,12,31)))</f>
        <v>0</v>
      </c>
      <c r="AC30" s="232">
        <f t="shared" ca="1" si="41"/>
        <v>0</v>
      </c>
      <c r="AD30" s="232">
        <f t="shared" si="41"/>
        <v>31</v>
      </c>
      <c r="AE30" s="232">
        <f t="shared" si="41"/>
        <v>0</v>
      </c>
      <c r="AF30" s="233">
        <f t="shared" si="41"/>
        <v>0</v>
      </c>
    </row>
    <row r="31" spans="2:32" ht="15" customHeight="1" thickBot="1">
      <c r="B31" s="315" t="s">
        <v>0</v>
      </c>
      <c r="C31" s="313">
        <v>0.17</v>
      </c>
      <c r="D31" s="313">
        <v>0.25</v>
      </c>
      <c r="E31" s="313">
        <v>0.3</v>
      </c>
      <c r="H31" s="1275"/>
      <c r="I31" s="208" t="s">
        <v>144</v>
      </c>
      <c r="J31" s="209" t="s">
        <v>117</v>
      </c>
      <c r="K31" s="209" t="s">
        <v>490</v>
      </c>
      <c r="L31" s="209">
        <v>148</v>
      </c>
      <c r="M31" s="210">
        <v>36264</v>
      </c>
      <c r="N31" s="210">
        <v>50770</v>
      </c>
      <c r="O31" s="209" t="s">
        <v>31</v>
      </c>
      <c r="P31" s="209">
        <f t="shared" si="23"/>
        <v>0</v>
      </c>
      <c r="Q31" s="226">
        <f t="shared" si="30"/>
        <v>262</v>
      </c>
      <c r="T31" s="241">
        <f>+T30+1</f>
        <v>2021</v>
      </c>
      <c r="U31" s="234">
        <f t="shared" si="40"/>
        <v>0</v>
      </c>
      <c r="V31" s="235">
        <f t="shared" ca="1" si="40"/>
        <v>0</v>
      </c>
      <c r="W31" s="235">
        <f t="shared" si="40"/>
        <v>0</v>
      </c>
      <c r="X31" s="235">
        <f t="shared" si="40"/>
        <v>0</v>
      </c>
      <c r="Y31" s="236">
        <f t="shared" si="40"/>
        <v>0</v>
      </c>
      <c r="AA31" s="196">
        <f>+AA30+1</f>
        <v>2021</v>
      </c>
      <c r="AB31" s="234">
        <f t="shared" si="41"/>
        <v>0</v>
      </c>
      <c r="AC31" s="235">
        <f t="shared" ca="1" si="41"/>
        <v>0</v>
      </c>
      <c r="AD31" s="235">
        <f t="shared" si="41"/>
        <v>0</v>
      </c>
      <c r="AE31" s="235">
        <f t="shared" si="41"/>
        <v>0</v>
      </c>
      <c r="AF31" s="236">
        <f t="shared" si="41"/>
        <v>0</v>
      </c>
    </row>
    <row r="32" spans="2:32" ht="15.75" customHeight="1" thickBot="1">
      <c r="B32" s="201">
        <f t="shared" ref="B32:B52" si="42">B7</f>
        <v>2020</v>
      </c>
      <c r="C32" s="571">
        <v>0.1</v>
      </c>
      <c r="D32" s="572">
        <v>0.1</v>
      </c>
      <c r="E32" s="573">
        <v>0.1</v>
      </c>
      <c r="H32" s="1276"/>
      <c r="I32" s="211" t="s">
        <v>145</v>
      </c>
      <c r="J32" s="212" t="s">
        <v>117</v>
      </c>
      <c r="K32" s="212" t="s">
        <v>490</v>
      </c>
      <c r="L32" s="212">
        <v>148</v>
      </c>
      <c r="M32" s="213">
        <v>36292</v>
      </c>
      <c r="N32" s="210">
        <v>50770</v>
      </c>
      <c r="O32" s="212" t="s">
        <v>31</v>
      </c>
      <c r="P32" s="212">
        <f t="shared" si="23"/>
        <v>0</v>
      </c>
      <c r="Q32" s="228">
        <f t="shared" si="30"/>
        <v>234</v>
      </c>
      <c r="S32" s="243"/>
      <c r="T32" s="241">
        <f t="shared" ref="T32:T45" si="43">+T31+1</f>
        <v>2022</v>
      </c>
      <c r="U32" s="234">
        <f t="shared" si="40"/>
        <v>1990</v>
      </c>
      <c r="V32" s="235">
        <f t="shared" ca="1" si="40"/>
        <v>0</v>
      </c>
      <c r="W32" s="235">
        <f t="shared" si="40"/>
        <v>0</v>
      </c>
      <c r="X32" s="235">
        <f t="shared" si="40"/>
        <v>0</v>
      </c>
      <c r="Y32" s="236">
        <f t="shared" si="40"/>
        <v>0</v>
      </c>
      <c r="AA32" s="196">
        <f t="shared" ref="AA32:AA45" si="44">+AA31+1</f>
        <v>2022</v>
      </c>
      <c r="AB32" s="234">
        <f t="shared" si="41"/>
        <v>200</v>
      </c>
      <c r="AC32" s="235">
        <f t="shared" ca="1" si="41"/>
        <v>0</v>
      </c>
      <c r="AD32" s="235">
        <f t="shared" si="41"/>
        <v>184</v>
      </c>
      <c r="AE32" s="235">
        <f t="shared" si="41"/>
        <v>0</v>
      </c>
      <c r="AF32" s="236">
        <f t="shared" si="41"/>
        <v>0</v>
      </c>
    </row>
    <row r="33" spans="2:32" ht="15" customHeight="1">
      <c r="B33" s="201">
        <f t="shared" si="42"/>
        <v>2021</v>
      </c>
      <c r="C33" s="574">
        <f>C32+($C$37-$C$32)/5</f>
        <v>0.10600000000000001</v>
      </c>
      <c r="D33" s="570">
        <f>D32+($D$37-$D$32)/5</f>
        <v>0.115</v>
      </c>
      <c r="E33" s="575">
        <v>0.12</v>
      </c>
      <c r="H33" s="1274" t="s">
        <v>146</v>
      </c>
      <c r="I33" s="205" t="s">
        <v>147</v>
      </c>
      <c r="J33" s="206" t="s">
        <v>117</v>
      </c>
      <c r="K33" s="206" t="s">
        <v>493</v>
      </c>
      <c r="L33" s="206">
        <v>366</v>
      </c>
      <c r="M33" s="207">
        <v>41476</v>
      </c>
      <c r="N33" s="207">
        <v>52596</v>
      </c>
      <c r="O33" s="206" t="s">
        <v>31</v>
      </c>
      <c r="P33" s="206">
        <f t="shared" si="23"/>
        <v>0</v>
      </c>
      <c r="Q33" s="225">
        <f t="shared" si="30"/>
        <v>164</v>
      </c>
      <c r="S33" s="243"/>
      <c r="T33" s="241">
        <f t="shared" si="43"/>
        <v>2023</v>
      </c>
      <c r="U33" s="234">
        <f t="shared" si="40"/>
        <v>656</v>
      </c>
      <c r="V33" s="235">
        <f t="shared" ca="1" si="40"/>
        <v>0</v>
      </c>
      <c r="W33" s="235">
        <f t="shared" si="40"/>
        <v>0</v>
      </c>
      <c r="X33" s="235">
        <f t="shared" si="40"/>
        <v>0</v>
      </c>
      <c r="Y33" s="236">
        <f t="shared" si="40"/>
        <v>0</v>
      </c>
      <c r="AA33" s="196">
        <f t="shared" si="44"/>
        <v>2023</v>
      </c>
      <c r="AB33" s="234">
        <f t="shared" si="41"/>
        <v>0</v>
      </c>
      <c r="AC33" s="235">
        <f t="shared" ca="1" si="41"/>
        <v>0</v>
      </c>
      <c r="AD33" s="235">
        <f t="shared" si="41"/>
        <v>0</v>
      </c>
      <c r="AE33" s="235">
        <f t="shared" si="41"/>
        <v>365</v>
      </c>
      <c r="AF33" s="236">
        <f t="shared" si="41"/>
        <v>0</v>
      </c>
    </row>
    <row r="34" spans="2:32" ht="15" customHeight="1">
      <c r="B34" s="201">
        <f t="shared" si="42"/>
        <v>2022</v>
      </c>
      <c r="C34" s="574">
        <f>C33+($C$37-$C$32)/5</f>
        <v>0.11200000000000002</v>
      </c>
      <c r="D34" s="570">
        <f t="shared" ref="D34:D36" si="45">D33+($D$37-$D$32)/5</f>
        <v>0.13</v>
      </c>
      <c r="E34" s="575">
        <v>0.13999999999999999</v>
      </c>
      <c r="H34" s="1275"/>
      <c r="I34" s="208" t="s">
        <v>148</v>
      </c>
      <c r="J34" s="209" t="s">
        <v>117</v>
      </c>
      <c r="K34" s="209" t="s">
        <v>493</v>
      </c>
      <c r="L34" s="209">
        <v>360</v>
      </c>
      <c r="M34" s="210">
        <v>41141</v>
      </c>
      <c r="N34" s="210">
        <v>52231</v>
      </c>
      <c r="O34" s="209" t="s">
        <v>31</v>
      </c>
      <c r="P34" s="209">
        <f t="shared" si="23"/>
        <v>0</v>
      </c>
      <c r="Q34" s="226">
        <f t="shared" si="30"/>
        <v>134</v>
      </c>
      <c r="T34" s="241">
        <f t="shared" si="43"/>
        <v>2024</v>
      </c>
      <c r="U34" s="234">
        <f t="shared" si="40"/>
        <v>1125</v>
      </c>
      <c r="V34" s="235">
        <f t="shared" ca="1" si="40"/>
        <v>0</v>
      </c>
      <c r="W34" s="235">
        <f t="shared" si="40"/>
        <v>0</v>
      </c>
      <c r="X34" s="235">
        <f t="shared" si="40"/>
        <v>0</v>
      </c>
      <c r="Y34" s="236">
        <f t="shared" si="40"/>
        <v>0</v>
      </c>
      <c r="AA34" s="196">
        <f t="shared" si="44"/>
        <v>2024</v>
      </c>
      <c r="AB34" s="234">
        <f t="shared" si="41"/>
        <v>108</v>
      </c>
      <c r="AC34" s="235">
        <f t="shared" ca="1" si="41"/>
        <v>0</v>
      </c>
      <c r="AD34" s="235">
        <f t="shared" si="41"/>
        <v>365</v>
      </c>
      <c r="AE34" s="235">
        <f t="shared" si="41"/>
        <v>0</v>
      </c>
      <c r="AF34" s="236">
        <f t="shared" si="41"/>
        <v>0</v>
      </c>
    </row>
    <row r="35" spans="2:32" ht="15" customHeight="1">
      <c r="B35" s="201">
        <f t="shared" si="42"/>
        <v>2023</v>
      </c>
      <c r="C35" s="574">
        <f>C34+($C$37-$C$32)/5</f>
        <v>0.11800000000000002</v>
      </c>
      <c r="D35" s="570">
        <f t="shared" si="45"/>
        <v>0.14499999999999999</v>
      </c>
      <c r="E35" s="575">
        <v>0.15999999999999998</v>
      </c>
      <c r="H35" s="1275"/>
      <c r="I35" s="208" t="s">
        <v>149</v>
      </c>
      <c r="J35" s="209" t="s">
        <v>117</v>
      </c>
      <c r="K35" s="209" t="s">
        <v>493</v>
      </c>
      <c r="L35" s="209">
        <v>363</v>
      </c>
      <c r="M35" s="210">
        <v>39793</v>
      </c>
      <c r="N35" s="210">
        <v>50770</v>
      </c>
      <c r="O35" s="209" t="s">
        <v>31</v>
      </c>
      <c r="P35" s="209">
        <f t="shared" si="23"/>
        <v>0</v>
      </c>
      <c r="Q35" s="226">
        <f t="shared" si="30"/>
        <v>21</v>
      </c>
      <c r="T35" s="241">
        <f t="shared" si="43"/>
        <v>2025</v>
      </c>
      <c r="U35" s="234">
        <f t="shared" si="40"/>
        <v>1953</v>
      </c>
      <c r="V35" s="235">
        <f t="shared" ca="1" si="40"/>
        <v>0</v>
      </c>
      <c r="W35" s="235">
        <f t="shared" si="40"/>
        <v>0</v>
      </c>
      <c r="X35" s="235">
        <f t="shared" si="40"/>
        <v>0</v>
      </c>
      <c r="Y35" s="236">
        <f t="shared" si="40"/>
        <v>0</v>
      </c>
      <c r="AA35" s="196">
        <f t="shared" si="44"/>
        <v>2025</v>
      </c>
      <c r="AB35" s="234">
        <f t="shared" si="41"/>
        <v>230</v>
      </c>
      <c r="AC35" s="235">
        <f t="shared" ca="1" si="41"/>
        <v>0</v>
      </c>
      <c r="AD35" s="235">
        <f t="shared" si="41"/>
        <v>0</v>
      </c>
      <c r="AE35" s="235">
        <f t="shared" si="41"/>
        <v>0</v>
      </c>
      <c r="AF35" s="236">
        <f t="shared" si="41"/>
        <v>0</v>
      </c>
    </row>
    <row r="36" spans="2:32" ht="15" customHeight="1">
      <c r="B36" s="201">
        <f t="shared" si="42"/>
        <v>2024</v>
      </c>
      <c r="C36" s="574">
        <f>C35+($C$37-$C$32)/5</f>
        <v>0.12400000000000003</v>
      </c>
      <c r="D36" s="570">
        <f t="shared" si="45"/>
        <v>0.15999999999999998</v>
      </c>
      <c r="E36" s="575">
        <v>0.17999999999999997</v>
      </c>
      <c r="H36" s="1275"/>
      <c r="I36" s="208" t="s">
        <v>150</v>
      </c>
      <c r="J36" s="209" t="s">
        <v>117</v>
      </c>
      <c r="K36" s="209" t="s">
        <v>493</v>
      </c>
      <c r="L36" s="209">
        <v>359</v>
      </c>
      <c r="M36" s="210">
        <v>39205</v>
      </c>
      <c r="N36" s="210">
        <v>50040</v>
      </c>
      <c r="O36" s="209" t="s">
        <v>31</v>
      </c>
      <c r="P36" s="209">
        <f t="shared" si="23"/>
        <v>0</v>
      </c>
      <c r="Q36" s="226">
        <f t="shared" si="30"/>
        <v>243</v>
      </c>
      <c r="T36" s="241">
        <f t="shared" si="43"/>
        <v>2026</v>
      </c>
      <c r="U36" s="234">
        <f t="shared" si="40"/>
        <v>0</v>
      </c>
      <c r="V36" s="235">
        <f t="shared" ca="1" si="40"/>
        <v>0</v>
      </c>
      <c r="W36" s="235">
        <f t="shared" si="40"/>
        <v>0</v>
      </c>
      <c r="X36" s="235">
        <f t="shared" si="40"/>
        <v>0</v>
      </c>
      <c r="Y36" s="236">
        <f t="shared" si="40"/>
        <v>0</v>
      </c>
      <c r="AA36" s="196">
        <f t="shared" si="44"/>
        <v>2026</v>
      </c>
      <c r="AB36" s="234">
        <f t="shared" si="41"/>
        <v>351</v>
      </c>
      <c r="AC36" s="235">
        <f t="shared" ca="1" si="41"/>
        <v>0</v>
      </c>
      <c r="AD36" s="235">
        <f t="shared" si="41"/>
        <v>0</v>
      </c>
      <c r="AE36" s="235">
        <f t="shared" si="41"/>
        <v>0</v>
      </c>
      <c r="AF36" s="236">
        <f t="shared" si="41"/>
        <v>0</v>
      </c>
    </row>
    <row r="37" spans="2:32" ht="15" customHeight="1">
      <c r="B37" s="201">
        <f t="shared" si="42"/>
        <v>2025</v>
      </c>
      <c r="C37" s="574">
        <v>0.13</v>
      </c>
      <c r="D37" s="570">
        <f>10%+(D31-D32)/2</f>
        <v>0.17499999999999999</v>
      </c>
      <c r="E37" s="755">
        <f>10%+(E31-E32)/2</f>
        <v>0.2</v>
      </c>
      <c r="H37" s="1275"/>
      <c r="I37" s="208" t="s">
        <v>151</v>
      </c>
      <c r="J37" s="209" t="s">
        <v>117</v>
      </c>
      <c r="K37" s="209" t="s">
        <v>493</v>
      </c>
      <c r="L37" s="209">
        <v>375</v>
      </c>
      <c r="M37" s="210">
        <v>41492</v>
      </c>
      <c r="N37" s="210">
        <v>52596</v>
      </c>
      <c r="O37" s="209" t="s">
        <v>31</v>
      </c>
      <c r="P37" s="209">
        <f t="shared" si="23"/>
        <v>0</v>
      </c>
      <c r="Q37" s="226">
        <f t="shared" si="30"/>
        <v>148</v>
      </c>
      <c r="T37" s="241">
        <f t="shared" si="43"/>
        <v>2027</v>
      </c>
      <c r="U37" s="234">
        <f t="shared" si="40"/>
        <v>456</v>
      </c>
      <c r="V37" s="235">
        <f t="shared" ca="1" si="40"/>
        <v>0</v>
      </c>
      <c r="W37" s="235">
        <f t="shared" si="40"/>
        <v>0</v>
      </c>
      <c r="X37" s="235">
        <f t="shared" si="40"/>
        <v>0</v>
      </c>
      <c r="Y37" s="236">
        <f t="shared" si="40"/>
        <v>0</v>
      </c>
      <c r="AA37" s="196">
        <f t="shared" si="44"/>
        <v>2027</v>
      </c>
      <c r="AB37" s="234">
        <f t="shared" si="41"/>
        <v>0</v>
      </c>
      <c r="AC37" s="235">
        <f t="shared" ca="1" si="41"/>
        <v>0</v>
      </c>
      <c r="AD37" s="235">
        <f t="shared" si="41"/>
        <v>0</v>
      </c>
      <c r="AE37" s="235">
        <f t="shared" si="41"/>
        <v>0</v>
      </c>
      <c r="AF37" s="236">
        <f t="shared" si="41"/>
        <v>0</v>
      </c>
    </row>
    <row r="38" spans="2:32" ht="15" customHeight="1">
      <c r="B38" s="201">
        <f t="shared" si="42"/>
        <v>2026</v>
      </c>
      <c r="C38" s="574">
        <f>C37+($C$42-$C$37)/5</f>
        <v>0.13800000000000001</v>
      </c>
      <c r="D38" s="570">
        <f>D37+($D$42-$D$37)/5</f>
        <v>0.19</v>
      </c>
      <c r="E38" s="575">
        <v>0.21999999999999995</v>
      </c>
      <c r="H38" s="1275"/>
      <c r="I38" s="208" t="s">
        <v>152</v>
      </c>
      <c r="J38" s="209" t="s">
        <v>117</v>
      </c>
      <c r="K38" s="209" t="s">
        <v>493</v>
      </c>
      <c r="L38" s="209">
        <v>372</v>
      </c>
      <c r="M38" s="210">
        <v>39237</v>
      </c>
      <c r="N38" s="210">
        <v>50040</v>
      </c>
      <c r="O38" s="209" t="s">
        <v>31</v>
      </c>
      <c r="P38" s="209">
        <f t="shared" si="23"/>
        <v>0</v>
      </c>
      <c r="Q38" s="226">
        <f t="shared" si="30"/>
        <v>211</v>
      </c>
      <c r="T38" s="241">
        <f t="shared" si="43"/>
        <v>2028</v>
      </c>
      <c r="U38" s="234">
        <f t="shared" si="40"/>
        <v>0</v>
      </c>
      <c r="V38" s="235">
        <f t="shared" ca="1" si="40"/>
        <v>0</v>
      </c>
      <c r="W38" s="235">
        <f t="shared" si="40"/>
        <v>0</v>
      </c>
      <c r="X38" s="235">
        <f t="shared" si="40"/>
        <v>0</v>
      </c>
      <c r="Y38" s="236">
        <f t="shared" si="40"/>
        <v>0</v>
      </c>
      <c r="AA38" s="196">
        <f t="shared" si="44"/>
        <v>2028</v>
      </c>
      <c r="AB38" s="234">
        <f t="shared" si="41"/>
        <v>0</v>
      </c>
      <c r="AC38" s="235">
        <f t="shared" ca="1" si="41"/>
        <v>0</v>
      </c>
      <c r="AD38" s="235">
        <f t="shared" si="41"/>
        <v>0</v>
      </c>
      <c r="AE38" s="235">
        <f t="shared" si="41"/>
        <v>0</v>
      </c>
      <c r="AF38" s="236">
        <f t="shared" si="41"/>
        <v>0</v>
      </c>
    </row>
    <row r="39" spans="2:32" ht="15" customHeight="1">
      <c r="B39" s="201">
        <f t="shared" si="42"/>
        <v>2027</v>
      </c>
      <c r="C39" s="574">
        <f>C38+($C$42-$C$37)/5</f>
        <v>0.14600000000000002</v>
      </c>
      <c r="D39" s="570">
        <f t="shared" ref="D39:D41" si="46">D38+($D$42-$D$37)/5</f>
        <v>0.20500000000000002</v>
      </c>
      <c r="E39" s="575">
        <v>0.23999999999999994</v>
      </c>
      <c r="H39" s="1275"/>
      <c r="I39" s="208" t="s">
        <v>153</v>
      </c>
      <c r="J39" s="209" t="s">
        <v>117</v>
      </c>
      <c r="K39" s="209" t="s">
        <v>493</v>
      </c>
      <c r="L39" s="209">
        <v>372</v>
      </c>
      <c r="M39" s="210">
        <v>39593</v>
      </c>
      <c r="N39" s="210">
        <v>50405</v>
      </c>
      <c r="O39" s="209" t="s">
        <v>31</v>
      </c>
      <c r="P39" s="209">
        <f t="shared" si="23"/>
        <v>0</v>
      </c>
      <c r="Q39" s="226">
        <f t="shared" si="30"/>
        <v>221</v>
      </c>
      <c r="T39" s="241">
        <f t="shared" si="43"/>
        <v>2029</v>
      </c>
      <c r="U39" s="234">
        <f t="shared" si="40"/>
        <v>0</v>
      </c>
      <c r="V39" s="235">
        <f t="shared" ca="1" si="40"/>
        <v>0</v>
      </c>
      <c r="W39" s="235">
        <f t="shared" si="40"/>
        <v>335</v>
      </c>
      <c r="X39" s="235">
        <f t="shared" si="40"/>
        <v>200</v>
      </c>
      <c r="Y39" s="236">
        <f t="shared" si="40"/>
        <v>0</v>
      </c>
      <c r="AA39" s="196">
        <f t="shared" si="44"/>
        <v>2029</v>
      </c>
      <c r="AB39" s="234">
        <f t="shared" si="41"/>
        <v>0</v>
      </c>
      <c r="AC39" s="235">
        <f t="shared" ca="1" si="41"/>
        <v>0</v>
      </c>
      <c r="AD39" s="235">
        <f t="shared" si="41"/>
        <v>0</v>
      </c>
      <c r="AE39" s="235">
        <f t="shared" si="41"/>
        <v>0</v>
      </c>
      <c r="AF39" s="236">
        <f t="shared" si="41"/>
        <v>0</v>
      </c>
    </row>
    <row r="40" spans="2:32" ht="15" customHeight="1">
      <c r="B40" s="201">
        <f t="shared" si="42"/>
        <v>2028</v>
      </c>
      <c r="C40" s="574">
        <f>C39+($C$42-$C$37)/5</f>
        <v>0.15400000000000003</v>
      </c>
      <c r="D40" s="570">
        <f t="shared" si="46"/>
        <v>0.22000000000000003</v>
      </c>
      <c r="E40" s="575">
        <v>0.25999999999999995</v>
      </c>
      <c r="H40" s="1275"/>
      <c r="I40" s="208" t="s">
        <v>154</v>
      </c>
      <c r="J40" s="209" t="s">
        <v>117</v>
      </c>
      <c r="K40" s="209" t="s">
        <v>493</v>
      </c>
      <c r="L40" s="209">
        <v>377</v>
      </c>
      <c r="M40" s="210">
        <v>38704</v>
      </c>
      <c r="N40" s="210">
        <v>49674</v>
      </c>
      <c r="O40" s="209" t="s">
        <v>31</v>
      </c>
      <c r="P40" s="209">
        <f t="shared" si="23"/>
        <v>0</v>
      </c>
      <c r="Q40" s="226">
        <f t="shared" si="30"/>
        <v>14</v>
      </c>
      <c r="T40" s="241">
        <f t="shared" si="43"/>
        <v>2030</v>
      </c>
      <c r="U40" s="234">
        <f t="shared" ref="U40:Y50" si="47">SUMIFS($L$5:$L$104,$K$5:$K$104,U$29,$N$5:$N$104,"&gt;="&amp;DATE($T40,1,1),$N$5:$N$104,"&lt;="&amp;DATE($T40,12,31))</f>
        <v>0</v>
      </c>
      <c r="V40" s="235">
        <f t="shared" ca="1" si="47"/>
        <v>0</v>
      </c>
      <c r="W40" s="235">
        <f t="shared" si="47"/>
        <v>0</v>
      </c>
      <c r="X40" s="235">
        <f t="shared" si="47"/>
        <v>220</v>
      </c>
      <c r="Y40" s="236">
        <f t="shared" si="47"/>
        <v>0</v>
      </c>
      <c r="AA40" s="196">
        <f t="shared" si="44"/>
        <v>2030</v>
      </c>
      <c r="AB40" s="234">
        <f t="shared" ref="AB40:AF49" si="48">IF(AB16=0,0,AVERAGEIFS($Q$5:$Q$104,$K$5:$K$104,AB$29,$M$5:$M$104,"&gt;="&amp;DATE($AA40,1,1),$M$5:$M$104,"&lt;="&amp;DATE($AA40,12,31)))</f>
        <v>0</v>
      </c>
      <c r="AC40" s="235">
        <f t="shared" ca="1" si="48"/>
        <v>0</v>
      </c>
      <c r="AD40" s="235">
        <f t="shared" si="48"/>
        <v>0</v>
      </c>
      <c r="AE40" s="235">
        <f t="shared" si="48"/>
        <v>0</v>
      </c>
      <c r="AF40" s="236">
        <f t="shared" si="48"/>
        <v>0</v>
      </c>
    </row>
    <row r="41" spans="2:32" ht="15" customHeight="1">
      <c r="B41" s="201">
        <f t="shared" si="42"/>
        <v>2029</v>
      </c>
      <c r="C41" s="574">
        <f>C40+($C$42-$C$37)/5</f>
        <v>0.16200000000000003</v>
      </c>
      <c r="D41" s="570">
        <f t="shared" si="46"/>
        <v>0.23500000000000004</v>
      </c>
      <c r="E41" s="575">
        <v>0.27999999999999997</v>
      </c>
      <c r="H41" s="1275"/>
      <c r="I41" s="208" t="s">
        <v>155</v>
      </c>
      <c r="J41" s="209" t="s">
        <v>117</v>
      </c>
      <c r="K41" s="209" t="s">
        <v>493</v>
      </c>
      <c r="L41" s="209">
        <v>394</v>
      </c>
      <c r="M41" s="210">
        <v>41712</v>
      </c>
      <c r="N41" s="210">
        <v>52596</v>
      </c>
      <c r="O41" s="209" t="s">
        <v>31</v>
      </c>
      <c r="P41" s="209">
        <f t="shared" si="23"/>
        <v>0</v>
      </c>
      <c r="Q41" s="226">
        <f t="shared" si="30"/>
        <v>293</v>
      </c>
      <c r="T41" s="241">
        <f t="shared" si="43"/>
        <v>2031</v>
      </c>
      <c r="U41" s="234">
        <f t="shared" si="47"/>
        <v>0</v>
      </c>
      <c r="V41" s="235">
        <f t="shared" ca="1" si="47"/>
        <v>0</v>
      </c>
      <c r="W41" s="235">
        <f t="shared" si="47"/>
        <v>0</v>
      </c>
      <c r="X41" s="235">
        <f t="shared" si="47"/>
        <v>220</v>
      </c>
      <c r="Y41" s="236">
        <f t="shared" si="47"/>
        <v>0</v>
      </c>
      <c r="AA41" s="196">
        <f t="shared" si="44"/>
        <v>2031</v>
      </c>
      <c r="AB41" s="234">
        <f t="shared" si="48"/>
        <v>0</v>
      </c>
      <c r="AC41" s="235">
        <f t="shared" ca="1" si="48"/>
        <v>0</v>
      </c>
      <c r="AD41" s="235">
        <f t="shared" si="48"/>
        <v>0</v>
      </c>
      <c r="AE41" s="235">
        <f t="shared" si="48"/>
        <v>0</v>
      </c>
      <c r="AF41" s="236">
        <f t="shared" si="48"/>
        <v>0</v>
      </c>
    </row>
    <row r="42" spans="2:32" ht="15" customHeight="1">
      <c r="B42" s="201">
        <f t="shared" si="42"/>
        <v>2030</v>
      </c>
      <c r="C42" s="574">
        <v>0.17</v>
      </c>
      <c r="D42" s="570">
        <f>D31</f>
        <v>0.25</v>
      </c>
      <c r="E42" s="755">
        <f>E31</f>
        <v>0.3</v>
      </c>
      <c r="H42" s="1275"/>
      <c r="I42" s="208" t="s">
        <v>156</v>
      </c>
      <c r="J42" s="209" t="s">
        <v>117</v>
      </c>
      <c r="K42" s="209" t="s">
        <v>493</v>
      </c>
      <c r="L42" s="209">
        <v>374</v>
      </c>
      <c r="M42" s="210">
        <v>40647</v>
      </c>
      <c r="N42" s="210">
        <v>51501</v>
      </c>
      <c r="O42" s="209" t="s">
        <v>31</v>
      </c>
      <c r="P42" s="209">
        <f t="shared" si="23"/>
        <v>0</v>
      </c>
      <c r="Q42" s="226">
        <f t="shared" si="30"/>
        <v>262</v>
      </c>
      <c r="T42" s="241">
        <f t="shared" si="43"/>
        <v>2032</v>
      </c>
      <c r="U42" s="234">
        <f t="shared" si="47"/>
        <v>0</v>
      </c>
      <c r="V42" s="235">
        <f t="shared" ca="1" si="47"/>
        <v>0</v>
      </c>
      <c r="W42" s="235">
        <f t="shared" si="47"/>
        <v>660</v>
      </c>
      <c r="X42" s="235">
        <f t="shared" si="47"/>
        <v>0</v>
      </c>
      <c r="Y42" s="236">
        <f t="shared" si="47"/>
        <v>0</v>
      </c>
      <c r="AA42" s="196">
        <f t="shared" si="44"/>
        <v>2032</v>
      </c>
      <c r="AB42" s="234">
        <f t="shared" si="48"/>
        <v>0</v>
      </c>
      <c r="AC42" s="235">
        <f t="shared" ca="1" si="48"/>
        <v>0</v>
      </c>
      <c r="AD42" s="235">
        <f t="shared" si="48"/>
        <v>0</v>
      </c>
      <c r="AE42" s="235">
        <f t="shared" si="48"/>
        <v>0</v>
      </c>
      <c r="AF42" s="236">
        <f t="shared" si="48"/>
        <v>0</v>
      </c>
    </row>
    <row r="43" spans="2:32" ht="15" customHeight="1">
      <c r="B43" s="201">
        <f t="shared" si="42"/>
        <v>2031</v>
      </c>
      <c r="C43" s="1129">
        <v>0.17</v>
      </c>
      <c r="D43" s="1130">
        <f>D42</f>
        <v>0.25</v>
      </c>
      <c r="E43" s="1131">
        <v>0.3</v>
      </c>
      <c r="H43" s="1275"/>
      <c r="I43" s="208" t="s">
        <v>157</v>
      </c>
      <c r="J43" s="209" t="s">
        <v>117</v>
      </c>
      <c r="K43" s="209" t="s">
        <v>493</v>
      </c>
      <c r="L43" s="209">
        <v>374</v>
      </c>
      <c r="M43" s="210">
        <v>40982</v>
      </c>
      <c r="N43" s="210">
        <v>51866</v>
      </c>
      <c r="O43" s="209" t="s">
        <v>31</v>
      </c>
      <c r="P43" s="209">
        <f t="shared" si="23"/>
        <v>0</v>
      </c>
      <c r="Q43" s="226">
        <f t="shared" si="30"/>
        <v>293</v>
      </c>
      <c r="T43" s="241">
        <f t="shared" si="43"/>
        <v>2033</v>
      </c>
      <c r="U43" s="234">
        <f t="shared" si="47"/>
        <v>0</v>
      </c>
      <c r="V43" s="235">
        <f t="shared" ca="1" si="47"/>
        <v>0</v>
      </c>
      <c r="W43" s="235">
        <f t="shared" si="47"/>
        <v>0</v>
      </c>
      <c r="X43" s="235">
        <f t="shared" si="47"/>
        <v>0</v>
      </c>
      <c r="Y43" s="236">
        <f t="shared" si="47"/>
        <v>0</v>
      </c>
      <c r="AA43" s="196">
        <f t="shared" si="44"/>
        <v>2033</v>
      </c>
      <c r="AB43" s="234">
        <f t="shared" si="48"/>
        <v>0</v>
      </c>
      <c r="AC43" s="235">
        <f t="shared" ca="1" si="48"/>
        <v>0</v>
      </c>
      <c r="AD43" s="235">
        <f t="shared" si="48"/>
        <v>0</v>
      </c>
      <c r="AE43" s="235">
        <f t="shared" si="48"/>
        <v>0</v>
      </c>
      <c r="AF43" s="236">
        <f t="shared" si="48"/>
        <v>0</v>
      </c>
    </row>
    <row r="44" spans="2:32" ht="15" customHeight="1">
      <c r="B44" s="201">
        <f t="shared" si="42"/>
        <v>2032</v>
      </c>
      <c r="C44" s="1129">
        <v>0.17</v>
      </c>
      <c r="D44" s="1130">
        <f t="shared" ref="D44:D52" si="49">D43</f>
        <v>0.25</v>
      </c>
      <c r="E44" s="1131">
        <v>0.3</v>
      </c>
      <c r="H44" s="1275"/>
      <c r="I44" s="208" t="s">
        <v>158</v>
      </c>
      <c r="J44" s="209" t="s">
        <v>117</v>
      </c>
      <c r="K44" s="209" t="s">
        <v>493</v>
      </c>
      <c r="L44" s="209">
        <v>335</v>
      </c>
      <c r="M44" s="210">
        <v>36356</v>
      </c>
      <c r="N44" s="210">
        <v>47483</v>
      </c>
      <c r="O44" s="209" t="s">
        <v>31</v>
      </c>
      <c r="P44" s="209">
        <f t="shared" si="23"/>
        <v>0</v>
      </c>
      <c r="Q44" s="226">
        <f t="shared" si="30"/>
        <v>170</v>
      </c>
      <c r="T44" s="241">
        <f t="shared" si="43"/>
        <v>2034</v>
      </c>
      <c r="U44" s="234">
        <f t="shared" si="47"/>
        <v>0</v>
      </c>
      <c r="V44" s="235">
        <f t="shared" ca="1" si="47"/>
        <v>0</v>
      </c>
      <c r="W44" s="235">
        <f t="shared" si="47"/>
        <v>0</v>
      </c>
      <c r="X44" s="235">
        <f t="shared" si="47"/>
        <v>0</v>
      </c>
      <c r="Y44" s="236">
        <f t="shared" si="47"/>
        <v>0</v>
      </c>
      <c r="AA44" s="196">
        <f t="shared" si="44"/>
        <v>2034</v>
      </c>
      <c r="AB44" s="234">
        <f t="shared" si="48"/>
        <v>0</v>
      </c>
      <c r="AC44" s="235">
        <f t="shared" ca="1" si="48"/>
        <v>0</v>
      </c>
      <c r="AD44" s="235">
        <f t="shared" si="48"/>
        <v>0</v>
      </c>
      <c r="AE44" s="235">
        <f t="shared" si="48"/>
        <v>0</v>
      </c>
      <c r="AF44" s="236">
        <f t="shared" si="48"/>
        <v>0</v>
      </c>
    </row>
    <row r="45" spans="2:32" ht="15" customHeight="1">
      <c r="B45" s="201">
        <f t="shared" si="42"/>
        <v>2033</v>
      </c>
      <c r="C45" s="1129">
        <v>0.17</v>
      </c>
      <c r="D45" s="1130">
        <f t="shared" si="49"/>
        <v>0.25</v>
      </c>
      <c r="E45" s="1131">
        <v>0.3</v>
      </c>
      <c r="H45" s="1275"/>
      <c r="I45" s="208" t="s">
        <v>159</v>
      </c>
      <c r="J45" s="209" t="s">
        <v>117</v>
      </c>
      <c r="K45" s="209" t="s">
        <v>493</v>
      </c>
      <c r="L45" s="209">
        <v>330</v>
      </c>
      <c r="M45" s="210">
        <v>37438</v>
      </c>
      <c r="N45" s="210">
        <v>48579</v>
      </c>
      <c r="O45" s="209" t="s">
        <v>31</v>
      </c>
      <c r="P45" s="209">
        <f t="shared" si="23"/>
        <v>0</v>
      </c>
      <c r="Q45" s="226">
        <f t="shared" si="30"/>
        <v>184</v>
      </c>
      <c r="T45" s="241">
        <f t="shared" si="43"/>
        <v>2035</v>
      </c>
      <c r="U45" s="234">
        <f t="shared" si="47"/>
        <v>0</v>
      </c>
      <c r="V45" s="235">
        <f t="shared" ca="1" si="47"/>
        <v>0</v>
      </c>
      <c r="W45" s="235">
        <f t="shared" si="47"/>
        <v>377</v>
      </c>
      <c r="X45" s="235">
        <f t="shared" si="47"/>
        <v>34</v>
      </c>
      <c r="Y45" s="236">
        <f t="shared" si="47"/>
        <v>0</v>
      </c>
      <c r="AA45" s="196">
        <f t="shared" si="44"/>
        <v>2035</v>
      </c>
      <c r="AB45" s="234">
        <f t="shared" si="48"/>
        <v>0</v>
      </c>
      <c r="AC45" s="235">
        <f t="shared" ca="1" si="48"/>
        <v>0</v>
      </c>
      <c r="AD45" s="235">
        <f t="shared" si="48"/>
        <v>0</v>
      </c>
      <c r="AE45" s="235">
        <f t="shared" si="48"/>
        <v>0</v>
      </c>
      <c r="AF45" s="236">
        <f t="shared" si="48"/>
        <v>0</v>
      </c>
    </row>
    <row r="46" spans="2:32" ht="15.75" customHeight="1" thickBot="1">
      <c r="B46" s="201">
        <f t="shared" si="42"/>
        <v>2034</v>
      </c>
      <c r="C46" s="1129">
        <v>0.17</v>
      </c>
      <c r="D46" s="1130">
        <f t="shared" si="49"/>
        <v>0.25</v>
      </c>
      <c r="E46" s="1131">
        <v>0.3</v>
      </c>
      <c r="H46" s="1276"/>
      <c r="I46" s="214" t="s">
        <v>160</v>
      </c>
      <c r="J46" s="215" t="s">
        <v>117</v>
      </c>
      <c r="K46" s="215" t="s">
        <v>493</v>
      </c>
      <c r="L46" s="215">
        <v>330</v>
      </c>
      <c r="M46" s="216">
        <v>37500</v>
      </c>
      <c r="N46" s="216">
        <v>48579</v>
      </c>
      <c r="O46" s="215" t="s">
        <v>31</v>
      </c>
      <c r="P46" s="215">
        <f t="shared" si="23"/>
        <v>0</v>
      </c>
      <c r="Q46" s="227">
        <f t="shared" si="30"/>
        <v>122</v>
      </c>
      <c r="T46" s="241">
        <f>+T45+1</f>
        <v>2036</v>
      </c>
      <c r="U46" s="234">
        <f t="shared" si="47"/>
        <v>0</v>
      </c>
      <c r="V46" s="235">
        <f t="shared" ca="1" si="47"/>
        <v>0</v>
      </c>
      <c r="W46" s="235">
        <f t="shared" si="47"/>
        <v>731</v>
      </c>
      <c r="X46" s="235">
        <f t="shared" si="47"/>
        <v>0</v>
      </c>
      <c r="Y46" s="236">
        <f t="shared" si="47"/>
        <v>0</v>
      </c>
      <c r="AA46" s="196">
        <f>+AA45+1</f>
        <v>2036</v>
      </c>
      <c r="AB46" s="234">
        <f t="shared" si="48"/>
        <v>0</v>
      </c>
      <c r="AC46" s="235">
        <f t="shared" ca="1" si="48"/>
        <v>0</v>
      </c>
      <c r="AD46" s="235">
        <f t="shared" si="48"/>
        <v>0</v>
      </c>
      <c r="AE46" s="235">
        <f t="shared" si="48"/>
        <v>0</v>
      </c>
      <c r="AF46" s="236">
        <f t="shared" si="48"/>
        <v>0</v>
      </c>
    </row>
    <row r="47" spans="2:32" ht="15" customHeight="1">
      <c r="B47" s="201">
        <f t="shared" si="42"/>
        <v>2035</v>
      </c>
      <c r="C47" s="1129">
        <v>0.17</v>
      </c>
      <c r="D47" s="1130">
        <f t="shared" si="49"/>
        <v>0.25</v>
      </c>
      <c r="E47" s="1131">
        <v>0.3</v>
      </c>
      <c r="H47" s="1271" t="s">
        <v>161</v>
      </c>
      <c r="I47" s="217" t="s">
        <v>285</v>
      </c>
      <c r="J47" s="218" t="s">
        <v>117</v>
      </c>
      <c r="K47" s="209" t="s">
        <v>490</v>
      </c>
      <c r="L47" s="218">
        <v>40</v>
      </c>
      <c r="M47" s="219">
        <v>36356</v>
      </c>
      <c r="N47" s="210">
        <v>55153</v>
      </c>
      <c r="O47" s="218" t="s">
        <v>32</v>
      </c>
      <c r="P47" s="218">
        <f t="shared" si="23"/>
        <v>0</v>
      </c>
      <c r="Q47" s="229">
        <f t="shared" si="30"/>
        <v>170</v>
      </c>
      <c r="T47" s="241">
        <f t="shared" ref="T47:T48" si="50">+T46+1</f>
        <v>2037</v>
      </c>
      <c r="U47" s="234">
        <f t="shared" si="47"/>
        <v>0</v>
      </c>
      <c r="V47" s="235">
        <f t="shared" ca="1" si="47"/>
        <v>0</v>
      </c>
      <c r="W47" s="235">
        <f t="shared" si="47"/>
        <v>372</v>
      </c>
      <c r="X47" s="235">
        <f t="shared" si="47"/>
        <v>68</v>
      </c>
      <c r="Y47" s="236">
        <f t="shared" si="47"/>
        <v>0</v>
      </c>
      <c r="AA47" s="196">
        <f t="shared" ref="AA47:AA48" si="51">+AA46+1</f>
        <v>2037</v>
      </c>
      <c r="AB47" s="234">
        <f t="shared" si="48"/>
        <v>0</v>
      </c>
      <c r="AC47" s="235">
        <f t="shared" ca="1" si="48"/>
        <v>0</v>
      </c>
      <c r="AD47" s="235">
        <f t="shared" si="48"/>
        <v>0</v>
      </c>
      <c r="AE47" s="235">
        <f t="shared" si="48"/>
        <v>0</v>
      </c>
      <c r="AF47" s="236">
        <f t="shared" si="48"/>
        <v>0</v>
      </c>
    </row>
    <row r="48" spans="2:32" ht="15" customHeight="1">
      <c r="B48" s="201">
        <f t="shared" si="42"/>
        <v>2036</v>
      </c>
      <c r="C48" s="1129">
        <v>0.17</v>
      </c>
      <c r="D48" s="1130">
        <f t="shared" si="49"/>
        <v>0.25</v>
      </c>
      <c r="E48" s="1131">
        <v>0.3</v>
      </c>
      <c r="H48" s="1272"/>
      <c r="I48" s="208" t="s">
        <v>285</v>
      </c>
      <c r="J48" s="209" t="s">
        <v>117</v>
      </c>
      <c r="K48" s="209" t="s">
        <v>490</v>
      </c>
      <c r="L48" s="209">
        <v>40</v>
      </c>
      <c r="M48" s="210">
        <v>36356</v>
      </c>
      <c r="N48" s="210">
        <v>55153</v>
      </c>
      <c r="O48" s="209" t="s">
        <v>32</v>
      </c>
      <c r="P48" s="209">
        <f t="shared" si="23"/>
        <v>0</v>
      </c>
      <c r="Q48" s="226">
        <f t="shared" si="30"/>
        <v>170</v>
      </c>
      <c r="T48" s="241">
        <f t="shared" si="50"/>
        <v>2038</v>
      </c>
      <c r="U48" s="234">
        <f t="shared" si="47"/>
        <v>0</v>
      </c>
      <c r="V48" s="235">
        <f t="shared" ca="1" si="47"/>
        <v>0</v>
      </c>
      <c r="W48" s="235">
        <f t="shared" si="47"/>
        <v>363</v>
      </c>
      <c r="X48" s="235">
        <f t="shared" si="47"/>
        <v>592</v>
      </c>
      <c r="Y48" s="236">
        <f t="shared" si="47"/>
        <v>0</v>
      </c>
      <c r="AA48" s="196">
        <f t="shared" si="51"/>
        <v>2038</v>
      </c>
      <c r="AB48" s="234">
        <f t="shared" si="48"/>
        <v>0</v>
      </c>
      <c r="AC48" s="235">
        <f t="shared" ca="1" si="48"/>
        <v>0</v>
      </c>
      <c r="AD48" s="235">
        <f t="shared" si="48"/>
        <v>0</v>
      </c>
      <c r="AE48" s="235">
        <f t="shared" si="48"/>
        <v>0</v>
      </c>
      <c r="AF48" s="236">
        <f t="shared" si="48"/>
        <v>0</v>
      </c>
    </row>
    <row r="49" spans="2:32" ht="15" customHeight="1">
      <c r="B49" s="201">
        <f t="shared" si="42"/>
        <v>2037</v>
      </c>
      <c r="C49" s="1129">
        <v>0.17</v>
      </c>
      <c r="D49" s="1130">
        <f t="shared" si="49"/>
        <v>0.25</v>
      </c>
      <c r="E49" s="1131">
        <v>0.3</v>
      </c>
      <c r="H49" s="1272"/>
      <c r="I49" s="208" t="s">
        <v>286</v>
      </c>
      <c r="J49" s="209" t="s">
        <v>117</v>
      </c>
      <c r="K49" s="209" t="s">
        <v>490</v>
      </c>
      <c r="L49" s="209">
        <v>40</v>
      </c>
      <c r="M49" s="210">
        <v>36356</v>
      </c>
      <c r="N49" s="210">
        <v>55153</v>
      </c>
      <c r="O49" s="209" t="s">
        <v>32</v>
      </c>
      <c r="P49" s="209">
        <f t="shared" si="23"/>
        <v>0</v>
      </c>
      <c r="Q49" s="226">
        <f t="shared" si="30"/>
        <v>170</v>
      </c>
      <c r="T49" s="241">
        <f>+T48+1</f>
        <v>2039</v>
      </c>
      <c r="U49" s="234">
        <f t="shared" si="47"/>
        <v>0</v>
      </c>
      <c r="V49" s="235">
        <f t="shared" ca="1" si="47"/>
        <v>0</v>
      </c>
      <c r="W49" s="235">
        <f t="shared" si="47"/>
        <v>0</v>
      </c>
      <c r="X49" s="235">
        <f t="shared" si="47"/>
        <v>0</v>
      </c>
      <c r="Y49" s="236">
        <f t="shared" si="47"/>
        <v>0</v>
      </c>
      <c r="AA49" s="196">
        <f>+AA48+1</f>
        <v>2039</v>
      </c>
      <c r="AB49" s="234">
        <f t="shared" si="48"/>
        <v>0</v>
      </c>
      <c r="AC49" s="235">
        <f t="shared" ca="1" si="48"/>
        <v>0</v>
      </c>
      <c r="AD49" s="235">
        <f t="shared" si="48"/>
        <v>0</v>
      </c>
      <c r="AE49" s="235">
        <f t="shared" si="48"/>
        <v>0</v>
      </c>
      <c r="AF49" s="236">
        <f t="shared" si="48"/>
        <v>0</v>
      </c>
    </row>
    <row r="50" spans="2:32" ht="15" customHeight="1" thickBot="1">
      <c r="B50" s="201">
        <f t="shared" si="42"/>
        <v>2038</v>
      </c>
      <c r="C50" s="1129">
        <v>0.17000000000000004</v>
      </c>
      <c r="D50" s="1130">
        <f t="shared" si="49"/>
        <v>0.25</v>
      </c>
      <c r="E50" s="1131">
        <v>0.3</v>
      </c>
      <c r="H50" s="1272"/>
      <c r="I50" s="208" t="s">
        <v>286</v>
      </c>
      <c r="J50" s="209" t="s">
        <v>117</v>
      </c>
      <c r="K50" s="209" t="s">
        <v>490</v>
      </c>
      <c r="L50" s="209">
        <v>40</v>
      </c>
      <c r="M50" s="210">
        <v>36356</v>
      </c>
      <c r="N50" s="210">
        <v>55153</v>
      </c>
      <c r="O50" s="209" t="s">
        <v>32</v>
      </c>
      <c r="P50" s="209">
        <f t="shared" si="23"/>
        <v>0</v>
      </c>
      <c r="Q50" s="226">
        <f t="shared" si="30"/>
        <v>170</v>
      </c>
      <c r="T50" s="242">
        <f>+T49+1</f>
        <v>2040</v>
      </c>
      <c r="U50" s="237">
        <f t="shared" si="47"/>
        <v>575</v>
      </c>
      <c r="V50" s="238">
        <f t="shared" ca="1" si="47"/>
        <v>0</v>
      </c>
      <c r="W50" s="238">
        <f t="shared" si="47"/>
        <v>374</v>
      </c>
      <c r="X50" s="238">
        <f t="shared" si="47"/>
        <v>0</v>
      </c>
      <c r="Y50" s="239">
        <f t="shared" si="47"/>
        <v>0</v>
      </c>
      <c r="AA50" s="197">
        <f>+AA49+1</f>
        <v>2040</v>
      </c>
      <c r="AB50" s="237">
        <f t="shared" ref="AB50:AF50" si="52">IF(AB26=0,0,AVERAGEIFS($Q$5:$Q$104,$K$5:$K$104,AB$29,$M$5:$M$104,"&gt;="&amp;DATE($AA50,1,1),$M$5:$M$104,"&lt;="&amp;DATE($AA50,12,31)))</f>
        <v>0</v>
      </c>
      <c r="AC50" s="238">
        <f t="shared" ca="1" si="52"/>
        <v>0</v>
      </c>
      <c r="AD50" s="238">
        <f t="shared" si="52"/>
        <v>0</v>
      </c>
      <c r="AE50" s="238">
        <f t="shared" si="52"/>
        <v>0</v>
      </c>
      <c r="AF50" s="239">
        <f t="shared" si="52"/>
        <v>0</v>
      </c>
    </row>
    <row r="51" spans="2:32" ht="15" customHeight="1" thickBot="1">
      <c r="B51" s="201">
        <f t="shared" si="42"/>
        <v>2039</v>
      </c>
      <c r="C51" s="1129">
        <v>0.17000000000000004</v>
      </c>
      <c r="D51" s="1130">
        <f t="shared" si="49"/>
        <v>0.25</v>
      </c>
      <c r="E51" s="1131">
        <v>0.3</v>
      </c>
      <c r="H51" s="1272"/>
      <c r="I51" s="208" t="s">
        <v>287</v>
      </c>
      <c r="J51" s="209" t="s">
        <v>117</v>
      </c>
      <c r="K51" s="209" t="s">
        <v>490</v>
      </c>
      <c r="L51" s="209">
        <v>40</v>
      </c>
      <c r="M51" s="210">
        <v>36356</v>
      </c>
      <c r="N51" s="210">
        <v>55153</v>
      </c>
      <c r="O51" s="209" t="s">
        <v>32</v>
      </c>
      <c r="P51" s="209">
        <f t="shared" si="23"/>
        <v>0</v>
      </c>
      <c r="Q51" s="226">
        <f t="shared" si="30"/>
        <v>170</v>
      </c>
    </row>
    <row r="52" spans="2:32" ht="15" customHeight="1" thickBot="1">
      <c r="B52" s="202">
        <f t="shared" si="42"/>
        <v>2040</v>
      </c>
      <c r="C52" s="1132">
        <v>0.17000000000000004</v>
      </c>
      <c r="D52" s="1133">
        <f t="shared" si="49"/>
        <v>0.25</v>
      </c>
      <c r="E52" s="1134">
        <v>0.3</v>
      </c>
      <c r="H52" s="1272"/>
      <c r="I52" s="208" t="s">
        <v>287</v>
      </c>
      <c r="J52" s="209" t="s">
        <v>117</v>
      </c>
      <c r="K52" s="209" t="s">
        <v>490</v>
      </c>
      <c r="L52" s="209">
        <v>40</v>
      </c>
      <c r="M52" s="210">
        <v>36356</v>
      </c>
      <c r="N52" s="210">
        <v>55153</v>
      </c>
      <c r="O52" s="209" t="s">
        <v>32</v>
      </c>
      <c r="P52" s="209">
        <f t="shared" si="23"/>
        <v>0</v>
      </c>
      <c r="Q52" s="226">
        <f t="shared" si="30"/>
        <v>170</v>
      </c>
      <c r="T52" s="1283" t="str">
        <f>"אי ימי עבודה של"&amp;" "&amp;T28</f>
        <v>אי ימי עבודה של יחידות נגרטות</v>
      </c>
      <c r="U52" s="1284"/>
      <c r="V52" s="1284"/>
      <c r="W52" s="1284"/>
      <c r="X52" s="1284"/>
      <c r="Y52" s="1285"/>
    </row>
    <row r="53" spans="2:32" ht="15" customHeight="1" thickBot="1">
      <c r="H53" s="1272"/>
      <c r="I53" s="208" t="s">
        <v>288</v>
      </c>
      <c r="J53" s="209" t="s">
        <v>117</v>
      </c>
      <c r="K53" s="209" t="s">
        <v>490</v>
      </c>
      <c r="L53" s="209">
        <v>40</v>
      </c>
      <c r="M53" s="210">
        <v>36356</v>
      </c>
      <c r="N53" s="210">
        <v>55153</v>
      </c>
      <c r="O53" s="209" t="s">
        <v>32</v>
      </c>
      <c r="P53" s="209">
        <f t="shared" si="23"/>
        <v>0</v>
      </c>
      <c r="Q53" s="226">
        <f t="shared" si="30"/>
        <v>170</v>
      </c>
      <c r="T53" s="204" t="s">
        <v>0</v>
      </c>
      <c r="U53" s="204" t="str">
        <f>U29</f>
        <v>קיטורי</v>
      </c>
      <c r="V53" s="204" t="str">
        <f t="shared" ref="V53:Y53" ca="1" si="53">V29</f>
        <v>גז פחמיות מוסבות</v>
      </c>
      <c r="W53" s="204" t="str">
        <f t="shared" si="53"/>
        <v>מחז"מים וקוגנרציה</v>
      </c>
      <c r="X53" s="204" t="str">
        <f t="shared" si="53"/>
        <v xml:space="preserve">פקירים </v>
      </c>
      <c r="Y53" s="204" t="str">
        <f t="shared" si="53"/>
        <v>יחידות בסולר</v>
      </c>
    </row>
    <row r="54" spans="2:32" ht="15" customHeight="1" thickBot="1">
      <c r="B54" s="1183" t="s">
        <v>238</v>
      </c>
      <c r="C54" s="1184"/>
      <c r="D54" s="1184"/>
      <c r="E54" s="1185"/>
      <c r="H54" s="1272"/>
      <c r="I54" s="208" t="s">
        <v>289</v>
      </c>
      <c r="J54" s="209" t="s">
        <v>117</v>
      </c>
      <c r="K54" s="209" t="s">
        <v>490</v>
      </c>
      <c r="L54" s="209">
        <v>40</v>
      </c>
      <c r="M54" s="210">
        <v>36356</v>
      </c>
      <c r="N54" s="210">
        <v>55153</v>
      </c>
      <c r="O54" s="209" t="s">
        <v>32</v>
      </c>
      <c r="P54" s="209">
        <f t="shared" si="23"/>
        <v>0</v>
      </c>
      <c r="Q54" s="226">
        <f t="shared" si="30"/>
        <v>170</v>
      </c>
      <c r="T54" s="195">
        <f>T6</f>
        <v>2020</v>
      </c>
      <c r="U54" s="231">
        <f t="shared" ref="U54:Y63" si="54">IF(U30=0,0,AVERAGEIFS($P$5:$P$104,$K$5:$K$104,U$53,$N$5:$N$104,"&gt;="&amp;DATE($T54,1,1),$N$5:$N$104,"&lt;="&amp;DATE($T54,12,31)))</f>
        <v>0</v>
      </c>
      <c r="V54" s="232">
        <f t="shared" ca="1" si="54"/>
        <v>0</v>
      </c>
      <c r="W54" s="232">
        <f t="shared" si="54"/>
        <v>0</v>
      </c>
      <c r="X54" s="232">
        <f t="shared" si="54"/>
        <v>0</v>
      </c>
      <c r="Y54" s="233">
        <f t="shared" si="54"/>
        <v>0</v>
      </c>
    </row>
    <row r="55" spans="2:32" ht="15" customHeight="1" thickBot="1">
      <c r="B55" s="200" t="s">
        <v>0</v>
      </c>
      <c r="C55" s="404">
        <f>C31</f>
        <v>0.17</v>
      </c>
      <c r="D55" s="404">
        <f t="shared" ref="D55:E55" si="55">D31</f>
        <v>0.25</v>
      </c>
      <c r="E55" s="404">
        <f t="shared" si="55"/>
        <v>0.3</v>
      </c>
      <c r="H55" s="1272"/>
      <c r="I55" s="208" t="s">
        <v>162</v>
      </c>
      <c r="J55" s="209" t="s">
        <v>117</v>
      </c>
      <c r="K55" s="209" t="s">
        <v>490</v>
      </c>
      <c r="L55" s="209">
        <v>34</v>
      </c>
      <c r="M55" s="210">
        <v>35239</v>
      </c>
      <c r="N55" s="210">
        <v>49674</v>
      </c>
      <c r="O55" s="209" t="s">
        <v>32</v>
      </c>
      <c r="P55" s="209">
        <f t="shared" si="23"/>
        <v>0</v>
      </c>
      <c r="Q55" s="226">
        <f t="shared" si="30"/>
        <v>192</v>
      </c>
      <c r="T55" s="196">
        <f>+T54+1</f>
        <v>2021</v>
      </c>
      <c r="U55" s="234">
        <f t="shared" si="54"/>
        <v>0</v>
      </c>
      <c r="V55" s="235">
        <f t="shared" ca="1" si="54"/>
        <v>0</v>
      </c>
      <c r="W55" s="235">
        <f t="shared" si="54"/>
        <v>0</v>
      </c>
      <c r="X55" s="235">
        <f t="shared" si="54"/>
        <v>0</v>
      </c>
      <c r="Y55" s="236">
        <f t="shared" si="54"/>
        <v>0</v>
      </c>
    </row>
    <row r="56" spans="2:32" ht="15" customHeight="1">
      <c r="B56" s="403">
        <f t="shared" ref="B56:B76" si="56">B32</f>
        <v>2020</v>
      </c>
      <c r="C56" s="576">
        <f>C32*$C7</f>
        <v>7.3902080999999997</v>
      </c>
      <c r="D56" s="577">
        <f t="shared" ref="C56:E57" si="57">D32*$C7</f>
        <v>7.3902080999999997</v>
      </c>
      <c r="E56" s="578">
        <f t="shared" si="57"/>
        <v>7.3902080999999997</v>
      </c>
      <c r="H56" s="1272"/>
      <c r="I56" s="208" t="s">
        <v>163</v>
      </c>
      <c r="J56" s="209" t="s">
        <v>117</v>
      </c>
      <c r="K56" s="209" t="s">
        <v>490</v>
      </c>
      <c r="L56" s="209">
        <v>34</v>
      </c>
      <c r="M56" s="210">
        <v>35612</v>
      </c>
      <c r="N56" s="210">
        <v>50405</v>
      </c>
      <c r="O56" s="209" t="s">
        <v>32</v>
      </c>
      <c r="P56" s="209">
        <f t="shared" si="23"/>
        <v>0</v>
      </c>
      <c r="Q56" s="226">
        <f t="shared" si="30"/>
        <v>184</v>
      </c>
      <c r="T56" s="196">
        <f t="shared" ref="T56:T69" si="58">+T55+1</f>
        <v>2022</v>
      </c>
      <c r="U56" s="234">
        <f t="shared" si="54"/>
        <v>211</v>
      </c>
      <c r="V56" s="235">
        <f t="shared" ca="1" si="54"/>
        <v>0</v>
      </c>
      <c r="W56" s="235">
        <f t="shared" si="54"/>
        <v>0</v>
      </c>
      <c r="X56" s="235">
        <f t="shared" si="54"/>
        <v>0</v>
      </c>
      <c r="Y56" s="236">
        <f t="shared" si="54"/>
        <v>0</v>
      </c>
    </row>
    <row r="57" spans="2:32" ht="15" customHeight="1">
      <c r="B57" s="316">
        <f t="shared" si="56"/>
        <v>2021</v>
      </c>
      <c r="C57" s="579">
        <f t="shared" si="57"/>
        <v>8.0678202720000005</v>
      </c>
      <c r="D57" s="569">
        <f t="shared" si="57"/>
        <v>8.7528238800000011</v>
      </c>
      <c r="E57" s="314">
        <f t="shared" si="57"/>
        <v>9.1333814400000009</v>
      </c>
      <c r="H57" s="1272"/>
      <c r="I57" s="208" t="s">
        <v>164</v>
      </c>
      <c r="J57" s="209" t="s">
        <v>117</v>
      </c>
      <c r="K57" s="209" t="s">
        <v>490</v>
      </c>
      <c r="L57" s="209">
        <v>34</v>
      </c>
      <c r="M57" s="210">
        <v>35612</v>
      </c>
      <c r="N57" s="210">
        <v>50405</v>
      </c>
      <c r="O57" s="209" t="s">
        <v>32</v>
      </c>
      <c r="P57" s="209">
        <f t="shared" si="23"/>
        <v>0</v>
      </c>
      <c r="Q57" s="226">
        <f t="shared" si="30"/>
        <v>184</v>
      </c>
      <c r="T57" s="196">
        <f t="shared" si="58"/>
        <v>2023</v>
      </c>
      <c r="U57" s="234">
        <f t="shared" si="54"/>
        <v>0</v>
      </c>
      <c r="V57" s="235">
        <f t="shared" ca="1" si="54"/>
        <v>0</v>
      </c>
      <c r="W57" s="235">
        <f t="shared" si="54"/>
        <v>0</v>
      </c>
      <c r="X57" s="235">
        <f t="shared" si="54"/>
        <v>0</v>
      </c>
      <c r="Y57" s="236">
        <f t="shared" si="54"/>
        <v>0</v>
      </c>
    </row>
    <row r="58" spans="2:32" ht="15" customHeight="1">
      <c r="B58" s="316">
        <f t="shared" si="56"/>
        <v>2022</v>
      </c>
      <c r="C58" s="579">
        <f t="shared" ref="C58:E58" si="59">C34*$C9</f>
        <v>8.757928144000001</v>
      </c>
      <c r="D58" s="569">
        <f t="shared" si="59"/>
        <v>10.165452309999999</v>
      </c>
      <c r="E58" s="314">
        <f t="shared" si="59"/>
        <v>10.947410179999999</v>
      </c>
      <c r="H58" s="1272"/>
      <c r="I58" s="208" t="s">
        <v>165</v>
      </c>
      <c r="J58" s="209" t="s">
        <v>117</v>
      </c>
      <c r="K58" s="209" t="s">
        <v>490</v>
      </c>
      <c r="L58" s="209">
        <v>11</v>
      </c>
      <c r="M58" s="210">
        <v>36356</v>
      </c>
      <c r="N58" s="210">
        <v>55153</v>
      </c>
      <c r="O58" s="209" t="s">
        <v>32</v>
      </c>
      <c r="P58" s="209">
        <f t="shared" si="23"/>
        <v>0</v>
      </c>
      <c r="Q58" s="226">
        <f t="shared" si="30"/>
        <v>170</v>
      </c>
      <c r="T58" s="196">
        <f t="shared" si="58"/>
        <v>2024</v>
      </c>
      <c r="U58" s="234">
        <f t="shared" si="54"/>
        <v>167.5</v>
      </c>
      <c r="V58" s="235">
        <f t="shared" ca="1" si="54"/>
        <v>0</v>
      </c>
      <c r="W58" s="235">
        <f t="shared" si="54"/>
        <v>0</v>
      </c>
      <c r="X58" s="235">
        <f t="shared" si="54"/>
        <v>0</v>
      </c>
      <c r="Y58" s="236">
        <f t="shared" si="54"/>
        <v>0</v>
      </c>
    </row>
    <row r="59" spans="2:32" ht="15" customHeight="1">
      <c r="B59" s="316">
        <f t="shared" si="56"/>
        <v>2023</v>
      </c>
      <c r="C59" s="579">
        <f t="shared" ref="C59:E59" si="60">C35*$C10</f>
        <v>9.4803407780000022</v>
      </c>
      <c r="D59" s="569">
        <f t="shared" si="60"/>
        <v>11.649571294999999</v>
      </c>
      <c r="E59" s="314">
        <f t="shared" si="60"/>
        <v>12.854699359999998</v>
      </c>
      <c r="H59" s="1272"/>
      <c r="I59" s="208" t="s">
        <v>166</v>
      </c>
      <c r="J59" s="209" t="s">
        <v>117</v>
      </c>
      <c r="K59" s="209" t="s">
        <v>490</v>
      </c>
      <c r="L59" s="209">
        <v>50</v>
      </c>
      <c r="M59" s="210">
        <v>36356</v>
      </c>
      <c r="N59" s="210">
        <v>55153</v>
      </c>
      <c r="O59" s="209" t="s">
        <v>32</v>
      </c>
      <c r="P59" s="209">
        <f t="shared" si="23"/>
        <v>0</v>
      </c>
      <c r="Q59" s="226">
        <f t="shared" si="30"/>
        <v>170</v>
      </c>
      <c r="T59" s="196">
        <f t="shared" si="58"/>
        <v>2025</v>
      </c>
      <c r="U59" s="234">
        <f t="shared" si="54"/>
        <v>171.75</v>
      </c>
      <c r="V59" s="235">
        <f t="shared" ca="1" si="54"/>
        <v>0</v>
      </c>
      <c r="W59" s="235">
        <f t="shared" si="54"/>
        <v>0</v>
      </c>
      <c r="X59" s="235">
        <f t="shared" si="54"/>
        <v>0</v>
      </c>
      <c r="Y59" s="236">
        <f t="shared" si="54"/>
        <v>0</v>
      </c>
    </row>
    <row r="60" spans="2:32" ht="15" customHeight="1">
      <c r="B60" s="316">
        <f t="shared" si="56"/>
        <v>2024</v>
      </c>
      <c r="C60" s="579">
        <f t="shared" ref="C60:E60" si="61">C36*$C11</f>
        <v>10.209602496000002</v>
      </c>
      <c r="D60" s="569">
        <f t="shared" si="61"/>
        <v>13.173680639999999</v>
      </c>
      <c r="E60" s="314">
        <f t="shared" si="61"/>
        <v>14.820390719999997</v>
      </c>
      <c r="H60" s="1272"/>
      <c r="I60" s="208" t="s">
        <v>167</v>
      </c>
      <c r="J60" s="209" t="s">
        <v>117</v>
      </c>
      <c r="K60" s="209" t="s">
        <v>490</v>
      </c>
      <c r="L60" s="209">
        <v>43</v>
      </c>
      <c r="M60" s="210">
        <v>36356</v>
      </c>
      <c r="N60" s="210">
        <v>55153</v>
      </c>
      <c r="O60" s="209" t="s">
        <v>32</v>
      </c>
      <c r="P60" s="209">
        <f t="shared" si="23"/>
        <v>0</v>
      </c>
      <c r="Q60" s="226">
        <f t="shared" si="30"/>
        <v>170</v>
      </c>
      <c r="T60" s="196">
        <f t="shared" si="58"/>
        <v>2026</v>
      </c>
      <c r="U60" s="234">
        <f t="shared" si="54"/>
        <v>0</v>
      </c>
      <c r="V60" s="235">
        <f t="shared" ca="1" si="54"/>
        <v>0</v>
      </c>
      <c r="W60" s="235">
        <f t="shared" si="54"/>
        <v>0</v>
      </c>
      <c r="X60" s="235">
        <f t="shared" si="54"/>
        <v>0</v>
      </c>
      <c r="Y60" s="236">
        <f t="shared" si="54"/>
        <v>0</v>
      </c>
    </row>
    <row r="61" spans="2:32" ht="15" customHeight="1">
      <c r="B61" s="316">
        <f t="shared" si="56"/>
        <v>2025</v>
      </c>
      <c r="C61" s="579">
        <f t="shared" ref="C61:E61" si="62">C37*$C12</f>
        <v>11.02708464</v>
      </c>
      <c r="D61" s="569">
        <f t="shared" si="62"/>
        <v>14.844152399999999</v>
      </c>
      <c r="E61" s="314">
        <f t="shared" si="62"/>
        <v>16.964745600000001</v>
      </c>
      <c r="H61" s="1272"/>
      <c r="I61" s="208" t="s">
        <v>168</v>
      </c>
      <c r="J61" s="209" t="s">
        <v>117</v>
      </c>
      <c r="K61" s="209" t="s">
        <v>490</v>
      </c>
      <c r="L61" s="209">
        <v>15</v>
      </c>
      <c r="M61" s="210">
        <v>36356</v>
      </c>
      <c r="N61" s="210">
        <v>55153</v>
      </c>
      <c r="O61" s="209" t="s">
        <v>32</v>
      </c>
      <c r="P61" s="209">
        <f t="shared" si="23"/>
        <v>0</v>
      </c>
      <c r="Q61" s="226">
        <f t="shared" si="30"/>
        <v>170</v>
      </c>
      <c r="T61" s="196">
        <f t="shared" si="58"/>
        <v>2027</v>
      </c>
      <c r="U61" s="234">
        <f t="shared" si="54"/>
        <v>0</v>
      </c>
      <c r="V61" s="235">
        <f t="shared" ca="1" si="54"/>
        <v>0</v>
      </c>
      <c r="W61" s="235">
        <f t="shared" si="54"/>
        <v>0</v>
      </c>
      <c r="X61" s="235">
        <f t="shared" si="54"/>
        <v>0</v>
      </c>
      <c r="Y61" s="236">
        <f t="shared" si="54"/>
        <v>0</v>
      </c>
    </row>
    <row r="62" spans="2:32" ht="15" customHeight="1">
      <c r="B62" s="316">
        <f t="shared" si="56"/>
        <v>2026</v>
      </c>
      <c r="C62" s="579">
        <f t="shared" ref="C62:E62" si="63">C38*$C13</f>
        <v>12.028941120000001</v>
      </c>
      <c r="D62" s="569">
        <f t="shared" si="63"/>
        <v>16.561585600000001</v>
      </c>
      <c r="E62" s="314">
        <f t="shared" si="63"/>
        <v>19.176572799999995</v>
      </c>
      <c r="H62" s="1272"/>
      <c r="I62" s="208" t="s">
        <v>169</v>
      </c>
      <c r="J62" s="209" t="s">
        <v>117</v>
      </c>
      <c r="K62" s="209" t="s">
        <v>490</v>
      </c>
      <c r="L62" s="209">
        <v>15</v>
      </c>
      <c r="M62" s="210">
        <v>36356</v>
      </c>
      <c r="N62" s="210">
        <v>55153</v>
      </c>
      <c r="O62" s="209" t="s">
        <v>32</v>
      </c>
      <c r="P62" s="209">
        <f t="shared" si="23"/>
        <v>0</v>
      </c>
      <c r="Q62" s="226">
        <f t="shared" si="30"/>
        <v>170</v>
      </c>
      <c r="T62" s="196">
        <f t="shared" si="58"/>
        <v>2028</v>
      </c>
      <c r="U62" s="234">
        <f t="shared" si="54"/>
        <v>0</v>
      </c>
      <c r="V62" s="235">
        <f t="shared" ca="1" si="54"/>
        <v>0</v>
      </c>
      <c r="W62" s="235">
        <f t="shared" si="54"/>
        <v>0</v>
      </c>
      <c r="X62" s="235">
        <f t="shared" si="54"/>
        <v>0</v>
      </c>
      <c r="Y62" s="236">
        <f t="shared" si="54"/>
        <v>0</v>
      </c>
    </row>
    <row r="63" spans="2:32" ht="15" customHeight="1">
      <c r="B63" s="316">
        <f t="shared" si="56"/>
        <v>2027</v>
      </c>
      <c r="C63" s="579">
        <f t="shared" ref="C63:E63" si="64">C39*$C14</f>
        <v>13.078410922000002</v>
      </c>
      <c r="D63" s="569">
        <f t="shared" si="64"/>
        <v>18.363522185000001</v>
      </c>
      <c r="E63" s="314">
        <f t="shared" si="64"/>
        <v>21.498757679999994</v>
      </c>
      <c r="H63" s="1272"/>
      <c r="I63" s="208" t="s">
        <v>170</v>
      </c>
      <c r="J63" s="209" t="s">
        <v>117</v>
      </c>
      <c r="K63" s="209" t="s">
        <v>490</v>
      </c>
      <c r="L63" s="209">
        <v>20</v>
      </c>
      <c r="M63" s="210">
        <v>36356</v>
      </c>
      <c r="N63" s="210">
        <v>55153</v>
      </c>
      <c r="O63" s="209" t="s">
        <v>32</v>
      </c>
      <c r="P63" s="209">
        <f t="shared" si="23"/>
        <v>0</v>
      </c>
      <c r="Q63" s="226">
        <f t="shared" si="30"/>
        <v>170</v>
      </c>
      <c r="T63" s="196">
        <f t="shared" si="58"/>
        <v>2029</v>
      </c>
      <c r="U63" s="234">
        <f t="shared" si="54"/>
        <v>0</v>
      </c>
      <c r="V63" s="235">
        <f t="shared" ca="1" si="54"/>
        <v>0</v>
      </c>
      <c r="W63" s="235">
        <f t="shared" si="54"/>
        <v>0</v>
      </c>
      <c r="X63" s="235">
        <f t="shared" si="54"/>
        <v>0</v>
      </c>
      <c r="Y63" s="236">
        <f t="shared" si="54"/>
        <v>0</v>
      </c>
    </row>
    <row r="64" spans="2:32" ht="15" customHeight="1">
      <c r="B64" s="316">
        <f t="shared" si="56"/>
        <v>2028</v>
      </c>
      <c r="C64" s="579">
        <f t="shared" ref="C64:E64" si="65">C40*$C15</f>
        <v>14.139719594000002</v>
      </c>
      <c r="D64" s="569">
        <f t="shared" si="65"/>
        <v>20.199599420000002</v>
      </c>
      <c r="E64" s="314">
        <f t="shared" si="65"/>
        <v>23.872253859999997</v>
      </c>
      <c r="H64" s="1272"/>
      <c r="I64" s="208" t="s">
        <v>171</v>
      </c>
      <c r="J64" s="209" t="s">
        <v>117</v>
      </c>
      <c r="K64" s="209" t="s">
        <v>490</v>
      </c>
      <c r="L64" s="209">
        <v>20</v>
      </c>
      <c r="M64" s="210">
        <v>36356</v>
      </c>
      <c r="N64" s="210">
        <v>55153</v>
      </c>
      <c r="O64" s="209" t="s">
        <v>32</v>
      </c>
      <c r="P64" s="209">
        <f t="shared" si="23"/>
        <v>0</v>
      </c>
      <c r="Q64" s="226">
        <f t="shared" si="30"/>
        <v>170</v>
      </c>
      <c r="T64" s="196">
        <f t="shared" si="58"/>
        <v>2030</v>
      </c>
      <c r="U64" s="234">
        <f t="shared" ref="U64:Y73" si="66">IF(U40=0,0,AVERAGEIFS($P$5:$P$104,$K$5:$K$104,U$53,$N$5:$N$104,"&gt;="&amp;DATE($T64,1,1),$N$5:$N$104,"&lt;="&amp;DATE($T64,12,31)))</f>
        <v>0</v>
      </c>
      <c r="V64" s="235">
        <f t="shared" ca="1" si="66"/>
        <v>0</v>
      </c>
      <c r="W64" s="235">
        <f t="shared" si="66"/>
        <v>0</v>
      </c>
      <c r="X64" s="235">
        <f t="shared" si="66"/>
        <v>0</v>
      </c>
      <c r="Y64" s="236">
        <f t="shared" si="66"/>
        <v>0</v>
      </c>
    </row>
    <row r="65" spans="2:25" ht="15.75" customHeight="1" thickBot="1">
      <c r="B65" s="316">
        <f t="shared" si="56"/>
        <v>2029</v>
      </c>
      <c r="C65" s="579">
        <f t="shared" ref="C65:E65" si="67">C41*$C16</f>
        <v>15.328459440000003</v>
      </c>
      <c r="D65" s="569">
        <f t="shared" si="67"/>
        <v>22.235728200000004</v>
      </c>
      <c r="E65" s="314">
        <f t="shared" si="67"/>
        <v>26.493633599999999</v>
      </c>
      <c r="H65" s="1273"/>
      <c r="I65" s="214" t="s">
        <v>172</v>
      </c>
      <c r="J65" s="215" t="s">
        <v>117</v>
      </c>
      <c r="K65" s="209" t="s">
        <v>490</v>
      </c>
      <c r="L65" s="215">
        <v>10</v>
      </c>
      <c r="M65" s="216">
        <v>36356</v>
      </c>
      <c r="N65" s="210">
        <v>55153</v>
      </c>
      <c r="O65" s="215" t="s">
        <v>32</v>
      </c>
      <c r="P65" s="215">
        <f t="shared" si="23"/>
        <v>0</v>
      </c>
      <c r="Q65" s="227">
        <f t="shared" si="30"/>
        <v>170</v>
      </c>
      <c r="T65" s="196">
        <f t="shared" si="58"/>
        <v>2031</v>
      </c>
      <c r="U65" s="234">
        <f t="shared" si="66"/>
        <v>0</v>
      </c>
      <c r="V65" s="235">
        <f t="shared" ca="1" si="66"/>
        <v>0</v>
      </c>
      <c r="W65" s="235">
        <f t="shared" si="66"/>
        <v>0</v>
      </c>
      <c r="X65" s="235">
        <f t="shared" si="66"/>
        <v>0</v>
      </c>
      <c r="Y65" s="236">
        <f t="shared" si="66"/>
        <v>0</v>
      </c>
    </row>
    <row r="66" spans="2:25" ht="19.5" customHeight="1">
      <c r="B66" s="316">
        <f t="shared" si="56"/>
        <v>2030</v>
      </c>
      <c r="C66" s="579">
        <f t="shared" ref="C66:E66" si="68">C42*$C17</f>
        <v>16.533559270000001</v>
      </c>
      <c r="D66" s="569">
        <f t="shared" si="68"/>
        <v>24.31405775</v>
      </c>
      <c r="E66" s="314">
        <f t="shared" si="68"/>
        <v>29.1768693</v>
      </c>
      <c r="H66" s="1268" t="s">
        <v>173</v>
      </c>
      <c r="I66" s="205" t="s">
        <v>174</v>
      </c>
      <c r="J66" s="206" t="s">
        <v>117</v>
      </c>
      <c r="K66" s="206" t="s">
        <v>493</v>
      </c>
      <c r="L66" s="206">
        <v>644</v>
      </c>
      <c r="M66" s="207">
        <f>N5+1</f>
        <v>44743</v>
      </c>
      <c r="N66" s="207">
        <v>55153</v>
      </c>
      <c r="O66" s="206" t="s">
        <v>31</v>
      </c>
      <c r="P66" s="206">
        <f t="shared" si="23"/>
        <v>0</v>
      </c>
      <c r="Q66" s="225">
        <f t="shared" si="30"/>
        <v>184</v>
      </c>
      <c r="T66" s="196">
        <f t="shared" si="58"/>
        <v>2032</v>
      </c>
      <c r="U66" s="234">
        <f t="shared" si="66"/>
        <v>0</v>
      </c>
      <c r="V66" s="235">
        <f t="shared" ca="1" si="66"/>
        <v>0</v>
      </c>
      <c r="W66" s="235">
        <f t="shared" si="66"/>
        <v>0</v>
      </c>
      <c r="X66" s="235">
        <f t="shared" si="66"/>
        <v>0</v>
      </c>
      <c r="Y66" s="236">
        <f t="shared" si="66"/>
        <v>0</v>
      </c>
    </row>
    <row r="67" spans="2:25" ht="28.5" customHeight="1" thickBot="1">
      <c r="B67" s="316">
        <f t="shared" si="56"/>
        <v>2031</v>
      </c>
      <c r="C67" s="579">
        <f>C66</f>
        <v>16.533559270000001</v>
      </c>
      <c r="D67" s="569">
        <f>D66</f>
        <v>24.31405775</v>
      </c>
      <c r="E67" s="314">
        <f>E66</f>
        <v>29.1768693</v>
      </c>
      <c r="H67" s="1269"/>
      <c r="I67" s="214" t="s">
        <v>175</v>
      </c>
      <c r="J67" s="215" t="s">
        <v>117</v>
      </c>
      <c r="K67" s="215" t="s">
        <v>493</v>
      </c>
      <c r="L67" s="215">
        <v>644</v>
      </c>
      <c r="M67" s="216">
        <f>N7+1</f>
        <v>44743</v>
      </c>
      <c r="N67" s="216">
        <v>55153</v>
      </c>
      <c r="O67" s="215" t="s">
        <v>31</v>
      </c>
      <c r="P67" s="215">
        <f t="shared" si="23"/>
        <v>0</v>
      </c>
      <c r="Q67" s="227">
        <f t="shared" si="30"/>
        <v>184</v>
      </c>
      <c r="T67" s="196">
        <f t="shared" si="58"/>
        <v>2033</v>
      </c>
      <c r="U67" s="234">
        <f t="shared" si="66"/>
        <v>0</v>
      </c>
      <c r="V67" s="235">
        <f t="shared" ca="1" si="66"/>
        <v>0</v>
      </c>
      <c r="W67" s="235">
        <f t="shared" si="66"/>
        <v>0</v>
      </c>
      <c r="X67" s="235">
        <f t="shared" si="66"/>
        <v>0</v>
      </c>
      <c r="Y67" s="236">
        <f t="shared" si="66"/>
        <v>0</v>
      </c>
    </row>
    <row r="68" spans="2:25" ht="15" customHeight="1">
      <c r="B68" s="316">
        <f t="shared" si="56"/>
        <v>2032</v>
      </c>
      <c r="C68" s="579">
        <f t="shared" ref="C68:C76" si="69">C67</f>
        <v>16.533559270000001</v>
      </c>
      <c r="D68" s="569">
        <f t="shared" ref="D68:D76" si="70">D67</f>
        <v>24.31405775</v>
      </c>
      <c r="E68" s="314">
        <f t="shared" ref="E68:E76" si="71">E67</f>
        <v>29.1768693</v>
      </c>
      <c r="H68" s="1268" t="s">
        <v>176</v>
      </c>
      <c r="I68" s="217" t="s">
        <v>291</v>
      </c>
      <c r="J68" s="218" t="s">
        <v>177</v>
      </c>
      <c r="K68" s="218" t="s">
        <v>493</v>
      </c>
      <c r="L68" s="299">
        <v>11</v>
      </c>
      <c r="M68" s="219">
        <v>37005</v>
      </c>
      <c r="N68" s="300">
        <v>55153</v>
      </c>
      <c r="O68" s="299" t="s">
        <v>31</v>
      </c>
      <c r="P68" s="299">
        <f t="shared" si="23"/>
        <v>0</v>
      </c>
      <c r="Q68" s="408">
        <f t="shared" si="30"/>
        <v>252</v>
      </c>
      <c r="T68" s="196">
        <f t="shared" si="58"/>
        <v>2034</v>
      </c>
      <c r="U68" s="234">
        <f t="shared" si="66"/>
        <v>0</v>
      </c>
      <c r="V68" s="235">
        <f t="shared" ca="1" si="66"/>
        <v>0</v>
      </c>
      <c r="W68" s="235">
        <f t="shared" si="66"/>
        <v>0</v>
      </c>
      <c r="X68" s="235">
        <f t="shared" si="66"/>
        <v>0</v>
      </c>
      <c r="Y68" s="236">
        <f t="shared" si="66"/>
        <v>0</v>
      </c>
    </row>
    <row r="69" spans="2:25" ht="15" customHeight="1">
      <c r="B69" s="316">
        <f t="shared" si="56"/>
        <v>2033</v>
      </c>
      <c r="C69" s="579">
        <f t="shared" si="69"/>
        <v>16.533559270000001</v>
      </c>
      <c r="D69" s="569">
        <f t="shared" si="70"/>
        <v>24.31405775</v>
      </c>
      <c r="E69" s="314">
        <f t="shared" si="71"/>
        <v>29.1768693</v>
      </c>
      <c r="H69" s="1270"/>
      <c r="I69" s="208" t="s">
        <v>178</v>
      </c>
      <c r="J69" s="209" t="s">
        <v>177</v>
      </c>
      <c r="K69" s="209" t="s">
        <v>493</v>
      </c>
      <c r="L69" s="221">
        <v>456</v>
      </c>
      <c r="M69" s="210">
        <v>42192</v>
      </c>
      <c r="N69" s="222">
        <v>53327</v>
      </c>
      <c r="O69" s="221" t="s">
        <v>31</v>
      </c>
      <c r="P69" s="221">
        <f t="shared" si="23"/>
        <v>0</v>
      </c>
      <c r="Q69" s="408">
        <f t="shared" si="30"/>
        <v>178</v>
      </c>
      <c r="T69" s="196">
        <f t="shared" si="58"/>
        <v>2035</v>
      </c>
      <c r="U69" s="234">
        <f t="shared" si="66"/>
        <v>0</v>
      </c>
      <c r="V69" s="235">
        <f t="shared" ca="1" si="66"/>
        <v>0</v>
      </c>
      <c r="W69" s="235">
        <f t="shared" si="66"/>
        <v>0</v>
      </c>
      <c r="X69" s="235">
        <f t="shared" si="66"/>
        <v>0</v>
      </c>
      <c r="Y69" s="236">
        <f t="shared" si="66"/>
        <v>0</v>
      </c>
    </row>
    <row r="70" spans="2:25" ht="15" customHeight="1">
      <c r="B70" s="316">
        <f t="shared" si="56"/>
        <v>2034</v>
      </c>
      <c r="C70" s="579">
        <f t="shared" si="69"/>
        <v>16.533559270000001</v>
      </c>
      <c r="D70" s="569">
        <f t="shared" si="70"/>
        <v>24.31405775</v>
      </c>
      <c r="E70" s="314">
        <f t="shared" si="71"/>
        <v>29.1768693</v>
      </c>
      <c r="H70" s="1270"/>
      <c r="I70" s="208" t="s">
        <v>179</v>
      </c>
      <c r="J70" s="209" t="s">
        <v>177</v>
      </c>
      <c r="K70" s="209" t="s">
        <v>493</v>
      </c>
      <c r="L70" s="221">
        <v>451</v>
      </c>
      <c r="M70" s="210">
        <v>44166</v>
      </c>
      <c r="N70" s="222">
        <v>55518</v>
      </c>
      <c r="O70" s="221" t="s">
        <v>31</v>
      </c>
      <c r="P70" s="221">
        <f t="shared" ref="P70:P104" si="72">365-MIN(365,N70-DATE(YEAR(N70),1,1)+1)</f>
        <v>0</v>
      </c>
      <c r="Q70" s="408">
        <f t="shared" si="30"/>
        <v>31</v>
      </c>
      <c r="T70" s="196">
        <f>+T69+1</f>
        <v>2036</v>
      </c>
      <c r="U70" s="234">
        <f t="shared" si="66"/>
        <v>0</v>
      </c>
      <c r="V70" s="235">
        <f t="shared" ca="1" si="66"/>
        <v>0</v>
      </c>
      <c r="W70" s="235">
        <f t="shared" si="66"/>
        <v>0</v>
      </c>
      <c r="X70" s="235">
        <f t="shared" si="66"/>
        <v>0</v>
      </c>
      <c r="Y70" s="236">
        <f t="shared" si="66"/>
        <v>0</v>
      </c>
    </row>
    <row r="71" spans="2:25" ht="15" customHeight="1">
      <c r="B71" s="316">
        <f t="shared" si="56"/>
        <v>2035</v>
      </c>
      <c r="C71" s="579">
        <f t="shared" si="69"/>
        <v>16.533559270000001</v>
      </c>
      <c r="D71" s="569">
        <f t="shared" si="70"/>
        <v>24.31405775</v>
      </c>
      <c r="E71" s="314">
        <f t="shared" si="71"/>
        <v>29.1768693</v>
      </c>
      <c r="H71" s="1270"/>
      <c r="I71" s="208" t="s">
        <v>180</v>
      </c>
      <c r="J71" s="209" t="s">
        <v>177</v>
      </c>
      <c r="K71" s="209" t="s">
        <v>493</v>
      </c>
      <c r="L71" s="221">
        <v>454</v>
      </c>
      <c r="M71" s="210">
        <v>42250</v>
      </c>
      <c r="N71" s="222">
        <v>53327</v>
      </c>
      <c r="O71" s="221" t="s">
        <v>31</v>
      </c>
      <c r="P71" s="221">
        <f t="shared" si="72"/>
        <v>0</v>
      </c>
      <c r="Q71" s="408">
        <f t="shared" ref="Q71:Q104" si="73">MIN(365,DATE(YEAR(M71),12,31)-M71+1)</f>
        <v>120</v>
      </c>
      <c r="T71" s="196">
        <f t="shared" ref="T71:T72" si="74">+T70+1</f>
        <v>2037</v>
      </c>
      <c r="U71" s="234">
        <f t="shared" si="66"/>
        <v>0</v>
      </c>
      <c r="V71" s="235">
        <f t="shared" ca="1" si="66"/>
        <v>0</v>
      </c>
      <c r="W71" s="235">
        <f t="shared" si="66"/>
        <v>0</v>
      </c>
      <c r="X71" s="235">
        <f t="shared" si="66"/>
        <v>0</v>
      </c>
      <c r="Y71" s="236">
        <f t="shared" si="66"/>
        <v>0</v>
      </c>
    </row>
    <row r="72" spans="2:25" ht="15" customHeight="1">
      <c r="B72" s="316">
        <f t="shared" si="56"/>
        <v>2036</v>
      </c>
      <c r="C72" s="579">
        <f t="shared" si="69"/>
        <v>16.533559270000001</v>
      </c>
      <c r="D72" s="569">
        <f t="shared" si="70"/>
        <v>24.31405775</v>
      </c>
      <c r="E72" s="314">
        <f t="shared" si="71"/>
        <v>29.1768693</v>
      </c>
      <c r="H72" s="1270"/>
      <c r="I72" s="208" t="s">
        <v>181</v>
      </c>
      <c r="J72" s="209" t="s">
        <v>177</v>
      </c>
      <c r="K72" s="209" t="s">
        <v>493</v>
      </c>
      <c r="L72" s="221">
        <v>466.2</v>
      </c>
      <c r="M72" s="210">
        <v>40626</v>
      </c>
      <c r="N72" s="222">
        <v>52231</v>
      </c>
      <c r="O72" s="221" t="s">
        <v>31</v>
      </c>
      <c r="P72" s="221">
        <f t="shared" si="72"/>
        <v>0</v>
      </c>
      <c r="Q72" s="408">
        <f t="shared" si="73"/>
        <v>283</v>
      </c>
      <c r="T72" s="196">
        <f t="shared" si="74"/>
        <v>2038</v>
      </c>
      <c r="U72" s="234">
        <f t="shared" si="66"/>
        <v>0</v>
      </c>
      <c r="V72" s="235">
        <f t="shared" ca="1" si="66"/>
        <v>0</v>
      </c>
      <c r="W72" s="235">
        <f t="shared" si="66"/>
        <v>0</v>
      </c>
      <c r="X72" s="235">
        <f t="shared" si="66"/>
        <v>0</v>
      </c>
      <c r="Y72" s="236">
        <f t="shared" si="66"/>
        <v>0</v>
      </c>
    </row>
    <row r="73" spans="2:25" ht="15" customHeight="1">
      <c r="B73" s="316">
        <f t="shared" si="56"/>
        <v>2037</v>
      </c>
      <c r="C73" s="579">
        <f t="shared" si="69"/>
        <v>16.533559270000001</v>
      </c>
      <c r="D73" s="569">
        <f t="shared" si="70"/>
        <v>24.31405775</v>
      </c>
      <c r="E73" s="314">
        <f t="shared" si="71"/>
        <v>29.1768693</v>
      </c>
      <c r="H73" s="1270"/>
      <c r="I73" s="208" t="s">
        <v>182</v>
      </c>
      <c r="J73" s="209" t="s">
        <v>177</v>
      </c>
      <c r="K73" s="209" t="s">
        <v>493</v>
      </c>
      <c r="L73" s="221">
        <v>429.31</v>
      </c>
      <c r="M73" s="210">
        <v>41771</v>
      </c>
      <c r="N73" s="222">
        <v>52596</v>
      </c>
      <c r="O73" s="221" t="s">
        <v>31</v>
      </c>
      <c r="P73" s="221">
        <f t="shared" si="72"/>
        <v>0</v>
      </c>
      <c r="Q73" s="408">
        <f t="shared" si="73"/>
        <v>234</v>
      </c>
      <c r="T73" s="196">
        <f>+T72+1</f>
        <v>2039</v>
      </c>
      <c r="U73" s="234">
        <f t="shared" si="66"/>
        <v>0</v>
      </c>
      <c r="V73" s="235">
        <f t="shared" ca="1" si="66"/>
        <v>0</v>
      </c>
      <c r="W73" s="235">
        <f t="shared" si="66"/>
        <v>0</v>
      </c>
      <c r="X73" s="235">
        <f t="shared" si="66"/>
        <v>0</v>
      </c>
      <c r="Y73" s="236">
        <f t="shared" si="66"/>
        <v>0</v>
      </c>
    </row>
    <row r="74" spans="2:25" ht="15" customHeight="1" thickBot="1">
      <c r="B74" s="316">
        <f t="shared" si="56"/>
        <v>2038</v>
      </c>
      <c r="C74" s="579">
        <f t="shared" si="69"/>
        <v>16.533559270000001</v>
      </c>
      <c r="D74" s="569">
        <f t="shared" si="70"/>
        <v>24.31405775</v>
      </c>
      <c r="E74" s="314">
        <f t="shared" si="71"/>
        <v>29.1768693</v>
      </c>
      <c r="H74" s="1270"/>
      <c r="I74" s="208" t="s">
        <v>183</v>
      </c>
      <c r="J74" s="209" t="s">
        <v>177</v>
      </c>
      <c r="K74" s="209" t="s">
        <v>493</v>
      </c>
      <c r="L74" s="221">
        <v>430</v>
      </c>
      <c r="M74" s="210">
        <v>41771</v>
      </c>
      <c r="N74" s="222">
        <v>52596</v>
      </c>
      <c r="O74" s="221" t="s">
        <v>31</v>
      </c>
      <c r="P74" s="221">
        <f t="shared" si="72"/>
        <v>0</v>
      </c>
      <c r="Q74" s="408">
        <f t="shared" si="73"/>
        <v>234</v>
      </c>
      <c r="T74" s="197">
        <f>+T73+1</f>
        <v>2040</v>
      </c>
      <c r="U74" s="237">
        <f t="shared" ref="U74:Y74" si="75">IF(U50=0,0,AVERAGEIFS($P$5:$P$104,$K$5:$K$104,U$53,$N$5:$N$104,"&gt;="&amp;DATE($T74,1,1),$N$5:$N$104,"&lt;="&amp;DATE($T74,12,31)))</f>
        <v>0</v>
      </c>
      <c r="V74" s="238">
        <f t="shared" ca="1" si="75"/>
        <v>0</v>
      </c>
      <c r="W74" s="238">
        <f t="shared" si="75"/>
        <v>0</v>
      </c>
      <c r="X74" s="238">
        <f t="shared" si="75"/>
        <v>0</v>
      </c>
      <c r="Y74" s="239">
        <f t="shared" si="75"/>
        <v>0</v>
      </c>
    </row>
    <row r="75" spans="2:25" ht="15" customHeight="1">
      <c r="B75" s="316">
        <f t="shared" si="56"/>
        <v>2039</v>
      </c>
      <c r="C75" s="579">
        <f t="shared" si="69"/>
        <v>16.533559270000001</v>
      </c>
      <c r="D75" s="569">
        <f t="shared" si="70"/>
        <v>24.31405775</v>
      </c>
      <c r="E75" s="314">
        <f t="shared" si="71"/>
        <v>29.1768693</v>
      </c>
      <c r="H75" s="1270"/>
      <c r="I75" s="208" t="s">
        <v>184</v>
      </c>
      <c r="J75" s="209" t="s">
        <v>177</v>
      </c>
      <c r="K75" s="209" t="s">
        <v>493</v>
      </c>
      <c r="L75" s="221">
        <v>140</v>
      </c>
      <c r="M75" s="210">
        <v>42916</v>
      </c>
      <c r="N75" s="222">
        <v>53692</v>
      </c>
      <c r="O75" s="221" t="s">
        <v>31</v>
      </c>
      <c r="P75" s="221">
        <f t="shared" si="72"/>
        <v>0</v>
      </c>
      <c r="Q75" s="408">
        <f t="shared" si="73"/>
        <v>185</v>
      </c>
    </row>
    <row r="76" spans="2:25" ht="15" customHeight="1" thickBot="1">
      <c r="B76" s="317">
        <f t="shared" si="56"/>
        <v>2040</v>
      </c>
      <c r="C76" s="579">
        <f t="shared" si="69"/>
        <v>16.533559270000001</v>
      </c>
      <c r="D76" s="569">
        <f t="shared" si="70"/>
        <v>24.31405775</v>
      </c>
      <c r="E76" s="314">
        <f t="shared" si="71"/>
        <v>29.1768693</v>
      </c>
      <c r="H76" s="1270"/>
      <c r="I76" s="208" t="s">
        <v>185</v>
      </c>
      <c r="J76" s="209" t="s">
        <v>177</v>
      </c>
      <c r="K76" s="209" t="s">
        <v>493</v>
      </c>
      <c r="L76" s="221">
        <v>74</v>
      </c>
      <c r="M76" s="210">
        <v>41731</v>
      </c>
      <c r="N76" s="222">
        <v>52596</v>
      </c>
      <c r="O76" s="221" t="s">
        <v>31</v>
      </c>
      <c r="P76" s="221">
        <f t="shared" si="72"/>
        <v>0</v>
      </c>
      <c r="Q76" s="408">
        <f t="shared" si="73"/>
        <v>274</v>
      </c>
    </row>
    <row r="77" spans="2:25" ht="15" customHeight="1" thickBot="1">
      <c r="H77" s="1270"/>
      <c r="I77" s="208" t="s">
        <v>186</v>
      </c>
      <c r="J77" s="209" t="s">
        <v>177</v>
      </c>
      <c r="K77" s="209" t="s">
        <v>493</v>
      </c>
      <c r="L77" s="221">
        <v>48.3</v>
      </c>
      <c r="M77" s="210">
        <v>40301</v>
      </c>
      <c r="N77" s="222">
        <v>55153</v>
      </c>
      <c r="O77" s="221" t="s">
        <v>31</v>
      </c>
      <c r="P77" s="221">
        <f t="shared" si="72"/>
        <v>0</v>
      </c>
      <c r="Q77" s="408">
        <f t="shared" si="73"/>
        <v>243</v>
      </c>
    </row>
    <row r="78" spans="2:25" ht="15" customHeight="1" thickBot="1">
      <c r="B78" s="1183" t="s">
        <v>236</v>
      </c>
      <c r="C78" s="1184"/>
      <c r="D78" s="1184"/>
      <c r="E78" s="1185"/>
      <c r="H78" s="1270"/>
      <c r="I78" s="208" t="s">
        <v>187</v>
      </c>
      <c r="J78" s="209" t="s">
        <v>177</v>
      </c>
      <c r="K78" s="209" t="s">
        <v>493</v>
      </c>
      <c r="L78" s="221">
        <v>60</v>
      </c>
      <c r="M78" s="210">
        <v>41459</v>
      </c>
      <c r="N78" s="222">
        <v>55153</v>
      </c>
      <c r="O78" s="221" t="s">
        <v>31</v>
      </c>
      <c r="P78" s="221">
        <f t="shared" si="72"/>
        <v>0</v>
      </c>
      <c r="Q78" s="408">
        <f t="shared" si="73"/>
        <v>181</v>
      </c>
    </row>
    <row r="79" spans="2:25" ht="15" customHeight="1" thickBot="1">
      <c r="B79" s="315" t="s">
        <v>0</v>
      </c>
      <c r="C79" s="313">
        <f>C55</f>
        <v>0.17</v>
      </c>
      <c r="D79" s="313">
        <f t="shared" ref="D79:E79" si="76">D55</f>
        <v>0.25</v>
      </c>
      <c r="E79" s="313">
        <f t="shared" si="76"/>
        <v>0.3</v>
      </c>
      <c r="H79" s="1270"/>
      <c r="I79" s="208" t="s">
        <v>188</v>
      </c>
      <c r="J79" s="209" t="s">
        <v>177</v>
      </c>
      <c r="K79" s="209" t="s">
        <v>493</v>
      </c>
      <c r="L79" s="221">
        <v>49</v>
      </c>
      <c r="M79" s="210">
        <v>40142</v>
      </c>
      <c r="N79" s="222">
        <v>55153</v>
      </c>
      <c r="O79" s="221" t="s">
        <v>31</v>
      </c>
      <c r="P79" s="221">
        <f t="shared" si="72"/>
        <v>0</v>
      </c>
      <c r="Q79" s="408">
        <f t="shared" si="73"/>
        <v>37</v>
      </c>
    </row>
    <row r="80" spans="2:25" ht="15" customHeight="1">
      <c r="B80" s="201">
        <f t="shared" ref="B80:B100" si="77">B56</f>
        <v>2020</v>
      </c>
      <c r="C80" s="231">
        <f>C56*'הנחות עבודה'!$D$14-MMULT($M114:$O114,'הנחות עבודה'!$D$35:$D$37)</f>
        <v>6414762.8560000211</v>
      </c>
      <c r="D80" s="232">
        <f>D56*'הנחות עבודה'!$D$14-MMULT($M114:$O114,'הנחות עבודה'!$D$35:$D$37)</f>
        <v>6414762.8560000211</v>
      </c>
      <c r="E80" s="233">
        <f>E56*'הנחות עבודה'!$D$14-MMULT($M114:$O114,'הנחות עבודה'!$D$35:$D$37)</f>
        <v>6414762.8560000211</v>
      </c>
      <c r="H80" s="1270"/>
      <c r="I80" s="208" t="s">
        <v>189</v>
      </c>
      <c r="J80" s="209" t="s">
        <v>177</v>
      </c>
      <c r="K80" s="209" t="s">
        <v>493</v>
      </c>
      <c r="L80" s="221">
        <v>221</v>
      </c>
      <c r="M80" s="210">
        <v>43306</v>
      </c>
      <c r="N80" s="222">
        <v>57710</v>
      </c>
      <c r="O80" s="221" t="s">
        <v>31</v>
      </c>
      <c r="P80" s="221">
        <f t="shared" si="72"/>
        <v>0</v>
      </c>
      <c r="Q80" s="408">
        <f t="shared" si="73"/>
        <v>160</v>
      </c>
    </row>
    <row r="81" spans="2:17" ht="15" customHeight="1">
      <c r="B81" s="201">
        <f t="shared" si="77"/>
        <v>2021</v>
      </c>
      <c r="C81" s="234">
        <f>C57*'הנחות עבודה'!$D$14-MMULT($M115:$O115,'הנחות עבודה'!$D$35:$D$37)</f>
        <v>6908415.0280000512</v>
      </c>
      <c r="D81" s="235">
        <f>D57*'הנחות עבודה'!$D$14-MMULT($M115:$O115,'הנחות עבודה'!$D$35:$D$37)</f>
        <v>7593418.6360000521</v>
      </c>
      <c r="E81" s="236">
        <f>E57*'הנחות עבודה'!$D$14-MMULT($M115:$O115,'הנחות עבודה'!$D$35:$D$37)</f>
        <v>7973976.1960000526</v>
      </c>
      <c r="H81" s="1270"/>
      <c r="I81" s="208" t="s">
        <v>190</v>
      </c>
      <c r="J81" s="209" t="s">
        <v>177</v>
      </c>
      <c r="K81" s="209" t="s">
        <v>493</v>
      </c>
      <c r="L81" s="221">
        <v>87.061000000000007</v>
      </c>
      <c r="M81" s="210">
        <v>39860</v>
      </c>
      <c r="N81" s="222">
        <v>55153</v>
      </c>
      <c r="O81" s="221" t="s">
        <v>31</v>
      </c>
      <c r="P81" s="221">
        <f t="shared" si="72"/>
        <v>0</v>
      </c>
      <c r="Q81" s="408">
        <f t="shared" si="73"/>
        <v>319</v>
      </c>
    </row>
    <row r="82" spans="2:17" ht="15" customHeight="1">
      <c r="B82" s="201">
        <f t="shared" si="77"/>
        <v>2022</v>
      </c>
      <c r="C82" s="234">
        <f>C58*'הנחות עבודה'!$D$14-MMULT($M116:$O116,'הנחות עבודה'!$D$35:$D$37)</f>
        <v>7055560.5900000595</v>
      </c>
      <c r="D82" s="235">
        <f>D58*'הנחות עבודה'!$D$14-MMULT($M116:$O116,'הנחות עבודה'!$D$35:$D$37)</f>
        <v>8463084.7560000569</v>
      </c>
      <c r="E82" s="236">
        <f>E58*'הנחות עבודה'!$D$14-MMULT($M116:$O116,'הנחות עבודה'!$D$35:$D$37)</f>
        <v>9245042.626000056</v>
      </c>
      <c r="H82" s="1270"/>
      <c r="I82" s="208" t="s">
        <v>191</v>
      </c>
      <c r="J82" s="209" t="s">
        <v>177</v>
      </c>
      <c r="K82" s="209" t="s">
        <v>493</v>
      </c>
      <c r="L82" s="221">
        <v>73</v>
      </c>
      <c r="M82" s="210">
        <v>43731</v>
      </c>
      <c r="N82" s="222">
        <v>58075</v>
      </c>
      <c r="O82" s="221" t="s">
        <v>31</v>
      </c>
      <c r="P82" s="221">
        <f t="shared" si="72"/>
        <v>0</v>
      </c>
      <c r="Q82" s="408">
        <f t="shared" si="73"/>
        <v>100</v>
      </c>
    </row>
    <row r="83" spans="2:17" ht="15" customHeight="1">
      <c r="B83" s="201">
        <f t="shared" si="77"/>
        <v>2023</v>
      </c>
      <c r="C83" s="234">
        <f>C59*'הנחות עבודה'!$D$14-MMULT($M117:$O117,'הנחות עבודה'!$D$35:$D$37)</f>
        <v>7213916.1130000688</v>
      </c>
      <c r="D83" s="235">
        <f>D59*'הנחות עבודה'!$D$14-MMULT($M117:$O117,'הנחות עבודה'!$D$35:$D$37)</f>
        <v>9383146.630000066</v>
      </c>
      <c r="E83" s="236">
        <f>E59*'הנחות עבודה'!$D$14-MMULT($M117:$O117,'הנחות עבודה'!$D$35:$D$37)</f>
        <v>10588274.695000064</v>
      </c>
      <c r="H83" s="1270"/>
      <c r="I83" s="208" t="s">
        <v>192</v>
      </c>
      <c r="J83" s="209" t="s">
        <v>177</v>
      </c>
      <c r="K83" s="209" t="s">
        <v>493</v>
      </c>
      <c r="L83" s="221">
        <v>73</v>
      </c>
      <c r="M83" s="210">
        <v>43795</v>
      </c>
      <c r="N83" s="222">
        <v>58075</v>
      </c>
      <c r="O83" s="221" t="s">
        <v>31</v>
      </c>
      <c r="P83" s="221">
        <f t="shared" si="72"/>
        <v>0</v>
      </c>
      <c r="Q83" s="408">
        <f t="shared" si="73"/>
        <v>36</v>
      </c>
    </row>
    <row r="84" spans="2:17" ht="15" customHeight="1">
      <c r="B84" s="201">
        <f t="shared" si="77"/>
        <v>2024</v>
      </c>
      <c r="C84" s="234">
        <f>C60*'הנחות עבודה'!$D$14-MMULT($M118:$O118,'הנחות עבודה'!$D$35:$D$37)</f>
        <v>7376107.1770000774</v>
      </c>
      <c r="D84" s="235">
        <f>D60*'הנחות עבודה'!$D$14-MMULT($M118:$O118,'הנחות עבודה'!$D$35:$D$37)</f>
        <v>10340185.321000073</v>
      </c>
      <c r="E84" s="236">
        <f>E60*'הנחות עבודה'!$D$14-MMULT($M118:$O118,'הנחות עבודה'!$D$35:$D$37)</f>
        <v>11986895.401000071</v>
      </c>
      <c r="H84" s="1270"/>
      <c r="I84" s="208" t="s">
        <v>193</v>
      </c>
      <c r="J84" s="209" t="s">
        <v>177</v>
      </c>
      <c r="K84" s="209" t="s">
        <v>493</v>
      </c>
      <c r="L84" s="221">
        <v>73</v>
      </c>
      <c r="M84" s="210">
        <v>43773</v>
      </c>
      <c r="N84" s="222">
        <v>58440</v>
      </c>
      <c r="O84" s="221" t="s">
        <v>31</v>
      </c>
      <c r="P84" s="221">
        <f t="shared" si="72"/>
        <v>0</v>
      </c>
      <c r="Q84" s="408">
        <f t="shared" si="73"/>
        <v>58</v>
      </c>
    </row>
    <row r="85" spans="2:17" ht="15" customHeight="1">
      <c r="B85" s="201">
        <f t="shared" si="77"/>
        <v>2025</v>
      </c>
      <c r="C85" s="234">
        <f>C61*'הנחות עבודה'!$D$14-MMULT($M119:$O119,'הנחות עבודה'!$D$35:$D$37)</f>
        <v>7629532.2100000829</v>
      </c>
      <c r="D85" s="235">
        <f>D61*'הנחות עבודה'!$D$14-MMULT($M119:$O119,'הנחות עבודה'!$D$35:$D$37)</f>
        <v>11446599.970000081</v>
      </c>
      <c r="E85" s="236">
        <f>E61*'הנחות עבודה'!$D$14-MMULT($M119:$O119,'הנחות עבודה'!$D$35:$D$37)</f>
        <v>13567193.170000084</v>
      </c>
      <c r="H85" s="1270"/>
      <c r="I85" s="208" t="s">
        <v>293</v>
      </c>
      <c r="J85" s="209" t="s">
        <v>177</v>
      </c>
      <c r="K85" s="209" t="s">
        <v>493</v>
      </c>
      <c r="L85" s="221">
        <v>16</v>
      </c>
      <c r="M85" s="210">
        <v>38189</v>
      </c>
      <c r="N85" s="222">
        <v>55153</v>
      </c>
      <c r="O85" s="221" t="s">
        <v>31</v>
      </c>
      <c r="P85" s="221">
        <f t="shared" si="72"/>
        <v>0</v>
      </c>
      <c r="Q85" s="408">
        <f t="shared" si="73"/>
        <v>164</v>
      </c>
    </row>
    <row r="86" spans="2:17" ht="15" customHeight="1">
      <c r="B86" s="201">
        <f t="shared" si="77"/>
        <v>2026</v>
      </c>
      <c r="C86" s="234">
        <f>C62*'הנחות עבודה'!$D$14-MMULT($M120:$O120,'הנחות עבודה'!$D$35:$D$37)</f>
        <v>8600728.690000087</v>
      </c>
      <c r="D86" s="235">
        <f>D62*'הנחות עבודה'!$D$14-MMULT($M120:$O120,'הנחות עבודה'!$D$35:$D$37)</f>
        <v>13133373.170000087</v>
      </c>
      <c r="E86" s="236">
        <f>E62*'הנחות עבודה'!$D$14-MMULT($M120:$O120,'הנחות עבודה'!$D$35:$D$37)</f>
        <v>15748360.370000083</v>
      </c>
      <c r="H86" s="1270"/>
      <c r="I86" s="208" t="s">
        <v>294</v>
      </c>
      <c r="J86" s="209" t="s">
        <v>177</v>
      </c>
      <c r="K86" s="209" t="s">
        <v>493</v>
      </c>
      <c r="L86" s="221">
        <v>1</v>
      </c>
      <c r="M86" s="210">
        <v>37661</v>
      </c>
      <c r="N86" s="222">
        <v>55153</v>
      </c>
      <c r="O86" s="221" t="s">
        <v>31</v>
      </c>
      <c r="P86" s="221">
        <f t="shared" si="72"/>
        <v>0</v>
      </c>
      <c r="Q86" s="408">
        <f t="shared" si="73"/>
        <v>326</v>
      </c>
    </row>
    <row r="87" spans="2:17" ht="15" customHeight="1">
      <c r="B87" s="201">
        <f t="shared" si="77"/>
        <v>2027</v>
      </c>
      <c r="C87" s="234">
        <f>C63*'הנחות עבודה'!$D$14-MMULT($M121:$O121,'הנחות עבודה'!$D$35:$D$37)</f>
        <v>9619538.4920000937</v>
      </c>
      <c r="D87" s="235">
        <f>D63*'הנחות עבודה'!$D$14-MMULT($M121:$O121,'הנחות עבודה'!$D$35:$D$37)</f>
        <v>14904649.755000094</v>
      </c>
      <c r="E87" s="236">
        <f>E63*'הנחות עבודה'!$D$14-MMULT($M121:$O121,'הנחות עבודה'!$D$35:$D$37)</f>
        <v>18039885.250000082</v>
      </c>
      <c r="H87" s="1270"/>
      <c r="I87" s="208" t="s">
        <v>295</v>
      </c>
      <c r="J87" s="209" t="s">
        <v>177</v>
      </c>
      <c r="K87" s="209" t="s">
        <v>493</v>
      </c>
      <c r="L87" s="221">
        <v>49</v>
      </c>
      <c r="M87" s="210">
        <v>43031</v>
      </c>
      <c r="N87" s="222">
        <v>55153</v>
      </c>
      <c r="O87" s="221" t="s">
        <v>31</v>
      </c>
      <c r="P87" s="221">
        <f t="shared" si="72"/>
        <v>0</v>
      </c>
      <c r="Q87" s="408">
        <f t="shared" si="73"/>
        <v>70</v>
      </c>
    </row>
    <row r="88" spans="2:17" ht="15" customHeight="1">
      <c r="B88" s="201">
        <f t="shared" si="77"/>
        <v>2028</v>
      </c>
      <c r="C88" s="234">
        <f>C64*'הנחות עבודה'!$D$14-MMULT($M122:$O122,'הנחות עבודה'!$D$35:$D$37)</f>
        <v>10650187.1640001</v>
      </c>
      <c r="D88" s="235">
        <f>D64*'הנחות עבודה'!$D$14-MMULT($M122:$O122,'הנחות עבודה'!$D$35:$D$37)</f>
        <v>16710066.990000099</v>
      </c>
      <c r="E88" s="236">
        <f>E64*'הנחות עבודה'!$D$14-MMULT($M122:$O122,'הנחות עבודה'!$D$35:$D$37)</f>
        <v>20382721.430000093</v>
      </c>
      <c r="H88" s="1270"/>
      <c r="I88" s="208" t="s">
        <v>194</v>
      </c>
      <c r="J88" s="209" t="s">
        <v>177</v>
      </c>
      <c r="K88" s="209" t="s">
        <v>493</v>
      </c>
      <c r="L88" s="221">
        <v>43</v>
      </c>
      <c r="M88" s="210">
        <v>36289</v>
      </c>
      <c r="N88" s="222">
        <v>55153</v>
      </c>
      <c r="O88" s="221" t="s">
        <v>31</v>
      </c>
      <c r="P88" s="221">
        <f t="shared" si="72"/>
        <v>0</v>
      </c>
      <c r="Q88" s="408">
        <f t="shared" si="73"/>
        <v>237</v>
      </c>
    </row>
    <row r="89" spans="2:17" ht="15" customHeight="1">
      <c r="B89" s="201">
        <f t="shared" si="77"/>
        <v>2029</v>
      </c>
      <c r="C89" s="234">
        <f>C65*'הנחות עבודה'!$D$14-MMULT($M123:$O123,'הנחות עבודה'!$D$35:$D$37)</f>
        <v>11808267.010000104</v>
      </c>
      <c r="D89" s="235">
        <f>D65*'הנחות עבודה'!$D$14-MMULT($M123:$O123,'הנחות עבודה'!$D$35:$D$37)</f>
        <v>18715535.770000104</v>
      </c>
      <c r="E89" s="236">
        <f>E65*'הנחות עבודה'!$D$14-MMULT($M123:$O123,'הנחות עבודה'!$D$35:$D$37)</f>
        <v>22973441.170000099</v>
      </c>
      <c r="H89" s="1270"/>
      <c r="I89" s="208" t="s">
        <v>392</v>
      </c>
      <c r="J89" s="209"/>
      <c r="K89" s="209"/>
      <c r="L89" s="221"/>
      <c r="M89" s="210"/>
      <c r="N89" s="222"/>
      <c r="O89" s="221"/>
      <c r="P89" s="221">
        <f t="shared" si="72"/>
        <v>365</v>
      </c>
      <c r="Q89" s="408">
        <f t="shared" si="73"/>
        <v>365</v>
      </c>
    </row>
    <row r="90" spans="2:17" ht="15" customHeight="1">
      <c r="B90" s="201">
        <f t="shared" si="77"/>
        <v>2030</v>
      </c>
      <c r="C90" s="234">
        <f>C66*'הנחות עבודה'!$D$14-MMULT($M124:$O124,'הנחות עבודה'!$D$35:$D$37)</f>
        <v>12982706.840000108</v>
      </c>
      <c r="D90" s="235">
        <f>D66*'הנחות עבודה'!$D$14-MMULT($M124:$O124,'הנחות עבודה'!$D$35:$D$37)</f>
        <v>20763205.320000105</v>
      </c>
      <c r="E90" s="236">
        <f>E66*'הנחות עבודה'!$D$14-MMULT($M124:$O124,'הנחות עבודה'!$D$35:$D$37)</f>
        <v>25626016.870000109</v>
      </c>
      <c r="H90" s="1270"/>
      <c r="I90" s="208" t="s">
        <v>392</v>
      </c>
      <c r="J90" s="209"/>
      <c r="K90" s="209"/>
      <c r="L90" s="221"/>
      <c r="M90" s="210"/>
      <c r="N90" s="222"/>
      <c r="O90" s="221"/>
      <c r="P90" s="221">
        <f>365-MIN(365,N90-DATE(YEAR(N90),1,1)+1)</f>
        <v>365</v>
      </c>
      <c r="Q90" s="408">
        <f>MIN(365,DATE(YEAR(M90),12,31)-M90+1)</f>
        <v>365</v>
      </c>
    </row>
    <row r="91" spans="2:17" ht="15" customHeight="1">
      <c r="B91" s="201">
        <f t="shared" si="77"/>
        <v>2031</v>
      </c>
      <c r="C91" s="234">
        <f>C67*'הנחות עבודה'!$D$14-MMULT($M125:$O125,'הנחות עבודה'!$D$35:$D$37)</f>
        <v>12982706.840000108</v>
      </c>
      <c r="D91" s="235">
        <f>D67*'הנחות עבודה'!$D$14-MMULT($M125:$O125,'הנחות עבודה'!$D$35:$D$37)</f>
        <v>20763205.320000105</v>
      </c>
      <c r="E91" s="236">
        <f>E67*'הנחות עבודה'!$D$14-MMULT($M125:$O125,'הנחות עבודה'!$D$35:$D$37)</f>
        <v>25626016.870000109</v>
      </c>
      <c r="H91" s="1270"/>
      <c r="I91" s="208" t="s">
        <v>292</v>
      </c>
      <c r="J91" s="209" t="s">
        <v>177</v>
      </c>
      <c r="K91" s="209" t="s">
        <v>493</v>
      </c>
      <c r="L91" s="221">
        <v>52</v>
      </c>
      <c r="M91" s="210">
        <v>36973</v>
      </c>
      <c r="N91" s="222">
        <v>55153</v>
      </c>
      <c r="O91" s="221" t="s">
        <v>31</v>
      </c>
      <c r="P91" s="221">
        <f>365-MIN(365,N91-DATE(YEAR(N91),1,1)+1)</f>
        <v>0</v>
      </c>
      <c r="Q91" s="408">
        <f>MIN(365,DATE(YEAR(M91),12,31)-M91+1)</f>
        <v>284</v>
      </c>
    </row>
    <row r="92" spans="2:17" ht="15" customHeight="1">
      <c r="B92" s="201">
        <f t="shared" si="77"/>
        <v>2032</v>
      </c>
      <c r="C92" s="234">
        <f>C68*'הנחות עבודה'!$D$14-MMULT($M126:$O126,'הנחות עבודה'!$D$35:$D$37)</f>
        <v>12982706.840000108</v>
      </c>
      <c r="D92" s="235">
        <f>D68*'הנחות עבודה'!$D$14-MMULT($M126:$O126,'הנחות עבודה'!$D$35:$D$37)</f>
        <v>20763205.320000105</v>
      </c>
      <c r="E92" s="236">
        <f>E68*'הנחות עבודה'!$D$14-MMULT($M126:$O126,'הנחות עבודה'!$D$35:$D$37)</f>
        <v>25626016.870000109</v>
      </c>
      <c r="H92" s="1270"/>
      <c r="I92" s="208" t="s">
        <v>195</v>
      </c>
      <c r="J92" s="209" t="s">
        <v>177</v>
      </c>
      <c r="K92" s="209" t="s">
        <v>493</v>
      </c>
      <c r="L92" s="221">
        <v>200</v>
      </c>
      <c r="M92" s="210">
        <v>45292</v>
      </c>
      <c r="N92" s="222">
        <v>54057</v>
      </c>
      <c r="O92" s="221" t="s">
        <v>31</v>
      </c>
      <c r="P92" s="221">
        <f t="shared" si="72"/>
        <v>0</v>
      </c>
      <c r="Q92" s="408">
        <f t="shared" si="73"/>
        <v>365</v>
      </c>
    </row>
    <row r="93" spans="2:17" ht="15.75" customHeight="1">
      <c r="B93" s="201">
        <f t="shared" si="77"/>
        <v>2033</v>
      </c>
      <c r="C93" s="234">
        <f>C69*'הנחות עבודה'!$D$14-MMULT($M127:$O127,'הנחות עבודה'!$D$35:$D$37)</f>
        <v>12982706.840000108</v>
      </c>
      <c r="D93" s="235">
        <f>D69*'הנחות עבודה'!$D$14-MMULT($M127:$O127,'הנחות עבודה'!$D$35:$D$37)</f>
        <v>20763205.320000105</v>
      </c>
      <c r="E93" s="236">
        <f>E69*'הנחות עבודה'!$D$14-MMULT($M127:$O127,'הנחות עבודה'!$D$35:$D$37)</f>
        <v>25626016.870000109</v>
      </c>
      <c r="H93" s="1270"/>
      <c r="I93" s="208" t="s">
        <v>196</v>
      </c>
      <c r="J93" s="209" t="s">
        <v>177</v>
      </c>
      <c r="K93" s="209" t="s">
        <v>493</v>
      </c>
      <c r="L93" s="221">
        <v>12.4</v>
      </c>
      <c r="M93" s="210">
        <v>42499</v>
      </c>
      <c r="N93" s="222">
        <v>55153</v>
      </c>
      <c r="O93" s="221" t="s">
        <v>31</v>
      </c>
      <c r="P93" s="221">
        <f t="shared" si="72"/>
        <v>0</v>
      </c>
      <c r="Q93" s="408">
        <f t="shared" si="73"/>
        <v>237</v>
      </c>
    </row>
    <row r="94" spans="2:17" ht="15.75" customHeight="1">
      <c r="B94" s="201">
        <f t="shared" si="77"/>
        <v>2034</v>
      </c>
      <c r="C94" s="234">
        <f>C70*'הנחות עבודה'!$D$14-MMULT($M128:$O128,'הנחות עבודה'!$D$35:$D$37)</f>
        <v>12982706.840000108</v>
      </c>
      <c r="D94" s="235">
        <f>D70*'הנחות עבודה'!$D$14-MMULT($M128:$O128,'הנחות עבודה'!$D$35:$D$37)</f>
        <v>20763205.320000105</v>
      </c>
      <c r="E94" s="236">
        <f>E70*'הנחות עבודה'!$D$14-MMULT($M128:$O128,'הנחות עבודה'!$D$35:$D$37)</f>
        <v>25626016.870000109</v>
      </c>
      <c r="H94" s="1270"/>
      <c r="I94" s="208" t="s">
        <v>197</v>
      </c>
      <c r="J94" s="209" t="s">
        <v>177</v>
      </c>
      <c r="K94" s="209" t="s">
        <v>493</v>
      </c>
      <c r="L94" s="221">
        <v>148</v>
      </c>
      <c r="M94" s="210">
        <v>43727</v>
      </c>
      <c r="N94" s="222">
        <v>58440</v>
      </c>
      <c r="O94" s="221" t="s">
        <v>31</v>
      </c>
      <c r="P94" s="221">
        <f t="shared" si="72"/>
        <v>0</v>
      </c>
      <c r="Q94" s="408">
        <f t="shared" si="73"/>
        <v>104</v>
      </c>
    </row>
    <row r="95" spans="2:17" ht="15.75" customHeight="1">
      <c r="B95" s="201">
        <f t="shared" si="77"/>
        <v>2035</v>
      </c>
      <c r="C95" s="234">
        <f>C71*'הנחות עבודה'!$D$14-MMULT($M129:$O129,'הנחות עבודה'!$D$35:$D$37)</f>
        <v>12982706.840000108</v>
      </c>
      <c r="D95" s="235">
        <f>D71*'הנחות עבודה'!$D$14-MMULT($M129:$O129,'הנחות עבודה'!$D$35:$D$37)</f>
        <v>20763205.320000105</v>
      </c>
      <c r="E95" s="236">
        <f>E71*'הנחות עבודה'!$D$14-MMULT($M129:$O129,'הנחות עבודה'!$D$35:$D$37)</f>
        <v>25626016.870000109</v>
      </c>
      <c r="H95" s="1270"/>
      <c r="I95" s="208" t="s">
        <v>198</v>
      </c>
      <c r="J95" s="209" t="s">
        <v>177</v>
      </c>
      <c r="K95" s="209" t="s">
        <v>493</v>
      </c>
      <c r="L95" s="221">
        <v>126.41</v>
      </c>
      <c r="M95" s="210">
        <v>42370</v>
      </c>
      <c r="N95" s="222">
        <v>55153</v>
      </c>
      <c r="O95" s="221" t="s">
        <v>31</v>
      </c>
      <c r="P95" s="221">
        <f t="shared" si="72"/>
        <v>0</v>
      </c>
      <c r="Q95" s="408">
        <f t="shared" si="73"/>
        <v>365</v>
      </c>
    </row>
    <row r="96" spans="2:17" ht="16.5" thickBot="1">
      <c r="B96" s="201">
        <f t="shared" si="77"/>
        <v>2036</v>
      </c>
      <c r="C96" s="234">
        <f>C72*'הנחות עבודה'!$D$14-MMULT($M130:$O130,'הנחות עבודה'!$D$35:$D$37)</f>
        <v>12982706.840000108</v>
      </c>
      <c r="D96" s="235">
        <f>D72*'הנחות עבודה'!$D$14-MMULT($M130:$O130,'הנחות עבודה'!$D$35:$D$37)</f>
        <v>20763205.320000105</v>
      </c>
      <c r="E96" s="236">
        <f>E72*'הנחות עבודה'!$D$14-MMULT($M130:$O130,'הנחות עבודה'!$D$35:$D$37)</f>
        <v>25626016.870000109</v>
      </c>
      <c r="H96" s="1269"/>
      <c r="I96" s="211" t="s">
        <v>199</v>
      </c>
      <c r="J96" s="212" t="s">
        <v>177</v>
      </c>
      <c r="K96" s="212" t="s">
        <v>493</v>
      </c>
      <c r="L96" s="411">
        <v>64</v>
      </c>
      <c r="M96" s="213">
        <v>42303</v>
      </c>
      <c r="N96" s="412">
        <v>55153</v>
      </c>
      <c r="O96" s="411" t="s">
        <v>31</v>
      </c>
      <c r="P96" s="411">
        <f t="shared" si="72"/>
        <v>0</v>
      </c>
      <c r="Q96" s="413">
        <f t="shared" si="73"/>
        <v>67</v>
      </c>
    </row>
    <row r="97" spans="2:19" ht="15.75" customHeight="1">
      <c r="B97" s="201">
        <f t="shared" si="77"/>
        <v>2037</v>
      </c>
      <c r="C97" s="234">
        <f>C73*'הנחות עבודה'!$D$14-MMULT($M131:$O131,'הנחות עבודה'!$D$35:$D$37)</f>
        <v>12982706.840000108</v>
      </c>
      <c r="D97" s="235">
        <f>D73*'הנחות עבודה'!$D$14-MMULT($M131:$O131,'הנחות עבודה'!$D$35:$D$37)</f>
        <v>20763205.320000105</v>
      </c>
      <c r="E97" s="236">
        <f>E73*'הנחות עבודה'!$D$14-MMULT($M131:$O131,'הנחות עבודה'!$D$35:$D$37)</f>
        <v>25626016.870000109</v>
      </c>
      <c r="H97" s="1268" t="s">
        <v>296</v>
      </c>
      <c r="I97" s="205" t="str">
        <f>"הסבה"&amp;" "&amp;I9</f>
        <v>הסבה אורות רבין 5</v>
      </c>
      <c r="J97" s="206" t="s">
        <v>117</v>
      </c>
      <c r="K97" s="206" t="s">
        <v>492</v>
      </c>
      <c r="L97" s="220">
        <f>L9</f>
        <v>575</v>
      </c>
      <c r="M97" s="415">
        <f>N9+4*30+2</f>
        <v>46037</v>
      </c>
      <c r="N97" s="415">
        <v>53327</v>
      </c>
      <c r="O97" s="220" t="s">
        <v>31</v>
      </c>
      <c r="P97" s="220">
        <f t="shared" si="72"/>
        <v>0</v>
      </c>
      <c r="Q97" s="410">
        <f t="shared" si="73"/>
        <v>351</v>
      </c>
    </row>
    <row r="98" spans="2:19" ht="16.5" customHeight="1">
      <c r="B98" s="201">
        <f t="shared" si="77"/>
        <v>2038</v>
      </c>
      <c r="C98" s="234">
        <f>C74*'הנחות עבודה'!$D$14-MMULT($M132:$O132,'הנחות עבודה'!$D$35:$D$37)</f>
        <v>12982706.840000108</v>
      </c>
      <c r="D98" s="235">
        <f>D74*'הנחות עבודה'!$D$14-MMULT($M132:$O132,'הנחות עבודה'!$D$35:$D$37)</f>
        <v>20763205.320000105</v>
      </c>
      <c r="E98" s="236">
        <f>E74*'הנחות עבודה'!$D$14-MMULT($M132:$O132,'הנחות עבודה'!$D$35:$D$37)</f>
        <v>25626016.870000109</v>
      </c>
      <c r="H98" s="1270"/>
      <c r="I98" s="208" t="str">
        <f t="shared" ref="I98:I102" si="78">"הסבה"&amp;" "&amp;I10</f>
        <v>הסבה אורות רבין 6</v>
      </c>
      <c r="J98" s="209" t="s">
        <v>117</v>
      </c>
      <c r="K98" s="209" t="s">
        <v>492</v>
      </c>
      <c r="L98" s="221">
        <f t="shared" ref="L98:L102" si="79">L10</f>
        <v>575</v>
      </c>
      <c r="M98" s="222">
        <f>N10+4*30+3</f>
        <v>45915</v>
      </c>
      <c r="N98" s="222">
        <v>53692</v>
      </c>
      <c r="O98" s="221" t="s">
        <v>31</v>
      </c>
      <c r="P98" s="221">
        <f t="shared" si="72"/>
        <v>0</v>
      </c>
      <c r="Q98" s="408">
        <f t="shared" si="73"/>
        <v>108</v>
      </c>
    </row>
    <row r="99" spans="2:19" ht="15.75">
      <c r="B99" s="201">
        <f t="shared" si="77"/>
        <v>2039</v>
      </c>
      <c r="C99" s="234">
        <f>C75*'הנחות עבודה'!$D$14-MMULT($M133:$O133,'הנחות עבודה'!$D$35:$D$37)</f>
        <v>12982706.840000108</v>
      </c>
      <c r="D99" s="235">
        <f>D75*'הנחות עבודה'!$D$14-MMULT($M133:$O133,'הנחות עבודה'!$D$35:$D$37)</f>
        <v>20763205.320000105</v>
      </c>
      <c r="E99" s="236">
        <f>E75*'הנחות עבודה'!$D$14-MMULT($M133:$O133,'הנחות עבודה'!$D$35:$D$37)</f>
        <v>25626016.870000109</v>
      </c>
      <c r="H99" s="1270"/>
      <c r="I99" s="208" t="str">
        <f t="shared" si="78"/>
        <v>הסבה רוטנברג 1</v>
      </c>
      <c r="J99" s="209" t="s">
        <v>117</v>
      </c>
      <c r="K99" s="209" t="s">
        <v>492</v>
      </c>
      <c r="L99" s="221">
        <f t="shared" si="79"/>
        <v>575</v>
      </c>
      <c r="M99" s="222">
        <f t="shared" ref="M99:M102" si="80">N11+4*30</f>
        <v>45792</v>
      </c>
      <c r="N99" s="222">
        <v>51866</v>
      </c>
      <c r="O99" s="221" t="s">
        <v>31</v>
      </c>
      <c r="P99" s="221">
        <f t="shared" ref="P99:P100" si="81">365-MIN(365,N99-DATE(YEAR(N99),1,1)+1)</f>
        <v>0</v>
      </c>
      <c r="Q99" s="408">
        <f t="shared" si="73"/>
        <v>231</v>
      </c>
    </row>
    <row r="100" spans="2:19" ht="16.5" thickBot="1">
      <c r="B100" s="202">
        <f t="shared" si="77"/>
        <v>2040</v>
      </c>
      <c r="C100" s="237">
        <f>C76*'הנחות עבודה'!$D$14-MMULT($M134:$O134,'הנחות עבודה'!$D$35:$D$37)</f>
        <v>12982706.840000108</v>
      </c>
      <c r="D100" s="238">
        <f>D76*'הנחות עבודה'!$D$14-MMULT($M134:$O134,'הנחות עבודה'!$D$35:$D$37)</f>
        <v>20763205.320000105</v>
      </c>
      <c r="E100" s="239">
        <f>E76*'הנחות עבודה'!$D$14-MMULT($M134:$O134,'הנחות עבודה'!$D$35:$D$37)</f>
        <v>25626016.870000109</v>
      </c>
      <c r="H100" s="1270"/>
      <c r="I100" s="208" t="str">
        <f t="shared" si="78"/>
        <v>הסבה רוטנברג 2</v>
      </c>
      <c r="J100" s="209" t="s">
        <v>117</v>
      </c>
      <c r="K100" s="209" t="s">
        <v>492</v>
      </c>
      <c r="L100" s="221">
        <f t="shared" si="79"/>
        <v>575</v>
      </c>
      <c r="M100" s="222">
        <f>N12+4*30+2</f>
        <v>45672</v>
      </c>
      <c r="N100" s="222">
        <v>51501</v>
      </c>
      <c r="O100" s="221" t="s">
        <v>31</v>
      </c>
      <c r="P100" s="221">
        <f t="shared" si="81"/>
        <v>0</v>
      </c>
      <c r="Q100" s="408">
        <f t="shared" ref="Q100" si="82">MIN(365,DATE(YEAR(M100),12,31)-M100+1)</f>
        <v>351</v>
      </c>
    </row>
    <row r="101" spans="2:19" ht="15.75">
      <c r="H101" s="1270"/>
      <c r="I101" s="208" t="str">
        <f t="shared" si="78"/>
        <v>הסבה רוטנברג 3</v>
      </c>
      <c r="J101" s="209" t="s">
        <v>117</v>
      </c>
      <c r="K101" s="209" t="s">
        <v>492</v>
      </c>
      <c r="L101" s="221">
        <f t="shared" si="79"/>
        <v>550</v>
      </c>
      <c r="M101" s="222">
        <f>N13+4*30+3</f>
        <v>45550</v>
      </c>
      <c r="N101" s="222">
        <v>55153</v>
      </c>
      <c r="O101" s="221" t="s">
        <v>31</v>
      </c>
      <c r="P101" s="221">
        <f t="shared" ref="P101" si="83">365-MIN(365,N101-DATE(YEAR(N101),1,1)+1)</f>
        <v>0</v>
      </c>
      <c r="Q101" s="408">
        <f t="shared" ref="Q101" si="84">MIN(365,DATE(YEAR(M101),12,31)-M101+1)</f>
        <v>108</v>
      </c>
    </row>
    <row r="102" spans="2:19" ht="16.5" thickBot="1">
      <c r="E102" s="301"/>
      <c r="H102" s="1269"/>
      <c r="I102" s="214" t="str">
        <f t="shared" si="78"/>
        <v>הסבה רוטנברג 4</v>
      </c>
      <c r="J102" s="215" t="s">
        <v>117</v>
      </c>
      <c r="K102" s="215" t="s">
        <v>492</v>
      </c>
      <c r="L102" s="223">
        <f t="shared" si="79"/>
        <v>550</v>
      </c>
      <c r="M102" s="224">
        <f t="shared" si="80"/>
        <v>44727</v>
      </c>
      <c r="N102" s="224">
        <v>54788</v>
      </c>
      <c r="O102" s="223" t="s">
        <v>31</v>
      </c>
      <c r="P102" s="223">
        <f t="shared" ref="P102" si="85">365-MIN(365,N102-DATE(YEAR(N102),1,1)+1)</f>
        <v>0</v>
      </c>
      <c r="Q102" s="409">
        <f t="shared" ref="Q102" si="86">MIN(365,DATE(YEAR(M102),12,31)-M102+1)</f>
        <v>200</v>
      </c>
    </row>
    <row r="103" spans="2:19" ht="15.75">
      <c r="E103" s="322"/>
      <c r="H103" s="1268" t="s">
        <v>200</v>
      </c>
      <c r="I103" s="217" t="s">
        <v>201</v>
      </c>
      <c r="J103" s="218" t="s">
        <v>177</v>
      </c>
      <c r="K103" s="218" t="s">
        <v>490</v>
      </c>
      <c r="L103" s="299">
        <v>400</v>
      </c>
      <c r="M103" s="219">
        <v>44927</v>
      </c>
      <c r="N103" s="219">
        <v>59901</v>
      </c>
      <c r="O103" s="299" t="s">
        <v>31</v>
      </c>
      <c r="P103" s="299">
        <f t="shared" si="72"/>
        <v>0</v>
      </c>
      <c r="Q103" s="414">
        <f t="shared" si="73"/>
        <v>365</v>
      </c>
    </row>
    <row r="104" spans="2:19" ht="16.5" thickBot="1">
      <c r="E104" s="322"/>
      <c r="H104" s="1269"/>
      <c r="I104" s="214" t="s">
        <v>290</v>
      </c>
      <c r="J104" s="215" t="s">
        <v>177</v>
      </c>
      <c r="K104" s="215" t="s">
        <v>490</v>
      </c>
      <c r="L104" s="223">
        <v>250</v>
      </c>
      <c r="M104" s="216">
        <v>44927</v>
      </c>
      <c r="N104" s="216">
        <v>59536</v>
      </c>
      <c r="O104" s="223" t="s">
        <v>31</v>
      </c>
      <c r="P104" s="223">
        <f t="shared" si="72"/>
        <v>0</v>
      </c>
      <c r="Q104" s="409">
        <f t="shared" si="73"/>
        <v>365</v>
      </c>
    </row>
    <row r="105" spans="2:19" ht="48" thickBot="1">
      <c r="E105" s="322"/>
      <c r="S105" s="1122" t="s">
        <v>491</v>
      </c>
    </row>
    <row r="106" spans="2:19" ht="30">
      <c r="E106" s="322"/>
      <c r="H106" s="1277" t="s">
        <v>308</v>
      </c>
      <c r="I106" s="205" t="s">
        <v>309</v>
      </c>
      <c r="J106" s="206" t="s">
        <v>177</v>
      </c>
      <c r="K106" s="206" t="s">
        <v>308</v>
      </c>
      <c r="L106" s="220">
        <v>344</v>
      </c>
      <c r="M106" s="207">
        <v>44562</v>
      </c>
      <c r="N106" s="207">
        <v>62824</v>
      </c>
      <c r="O106" s="206" t="s">
        <v>308</v>
      </c>
      <c r="P106" s="251"/>
      <c r="Q106" s="252"/>
      <c r="S106" s="1123">
        <v>2022</v>
      </c>
    </row>
    <row r="107" spans="2:19" ht="30">
      <c r="E107" s="322"/>
      <c r="H107" s="1278"/>
      <c r="I107" s="208" t="s">
        <v>310</v>
      </c>
      <c r="J107" s="209" t="s">
        <v>177</v>
      </c>
      <c r="K107" s="209" t="s">
        <v>308</v>
      </c>
      <c r="L107" s="221">
        <v>300</v>
      </c>
      <c r="M107" s="210">
        <v>43862</v>
      </c>
      <c r="N107" s="210">
        <v>62094</v>
      </c>
      <c r="O107" s="209" t="s">
        <v>308</v>
      </c>
      <c r="P107" s="250"/>
      <c r="Q107" s="253"/>
      <c r="S107" s="1124">
        <v>2020</v>
      </c>
    </row>
    <row r="108" spans="2:19" ht="30.75" thickBot="1">
      <c r="E108" s="322"/>
      <c r="H108" s="1279"/>
      <c r="I108" s="214" t="s">
        <v>311</v>
      </c>
      <c r="J108" s="215" t="s">
        <v>177</v>
      </c>
      <c r="K108" s="215" t="s">
        <v>308</v>
      </c>
      <c r="L108" s="223">
        <v>156</v>
      </c>
      <c r="M108" s="216">
        <v>45658</v>
      </c>
      <c r="N108" s="216">
        <v>63920</v>
      </c>
      <c r="O108" s="215" t="s">
        <v>308</v>
      </c>
      <c r="P108" s="254"/>
      <c r="Q108" s="66"/>
      <c r="S108" s="1125">
        <v>2025</v>
      </c>
    </row>
    <row r="109" spans="2:19">
      <c r="E109" s="322"/>
    </row>
    <row r="110" spans="2:19" ht="15.75" thickBot="1">
      <c r="E110" s="322"/>
    </row>
    <row r="111" spans="2:19" ht="16.5" thickBot="1">
      <c r="E111" s="322"/>
      <c r="I111" s="773"/>
      <c r="J111" s="1280" t="s">
        <v>227</v>
      </c>
      <c r="K111" s="1281"/>
      <c r="L111" s="1281"/>
      <c r="M111" s="1281"/>
      <c r="N111" s="1281"/>
      <c r="O111" s="1282"/>
    </row>
    <row r="112" spans="2:19" ht="32.25" thickBot="1">
      <c r="E112" s="322"/>
      <c r="I112" s="259"/>
      <c r="J112" s="259" t="s">
        <v>225</v>
      </c>
      <c r="K112" s="259" t="s">
        <v>339</v>
      </c>
      <c r="L112" s="259" t="s">
        <v>224</v>
      </c>
      <c r="M112" s="259" t="s">
        <v>510</v>
      </c>
      <c r="N112" s="260" t="s">
        <v>511</v>
      </c>
      <c r="O112" s="259" t="s">
        <v>512</v>
      </c>
    </row>
    <row r="113" spans="5:15" ht="15.75">
      <c r="E113" s="322"/>
      <c r="I113" s="378">
        <v>2019</v>
      </c>
      <c r="J113" s="261">
        <v>1966</v>
      </c>
      <c r="K113" s="261">
        <v>1966</v>
      </c>
      <c r="L113" s="264">
        <v>1966</v>
      </c>
      <c r="M113" s="261">
        <v>20</v>
      </c>
      <c r="N113" s="263">
        <v>25</v>
      </c>
      <c r="O113" s="264">
        <v>242</v>
      </c>
    </row>
    <row r="114" spans="5:15" ht="15.75">
      <c r="E114" s="322"/>
      <c r="I114" s="379">
        <f>+I113+1</f>
        <v>2020</v>
      </c>
      <c r="J114" s="262">
        <f>HLOOKUP(I114,'מטריצת ייצור מתחדשות'!$C$55:$W$77,'מטריצת ייצור מתחדשות'!$B$76-'מטריצת ייצור מתחדשות'!$B$56+3,FALSE)</f>
        <v>3904.6682808157962</v>
      </c>
      <c r="K114" s="262">
        <f>HLOOKUP(I114,'מטריצת ייצור מתחדשות'!$C$30:$W$52,'מטריצת ייצור מתחדשות'!$B$76-'מטריצת ייצור מתחדשות'!$B$56+3,FALSE)</f>
        <v>3904.6682808157962</v>
      </c>
      <c r="L114" s="266">
        <f>HLOOKUP(I114,'מטריצת ייצור מתחדשות'!$C$5:$W$27,'מטריצת ייצור מתחדשות'!$B$76-'מטריצת ייצור מתחדשות'!$B$56+3,FALSE)</f>
        <v>3904.6682808157962</v>
      </c>
      <c r="M114" s="262">
        <v>28</v>
      </c>
      <c r="N114" s="265">
        <v>25</v>
      </c>
      <c r="O114" s="266">
        <f>O113</f>
        <v>242</v>
      </c>
    </row>
    <row r="115" spans="5:15" ht="15.75">
      <c r="E115" s="322"/>
      <c r="I115" s="379">
        <f>+I114+1</f>
        <v>2021</v>
      </c>
      <c r="J115" s="262">
        <f>HLOOKUP(I115,'מטריצת ייצור מתחדשות'!$C$55:$W$77,'מטריצת ייצור מתחדשות'!$B$76-'מטריצת ייצור מתחדשות'!$B$56+3,FALSE)</f>
        <v>4228.5825315409838</v>
      </c>
      <c r="K115" s="262">
        <f>HLOOKUP(I115,'מטריצת ייצור מתחדשות'!$C$30:$W$52,'מטריצת ייצור מתחדשות'!$B$76-'מטריצת ייצור מתחדשות'!$B$56+3,FALSE)</f>
        <v>4645.544455223042</v>
      </c>
      <c r="L115" s="266">
        <f>HLOOKUP(I115,'מטריצת ייצור מתחדשות'!$C$5:$W$27,'מטריצת ייצור מתחדשות'!$B$76-'מטריצת ייצור מתחדשות'!$B$56+3,FALSE)</f>
        <v>4877.1899683797419</v>
      </c>
      <c r="M115" s="262">
        <v>28</v>
      </c>
      <c r="N115" s="265">
        <v>55</v>
      </c>
      <c r="O115" s="266">
        <f t="shared" ref="O115:O134" si="87">O114</f>
        <v>242</v>
      </c>
    </row>
    <row r="116" spans="5:15" ht="15.75">
      <c r="E116" s="322"/>
      <c r="I116" s="379">
        <f>I115+1</f>
        <v>2022</v>
      </c>
      <c r="J116" s="262">
        <f>HLOOKUP(I116,'מטריצת ייצור מתחדשות'!$C$55:$W$77,'מטריצת ייצור מתחדשות'!$B$76-'מטריצת ייצור מתחדשות'!$B$56+3,FALSE)</f>
        <v>4343.3810111291587</v>
      </c>
      <c r="K116" s="262">
        <f>HLOOKUP(I116,'מטריצת ייצור מתחדשות'!$C$30:$W$52,'מטריצת ייצור מתחדשות'!$B$76-'מטריצת ייצור מתחדשות'!$B$56+3,FALSE)</f>
        <v>5202.6432099598951</v>
      </c>
      <c r="L116" s="266">
        <f>HLOOKUP(I116,'מטריצת ייצור מתחדשות'!$C$5:$W$27,'מטריצת ייצור מתחדשות'!$B$76-'מטריצת ייצור מתחדשות'!$B$56+3,FALSE)</f>
        <v>5680.0110981991929</v>
      </c>
      <c r="M116" s="262">
        <v>198</v>
      </c>
      <c r="N116" s="265">
        <v>60</v>
      </c>
      <c r="O116" s="266">
        <f t="shared" si="87"/>
        <v>242</v>
      </c>
    </row>
    <row r="117" spans="5:15" ht="15.75">
      <c r="E117" s="322"/>
      <c r="I117" s="379">
        <f t="shared" ref="I117:I134" si="88">I116+1</f>
        <v>2023</v>
      </c>
      <c r="J117" s="262">
        <f>HLOOKUP(I117,'מטריצת ייצור מתחדשות'!$C$55:$W$77,'מטריצת ייצור מתחדשות'!$B$76-'מטריצת ייצור מתחדשות'!$B$56+3,FALSE)</f>
        <v>4465.5404030156506</v>
      </c>
      <c r="K117" s="262">
        <f>HLOOKUP(I117,'מטריצת ייצור מתחדשות'!$C$30:$W$52,'מטריצת ייצור מתחדשות'!$B$76-'מטריצת ייצור מתחדשות'!$B$56+3,FALSE)</f>
        <v>5793.5940732295658</v>
      </c>
      <c r="L117" s="266">
        <f>HLOOKUP(I117,'מטריצת ייצור מתחדשות'!$C$5:$W$27,'מטריצת ייצור מתחדשות'!$B$76-'מטריצת ייצור מתחדשות'!$B$56+3,FALSE)</f>
        <v>6531.4016677928521</v>
      </c>
      <c r="M117" s="262">
        <v>375</v>
      </c>
      <c r="N117" s="265">
        <v>65</v>
      </c>
      <c r="O117" s="266">
        <f t="shared" si="87"/>
        <v>242</v>
      </c>
    </row>
    <row r="118" spans="5:15" ht="15.75">
      <c r="E118" s="322"/>
      <c r="I118" s="379">
        <f t="shared" si="88"/>
        <v>2024</v>
      </c>
      <c r="J118" s="262">
        <f>HLOOKUP(I118,'מטריצת ייצור מתחדשות'!$C$55:$W$77,'מטריצת ייצור מתחדשות'!$B$76-'מטריצת ייצור מתחדשות'!$B$56+3,FALSE)</f>
        <v>4590.6128363392845</v>
      </c>
      <c r="K118" s="262">
        <f>HLOOKUP(I118,'מטריצת ייצור מתחדשות'!$C$30:$W$52,'מטריצת ייצור מתחדשות'!$B$76-'מטריצת ייצור מתחדשות'!$B$56+3,FALSE)</f>
        <v>6410.4129890968461</v>
      </c>
      <c r="L118" s="266">
        <f>HLOOKUP(I118,'מטריצת ייצור מתחדשות'!$C$5:$W$27,'מטריצת ייצור מתחדשות'!$B$76-'מטריצת ייצור מתחדשות'!$B$56+3,FALSE)</f>
        <v>7421.4130739621596</v>
      </c>
      <c r="M118" s="262">
        <v>553</v>
      </c>
      <c r="N118" s="265">
        <v>70</v>
      </c>
      <c r="O118" s="266">
        <f t="shared" si="87"/>
        <v>242</v>
      </c>
    </row>
    <row r="119" spans="5:15" ht="15.75">
      <c r="E119" s="322"/>
      <c r="I119" s="379">
        <f t="shared" si="88"/>
        <v>2025</v>
      </c>
      <c r="J119" s="262">
        <f>HLOOKUP(I119,'מטריצת ייצור מתחדשות'!$C$55:$W$77,'מטריצת ייצור מתחדשות'!$B$76-'מטריצת ייצור מתחדשות'!$B$56+3,FALSE)</f>
        <v>4771.8117714195096</v>
      </c>
      <c r="K119" s="262">
        <f>HLOOKUP(I119,'מטריצת ייצור מתחדשות'!$C$30:$W$52,'מטריצת ייצור מתחדשות'!$B$76-'מטריצת ייצור מתחדשות'!$B$56+3,FALSE)</f>
        <v>7121.6523988213703</v>
      </c>
      <c r="L119" s="266">
        <f>HLOOKUP(I119,'מטריצת ייצור מתחדשות'!$C$5:$W$27,'מטריצת ייצור מתחדשות'!$B$76-'מטריצת ייצור מתחדשות'!$B$56+3,FALSE)</f>
        <v>8427.1194140446278</v>
      </c>
      <c r="M119" s="262">
        <v>730</v>
      </c>
      <c r="N119" s="265">
        <v>75</v>
      </c>
      <c r="O119" s="266">
        <f t="shared" si="87"/>
        <v>242</v>
      </c>
    </row>
    <row r="120" spans="5:15" ht="15.75">
      <c r="E120" s="322"/>
      <c r="I120" s="379">
        <f t="shared" si="88"/>
        <v>2026</v>
      </c>
      <c r="J120" s="262">
        <f>HLOOKUP(I120,'מטריצת ייצור מתחדשות'!$C$55:$W$77,'מטריצת ייצור מתחדשות'!$B$76-'מטריצת ייצור מתחדשות'!$B$56+3,FALSE)</f>
        <v>5390.8439840739293</v>
      </c>
      <c r="K120" s="262">
        <f>HLOOKUP(I120,'מטריצת ייצור מתחדשות'!$C$30:$W$52,'מטריצת ייצור מתחדשות'!$B$76-'מטריצת ייצור מתחדשות'!$B$56+3,FALSE)</f>
        <v>8190.197101064754</v>
      </c>
      <c r="L120" s="266">
        <f>HLOOKUP(I120,'מטריצת ייצור מתחדשות'!$C$5:$W$27,'מטריצת ייצור מתחדשות'!$B$76-'מטריצת ייצור מתחדשות'!$B$56+3,FALSE)</f>
        <v>9804.3467429888351</v>
      </c>
      <c r="M120" s="262">
        <v>730</v>
      </c>
      <c r="N120" s="265">
        <v>80</v>
      </c>
      <c r="O120" s="266">
        <f t="shared" si="87"/>
        <v>242</v>
      </c>
    </row>
    <row r="121" spans="5:15" ht="15.75">
      <c r="E121" s="322"/>
      <c r="I121" s="379">
        <f t="shared" si="88"/>
        <v>2027</v>
      </c>
      <c r="J121" s="262">
        <f>HLOOKUP(I121,'מטריצת ייצור מתחדשות'!$C$55:$W$77,'מטריצת ייצור מתחדשות'!$B$76-'מטריצת ייצור מתחדשות'!$B$56+3,FALSE)</f>
        <v>6042.4054473618107</v>
      </c>
      <c r="K121" s="262">
        <f>HLOOKUP(I121,'מטריצת ייצור מתחדשות'!$C$30:$W$52,'מטריצת ייצור מתחדשות'!$B$76-'מטריצת ייצור מתחדשות'!$B$56+3,FALSE)</f>
        <v>9316.3394782636988</v>
      </c>
      <c r="L121" s="266">
        <f>HLOOKUP(I121,'מטריצת ייצור מתחדשות'!$C$5:$W$27,'מטריצת ייצור מתחדשות'!$B$76-'מטריצת ייצור מתחדשות'!$B$56+3,FALSE)</f>
        <v>11256.714891593354</v>
      </c>
      <c r="M121" s="262">
        <v>730</v>
      </c>
      <c r="N121" s="265">
        <v>85</v>
      </c>
      <c r="O121" s="266">
        <f t="shared" si="87"/>
        <v>242</v>
      </c>
    </row>
    <row r="122" spans="5:15" ht="15.75">
      <c r="E122" s="322"/>
      <c r="I122" s="379">
        <f t="shared" si="88"/>
        <v>2028</v>
      </c>
      <c r="J122" s="262">
        <f>HLOOKUP(I122,'מטריצת ייצור מתחדשות'!$C$55:$W$77,'מטריצת ייצור מתחדשות'!$B$76-'מטריצת ייצור מתחדשות'!$B$56+3,FALSE)</f>
        <v>6704.8941339393969</v>
      </c>
      <c r="K122" s="262">
        <f>HLOOKUP(I122,'מטריצת ייצור מתחדשות'!$C$30:$W$52,'מטריצת ייצור מתחדשות'!$B$76-'מטריצת ייצור מתחדשות'!$B$56+3,FALSE)</f>
        <v>10469.732340329116</v>
      </c>
      <c r="L122" s="266">
        <f>HLOOKUP(I122,'מטריצת ייצור מתחדשות'!$C$5:$W$27,'מטריצת ייצור מתחדשות'!$B$76-'מטריצת ייצור מתחדשות'!$B$56+3,FALSE)</f>
        <v>12748.685357281456</v>
      </c>
      <c r="M122" s="262">
        <v>730</v>
      </c>
      <c r="N122" s="265">
        <v>90</v>
      </c>
      <c r="O122" s="266">
        <f t="shared" si="87"/>
        <v>242</v>
      </c>
    </row>
    <row r="123" spans="5:15" ht="15.75">
      <c r="E123" s="322"/>
      <c r="I123" s="379">
        <f t="shared" si="88"/>
        <v>2029</v>
      </c>
      <c r="J123" s="262">
        <f>HLOOKUP(I123,'מטריצת ייצור מתחדשות'!$C$55:$W$77,'מטריצת ייצור מתחדשות'!$B$76-'מטריצת ייצור מתחדשות'!$B$56+3,FALSE)</f>
        <v>7448.7143555847633</v>
      </c>
      <c r="K123" s="262">
        <f>HLOOKUP(I123,'מטריצת ייצור מתחדשות'!$C$30:$W$52,'מטריצת ייצור מתחדשות'!$B$76-'מטריצת ייצור מתחדשות'!$B$56+3,FALSE)</f>
        <v>11751.490392697138</v>
      </c>
      <c r="L123" s="266">
        <f>HLOOKUP(I123,'מטריצת ייצור מתחדשות'!$C$5:$W$27,'מטריצת ייצור מתחדשות'!$B$76-'מטריצת ייצור מתחדשות'!$B$56+3,FALSE)</f>
        <v>14400.099139229669</v>
      </c>
      <c r="M123" s="262">
        <v>730</v>
      </c>
      <c r="N123" s="265">
        <v>95</v>
      </c>
      <c r="O123" s="266">
        <f t="shared" si="87"/>
        <v>242</v>
      </c>
    </row>
    <row r="124" spans="5:15" ht="15.75">
      <c r="E124" s="322"/>
      <c r="H124" s="1174">
        <f>J124/0.17</f>
        <v>48274.837920266611</v>
      </c>
      <c r="I124" s="379">
        <f t="shared" si="88"/>
        <v>2030</v>
      </c>
      <c r="J124" s="262">
        <f>HLOOKUP(I124,'מטריצת ייצור מתחדשות'!$C$55:$W$77,'מטריצת ייצור מתחדשות'!$B$76-'מטריצת ייצור מתחדשות'!$B$56+3,FALSE)</f>
        <v>8206.7224464453247</v>
      </c>
      <c r="K124" s="262">
        <f>HLOOKUP(I124,'מטריצת ייצור מתחדשות'!$C$30:$W$52,'מטריצת ייצור מתחדשות'!$B$76-'מטריצת ייצור מתחדשות'!$B$56+3,FALSE)</f>
        <v>13066.260444853671</v>
      </c>
      <c r="L124" s="266">
        <f>HLOOKUP(I124,'מטריצת ייצור מתחדשות'!$C$5:$W$27,'מטריצת ייצור מתחדשות'!$B$76-'מטריצת ייצור מתחדשות'!$B$56+3,FALSE)</f>
        <v>16098.626496369259</v>
      </c>
      <c r="M124" s="262">
        <v>730</v>
      </c>
      <c r="N124" s="265">
        <v>100</v>
      </c>
      <c r="O124" s="266">
        <f t="shared" si="87"/>
        <v>242</v>
      </c>
    </row>
    <row r="125" spans="5:15" ht="15.75">
      <c r="E125" s="322"/>
      <c r="H125" s="1174">
        <f>K124/0.25</f>
        <v>52265.041779414685</v>
      </c>
      <c r="I125" s="379">
        <f t="shared" si="88"/>
        <v>2031</v>
      </c>
      <c r="J125" s="262">
        <f>HLOOKUP(I125,'מטריצת ייצור מתחדשות'!$C$55:$W$77,'מטריצת ייצור מתחדשות'!$B$76-'מטריצת ייצור מתחדשות'!$B$56+3,FALSE)</f>
        <v>8206.7224464453247</v>
      </c>
      <c r="K125" s="262">
        <f>HLOOKUP(I125,'מטריצת ייצור מתחדשות'!$C$30:$W$52,'מטריצת ייצור מתחדשות'!$B$76-'מטריצת ייצור מתחדשות'!$B$56+3,FALSE)</f>
        <v>13066.260444853671</v>
      </c>
      <c r="L125" s="266">
        <f>HLOOKUP(I125,'מטריצת ייצור מתחדשות'!$C$5:$W$27,'מטריצת ייצור מתחדשות'!$B$76-'מטריצת ייצור מתחדשות'!$B$56+3,FALSE)</f>
        <v>16098.626496369259</v>
      </c>
      <c r="M125" s="262">
        <v>730</v>
      </c>
      <c r="N125" s="265">
        <v>100</v>
      </c>
      <c r="O125" s="266">
        <f t="shared" si="87"/>
        <v>242</v>
      </c>
    </row>
    <row r="126" spans="5:15" ht="15.75">
      <c r="E126" s="322"/>
      <c r="H126" s="1174">
        <f>L124/0.3</f>
        <v>53662.088321230869</v>
      </c>
      <c r="I126" s="379">
        <f t="shared" si="88"/>
        <v>2032</v>
      </c>
      <c r="J126" s="262">
        <f>HLOOKUP(I126,'מטריצת ייצור מתחדשות'!$C$55:$W$77,'מטריצת ייצור מתחדשות'!$B$76-'מטריצת ייצור מתחדשות'!$B$56+3,FALSE)</f>
        <v>8206.7224464453247</v>
      </c>
      <c r="K126" s="262">
        <f>HLOOKUP(I126,'מטריצת ייצור מתחדשות'!$C$30:$W$52,'מטריצת ייצור מתחדשות'!$B$76-'מטריצת ייצור מתחדשות'!$B$56+3,FALSE)</f>
        <v>13066.260444853671</v>
      </c>
      <c r="L126" s="266">
        <f>HLOOKUP(I126,'מטריצת ייצור מתחדשות'!$C$5:$W$27,'מטריצת ייצור מתחדשות'!$B$76-'מטריצת ייצור מתחדשות'!$B$56+3,FALSE)</f>
        <v>16098.626496369259</v>
      </c>
      <c r="M126" s="262">
        <v>730</v>
      </c>
      <c r="N126" s="265">
        <v>100</v>
      </c>
      <c r="O126" s="266">
        <f t="shared" si="87"/>
        <v>242</v>
      </c>
    </row>
    <row r="127" spans="5:15" ht="15.75">
      <c r="E127" s="322"/>
      <c r="I127" s="379">
        <f t="shared" si="88"/>
        <v>2033</v>
      </c>
      <c r="J127" s="262">
        <f>HLOOKUP(I127,'מטריצת ייצור מתחדשות'!$C$55:$W$77,'מטריצת ייצור מתחדשות'!$B$76-'מטריצת ייצור מתחדשות'!$B$56+3,FALSE)</f>
        <v>8206.7224464453247</v>
      </c>
      <c r="K127" s="262">
        <f>HLOOKUP(I127,'מטריצת ייצור מתחדשות'!$C$30:$W$52,'מטריצת ייצור מתחדשות'!$B$76-'מטריצת ייצור מתחדשות'!$B$56+3,FALSE)</f>
        <v>13066.260444853671</v>
      </c>
      <c r="L127" s="266">
        <f>HLOOKUP(I127,'מטריצת ייצור מתחדשות'!$C$5:$W$27,'מטריצת ייצור מתחדשות'!$B$76-'מטריצת ייצור מתחדשות'!$B$56+3,FALSE)</f>
        <v>16098.626496369259</v>
      </c>
      <c r="M127" s="262">
        <v>730</v>
      </c>
      <c r="N127" s="265">
        <v>100</v>
      </c>
      <c r="O127" s="266">
        <f t="shared" si="87"/>
        <v>242</v>
      </c>
    </row>
    <row r="128" spans="5:15" ht="15.75">
      <c r="E128" s="322"/>
      <c r="I128" s="379">
        <f t="shared" si="88"/>
        <v>2034</v>
      </c>
      <c r="J128" s="262">
        <f>HLOOKUP(I128,'מטריצת ייצור מתחדשות'!$C$55:$W$77,'מטריצת ייצור מתחדשות'!$B$76-'מטריצת ייצור מתחדשות'!$B$56+3,FALSE)</f>
        <v>8206.7224464453247</v>
      </c>
      <c r="K128" s="262">
        <f>HLOOKUP(I128,'מטריצת ייצור מתחדשות'!$C$30:$W$52,'מטריצת ייצור מתחדשות'!$B$76-'מטריצת ייצור מתחדשות'!$B$56+3,FALSE)</f>
        <v>13066.260444853671</v>
      </c>
      <c r="L128" s="266">
        <f>HLOOKUP(I128,'מטריצת ייצור מתחדשות'!$C$5:$W$27,'מטריצת ייצור מתחדשות'!$B$76-'מטריצת ייצור מתחדשות'!$B$56+3,FALSE)</f>
        <v>16098.626496369259</v>
      </c>
      <c r="M128" s="262">
        <v>730</v>
      </c>
      <c r="N128" s="265">
        <v>100</v>
      </c>
      <c r="O128" s="266">
        <f t="shared" si="87"/>
        <v>242</v>
      </c>
    </row>
    <row r="129" spans="9:15" ht="15.75">
      <c r="I129" s="379">
        <f t="shared" si="88"/>
        <v>2035</v>
      </c>
      <c r="J129" s="262">
        <f>HLOOKUP(I129,'מטריצת ייצור מתחדשות'!$C$55:$W$77,'מטריצת ייצור מתחדשות'!$B$76-'מטריצת ייצור מתחדשות'!$B$56+3,FALSE)</f>
        <v>8206.7224464453247</v>
      </c>
      <c r="K129" s="262">
        <f>HLOOKUP(I129,'מטריצת ייצור מתחדשות'!$C$30:$W$52,'מטריצת ייצור מתחדשות'!$B$76-'מטריצת ייצור מתחדשות'!$B$56+3,FALSE)</f>
        <v>13066.260444853671</v>
      </c>
      <c r="L129" s="266">
        <f>HLOOKUP(I129,'מטריצת ייצור מתחדשות'!$C$5:$W$27,'מטריצת ייצור מתחדשות'!$B$76-'מטריצת ייצור מתחדשות'!$B$56+3,FALSE)</f>
        <v>16098.626496369259</v>
      </c>
      <c r="M129" s="262">
        <v>730</v>
      </c>
      <c r="N129" s="265">
        <v>100</v>
      </c>
      <c r="O129" s="266">
        <f t="shared" si="87"/>
        <v>242</v>
      </c>
    </row>
    <row r="130" spans="9:15" ht="15.75">
      <c r="I130" s="379">
        <f t="shared" si="88"/>
        <v>2036</v>
      </c>
      <c r="J130" s="262">
        <f>HLOOKUP(I130,'מטריצת ייצור מתחדשות'!$C$55:$W$77,'מטריצת ייצור מתחדשות'!$B$76-'מטריצת ייצור מתחדשות'!$B$56+3,FALSE)</f>
        <v>8206.7224464453247</v>
      </c>
      <c r="K130" s="262">
        <f>HLOOKUP(I130,'מטריצת ייצור מתחדשות'!$C$30:$W$52,'מטריצת ייצור מתחדשות'!$B$76-'מטריצת ייצור מתחדשות'!$B$56+3,FALSE)</f>
        <v>13066.260444853671</v>
      </c>
      <c r="L130" s="266">
        <f>HLOOKUP(I130,'מטריצת ייצור מתחדשות'!$C$5:$W$27,'מטריצת ייצור מתחדשות'!$B$76-'מטריצת ייצור מתחדשות'!$B$56+3,FALSE)</f>
        <v>16098.626496369259</v>
      </c>
      <c r="M130" s="262">
        <v>730</v>
      </c>
      <c r="N130" s="265">
        <v>100</v>
      </c>
      <c r="O130" s="266">
        <f t="shared" si="87"/>
        <v>242</v>
      </c>
    </row>
    <row r="131" spans="9:15" ht="15.75">
      <c r="I131" s="379">
        <f t="shared" si="88"/>
        <v>2037</v>
      </c>
      <c r="J131" s="262">
        <f>HLOOKUP(I131,'מטריצת ייצור מתחדשות'!$C$55:$W$77,'מטריצת ייצור מתחדשות'!$B$76-'מטריצת ייצור מתחדשות'!$B$56+3,FALSE)</f>
        <v>8206.7224464453247</v>
      </c>
      <c r="K131" s="262">
        <f>HLOOKUP(I131,'מטריצת ייצור מתחדשות'!$C$30:$W$52,'מטריצת ייצור מתחדשות'!$B$76-'מטריצת ייצור מתחדשות'!$B$56+3,FALSE)</f>
        <v>13066.260444853671</v>
      </c>
      <c r="L131" s="266">
        <f>HLOOKUP(I131,'מטריצת ייצור מתחדשות'!$C$5:$W$27,'מטריצת ייצור מתחדשות'!$B$76-'מטריצת ייצור מתחדשות'!$B$56+3,FALSE)</f>
        <v>16098.626496369259</v>
      </c>
      <c r="M131" s="262">
        <v>730</v>
      </c>
      <c r="N131" s="265">
        <v>100</v>
      </c>
      <c r="O131" s="266">
        <f t="shared" si="87"/>
        <v>242</v>
      </c>
    </row>
    <row r="132" spans="9:15" ht="15.75">
      <c r="I132" s="379">
        <f t="shared" si="88"/>
        <v>2038</v>
      </c>
      <c r="J132" s="262">
        <f>HLOOKUP(I132,'מטריצת ייצור מתחדשות'!$C$55:$W$77,'מטריצת ייצור מתחדשות'!$B$76-'מטריצת ייצור מתחדשות'!$B$56+3,FALSE)</f>
        <v>8206.7224464453247</v>
      </c>
      <c r="K132" s="262">
        <f>HLOOKUP(I132,'מטריצת ייצור מתחדשות'!$C$30:$W$52,'מטריצת ייצור מתחדשות'!$B$76-'מטריצת ייצור מתחדשות'!$B$56+3,FALSE)</f>
        <v>13066.260444853671</v>
      </c>
      <c r="L132" s="266">
        <f>HLOOKUP(I132,'מטריצת ייצור מתחדשות'!$C$5:$W$27,'מטריצת ייצור מתחדשות'!$B$76-'מטריצת ייצור מתחדשות'!$B$56+3,FALSE)</f>
        <v>16098.626496369259</v>
      </c>
      <c r="M132" s="262">
        <v>730</v>
      </c>
      <c r="N132" s="265">
        <v>100</v>
      </c>
      <c r="O132" s="266">
        <f t="shared" si="87"/>
        <v>242</v>
      </c>
    </row>
    <row r="133" spans="9:15" ht="15.75">
      <c r="I133" s="379">
        <f t="shared" si="88"/>
        <v>2039</v>
      </c>
      <c r="J133" s="262">
        <f>HLOOKUP(I133,'מטריצת ייצור מתחדשות'!$C$55:$W$77,'מטריצת ייצור מתחדשות'!$B$76-'מטריצת ייצור מתחדשות'!$B$56+3,FALSE)</f>
        <v>8206.7224464453247</v>
      </c>
      <c r="K133" s="262">
        <f>HLOOKUP(I133,'מטריצת ייצור מתחדשות'!$C$30:$W$52,'מטריצת ייצור מתחדשות'!$B$76-'מטריצת ייצור מתחדשות'!$B$56+3,FALSE)</f>
        <v>13066.260444853671</v>
      </c>
      <c r="L133" s="266">
        <f>HLOOKUP(I133,'מטריצת ייצור מתחדשות'!$C$5:$W$27,'מטריצת ייצור מתחדשות'!$B$76-'מטריצת ייצור מתחדשות'!$B$56+3,FALSE)</f>
        <v>16098.626496369259</v>
      </c>
      <c r="M133" s="262">
        <v>730</v>
      </c>
      <c r="N133" s="265">
        <v>100</v>
      </c>
      <c r="O133" s="266">
        <f t="shared" si="87"/>
        <v>242</v>
      </c>
    </row>
    <row r="134" spans="9:15" ht="16.5" thickBot="1">
      <c r="I134" s="380">
        <f t="shared" si="88"/>
        <v>2040</v>
      </c>
      <c r="J134" s="267">
        <f>HLOOKUP(I134,'מטריצת ייצור מתחדשות'!$C$55:$W$77,'מטריצת ייצור מתחדשות'!$B$76-'מטריצת ייצור מתחדשות'!$B$56+3,FALSE)</f>
        <v>8206.7224464453247</v>
      </c>
      <c r="K134" s="267">
        <f>HLOOKUP(I134,'מטריצת ייצור מתחדשות'!$C$30:$W$52,'מטריצת ייצור מתחדשות'!$B$76-'מטריצת ייצור מתחדשות'!$B$56+3,FALSE)</f>
        <v>13066.260444853671</v>
      </c>
      <c r="L134" s="268">
        <f>HLOOKUP(I134,'מטריצת ייצור מתחדשות'!$C$5:$W$27,'מטריצת ייצור מתחדשות'!$B$76-'מטריצת ייצור מתחדשות'!$B$56+3,FALSE)</f>
        <v>16098.626496369259</v>
      </c>
      <c r="M134" s="267">
        <v>730</v>
      </c>
      <c r="N134" s="383">
        <v>100</v>
      </c>
      <c r="O134" s="268">
        <f t="shared" si="87"/>
        <v>242</v>
      </c>
    </row>
  </sheetData>
  <mergeCells count="19">
    <mergeCell ref="H106:H108"/>
    <mergeCell ref="J111:O111"/>
    <mergeCell ref="AA4:AF4"/>
    <mergeCell ref="AA28:AF28"/>
    <mergeCell ref="T4:Y4"/>
    <mergeCell ref="T28:Y28"/>
    <mergeCell ref="T52:Y52"/>
    <mergeCell ref="H5:H20"/>
    <mergeCell ref="B4:D4"/>
    <mergeCell ref="B30:E30"/>
    <mergeCell ref="B54:E54"/>
    <mergeCell ref="H103:H104"/>
    <mergeCell ref="B78:E78"/>
    <mergeCell ref="H68:H96"/>
    <mergeCell ref="H97:H102"/>
    <mergeCell ref="H66:H67"/>
    <mergeCell ref="H47:H65"/>
    <mergeCell ref="H33:H46"/>
    <mergeCell ref="H21:H32"/>
  </mergeCells>
  <dataValidations disablePrompts="1" count="1">
    <dataValidation type="list" allowBlank="1" showInputMessage="1" showErrorMessage="1" sqref="K5:K104" xr:uid="{00000000-0002-0000-0300-000000000000}">
      <formula1>$U$5:$Y$5</formula1>
    </dataValidation>
  </dataValidation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S160"/>
  <sheetViews>
    <sheetView rightToLeft="1" zoomScaleNormal="100" workbookViewId="0">
      <selection activeCell="M28" sqref="M28"/>
    </sheetView>
  </sheetViews>
  <sheetFormatPr defaultRowHeight="15"/>
  <cols>
    <col min="1" max="1" width="2.28515625" bestFit="1" customWidth="1"/>
    <col min="2" max="2" width="33.140625" bestFit="1" customWidth="1"/>
    <col min="3" max="19" width="9.7109375" bestFit="1" customWidth="1"/>
    <col min="20" max="23" width="10.7109375" bestFit="1" customWidth="1"/>
    <col min="24" max="24" width="10.85546875" customWidth="1"/>
    <col min="25" max="45" width="3.28515625" bestFit="1" customWidth="1"/>
  </cols>
  <sheetData>
    <row r="1" spans="1:45" ht="15.75" thickBot="1"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</row>
    <row r="2" spans="1:45" s="3" customFormat="1" ht="16.5" thickBot="1">
      <c r="A2" s="2">
        <v>1</v>
      </c>
      <c r="B2" s="2">
        <f>+A2+1</f>
        <v>2</v>
      </c>
      <c r="C2" s="2">
        <f>+B2+1</f>
        <v>3</v>
      </c>
      <c r="D2" s="2">
        <f t="shared" ref="D2:AS2" si="0">+C2+1</f>
        <v>4</v>
      </c>
      <c r="E2" s="2">
        <f>+D2+1</f>
        <v>5</v>
      </c>
      <c r="F2" s="2">
        <f>+E2+1</f>
        <v>6</v>
      </c>
      <c r="G2" s="2">
        <f t="shared" ref="G2:L2" si="1">+F2+1</f>
        <v>7</v>
      </c>
      <c r="H2" s="2">
        <f t="shared" si="1"/>
        <v>8</v>
      </c>
      <c r="I2" s="2">
        <f t="shared" si="1"/>
        <v>9</v>
      </c>
      <c r="J2" s="2">
        <f t="shared" si="1"/>
        <v>10</v>
      </c>
      <c r="K2" s="2">
        <f t="shared" si="1"/>
        <v>11</v>
      </c>
      <c r="L2" s="2">
        <f t="shared" si="1"/>
        <v>12</v>
      </c>
      <c r="M2" s="2">
        <f t="shared" si="0"/>
        <v>13</v>
      </c>
      <c r="N2" s="2">
        <f t="shared" si="0"/>
        <v>14</v>
      </c>
      <c r="O2" s="2">
        <f t="shared" si="0"/>
        <v>15</v>
      </c>
      <c r="P2" s="2">
        <f t="shared" si="0"/>
        <v>16</v>
      </c>
      <c r="Q2" s="2">
        <f t="shared" si="0"/>
        <v>17</v>
      </c>
      <c r="R2" s="2">
        <f t="shared" si="0"/>
        <v>18</v>
      </c>
      <c r="S2" s="2">
        <f t="shared" si="0"/>
        <v>19</v>
      </c>
      <c r="T2" s="2">
        <f t="shared" si="0"/>
        <v>20</v>
      </c>
      <c r="U2" s="2">
        <f t="shared" si="0"/>
        <v>21</v>
      </c>
      <c r="V2" s="2">
        <f t="shared" si="0"/>
        <v>22</v>
      </c>
      <c r="W2" s="2">
        <f t="shared" ref="W2" si="2">+V2+1</f>
        <v>23</v>
      </c>
      <c r="X2" s="2">
        <f t="shared" ref="X2" si="3">+W2+1</f>
        <v>24</v>
      </c>
      <c r="Y2" s="2">
        <f t="shared" si="0"/>
        <v>25</v>
      </c>
      <c r="Z2" s="2">
        <f t="shared" si="0"/>
        <v>26</v>
      </c>
      <c r="AA2" s="2">
        <f t="shared" si="0"/>
        <v>27</v>
      </c>
      <c r="AB2" s="2">
        <f t="shared" si="0"/>
        <v>28</v>
      </c>
      <c r="AC2" s="2">
        <f t="shared" si="0"/>
        <v>29</v>
      </c>
      <c r="AD2" s="2">
        <f t="shared" si="0"/>
        <v>30</v>
      </c>
      <c r="AE2" s="2">
        <f t="shared" si="0"/>
        <v>31</v>
      </c>
      <c r="AF2" s="2">
        <f t="shared" si="0"/>
        <v>32</v>
      </c>
      <c r="AG2" s="2">
        <f t="shared" si="0"/>
        <v>33</v>
      </c>
      <c r="AH2" s="2">
        <f t="shared" si="0"/>
        <v>34</v>
      </c>
      <c r="AI2" s="2">
        <f t="shared" si="0"/>
        <v>35</v>
      </c>
      <c r="AJ2" s="2">
        <f t="shared" si="0"/>
        <v>36</v>
      </c>
      <c r="AK2" s="2">
        <f t="shared" si="0"/>
        <v>37</v>
      </c>
      <c r="AL2" s="2">
        <f t="shared" si="0"/>
        <v>38</v>
      </c>
      <c r="AM2" s="2">
        <f t="shared" si="0"/>
        <v>39</v>
      </c>
      <c r="AN2" s="2">
        <f t="shared" si="0"/>
        <v>40</v>
      </c>
      <c r="AO2" s="2">
        <f t="shared" si="0"/>
        <v>41</v>
      </c>
      <c r="AP2" s="2">
        <f t="shared" si="0"/>
        <v>42</v>
      </c>
      <c r="AQ2" s="2">
        <f t="shared" si="0"/>
        <v>43</v>
      </c>
      <c r="AR2" s="2">
        <f t="shared" si="0"/>
        <v>44</v>
      </c>
      <c r="AS2" s="2">
        <f t="shared" si="0"/>
        <v>45</v>
      </c>
    </row>
    <row r="3" spans="1:45" ht="15.75" thickBot="1">
      <c r="C3" s="243"/>
      <c r="D3" s="243"/>
    </row>
    <row r="4" spans="1:45" ht="16.5" thickBot="1">
      <c r="B4" s="1286" t="s">
        <v>234</v>
      </c>
      <c r="C4" s="1287"/>
      <c r="D4" s="1287"/>
      <c r="E4" s="1287"/>
      <c r="F4" s="1287"/>
      <c r="G4" s="1287"/>
      <c r="H4" s="1287"/>
      <c r="I4" s="1287"/>
      <c r="J4" s="1287"/>
      <c r="K4" s="1287"/>
      <c r="L4" s="1287"/>
      <c r="M4" s="1287"/>
      <c r="N4" s="1287"/>
      <c r="O4" s="1287"/>
      <c r="P4" s="1287"/>
      <c r="Q4" s="1287"/>
      <c r="R4" s="1287"/>
      <c r="S4" s="1287"/>
      <c r="T4" s="1287"/>
      <c r="U4" s="1287"/>
      <c r="V4" s="1287"/>
      <c r="W4" s="1288"/>
    </row>
    <row r="5" spans="1:45" ht="16.5" thickBot="1">
      <c r="B5" s="310" t="s">
        <v>237</v>
      </c>
      <c r="C5" s="309">
        <v>2020</v>
      </c>
      <c r="D5" s="309">
        <v>2021</v>
      </c>
      <c r="E5" s="309">
        <v>2022</v>
      </c>
      <c r="F5" s="309">
        <v>2023</v>
      </c>
      <c r="G5" s="309">
        <v>2024</v>
      </c>
      <c r="H5" s="309">
        <v>2025</v>
      </c>
      <c r="I5" s="309">
        <v>2026</v>
      </c>
      <c r="J5" s="309">
        <v>2027</v>
      </c>
      <c r="K5" s="309">
        <v>2028</v>
      </c>
      <c r="L5" s="309">
        <v>2029</v>
      </c>
      <c r="M5" s="309">
        <v>2030</v>
      </c>
      <c r="N5" s="309">
        <v>2031</v>
      </c>
      <c r="O5" s="309">
        <v>2032</v>
      </c>
      <c r="P5" s="309">
        <v>2033</v>
      </c>
      <c r="Q5" s="309">
        <v>2034</v>
      </c>
      <c r="R5" s="309">
        <v>2035</v>
      </c>
      <c r="S5" s="309">
        <v>2036</v>
      </c>
      <c r="T5" s="309">
        <v>2037</v>
      </c>
      <c r="U5" s="309">
        <v>2038</v>
      </c>
      <c r="V5" s="309">
        <v>2039</v>
      </c>
      <c r="W5" s="307">
        <v>2040</v>
      </c>
    </row>
    <row r="6" spans="1:45">
      <c r="B6" s="311">
        <f>'הנחות עבודה'!C5</f>
        <v>2020</v>
      </c>
      <c r="C6" s="231">
        <f>IF($B6&gt;2030,0,IF($B6&gt;C$5,0,IF($B6=C$5,VLOOKUP($B6,'הספק קיים ותחזית יצור'!$B$80:$E$100,4,FALSE)/'הנחות עבודה'!$D$33-SUM(C$5:C5)+C$5,B6*(1-'הנחות עבודה'!$D$38))))</f>
        <v>3904.6682808157962</v>
      </c>
      <c r="D6" s="232">
        <f>IF($B6&gt;2030,0,IF($B6&gt;D$5,0,IF($B6=D$5,VLOOKUP($B6,'הספק קיים ותחזית יצור'!$B$80:$E$100,4,FALSE)/'הנחות עבודה'!$D$33-SUM(D$5:D5)+D$5,C6*(1-'הנחות עבודה'!$D$38))))</f>
        <v>3881.2402711309014</v>
      </c>
      <c r="E6" s="232">
        <f>IF($B6&gt;2030,0,IF($B6&gt;E$5,0,IF($B6=E$5,VLOOKUP($B6,'הספק קיים ותחזית יצור'!$B$80:$E$100,4,FALSE)/'הנחות עבודה'!$D$33-SUM(E$5:E5)+E$5,D6*(1-'הנחות עבודה'!$D$38))))</f>
        <v>3857.9528295041159</v>
      </c>
      <c r="F6" s="232">
        <f>IF($B6&gt;2030,0,IF($B6&gt;F$5,0,IF($B6=F$5,VLOOKUP($B6,'הספק קיים ותחזית יצור'!$B$80:$E$100,4,FALSE)/'הנחות עבודה'!$D$33-SUM(F$5:F5)+F$5,E6*(1-'הנחות עבודה'!$D$38))))</f>
        <v>3834.8051125270913</v>
      </c>
      <c r="G6" s="232">
        <f>IF($B6&gt;2030,0,IF($B6&gt;G$5,0,IF($B6=G$5,VLOOKUP($B6,'הספק קיים ותחזית יצור'!$B$80:$E$100,4,FALSE)/'הנחות עבודה'!$D$33-SUM(G$5:G5)+G$5,F6*(1-'הנחות עבודה'!$D$38))))</f>
        <v>3811.7962818519286</v>
      </c>
      <c r="H6" s="232">
        <f>IF($B6&gt;2030,0,IF($B6&gt;H$5,0,IF($B6=H$5,VLOOKUP($B6,'הספק קיים ותחזית יצור'!$B$80:$E$100,4,FALSE)/'הנחות עבודה'!$D$33-SUM(H$5:H5)+H$5,G6*(1-'הנחות עבודה'!$D$38))))</f>
        <v>3788.9255041608171</v>
      </c>
      <c r="I6" s="232">
        <f>IF($B6&gt;2030,0,IF($B6&gt;I$5,0,IF($B6=I$5,VLOOKUP($B6,'הספק קיים ותחזית יצור'!$B$80:$E$100,4,FALSE)/'הנחות עבודה'!$D$33-SUM(I$5:I5)+I$5,H6*(1-'הנחות עבודה'!$D$38))))</f>
        <v>3766.1919511358524</v>
      </c>
      <c r="J6" s="232">
        <f>IF($B6&gt;2030,0,IF($B6&gt;J$5,0,IF($B6=J$5,VLOOKUP($B6,'הספק קיים ותחזית יצור'!$B$80:$E$100,4,FALSE)/'הנחות עבודה'!$D$33-SUM(J$5:J5)+J$5,I6*(1-'הנחות עבודה'!$D$38))))</f>
        <v>3743.5947994290373</v>
      </c>
      <c r="K6" s="232">
        <f>IF($B6&gt;2030,0,IF($B6&gt;K$5,0,IF($B6=K$5,VLOOKUP($B6,'הספק קיים ותחזית יצור'!$B$80:$E$100,4,FALSE)/'הנחות עבודה'!$D$33-SUM(K$5:K5)+K$5,J6*(1-'הנחות עבודה'!$D$38))))</f>
        <v>3721.133230632463</v>
      </c>
      <c r="L6" s="232">
        <f>IF($B6&gt;2030,0,IF($B6&gt;L$5,0,IF($B6=L$5,VLOOKUP($B6,'הספק קיים ותחזית יצור'!$B$80:$E$100,4,FALSE)/'הנחות עבודה'!$D$33-SUM(L$5:L5)+L$5,K6*(1-'הנחות עבודה'!$D$38))))</f>
        <v>3698.8064312486681</v>
      </c>
      <c r="M6" s="232">
        <f>IF($B6&gt;2030,0,IF($B6&gt;M$5,0,IF($B6=M$5,VLOOKUP($B6,'הספק קיים ותחזית יצור'!$B$80:$E$100,4,FALSE)/'הנחות עבודה'!$D$33-SUM(M$5:M5)+M$5,L6*(1-'הנחות עבודה'!$D$38))))</f>
        <v>3676.613592661176</v>
      </c>
      <c r="N6" s="232">
        <f>IF($B6&gt;2030,0,IF($B6&gt;N$5,0,IF($B6=N$5,VLOOKUP($B6,'הספק קיים ותחזית יצור'!$B$80:$E$100,4,FALSE)/'הנחות עבודה'!$D$33-SUM(N$5:N5)+N$5,M6*(1-'הנחות עבודה'!$D$38))))</f>
        <v>3654.553911105209</v>
      </c>
      <c r="O6" s="232">
        <f>IF($B6&gt;2030,0,IF($B6&gt;O$5,0,IF($B6=O$5,VLOOKUP($B6,'הספק קיים ותחזית יצור'!$B$80:$E$100,4,FALSE)/'הנחות עבודה'!$D$33-SUM(O$5:O5)+O$5,N6*(1-'הנחות עבודה'!$D$38))))</f>
        <v>3632.6265876385778</v>
      </c>
      <c r="P6" s="232">
        <f>IF($B6&gt;2030,0,IF($B6&gt;P$5,0,IF($B6=P$5,VLOOKUP($B6,'הספק קיים ותחזית יצור'!$B$80:$E$100,4,FALSE)/'הנחות עבודה'!$D$33-SUM(P$5:P5)+P$5,O6*(1-'הנחות עבודה'!$D$38))))</f>
        <v>3610.8308281127465</v>
      </c>
      <c r="Q6" s="232">
        <f>IF($B6&gt;2030,0,IF($B6&gt;Q$5,0,IF($B6=Q$5,VLOOKUP($B6,'הספק קיים ותחזית יצור'!$B$80:$E$100,4,FALSE)/'הנחות עבודה'!$D$33-SUM(Q$5:Q5)+Q$5,P6*(1-'הנחות עבודה'!$D$38))))</f>
        <v>3589.1658431440701</v>
      </c>
      <c r="R6" s="232">
        <f>IF($B6&gt;2030,0,IF($B6&gt;R$5,0,IF($B6=R$5,VLOOKUP($B6,'הספק קיים ותחזית יצור'!$B$80:$E$100,4,FALSE)/'הנחות עבודה'!$D$33-SUM(R$5:R5)+R$5,Q6*(1-'הנחות עבודה'!$D$38))))</f>
        <v>3567.6308480852058</v>
      </c>
      <c r="S6" s="232">
        <f>IF($B6&gt;2030,0,IF($B6&gt;S$5,0,IF($B6=S$5,VLOOKUP($B6,'הספק קיים ותחזית יצור'!$B$80:$E$100,4,FALSE)/'הנחות עבודה'!$D$33-SUM(S$5:S5)+S$5,R6*(1-'הנחות עבודה'!$D$38))))</f>
        <v>3546.2250629966948</v>
      </c>
      <c r="T6" s="232">
        <f>IF($B6&gt;2030,0,IF($B6&gt;T$5,0,IF($B6=T$5,VLOOKUP($B6,'הספק קיים ותחזית יצור'!$B$80:$E$100,4,FALSE)/'הנחות עבודה'!$D$33-SUM(T$5:T5)+T$5,S6*(1-'הנחות עבודה'!$D$38))))</f>
        <v>3524.9477126187144</v>
      </c>
      <c r="U6" s="232">
        <f>IF($B6&gt;2030,0,IF($B6&gt;U$5,0,IF($B6=U$5,VLOOKUP($B6,'הספק קיים ותחזית יצור'!$B$80:$E$100,4,FALSE)/'הנחות עבודה'!$D$33-SUM(U$5:U5)+U$5,T6*(1-'הנחות עבודה'!$D$38))))</f>
        <v>3503.7980263430022</v>
      </c>
      <c r="V6" s="232">
        <f>IF($B6&gt;2030,0,IF($B6&gt;V$5,0,IF($B6=V$5,VLOOKUP($B6,'הספק קיים ותחזית יצור'!$B$80:$E$100,4,FALSE)/'הנחות עבודה'!$D$33-SUM(V$5:V5)+V$5,U6*(1-'הנחות עבודה'!$D$38))))</f>
        <v>3482.7752381849441</v>
      </c>
      <c r="W6" s="233">
        <f>IF($B6&gt;2030,0,IF($B6&gt;W$5,0,IF($B6=W$5,VLOOKUP($B6,'הספק קיים ותחזית יצור'!$B$80:$E$100,4,FALSE)/'הנחות עבודה'!$D$33-SUM(W$5:W5)+W$5,V6*(1-'הנחות עבודה'!$D$38))))</f>
        <v>3461.8785867558345</v>
      </c>
    </row>
    <row r="7" spans="1:45">
      <c r="B7" s="306">
        <f>+B6+1</f>
        <v>2021</v>
      </c>
      <c r="C7" s="234">
        <f>IF($B7&gt;2030,0,IF($B7&gt;C$5,0,IF($B7=C$5,VLOOKUP($B7,'הספק קיים ותחזית יצור'!$B$80:$E$100,4,FALSE)/'הנחות עבודה'!$D$33-SUM(C$5:C6)+C$5,B7*(1-'הנחות עבודה'!$D$38))))</f>
        <v>0</v>
      </c>
      <c r="D7" s="235">
        <f>IF($B7&gt;2030,0,IF($B7&gt;D$5,0,IF($B7=D$5,VLOOKUP($B7,'הספק קיים ותחזית יצור'!$B$80:$E$100,4,FALSE)/'הנחות עבודה'!$D$33-SUM(D$5:D6)+D$5,C7*(1-'הנחות עבודה'!$D$38))))</f>
        <v>972.52168756394531</v>
      </c>
      <c r="E7" s="235">
        <f>IF($B7&gt;2030,0,IF($B7&gt;E$5,0,IF($B7=E$5,VLOOKUP($B7,'הספק קיים ותחזית יצור'!$B$80:$E$100,4,FALSE)/'הנחות עבודה'!$D$33-SUM(E$5:E6)+E$5,D7*(1-'הנחות עבודה'!$D$38))))</f>
        <v>966.68655743856164</v>
      </c>
      <c r="F7" s="235">
        <f>IF($B7&gt;2030,0,IF($B7&gt;F$5,0,IF($B7=F$5,VLOOKUP($B7,'הספק קיים ותחזית יצור'!$B$80:$E$100,4,FALSE)/'הנחות עבודה'!$D$33-SUM(F$5:F6)+F$5,E7*(1-'הנחות עבודה'!$D$38))))</f>
        <v>960.88643809393022</v>
      </c>
      <c r="G7" s="235">
        <f>IF($B7&gt;2030,0,IF($B7&gt;G$5,0,IF($B7=G$5,VLOOKUP($B7,'הספק קיים ותחזית יצור'!$B$80:$E$100,4,FALSE)/'הנחות עבודה'!$D$33-SUM(G$5:G6)+G$5,F7*(1-'הנחות עבודה'!$D$38))))</f>
        <v>955.12111946536663</v>
      </c>
      <c r="H7" s="235">
        <f>IF($B7&gt;2030,0,IF($B7&gt;H$5,0,IF($B7=H$5,VLOOKUP($B7,'הספק קיים ותחזית יצור'!$B$80:$E$100,4,FALSE)/'הנחות עבודה'!$D$33-SUM(H$5:H6)+H$5,G7*(1-'הנחות עבודה'!$D$38))))</f>
        <v>949.39039274857441</v>
      </c>
      <c r="I7" s="235">
        <f>IF($B7&gt;2030,0,IF($B7&gt;I$5,0,IF($B7=I$5,VLOOKUP($B7,'הספק קיים ותחזית יצור'!$B$80:$E$100,4,FALSE)/'הנחות עבודה'!$D$33-SUM(I$5:I6)+I$5,H7*(1-'הנחות עבודה'!$D$38))))</f>
        <v>943.694050392083</v>
      </c>
      <c r="J7" s="235">
        <f>IF($B7&gt;2030,0,IF($B7&gt;J$5,0,IF($B7=J$5,VLOOKUP($B7,'הספק קיים ותחזית יצור'!$B$80:$E$100,4,FALSE)/'הנחות עבודה'!$D$33-SUM(J$5:J6)+J$5,I7*(1-'הנחות עבודה'!$D$38))))</f>
        <v>938.03188608973051</v>
      </c>
      <c r="K7" s="235">
        <f>IF($B7&gt;2030,0,IF($B7&gt;K$5,0,IF($B7=K$5,VLOOKUP($B7,'הספק קיים ותחזית יצור'!$B$80:$E$100,4,FALSE)/'הנחות עבודה'!$D$33-SUM(K$5:K6)+K$5,J7*(1-'הנחות עבודה'!$D$38))))</f>
        <v>932.40369477319211</v>
      </c>
      <c r="L7" s="235">
        <f>IF($B7&gt;2030,0,IF($B7&gt;L$5,0,IF($B7=L$5,VLOOKUP($B7,'הספק קיים ותחזית יצור'!$B$80:$E$100,4,FALSE)/'הנחות עבודה'!$D$33-SUM(L$5:L6)+L$5,K7*(1-'הנחות עבודה'!$D$38))))</f>
        <v>926.80927260455292</v>
      </c>
      <c r="M7" s="235">
        <f>IF($B7&gt;2030,0,IF($B7&gt;M$5,0,IF($B7=M$5,VLOOKUP($B7,'הספק קיים ותחזית יצור'!$B$80:$E$100,4,FALSE)/'הנחות עבודה'!$D$33-SUM(M$5:M6)+M$5,L7*(1-'הנחות עבודה'!$D$38))))</f>
        <v>921.24841696892554</v>
      </c>
      <c r="N7" s="235">
        <f>IF($B7&gt;2030,0,IF($B7&gt;N$5,0,IF($B7=N$5,VLOOKUP($B7,'הספק קיים ותחזית יצור'!$B$80:$E$100,4,FALSE)/'הנחות עבודה'!$D$33-SUM(N$5:N6)+N$5,M7*(1-'הנחות עבודה'!$D$38))))</f>
        <v>915.72092646711201</v>
      </c>
      <c r="O7" s="235">
        <f>IF($B7&gt;2030,0,IF($B7&gt;O$5,0,IF($B7=O$5,VLOOKUP($B7,'הספק קיים ותחזית יצור'!$B$80:$E$100,4,FALSE)/'הנחות עבודה'!$D$33-SUM(O$5:O6)+O$5,N7*(1-'הנחות עבודה'!$D$38))))</f>
        <v>910.22660090830936</v>
      </c>
      <c r="P7" s="235">
        <f>IF($B7&gt;2030,0,IF($B7&gt;P$5,0,IF($B7=P$5,VLOOKUP($B7,'הספק קיים ותחזית יצור'!$B$80:$E$100,4,FALSE)/'הנחות עבודה'!$D$33-SUM(P$5:P6)+P$5,O7*(1-'הנחות עבודה'!$D$38))))</f>
        <v>904.76524130285952</v>
      </c>
      <c r="Q7" s="235">
        <f>IF($B7&gt;2030,0,IF($B7&gt;Q$5,0,IF($B7=Q$5,VLOOKUP($B7,'הספק קיים ותחזית יצור'!$B$80:$E$100,4,FALSE)/'הנחות עבודה'!$D$33-SUM(Q$5:Q6)+Q$5,P7*(1-'הנחות עבודה'!$D$38))))</f>
        <v>899.33664985504231</v>
      </c>
      <c r="R7" s="235">
        <f>IF($B7&gt;2030,0,IF($B7&gt;R$5,0,IF($B7=R$5,VLOOKUP($B7,'הספק קיים ותחזית יצור'!$B$80:$E$100,4,FALSE)/'הנחות עבודה'!$D$33-SUM(R$5:R6)+R$5,Q7*(1-'הנחות עבודה'!$D$38))))</f>
        <v>893.94062995591207</v>
      </c>
      <c r="S7" s="235">
        <f>IF($B7&gt;2030,0,IF($B7&gt;S$5,0,IF($B7=S$5,VLOOKUP($B7,'הספק קיים ותחזית יצור'!$B$80:$E$100,4,FALSE)/'הנחות עבודה'!$D$33-SUM(S$5:S6)+S$5,R7*(1-'הנחות עבודה'!$D$38))))</f>
        <v>888.57698617617655</v>
      </c>
      <c r="T7" s="235">
        <f>IF($B7&gt;2030,0,IF($B7&gt;T$5,0,IF($B7=T$5,VLOOKUP($B7,'הספק קיים ותחזית יצור'!$B$80:$E$100,4,FALSE)/'הנחות עבודה'!$D$33-SUM(T$5:T6)+T$5,S7*(1-'הנחות עבודה'!$D$38))))</f>
        <v>883.24552425911952</v>
      </c>
      <c r="U7" s="235">
        <f>IF($B7&gt;2030,0,IF($B7&gt;U$5,0,IF($B7=U$5,VLOOKUP($B7,'הספק קיים ותחזית יצור'!$B$80:$E$100,4,FALSE)/'הנחות עבודה'!$D$33-SUM(U$5:U6)+U$5,T7*(1-'הנחות עבודה'!$D$38))))</f>
        <v>877.94605111356475</v>
      </c>
      <c r="V7" s="235">
        <f>IF($B7&gt;2030,0,IF($B7&gt;V$5,0,IF($B7=V$5,VLOOKUP($B7,'הספק קיים ותחזית יצור'!$B$80:$E$100,4,FALSE)/'הנחות עבודה'!$D$33-SUM(V$5:V6)+V$5,U7*(1-'הנחות עבודה'!$D$38))))</f>
        <v>872.67837480688331</v>
      </c>
      <c r="W7" s="236">
        <f>IF($B7&gt;2030,0,IF($B7&gt;W$5,0,IF($B7=W$5,VLOOKUP($B7,'הספק קיים ותחזית יצור'!$B$80:$E$100,4,FALSE)/'הנחות עבודה'!$D$33-SUM(W$5:W6)+W$5,V7*(1-'הנחות עבודה'!$D$38))))</f>
        <v>867.442304558042</v>
      </c>
    </row>
    <row r="8" spans="1:45">
      <c r="B8" s="306">
        <f t="shared" ref="B8:B26" si="4">+B7+1</f>
        <v>2022</v>
      </c>
      <c r="C8" s="234">
        <f>IF($B8&gt;2030,0,IF($B8&gt;C$5,0,IF($B8=C$5,VLOOKUP($B8,'הספק קיים ותחזית יצור'!$B$80:$E$100,4,FALSE)/'הנחות עבודה'!$D$33-SUM(C$5:C7)+C$5,B8*(1-'הנחות עבודה'!$D$38))))</f>
        <v>0</v>
      </c>
      <c r="D8" s="235">
        <f>IF($B8&gt;2030,0,IF($B8&gt;D$5,0,IF($B8=D$5,VLOOKUP($B8,'הספק קיים ותחזית יצור'!$B$80:$E$100,4,FALSE)/'הנחות עבודה'!$D$33-SUM(D$5:D7)+D$5,C8*(1-'הנחות עבודה'!$D$38))))</f>
        <v>0</v>
      </c>
      <c r="E8" s="235">
        <f>IF($B8&gt;2030,0,IF($B8&gt;E$5,0,IF($B8=E$5,VLOOKUP($B8,'הספק קיים ותחזית יצור'!$B$80:$E$100,4,FALSE)/'הנחות עבודה'!$D$33-SUM(E$5:E7)+E$5,D8*(1-'הנחות עבודה'!$D$38))))</f>
        <v>802.82112981945102</v>
      </c>
      <c r="F8" s="235">
        <f>IF($B8&gt;2030,0,IF($B8&gt;F$5,0,IF($B8=F$5,VLOOKUP($B8,'הספק קיים ותחזית יצור'!$B$80:$E$100,4,FALSE)/'הנחות עבודה'!$D$33-SUM(F$5:F7)+F$5,E8*(1-'הנחות עבודה'!$D$38))))</f>
        <v>798.00420304053432</v>
      </c>
      <c r="G8" s="235">
        <f>IF($B8&gt;2030,0,IF($B8&gt;G$5,0,IF($B8=G$5,VLOOKUP($B8,'הספק קיים ותחזית יצור'!$B$80:$E$100,4,FALSE)/'הנחות עבודה'!$D$33-SUM(G$5:G7)+G$5,F8*(1-'הנחות עבודה'!$D$38))))</f>
        <v>793.21617782229112</v>
      </c>
      <c r="H8" s="235">
        <f>IF($B8&gt;2030,0,IF($B8&gt;H$5,0,IF($B8=H$5,VLOOKUP($B8,'הספק קיים ותחזית יצור'!$B$80:$E$100,4,FALSE)/'הנחות עבודה'!$D$33-SUM(H$5:H7)+H$5,G8*(1-'הנחות עבודה'!$D$38))))</f>
        <v>788.45688075535736</v>
      </c>
      <c r="I8" s="235">
        <f>IF($B8&gt;2030,0,IF($B8&gt;I$5,0,IF($B8=I$5,VLOOKUP($B8,'הספק קיים ותחזית יצור'!$B$80:$E$100,4,FALSE)/'הנחות עבודה'!$D$33-SUM(I$5:I7)+I$5,H8*(1-'הנחות עבודה'!$D$38))))</f>
        <v>783.72613947082516</v>
      </c>
      <c r="J8" s="235">
        <f>IF($B8&gt;2030,0,IF($B8&gt;J$5,0,IF($B8=J$5,VLOOKUP($B8,'הספק קיים ותחזית יצור'!$B$80:$E$100,4,FALSE)/'הנחות עבודה'!$D$33-SUM(J$5:J7)+J$5,I8*(1-'הנחות עבודה'!$D$38))))</f>
        <v>779.02378263400021</v>
      </c>
      <c r="K8" s="235">
        <f>IF($B8&gt;2030,0,IF($B8&gt;K$5,0,IF($B8=K$5,VLOOKUP($B8,'הספק קיים ותחזית יצור'!$B$80:$E$100,4,FALSE)/'הנחות עבודה'!$D$33-SUM(K$5:K7)+K$5,J8*(1-'הנחות עבודה'!$D$38))))</f>
        <v>774.34963993819622</v>
      </c>
      <c r="L8" s="235">
        <f>IF($B8&gt;2030,0,IF($B8&gt;L$5,0,IF($B8=L$5,VLOOKUP($B8,'הספק קיים ותחזית יצור'!$B$80:$E$100,4,FALSE)/'הנחות עבודה'!$D$33-SUM(L$5:L7)+L$5,K8*(1-'הנחות עבודה'!$D$38))))</f>
        <v>769.70354209856703</v>
      </c>
      <c r="M8" s="235">
        <f>IF($B8&gt;2030,0,IF($B8&gt;M$5,0,IF($B8=M$5,VLOOKUP($B8,'הספק קיים ותחזית יצור'!$B$80:$E$100,4,FALSE)/'הנחות עבודה'!$D$33-SUM(M$5:M7)+M$5,L8*(1-'הנחות עבודה'!$D$38))))</f>
        <v>765.08532084597562</v>
      </c>
      <c r="N8" s="235">
        <f>IF($B8&gt;2030,0,IF($B8&gt;N$5,0,IF($B8=N$5,VLOOKUP($B8,'הספק קיים ותחזית יצור'!$B$80:$E$100,4,FALSE)/'הנחות עבודה'!$D$33-SUM(N$5:N7)+N$5,M8*(1-'הנחות עבודה'!$D$38))))</f>
        <v>760.4948089208998</v>
      </c>
      <c r="O8" s="235">
        <f>IF($B8&gt;2030,0,IF($B8&gt;O$5,0,IF($B8=O$5,VLOOKUP($B8,'הספק קיים ותחזית יצור'!$B$80:$E$100,4,FALSE)/'הנחות עבודה'!$D$33-SUM(O$5:O7)+O$5,N8*(1-'הנחות עבודה'!$D$38))))</f>
        <v>755.93184006737442</v>
      </c>
      <c r="P8" s="235">
        <f>IF($B8&gt;2030,0,IF($B8&gt;P$5,0,IF($B8=P$5,VLOOKUP($B8,'הספק קיים ותחזית יצור'!$B$80:$E$100,4,FALSE)/'הנחות עבודה'!$D$33-SUM(P$5:P7)+P$5,O8*(1-'הנחות עבודה'!$D$38))))</f>
        <v>751.39624902697017</v>
      </c>
      <c r="Q8" s="235">
        <f>IF($B8&gt;2030,0,IF($B8&gt;Q$5,0,IF($B8=Q$5,VLOOKUP($B8,'הספק קיים ותחזית יצור'!$B$80:$E$100,4,FALSE)/'הנחות עבודה'!$D$33-SUM(Q$5:Q7)+Q$5,P8*(1-'הנחות עבודה'!$D$38))))</f>
        <v>746.88787153280839</v>
      </c>
      <c r="R8" s="235">
        <f>IF($B8&gt;2030,0,IF($B8&gt;R$5,0,IF($B8=R$5,VLOOKUP($B8,'הספק קיים ותחזית יצור'!$B$80:$E$100,4,FALSE)/'הנחות עבודה'!$D$33-SUM(R$5:R7)+R$5,Q8*(1-'הנחות עבודה'!$D$38))))</f>
        <v>742.40654430361155</v>
      </c>
      <c r="S8" s="235">
        <f>IF($B8&gt;2030,0,IF($B8&gt;S$5,0,IF($B8=S$5,VLOOKUP($B8,'הספק קיים ותחזית יצור'!$B$80:$E$100,4,FALSE)/'הנחות עבודה'!$D$33-SUM(S$5:S7)+S$5,R8*(1-'הנחות עבודה'!$D$38))))</f>
        <v>737.95210503778992</v>
      </c>
      <c r="T8" s="235">
        <f>IF($B8&gt;2030,0,IF($B8&gt;T$5,0,IF($B8=T$5,VLOOKUP($B8,'הספק קיים ותחזית יצור'!$B$80:$E$100,4,FALSE)/'הנחות עבודה'!$D$33-SUM(T$5:T7)+T$5,S8*(1-'הנחות עבודה'!$D$38))))</f>
        <v>733.52439240756314</v>
      </c>
      <c r="U8" s="235">
        <f>IF($B8&gt;2030,0,IF($B8&gt;U$5,0,IF($B8=U$5,VLOOKUP($B8,'הספק קיים ותחזית יצור'!$B$80:$E$100,4,FALSE)/'הנחות עבודה'!$D$33-SUM(U$5:U7)+U$5,T8*(1-'הנחות עבודה'!$D$38))))</f>
        <v>729.12324605311778</v>
      </c>
      <c r="V8" s="235">
        <f>IF($B8&gt;2030,0,IF($B8&gt;V$5,0,IF($B8=V$5,VLOOKUP($B8,'הספק קיים ותחזית יצור'!$B$80:$E$100,4,FALSE)/'הנחות עבודה'!$D$33-SUM(V$5:V7)+V$5,U8*(1-'הנחות עבודה'!$D$38))))</f>
        <v>724.74850657679906</v>
      </c>
      <c r="W8" s="236">
        <f>IF($B8&gt;2030,0,IF($B8&gt;W$5,0,IF($B8=W$5,VLOOKUP($B8,'הספק קיים ותחזית יצור'!$B$80:$E$100,4,FALSE)/'הנחות עבודה'!$D$33-SUM(W$5:W7)+W$5,V8*(1-'הנחות עבודה'!$D$38))))</f>
        <v>720.40001553733828</v>
      </c>
    </row>
    <row r="9" spans="1:45">
      <c r="B9" s="306">
        <f t="shared" si="4"/>
        <v>2023</v>
      </c>
      <c r="C9" s="234">
        <f>IF($B9&gt;2030,0,IF($B9&gt;C$5,0,IF($B9=C$5,VLOOKUP($B9,'הספק קיים ותחזית יצור'!$B$80:$E$100,4,FALSE)/'הנחות עבודה'!$D$33-SUM(C$5:C8)+C$5,B9*(1-'הנחות עבודה'!$D$38))))</f>
        <v>0</v>
      </c>
      <c r="D9" s="235">
        <f>IF($B9&gt;2030,0,IF($B9&gt;D$5,0,IF($B9=D$5,VLOOKUP($B9,'הספק קיים ותחזית יצור'!$B$80:$E$100,4,FALSE)/'הנחות עבודה'!$D$33-SUM(D$5:D8)+D$5,C9*(1-'הנחות עבודה'!$D$38))))</f>
        <v>0</v>
      </c>
      <c r="E9" s="235">
        <f>IF($B9&gt;2030,0,IF($B9&gt;E$5,0,IF($B9=E$5,VLOOKUP($B9,'הספק קיים ותחזית יצור'!$B$80:$E$100,4,FALSE)/'הנחות עבודה'!$D$33-SUM(E$5:E8)+E$5,D9*(1-'הנחות עבודה'!$D$38))))</f>
        <v>0</v>
      </c>
      <c r="F9" s="235">
        <f>IF($B9&gt;2030,0,IF($B9&gt;F$5,0,IF($B9=F$5,VLOOKUP($B9,'הספק קיים ותחזית יצור'!$B$80:$E$100,4,FALSE)/'הנחות עבודה'!$D$33-SUM(F$5:F8)+F$5,E9*(1-'הנחות עבודה'!$D$38))))</f>
        <v>851.39056959365917</v>
      </c>
      <c r="G9" s="235">
        <f>IF($B9&gt;2030,0,IF($B9&gt;G$5,0,IF($B9=G$5,VLOOKUP($B9,'הספק קיים ותחזית יצור'!$B$80:$E$100,4,FALSE)/'הנחות עבודה'!$D$33-SUM(G$5:G8)+G$5,F9*(1-'הנחות עבודה'!$D$38))))</f>
        <v>846.2822261760972</v>
      </c>
      <c r="H9" s="235">
        <f>IF($B9&gt;2030,0,IF($B9&gt;H$5,0,IF($B9=H$5,VLOOKUP($B9,'הספק קיים ותחזית יצור'!$B$80:$E$100,4,FALSE)/'הנחות עבודה'!$D$33-SUM(H$5:H8)+H$5,G9*(1-'הנחות עבודה'!$D$38))))</f>
        <v>841.20453281904065</v>
      </c>
      <c r="I9" s="235">
        <f>IF($B9&gt;2030,0,IF($B9&gt;I$5,0,IF($B9=I$5,VLOOKUP($B9,'הספק קיים ותחזית יצור'!$B$80:$E$100,4,FALSE)/'הנחות עבודה'!$D$33-SUM(I$5:I8)+I$5,H9*(1-'הנחות עבודה'!$D$38))))</f>
        <v>836.15730562212639</v>
      </c>
      <c r="J9" s="235">
        <f>IF($B9&gt;2030,0,IF($B9&gt;J$5,0,IF($B9=J$5,VLOOKUP($B9,'הספק קיים ותחזית יצור'!$B$80:$E$100,4,FALSE)/'הנחות עבודה'!$D$33-SUM(J$5:J8)+J$5,I9*(1-'הנחות עבודה'!$D$38))))</f>
        <v>831.14036178839365</v>
      </c>
      <c r="K9" s="235">
        <f>IF($B9&gt;2030,0,IF($B9&gt;K$5,0,IF($B9=K$5,VLOOKUP($B9,'הספק קיים ותחזית יצור'!$B$80:$E$100,4,FALSE)/'הנחות עבודה'!$D$33-SUM(K$5:K8)+K$5,J9*(1-'הנחות עבודה'!$D$38))))</f>
        <v>826.15351961766328</v>
      </c>
      <c r="L9" s="235">
        <f>IF($B9&gt;2030,0,IF($B9&gt;L$5,0,IF($B9=L$5,VLOOKUP($B9,'הספק קיים ותחזית יצור'!$B$80:$E$100,4,FALSE)/'הנחות עבודה'!$D$33-SUM(L$5:L8)+L$5,K9*(1-'הנחות עבודה'!$D$38))))</f>
        <v>821.1965984999573</v>
      </c>
      <c r="M9" s="235">
        <f>IF($B9&gt;2030,0,IF($B9&gt;M$5,0,IF($B9=M$5,VLOOKUP($B9,'הספק קיים ותחזית יצור'!$B$80:$E$100,4,FALSE)/'הנחות עבודה'!$D$33-SUM(M$5:M8)+M$5,L9*(1-'הנחות עבודה'!$D$38))))</f>
        <v>816.2694189089575</v>
      </c>
      <c r="N9" s="235">
        <f>IF($B9&gt;2030,0,IF($B9&gt;N$5,0,IF($B9=N$5,VLOOKUP($B9,'הספק קיים ותחזית יצור'!$B$80:$E$100,4,FALSE)/'הנחות עבודה'!$D$33-SUM(N$5:N8)+N$5,M9*(1-'הנחות עבודה'!$D$38))))</f>
        <v>811.37180239550378</v>
      </c>
      <c r="O9" s="235">
        <f>IF($B9&gt;2030,0,IF($B9&gt;O$5,0,IF($B9=O$5,VLOOKUP($B9,'הספק קיים ותחזית יצור'!$B$80:$E$100,4,FALSE)/'הנחות עבודה'!$D$33-SUM(O$5:O8)+O$5,N9*(1-'הנחות עבודה'!$D$38))))</f>
        <v>806.5035715811307</v>
      </c>
      <c r="P9" s="235">
        <f>IF($B9&gt;2030,0,IF($B9&gt;P$5,0,IF($B9=P$5,VLOOKUP($B9,'הספק קיים ותחזית יצור'!$B$80:$E$100,4,FALSE)/'הנחות עבודה'!$D$33-SUM(P$5:P8)+P$5,O9*(1-'הנחות עבודה'!$D$38))))</f>
        <v>801.66455015164388</v>
      </c>
      <c r="Q9" s="235">
        <f>IF($B9&gt;2030,0,IF($B9&gt;Q$5,0,IF($B9=Q$5,VLOOKUP($B9,'הספק קיים ותחזית יצור'!$B$80:$E$100,4,FALSE)/'הנחות עבודה'!$D$33-SUM(Q$5:Q8)+Q$5,P9*(1-'הנחות עבודה'!$D$38))))</f>
        <v>796.85456285073406</v>
      </c>
      <c r="R9" s="235">
        <f>IF($B9&gt;2030,0,IF($B9&gt;R$5,0,IF($B9=R$5,VLOOKUP($B9,'הספק קיים ותחזית יצור'!$B$80:$E$100,4,FALSE)/'הנחות עבודה'!$D$33-SUM(R$5:R8)+R$5,Q9*(1-'הנחות עבודה'!$D$38))))</f>
        <v>792.07343547362962</v>
      </c>
      <c r="S9" s="235">
        <f>IF($B9&gt;2030,0,IF($B9&gt;S$5,0,IF($B9=S$5,VLOOKUP($B9,'הספק קיים ותחזית יצור'!$B$80:$E$100,4,FALSE)/'הנחות עבודה'!$D$33-SUM(S$5:S8)+S$5,R9*(1-'הנחות עבודה'!$D$38))))</f>
        <v>787.32099486078778</v>
      </c>
      <c r="T9" s="235">
        <f>IF($B9&gt;2030,0,IF($B9&gt;T$5,0,IF($B9=T$5,VLOOKUP($B9,'הספק קיים ותחזית יצור'!$B$80:$E$100,4,FALSE)/'הנחות עבודה'!$D$33-SUM(T$5:T8)+T$5,S9*(1-'הנחות עבודה'!$D$38))))</f>
        <v>782.59706889162305</v>
      </c>
      <c r="U9" s="235">
        <f>IF($B9&gt;2030,0,IF($B9&gt;U$5,0,IF($B9=U$5,VLOOKUP($B9,'הספק קיים ותחזית יצור'!$B$80:$E$100,4,FALSE)/'הנחות עבודה'!$D$33-SUM(U$5:U8)+U$5,T9*(1-'הנחות עבודה'!$D$38))))</f>
        <v>777.90148647827334</v>
      </c>
      <c r="V9" s="235">
        <f>IF($B9&gt;2030,0,IF($B9&gt;V$5,0,IF($B9=V$5,VLOOKUP($B9,'הספק קיים ותחזית יצור'!$B$80:$E$100,4,FALSE)/'הנחות עבודה'!$D$33-SUM(V$5:V8)+V$5,U9*(1-'הנחות עבודה'!$D$38))))</f>
        <v>773.23407755940366</v>
      </c>
      <c r="W9" s="236">
        <f>IF($B9&gt;2030,0,IF($B9&gt;W$5,0,IF($B9=W$5,VLOOKUP($B9,'הספק קיים ותחזית יצור'!$B$80:$E$100,4,FALSE)/'הנחות עבודה'!$D$33-SUM(W$5:W8)+W$5,V9*(1-'הנחות עבודה'!$D$38))))</f>
        <v>768.59467309404727</v>
      </c>
    </row>
    <row r="10" spans="1:45">
      <c r="B10" s="306">
        <f t="shared" si="4"/>
        <v>2024</v>
      </c>
      <c r="C10" s="234">
        <f>IF($B10&gt;2030,0,IF($B10&gt;C$5,0,IF($B10=C$5,VLOOKUP($B10,'הספק קיים ותחזית יצור'!$B$80:$E$100,4,FALSE)/'הנחות עבודה'!$D$33-SUM(C$5:C9)+C$5,B10*(1-'הנחות עבודה'!$D$38))))</f>
        <v>0</v>
      </c>
      <c r="D10" s="235">
        <f>IF($B10&gt;2030,0,IF($B10&gt;D$5,0,IF($B10=D$5,VLOOKUP($B10,'הספק קיים ותחזית יצור'!$B$80:$E$100,4,FALSE)/'הנחות עבודה'!$D$33-SUM(D$5:D9)+D$5,C10*(1-'הנחות עבודה'!$D$38))))</f>
        <v>0</v>
      </c>
      <c r="E10" s="235">
        <f>IF($B10&gt;2030,0,IF($B10&gt;E$5,0,IF($B10=E$5,VLOOKUP($B10,'הספק קיים ותחזית יצור'!$B$80:$E$100,4,FALSE)/'הנחות עבודה'!$D$33-SUM(E$5:E9)+E$5,D10*(1-'הנחות עבודה'!$D$38))))</f>
        <v>0</v>
      </c>
      <c r="F10" s="235">
        <f>IF($B10&gt;2030,0,IF($B10&gt;F$5,0,IF($B10=F$5,VLOOKUP($B10,'הספק קיים ותחזית יצור'!$B$80:$E$100,4,FALSE)/'הנחות עבודה'!$D$33-SUM(F$5:F9)+F$5,E10*(1-'הנחות עבודה'!$D$38))))</f>
        <v>0</v>
      </c>
      <c r="G10" s="235">
        <f>IF($B10&gt;2030,0,IF($B10&gt;G$5,0,IF($B10=G$5,VLOOKUP($B10,'הספק קיים ותחזית יצור'!$B$80:$E$100,4,FALSE)/'הנחות עבודה'!$D$33-SUM(G$5:G9)+G$5,F10*(1-'הנחות עבודה'!$D$38))))</f>
        <v>890.01140616930752</v>
      </c>
      <c r="H10" s="235">
        <f>IF($B10&gt;2030,0,IF($B10&gt;H$5,0,IF($B10=H$5,VLOOKUP($B10,'הספק קיים ותחזית יצור'!$B$80:$E$100,4,FALSE)/'הנחות עבודה'!$D$33-SUM(H$5:H9)+H$5,G10*(1-'הנחות עבודה'!$D$38))))</f>
        <v>884.6713377322917</v>
      </c>
      <c r="I10" s="235">
        <f>IF($B10&gt;2030,0,IF($B10&gt;I$5,0,IF($B10=I$5,VLOOKUP($B10,'הספק קיים ותחזית יצור'!$B$80:$E$100,4,FALSE)/'הנחות עבודה'!$D$33-SUM(I$5:I9)+I$5,H10*(1-'הנחות עבודה'!$D$38))))</f>
        <v>879.3633097058979</v>
      </c>
      <c r="J10" s="235">
        <f>IF($B10&gt;2030,0,IF($B10&gt;J$5,0,IF($B10=J$5,VLOOKUP($B10,'הספק קיים ותחזית יצור'!$B$80:$E$100,4,FALSE)/'הנחות עבודה'!$D$33-SUM(J$5:J9)+J$5,I10*(1-'הנחות עבודה'!$D$38))))</f>
        <v>874.08712984766248</v>
      </c>
      <c r="K10" s="235">
        <f>IF($B10&gt;2030,0,IF($B10&gt;K$5,0,IF($B10=K$5,VLOOKUP($B10,'הספק קיים ותחזית יצור'!$B$80:$E$100,4,FALSE)/'הנחות עבודה'!$D$33-SUM(K$5:K9)+K$5,J10*(1-'הנחות עבודה'!$D$38))))</f>
        <v>868.84260706857651</v>
      </c>
      <c r="L10" s="235">
        <f>IF($B10&gt;2030,0,IF($B10&gt;L$5,0,IF($B10=L$5,VLOOKUP($B10,'הספק קיים ותחזית יצור'!$B$80:$E$100,4,FALSE)/'הנחות עבודה'!$D$33-SUM(L$5:L9)+L$5,K10*(1-'הנחות עבודה'!$D$38))))</f>
        <v>863.62955142616499</v>
      </c>
      <c r="M10" s="235">
        <f>IF($B10&gt;2030,0,IF($B10&gt;M$5,0,IF($B10=M$5,VLOOKUP($B10,'הספק קיים ותחזית יצור'!$B$80:$E$100,4,FALSE)/'הנחות עבודה'!$D$33-SUM(M$5:M9)+M$5,L10*(1-'הנחות עבודה'!$D$38))))</f>
        <v>858.44777411760799</v>
      </c>
      <c r="N10" s="235">
        <f>IF($B10&gt;2030,0,IF($B10&gt;N$5,0,IF($B10=N$5,VLOOKUP($B10,'הספק קיים ותחזית יצור'!$B$80:$E$100,4,FALSE)/'הנחות עבודה'!$D$33-SUM(N$5:N9)+N$5,M10*(1-'הנחות עבודה'!$D$38))))</f>
        <v>853.29708747290238</v>
      </c>
      <c r="O10" s="235">
        <f>IF($B10&gt;2030,0,IF($B10&gt;O$5,0,IF($B10=O$5,VLOOKUP($B10,'הספק קיים ותחזית יצור'!$B$80:$E$100,4,FALSE)/'הנחות עבודה'!$D$33-SUM(O$5:O9)+O$5,N10*(1-'הנחות עבודה'!$D$38))))</f>
        <v>848.17730494806494</v>
      </c>
      <c r="P10" s="235">
        <f>IF($B10&gt;2030,0,IF($B10&gt;P$5,0,IF($B10=P$5,VLOOKUP($B10,'הספק קיים ותחזית יצור'!$B$80:$E$100,4,FALSE)/'הנחות עבודה'!$D$33-SUM(P$5:P9)+P$5,O10*(1-'הנחות עבודה'!$D$38))))</f>
        <v>843.08824111837657</v>
      </c>
      <c r="Q10" s="235">
        <f>IF($B10&gt;2030,0,IF($B10&gt;Q$5,0,IF($B10=Q$5,VLOOKUP($B10,'הספק קיים ותחזית יצור'!$B$80:$E$100,4,FALSE)/'הנחות עבודה'!$D$33-SUM(Q$5:Q9)+Q$5,P10*(1-'הנחות עבודה'!$D$38))))</f>
        <v>838.02971167166629</v>
      </c>
      <c r="R10" s="235">
        <f>IF($B10&gt;2030,0,IF($B10&gt;R$5,0,IF($B10=R$5,VLOOKUP($B10,'הספק קיים ותחזית יצור'!$B$80:$E$100,4,FALSE)/'הנחות עבודה'!$D$33-SUM(R$5:R9)+R$5,Q10*(1-'הנחות עבודה'!$D$38))))</f>
        <v>833.00153340163627</v>
      </c>
      <c r="S10" s="235">
        <f>IF($B10&gt;2030,0,IF($B10&gt;S$5,0,IF($B10=S$5,VLOOKUP($B10,'הספק קיים ותחזית יצור'!$B$80:$E$100,4,FALSE)/'הנחות עבודה'!$D$33-SUM(S$5:S9)+S$5,R10*(1-'הנחות עבודה'!$D$38))))</f>
        <v>828.00352420122647</v>
      </c>
      <c r="T10" s="235">
        <f>IF($B10&gt;2030,0,IF($B10&gt;T$5,0,IF($B10=T$5,VLOOKUP($B10,'הספק קיים ותחזית יצור'!$B$80:$E$100,4,FALSE)/'הנחות עבודה'!$D$33-SUM(T$5:T9)+T$5,S10*(1-'הנחות עבודה'!$D$38))))</f>
        <v>823.03550305601914</v>
      </c>
      <c r="U10" s="235">
        <f>IF($B10&gt;2030,0,IF($B10&gt;U$5,0,IF($B10=U$5,VLOOKUP($B10,'הספק קיים ותחזית יצור'!$B$80:$E$100,4,FALSE)/'הנחות עבודה'!$D$33-SUM(U$5:U9)+U$5,T10*(1-'הנחות עבודה'!$D$38))))</f>
        <v>818.09729003768302</v>
      </c>
      <c r="V10" s="235">
        <f>IF($B10&gt;2030,0,IF($B10&gt;V$5,0,IF($B10=V$5,VLOOKUP($B10,'הספק קיים ותחזית יצור'!$B$80:$E$100,4,FALSE)/'הנחות עבודה'!$D$33-SUM(V$5:V9)+V$5,U10*(1-'הנחות עבודה'!$D$38))))</f>
        <v>813.18870629745697</v>
      </c>
      <c r="W10" s="236">
        <f>IF($B10&gt;2030,0,IF($B10&gt;W$5,0,IF($B10=W$5,VLOOKUP($B10,'הספק קיים ותחזית יצור'!$B$80:$E$100,4,FALSE)/'הנחות עבודה'!$D$33-SUM(W$5:W9)+W$5,V10*(1-'הנחות עבודה'!$D$38))))</f>
        <v>808.30957405967217</v>
      </c>
    </row>
    <row r="11" spans="1:45">
      <c r="B11" s="306">
        <f t="shared" si="4"/>
        <v>2025</v>
      </c>
      <c r="C11" s="234">
        <f>IF($B11&gt;2030,0,IF($B11&gt;C$5,0,IF($B11=C$5,VLOOKUP($B11,'הספק קיים ותחזית יצור'!$B$80:$E$100,4,FALSE)/'הנחות עבודה'!$D$33-SUM(C$5:C10)+C$5,B11*(1-'הנחות עבודה'!$D$38))))</f>
        <v>0</v>
      </c>
      <c r="D11" s="235">
        <f>IF($B11&gt;2030,0,IF($B11&gt;D$5,0,IF($B11=D$5,VLOOKUP($B11,'הספק קיים ותחזית יצור'!$B$80:$E$100,4,FALSE)/'הנחות עבודה'!$D$33-SUM(D$5:D10)+D$5,C11*(1-'הנחות עבודה'!$D$38))))</f>
        <v>0</v>
      </c>
      <c r="E11" s="235">
        <f>IF($B11&gt;2030,0,IF($B11&gt;E$5,0,IF($B11=E$5,VLOOKUP($B11,'הספק קיים ותחזית יצור'!$B$80:$E$100,4,FALSE)/'הנחות עבודה'!$D$33-SUM(E$5:E10)+E$5,D11*(1-'הנחות עבודה'!$D$38))))</f>
        <v>0</v>
      </c>
      <c r="F11" s="235">
        <f>IF($B11&gt;2030,0,IF($B11&gt;F$5,0,IF($B11=F$5,VLOOKUP($B11,'הספק קיים ותחזית יצור'!$B$80:$E$100,4,FALSE)/'הנחות עבודה'!$D$33-SUM(F$5:F10)+F$5,E11*(1-'הנחות עבודה'!$D$38))))</f>
        <v>0</v>
      </c>
      <c r="G11" s="235">
        <f>IF($B11&gt;2030,0,IF($B11&gt;G$5,0,IF($B11=G$5,VLOOKUP($B11,'הספק קיים ותחזית יצור'!$B$80:$E$100,4,FALSE)/'הנחות עבודה'!$D$33-SUM(G$5:G10)+G$5,F11*(1-'הנחות עבודה'!$D$38))))</f>
        <v>0</v>
      </c>
      <c r="H11" s="235">
        <f>IF($B11&gt;2030,0,IF($B11&gt;H$5,0,IF($B11=H$5,VLOOKUP($B11,'הספק קיים ותחזית יצור'!$B$80:$E$100,4,FALSE)/'הנחות עבודה'!$D$33-SUM(H$5:H10)+H$5,G11*(1-'הנחות עבודה'!$D$38))))</f>
        <v>1005.7063400824682</v>
      </c>
      <c r="I11" s="235">
        <f>IF($B11&gt;2030,0,IF($B11&gt;I$5,0,IF($B11=I$5,VLOOKUP($B11,'הספק קיים ותחזית יצור'!$B$80:$E$100,4,FALSE)/'הנחות עבודה'!$D$33-SUM(I$5:I10)+I$5,H11*(1-'הנחות עבודה'!$D$38))))</f>
        <v>999.67210204197329</v>
      </c>
      <c r="J11" s="235">
        <f>IF($B11&gt;2030,0,IF($B11&gt;J$5,0,IF($B11=J$5,VLOOKUP($B11,'הספק קיים ותחזית יצור'!$B$80:$E$100,4,FALSE)/'הנחות עבודה'!$D$33-SUM(J$5:J10)+J$5,I11*(1-'הנחות עבודה'!$D$38))))</f>
        <v>993.6740694297215</v>
      </c>
      <c r="K11" s="235">
        <f>IF($B11&gt;2030,0,IF($B11&gt;K$5,0,IF($B11=K$5,VLOOKUP($B11,'הספק קיים ותחזית יצור'!$B$80:$E$100,4,FALSE)/'הנחות עבודה'!$D$33-SUM(K$5:K10)+K$5,J11*(1-'הנחות עבודה'!$D$38))))</f>
        <v>987.71202501314315</v>
      </c>
      <c r="L11" s="235">
        <f>IF($B11&gt;2030,0,IF($B11&gt;L$5,0,IF($B11=L$5,VLOOKUP($B11,'הספק קיים ותחזית יצור'!$B$80:$E$100,4,FALSE)/'הנחות עבודה'!$D$33-SUM(L$5:L10)+L$5,K11*(1-'הנחות עבודה'!$D$38))))</f>
        <v>981.78575286306432</v>
      </c>
      <c r="M11" s="235">
        <f>IF($B11&gt;2030,0,IF($B11&gt;M$5,0,IF($B11=M$5,VLOOKUP($B11,'הספק קיים ותחזית יצור'!$B$80:$E$100,4,FALSE)/'הנחות עבודה'!$D$33-SUM(M$5:M10)+M$5,L11*(1-'הנחות עבודה'!$D$38))))</f>
        <v>975.89503834588595</v>
      </c>
      <c r="N11" s="235">
        <f>IF($B11&gt;2030,0,IF($B11&gt;N$5,0,IF($B11=N$5,VLOOKUP($B11,'הספק קיים ותחזית יצור'!$B$80:$E$100,4,FALSE)/'הנחות עבודה'!$D$33-SUM(N$5:N10)+N$5,M11*(1-'הנחות עבודה'!$D$38))))</f>
        <v>970.03966811581063</v>
      </c>
      <c r="O11" s="235">
        <f>IF($B11&gt;2030,0,IF($B11&gt;O$5,0,IF($B11=O$5,VLOOKUP($B11,'הספק קיים ותחזית יצור'!$B$80:$E$100,4,FALSE)/'הנחות עבודה'!$D$33-SUM(O$5:O10)+O$5,N11*(1-'הנחות עבודה'!$D$38))))</f>
        <v>964.21943010711573</v>
      </c>
      <c r="P11" s="235">
        <f>IF($B11&gt;2030,0,IF($B11&gt;P$5,0,IF($B11=P$5,VLOOKUP($B11,'הספק קיים ותחזית יצור'!$B$80:$E$100,4,FALSE)/'הנחות עבודה'!$D$33-SUM(P$5:P10)+P$5,O11*(1-'הנחות עבודה'!$D$38))))</f>
        <v>958.43411352647308</v>
      </c>
      <c r="Q11" s="235">
        <f>IF($B11&gt;2030,0,IF($B11&gt;Q$5,0,IF($B11=Q$5,VLOOKUP($B11,'הספק קיים ותחזית יצור'!$B$80:$E$100,4,FALSE)/'הנחות עבודה'!$D$33-SUM(Q$5:Q10)+Q$5,P11*(1-'הנחות עבודה'!$D$38))))</f>
        <v>952.68350884531424</v>
      </c>
      <c r="R11" s="235">
        <f>IF($B11&gt;2030,0,IF($B11&gt;R$5,0,IF($B11=R$5,VLOOKUP($B11,'הספק קיים ותחזית יצור'!$B$80:$E$100,4,FALSE)/'הנחות עבודה'!$D$33-SUM(R$5:R10)+R$5,Q11*(1-'הנחות עבודה'!$D$38))))</f>
        <v>946.9674077922424</v>
      </c>
      <c r="S11" s="235">
        <f>IF($B11&gt;2030,0,IF($B11&gt;S$5,0,IF($B11=S$5,VLOOKUP($B11,'הספק קיים ותחזית יצור'!$B$80:$E$100,4,FALSE)/'הנחות עבודה'!$D$33-SUM(S$5:S10)+S$5,R11*(1-'הנחות עבודה'!$D$38))))</f>
        <v>941.28560334548899</v>
      </c>
      <c r="T11" s="235">
        <f>IF($B11&gt;2030,0,IF($B11&gt;T$5,0,IF($B11=T$5,VLOOKUP($B11,'הספק קיים ותחזית יצור'!$B$80:$E$100,4,FALSE)/'הנחות עבודה'!$D$33-SUM(T$5:T10)+T$5,S11*(1-'הנחות עבודה'!$D$38))))</f>
        <v>935.63788972541602</v>
      </c>
      <c r="U11" s="235">
        <f>IF($B11&gt;2030,0,IF($B11&gt;U$5,0,IF($B11=U$5,VLOOKUP($B11,'הספק קיים ותחזית יצור'!$B$80:$E$100,4,FALSE)/'הנחות עבודה'!$D$33-SUM(U$5:U10)+U$5,T11*(1-'הנחות עבודה'!$D$38))))</f>
        <v>930.02406238706351</v>
      </c>
      <c r="V11" s="235">
        <f>IF($B11&gt;2030,0,IF($B11&gt;V$5,0,IF($B11=V$5,VLOOKUP($B11,'הספק קיים ותחזית יצור'!$B$80:$E$100,4,FALSE)/'הנחות עבודה'!$D$33-SUM(V$5:V10)+V$5,U11*(1-'הנחות עבודה'!$D$38))))</f>
        <v>924.44391801274116</v>
      </c>
      <c r="W11" s="236">
        <f>IF($B11&gt;2030,0,IF($B11&gt;W$5,0,IF($B11=W$5,VLOOKUP($B11,'הספק קיים ותחזית יצור'!$B$80:$E$100,4,FALSE)/'הנחות עבודה'!$D$33-SUM(W$5:W10)+W$5,V11*(1-'הנחות עבודה'!$D$38))))</f>
        <v>918.89725450466472</v>
      </c>
    </row>
    <row r="12" spans="1:45">
      <c r="B12" s="306">
        <f t="shared" si="4"/>
        <v>2026</v>
      </c>
      <c r="C12" s="234">
        <f>IF($B12&gt;2030,0,IF($B12&gt;C$5,0,IF($B12=C$5,VLOOKUP($B12,'הספק קיים ותחזית יצור'!$B$80:$E$100,4,FALSE)/'הנחות עבודה'!$D$33-SUM(C$5:C11)+C$5,B12*(1-'הנחות עבודה'!$D$38))))</f>
        <v>0</v>
      </c>
      <c r="D12" s="235">
        <f>IF($B12&gt;2030,0,IF($B12&gt;D$5,0,IF($B12=D$5,VLOOKUP($B12,'הספק קיים ותחזית יצור'!$B$80:$E$100,4,FALSE)/'הנחות עבודה'!$D$33-SUM(D$5:D11)+D$5,C12*(1-'הנחות עבודה'!$D$38))))</f>
        <v>0</v>
      </c>
      <c r="E12" s="235">
        <f>IF($B12&gt;2030,0,IF($B12&gt;E$5,0,IF($B12=E$5,VLOOKUP($B12,'הספק קיים ותחזית יצור'!$B$80:$E$100,4,FALSE)/'הנחות עבודה'!$D$33-SUM(E$5:E11)+E$5,D12*(1-'הנחות עבודה'!$D$38))))</f>
        <v>0</v>
      </c>
      <c r="F12" s="235">
        <f>IF($B12&gt;2030,0,IF($B12&gt;F$5,0,IF($B12=F$5,VLOOKUP($B12,'הספק קיים ותחזית יצור'!$B$80:$E$100,4,FALSE)/'הנחות עבודה'!$D$33-SUM(F$5:F11)+F$5,E12*(1-'הנחות עבודה'!$D$38))))</f>
        <v>0</v>
      </c>
      <c r="G12" s="235">
        <f>IF($B12&gt;2030,0,IF($B12&gt;G$5,0,IF($B12=G$5,VLOOKUP($B12,'הספק קיים ותחזית יצור'!$B$80:$E$100,4,FALSE)/'הנחות עבודה'!$D$33-SUM(G$5:G11)+G$5,F12*(1-'הנחות עבודה'!$D$38))))</f>
        <v>0</v>
      </c>
      <c r="H12" s="235">
        <f>IF($B12&gt;2030,0,IF($B12&gt;H$5,0,IF($B12=H$5,VLOOKUP($B12,'הספק קיים ותחזית יצור'!$B$80:$E$100,4,FALSE)/'הנחות עבודה'!$D$33-SUM(H$5:H11)+H$5,G12*(1-'הנחות עבודה'!$D$38))))</f>
        <v>0</v>
      </c>
      <c r="I12" s="235">
        <f>IF($B12&gt;2030,0,IF($B12&gt;I$5,0,IF($B12=I$5,VLOOKUP($B12,'הספק קיים ותחזית יצור'!$B$80:$E$100,4,FALSE)/'הנחות עבודה'!$D$33-SUM(I$5:I11)+I$5,H12*(1-'הנחות עבודה'!$D$38))))</f>
        <v>1377.2273289442073</v>
      </c>
      <c r="J12" s="235">
        <f>IF($B12&gt;2030,0,IF($B12&gt;J$5,0,IF($B12=J$5,VLOOKUP($B12,'הספק קיים ותחזית יצור'!$B$80:$E$100,4,FALSE)/'הנחות עבודה'!$D$33-SUM(J$5:J11)+J$5,I12*(1-'הנחות עבודה'!$D$38))))</f>
        <v>1368.9639649705421</v>
      </c>
      <c r="K12" s="235">
        <f>IF($B12&gt;2030,0,IF($B12&gt;K$5,0,IF($B12=K$5,VLOOKUP($B12,'הספק קיים ותחזית יצור'!$B$80:$E$100,4,FALSE)/'הנחות עבודה'!$D$33-SUM(K$5:K11)+K$5,J12*(1-'הנחות עבודה'!$D$38))))</f>
        <v>1360.7501811807188</v>
      </c>
      <c r="L12" s="235">
        <f>IF($B12&gt;2030,0,IF($B12&gt;L$5,0,IF($B12=L$5,VLOOKUP($B12,'הספק קיים ותחזית יצור'!$B$80:$E$100,4,FALSE)/'הנחות עבודה'!$D$33-SUM(L$5:L11)+L$5,K12*(1-'הנחות עבודה'!$D$38))))</f>
        <v>1352.5856800936344</v>
      </c>
      <c r="M12" s="235">
        <f>IF($B12&gt;2030,0,IF($B12&gt;M$5,0,IF($B12=M$5,VLOOKUP($B12,'הספק קיים ותחזית יצור'!$B$80:$E$100,4,FALSE)/'הנחות עבודה'!$D$33-SUM(M$5:M11)+M$5,L12*(1-'הנחות עבודה'!$D$38))))</f>
        <v>1344.4701660130727</v>
      </c>
      <c r="N12" s="235">
        <f>IF($B12&gt;2030,0,IF($B12&gt;N$5,0,IF($B12=N$5,VLOOKUP($B12,'הספק קיים ותחזית יצור'!$B$80:$E$100,4,FALSE)/'הנחות עבודה'!$D$33-SUM(N$5:N11)+N$5,M12*(1-'הנחות עבודה'!$D$38))))</f>
        <v>1336.4033450169943</v>
      </c>
      <c r="O12" s="235">
        <f>IF($B12&gt;2030,0,IF($B12&gt;O$5,0,IF($B12=O$5,VLOOKUP($B12,'הספק קיים ותחזית יצור'!$B$80:$E$100,4,FALSE)/'הנחות עבודה'!$D$33-SUM(O$5:O11)+O$5,N12*(1-'הנחות עבודה'!$D$38))))</f>
        <v>1328.3849249468924</v>
      </c>
      <c r="P12" s="235">
        <f>IF($B12&gt;2030,0,IF($B12&gt;P$5,0,IF($B12=P$5,VLOOKUP($B12,'הספק קיים ותחזית יצור'!$B$80:$E$100,4,FALSE)/'הנחות עבודה'!$D$33-SUM(P$5:P11)+P$5,O12*(1-'הנחות עבודה'!$D$38))))</f>
        <v>1320.414615397211</v>
      </c>
      <c r="Q12" s="235">
        <f>IF($B12&gt;2030,0,IF($B12&gt;Q$5,0,IF($B12=Q$5,VLOOKUP($B12,'הספק קיים ותחזית יצור'!$B$80:$E$100,4,FALSE)/'הנחות עבודה'!$D$33-SUM(Q$5:Q11)+Q$5,P12*(1-'הנחות עבודה'!$D$38))))</f>
        <v>1312.4921277048277</v>
      </c>
      <c r="R12" s="235">
        <f>IF($B12&gt;2030,0,IF($B12&gt;R$5,0,IF($B12=R$5,VLOOKUP($B12,'הספק קיים ותחזית יצור'!$B$80:$E$100,4,FALSE)/'הנחות עבודה'!$D$33-SUM(R$5:R11)+R$5,Q12*(1-'הנחות עבודה'!$D$38))))</f>
        <v>1304.6171749385987</v>
      </c>
      <c r="S12" s="235">
        <f>IF($B12&gt;2030,0,IF($B12&gt;S$5,0,IF($B12=S$5,VLOOKUP($B12,'הספק קיים ותחזית יצור'!$B$80:$E$100,4,FALSE)/'הנחות עבודה'!$D$33-SUM(S$5:S11)+S$5,R12*(1-'הנחות עבודה'!$D$38))))</f>
        <v>1296.7894718889672</v>
      </c>
      <c r="T12" s="235">
        <f>IF($B12&gt;2030,0,IF($B12&gt;T$5,0,IF($B12=T$5,VLOOKUP($B12,'הספק קיים ותחזית יצור'!$B$80:$E$100,4,FALSE)/'הנחות עבודה'!$D$33-SUM(T$5:T11)+T$5,S12*(1-'הנחות עבודה'!$D$38))))</f>
        <v>1289.0087350576334</v>
      </c>
      <c r="U12" s="235">
        <f>IF($B12&gt;2030,0,IF($B12&gt;U$5,0,IF($B12=U$5,VLOOKUP($B12,'הספק קיים ותחזית יצור'!$B$80:$E$100,4,FALSE)/'הנחות עבודה'!$D$33-SUM(U$5:U11)+U$5,T12*(1-'הנחות עבודה'!$D$38))))</f>
        <v>1281.2746826472876</v>
      </c>
      <c r="V12" s="235">
        <f>IF($B12&gt;2030,0,IF($B12&gt;V$5,0,IF($B12=V$5,VLOOKUP($B12,'הספק קיים ותחזית יצור'!$B$80:$E$100,4,FALSE)/'הנחות עבודה'!$D$33-SUM(V$5:V11)+V$5,U12*(1-'הנחות עבודה'!$D$38))))</f>
        <v>1273.5870345514038</v>
      </c>
      <c r="W12" s="236">
        <f>IF($B12&gt;2030,0,IF($B12&gt;W$5,0,IF($B12=W$5,VLOOKUP($B12,'הספק קיים ותחזית יצור'!$B$80:$E$100,4,FALSE)/'הנחות עבודה'!$D$33-SUM(W$5:W11)+W$5,V12*(1-'הנחות עבודה'!$D$38))))</f>
        <v>1265.9455123440953</v>
      </c>
    </row>
    <row r="13" spans="1:45">
      <c r="B13" s="306">
        <f t="shared" si="4"/>
        <v>2027</v>
      </c>
      <c r="C13" s="234">
        <f>IF($B13&gt;2030,0,IF($B13&gt;C$5,0,IF($B13=C$5,VLOOKUP($B13,'הספק קיים ותחזית יצור'!$B$80:$E$100,4,FALSE)/'הנחות עבודה'!$D$33-SUM(C$5:C12)+C$5,B13*(1-'הנחות עבודה'!$D$38))))</f>
        <v>0</v>
      </c>
      <c r="D13" s="235">
        <f>IF($B13&gt;2030,0,IF($B13&gt;D$5,0,IF($B13=D$5,VLOOKUP($B13,'הספק קיים ותחזית יצור'!$B$80:$E$100,4,FALSE)/'הנחות עבודה'!$D$33-SUM(D$5:D12)+D$5,C13*(1-'הנחות עבודה'!$D$38))))</f>
        <v>0</v>
      </c>
      <c r="E13" s="235">
        <f>IF($B13&gt;2030,0,IF($B13&gt;E$5,0,IF($B13=E$5,VLOOKUP($B13,'הספק קיים ותחזית יצור'!$B$80:$E$100,4,FALSE)/'הנחות עבודה'!$D$33-SUM(E$5:E12)+E$5,D13*(1-'הנחות עבודה'!$D$38))))</f>
        <v>0</v>
      </c>
      <c r="F13" s="235">
        <f>IF($B13&gt;2030,0,IF($B13&gt;F$5,0,IF($B13=F$5,VLOOKUP($B13,'הספק קיים ותחזית יצור'!$B$80:$E$100,4,FALSE)/'הנחות עבודה'!$D$33-SUM(F$5:F12)+F$5,E13*(1-'הנחות עבודה'!$D$38))))</f>
        <v>0</v>
      </c>
      <c r="G13" s="235">
        <f>IF($B13&gt;2030,0,IF($B13&gt;G$5,0,IF($B13=G$5,VLOOKUP($B13,'הספק קיים ותחזית יצור'!$B$80:$E$100,4,FALSE)/'הנחות עבודה'!$D$33-SUM(G$5:G12)+G$5,F13*(1-'הנחות עבודה'!$D$38))))</f>
        <v>0</v>
      </c>
      <c r="H13" s="235">
        <f>IF($B13&gt;2030,0,IF($B13&gt;H$5,0,IF($B13=H$5,VLOOKUP($B13,'הספק קיים ותחזית יצור'!$B$80:$E$100,4,FALSE)/'הנחות עבודה'!$D$33-SUM(H$5:H12)+H$5,G13*(1-'הנחות עבודה'!$D$38))))</f>
        <v>0</v>
      </c>
      <c r="I13" s="235">
        <f>IF($B13&gt;2030,0,IF($B13&gt;I$5,0,IF($B13=I$5,VLOOKUP($B13,'הספק קיים ותחזית יצור'!$B$80:$E$100,4,FALSE)/'הנחות עבודה'!$D$33-SUM(I$5:I12)+I$5,H13*(1-'הנחות עבודה'!$D$38))))</f>
        <v>0</v>
      </c>
      <c r="J13" s="235">
        <f>IF($B13&gt;2030,0,IF($B13&gt;J$5,0,IF($B13=J$5,VLOOKUP($B13,'הספק קיים ותחזית יצור'!$B$80:$E$100,4,FALSE)/'הנחות עבודה'!$D$33-SUM(J$5:J12)+J$5,I13*(1-'הנחות עבודה'!$D$38))))</f>
        <v>1452.3681486045189</v>
      </c>
      <c r="K13" s="235">
        <f>IF($B13&gt;2030,0,IF($B13&gt;K$5,0,IF($B13=K$5,VLOOKUP($B13,'הספק קיים ותחזית יצור'!$B$80:$E$100,4,FALSE)/'הנחות עבודה'!$D$33-SUM(K$5:K12)+K$5,J13*(1-'הנחות עבודה'!$D$38))))</f>
        <v>1443.6539397128918</v>
      </c>
      <c r="L13" s="235">
        <f>IF($B13&gt;2030,0,IF($B13&gt;L$5,0,IF($B13=L$5,VLOOKUP($B13,'הספק קיים ותחזית יצור'!$B$80:$E$100,4,FALSE)/'הנחות עבודה'!$D$33-SUM(L$5:L12)+L$5,K13*(1-'הנחות עבודה'!$D$38))))</f>
        <v>1434.9920160746144</v>
      </c>
      <c r="M13" s="235">
        <f>IF($B13&gt;2030,0,IF($B13&gt;M$5,0,IF($B13=M$5,VLOOKUP($B13,'הספק קיים ותחזית יצור'!$B$80:$E$100,4,FALSE)/'הנחות עבודה'!$D$33-SUM(M$5:M12)+M$5,L13*(1-'הנחות עבודה'!$D$38))))</f>
        <v>1426.3820639781668</v>
      </c>
      <c r="N13" s="235">
        <f>IF($B13&gt;2030,0,IF($B13&gt;N$5,0,IF($B13=N$5,VLOOKUP($B13,'הספק קיים ותחזית יצור'!$B$80:$E$100,4,FALSE)/'הנחות עבודה'!$D$33-SUM(N$5:N12)+N$5,M13*(1-'הנחות עבודה'!$D$38))))</f>
        <v>1417.8237715942978</v>
      </c>
      <c r="O13" s="235">
        <f>IF($B13&gt;2030,0,IF($B13&gt;O$5,0,IF($B13=O$5,VLOOKUP($B13,'הספק קיים ותחזית יצור'!$B$80:$E$100,4,FALSE)/'הנחות עבודה'!$D$33-SUM(O$5:O12)+O$5,N13*(1-'הנחות עבודה'!$D$38))))</f>
        <v>1409.3168289647319</v>
      </c>
      <c r="P13" s="235">
        <f>IF($B13&gt;2030,0,IF($B13&gt;P$5,0,IF($B13=P$5,VLOOKUP($B13,'הספק קיים ותחזית יצור'!$B$80:$E$100,4,FALSE)/'הנחות עבודה'!$D$33-SUM(P$5:P12)+P$5,O13*(1-'הנחות עבודה'!$D$38))))</f>
        <v>1400.8609279909435</v>
      </c>
      <c r="Q13" s="235">
        <f>IF($B13&gt;2030,0,IF($B13&gt;Q$5,0,IF($B13=Q$5,VLOOKUP($B13,'הספק קיים ותחזית יצור'!$B$80:$E$100,4,FALSE)/'הנחות עבודה'!$D$33-SUM(Q$5:Q12)+Q$5,P13*(1-'הנחות עבודה'!$D$38))))</f>
        <v>1392.4557624229979</v>
      </c>
      <c r="R13" s="235">
        <f>IF($B13&gt;2030,0,IF($B13&gt;R$5,0,IF($B13=R$5,VLOOKUP($B13,'הספק קיים ותחזית יצור'!$B$80:$E$100,4,FALSE)/'הנחות עבודה'!$D$33-SUM(R$5:R12)+R$5,Q13*(1-'הנחות עבודה'!$D$38))))</f>
        <v>1384.1010278484598</v>
      </c>
      <c r="S13" s="235">
        <f>IF($B13&gt;2030,0,IF($B13&gt;S$5,0,IF($B13=S$5,VLOOKUP($B13,'הספק קיים ותחזית יצור'!$B$80:$E$100,4,FALSE)/'הנחות עבודה'!$D$33-SUM(S$5:S12)+S$5,R13*(1-'הנחות עבודה'!$D$38))))</f>
        <v>1375.7964216813691</v>
      </c>
      <c r="T13" s="235">
        <f>IF($B13&gt;2030,0,IF($B13&gt;T$5,0,IF($B13=T$5,VLOOKUP($B13,'הספק קיים ותחזית יצור'!$B$80:$E$100,4,FALSE)/'הנחות עבודה'!$D$33-SUM(T$5:T12)+T$5,S13*(1-'הנחות עבודה'!$D$38))))</f>
        <v>1367.5416431512808</v>
      </c>
      <c r="U13" s="235">
        <f>IF($B13&gt;2030,0,IF($B13&gt;U$5,0,IF($B13=U$5,VLOOKUP($B13,'הספק קיים ותחזית יצור'!$B$80:$E$100,4,FALSE)/'הנחות עבודה'!$D$33-SUM(U$5:U12)+U$5,T13*(1-'הנחות עבודה'!$D$38))))</f>
        <v>1359.336393292373</v>
      </c>
      <c r="V13" s="235">
        <f>IF($B13&gt;2030,0,IF($B13&gt;V$5,0,IF($B13=V$5,VLOOKUP($B13,'הספק קיים ותחזית יצור'!$B$80:$E$100,4,FALSE)/'הנחות עבודה'!$D$33-SUM(V$5:V12)+V$5,U13*(1-'הנחות עבודה'!$D$38))))</f>
        <v>1351.1803749326189</v>
      </c>
      <c r="W13" s="236">
        <f>IF($B13&gt;2030,0,IF($B13&gt;W$5,0,IF($B13=W$5,VLOOKUP($B13,'הספק קיים ותחזית יצור'!$B$80:$E$100,4,FALSE)/'הנחות עבודה'!$D$33-SUM(W$5:W12)+W$5,V13*(1-'הנחות עבודה'!$D$38))))</f>
        <v>1343.0732926830231</v>
      </c>
    </row>
    <row r="14" spans="1:45">
      <c r="B14" s="306">
        <f t="shared" si="4"/>
        <v>2028</v>
      </c>
      <c r="C14" s="234">
        <f>IF($B14&gt;2030,0,IF($B14&gt;C$5,0,IF($B14=C$5,VLOOKUP($B14,'הספק קיים ותחזית יצור'!$B$80:$E$100,4,FALSE)/'הנחות עבודה'!$D$33-SUM(C$5:C13)+C$5,B14*(1-'הנחות עבודה'!$D$38))))</f>
        <v>0</v>
      </c>
      <c r="D14" s="235">
        <f>IF($B14&gt;2030,0,IF($B14&gt;D$5,0,IF($B14=D$5,VLOOKUP($B14,'הספק קיים ותחזית יצור'!$B$80:$E$100,4,FALSE)/'הנחות עבודה'!$D$33-SUM(D$5:D13)+D$5,C14*(1-'הנחות עבודה'!$D$38))))</f>
        <v>0</v>
      </c>
      <c r="E14" s="235">
        <f>IF($B14&gt;2030,0,IF($B14&gt;E$5,0,IF($B14=E$5,VLOOKUP($B14,'הספק קיים ותחזית יצור'!$B$80:$E$100,4,FALSE)/'הנחות עבודה'!$D$33-SUM(E$5:E13)+E$5,D14*(1-'הנחות עבודה'!$D$38))))</f>
        <v>0</v>
      </c>
      <c r="F14" s="235">
        <f>IF($B14&gt;2030,0,IF($B14&gt;F$5,0,IF($B14=F$5,VLOOKUP($B14,'הספק קיים ותחזית יצור'!$B$80:$E$100,4,FALSE)/'הנחות עבודה'!$D$33-SUM(F$5:F13)+F$5,E14*(1-'הנחות עבודה'!$D$38))))</f>
        <v>0</v>
      </c>
      <c r="G14" s="235">
        <f>IF($B14&gt;2030,0,IF($B14&gt;G$5,0,IF($B14=G$5,VLOOKUP($B14,'הספק קיים ותחזית יצור'!$B$80:$E$100,4,FALSE)/'הנחות עבודה'!$D$33-SUM(G$5:G13)+G$5,F14*(1-'הנחות עבודה'!$D$38))))</f>
        <v>0</v>
      </c>
      <c r="H14" s="235">
        <f>IF($B14&gt;2030,0,IF($B14&gt;H$5,0,IF($B14=H$5,VLOOKUP($B14,'הספק קיים ותחזית יצור'!$B$80:$E$100,4,FALSE)/'הנחות עבודה'!$D$33-SUM(H$5:H13)+H$5,G14*(1-'הנחות עבודה'!$D$38))))</f>
        <v>0</v>
      </c>
      <c r="I14" s="235">
        <f>IF($B14&gt;2030,0,IF($B14&gt;I$5,0,IF($B14=I$5,VLOOKUP($B14,'הספק קיים ותחזית יצור'!$B$80:$E$100,4,FALSE)/'הנחות עבודה'!$D$33-SUM(I$5:I13)+I$5,H14*(1-'הנחות עבודה'!$D$38))))</f>
        <v>0</v>
      </c>
      <c r="J14" s="235">
        <f>IF($B14&gt;2030,0,IF($B14&gt;J$5,0,IF($B14=J$5,VLOOKUP($B14,'הספק קיים ותחזית יצור'!$B$80:$E$100,4,FALSE)/'הנחות עבודה'!$D$33-SUM(J$5:J13)+J$5,I14*(1-'הנחות עבודה'!$D$38))))</f>
        <v>0</v>
      </c>
      <c r="K14" s="235">
        <f>IF($B14&gt;2030,0,IF($B14&gt;K$5,0,IF($B14=K$5,VLOOKUP($B14,'הספק קיים ותחזית יצור'!$B$80:$E$100,4,FALSE)/'הנחות עבודה'!$D$33-SUM(K$5:K13)+K$5,J14*(1-'הנחות עבודה'!$D$38))))</f>
        <v>1491.9704656881022</v>
      </c>
      <c r="L14" s="235">
        <f>IF($B14&gt;2030,0,IF($B14&gt;L$5,0,IF($B14=L$5,VLOOKUP($B14,'הספק קיים ותחזית יצור'!$B$80:$E$100,4,FALSE)/'הנחות עבודה'!$D$33-SUM(L$5:L13)+L$5,K14*(1-'הנחות עבודה'!$D$38))))</f>
        <v>1483.0186428939735</v>
      </c>
      <c r="M14" s="235">
        <f>IF($B14&gt;2030,0,IF($B14&gt;M$5,0,IF($B14=M$5,VLOOKUP($B14,'הספק קיים ותחזית יצור'!$B$80:$E$100,4,FALSE)/'הנחות עבודה'!$D$33-SUM(M$5:M13)+M$5,L14*(1-'הנחות עבודה'!$D$38))))</f>
        <v>1474.1205310366097</v>
      </c>
      <c r="N14" s="235">
        <f>IF($B14&gt;2030,0,IF($B14&gt;N$5,0,IF($B14=N$5,VLOOKUP($B14,'הספק קיים ותחזית יצור'!$B$80:$E$100,4,FALSE)/'הנחות עבודה'!$D$33-SUM(N$5:N13)+N$5,M14*(1-'הנחות עבודה'!$D$38))))</f>
        <v>1465.27580785039</v>
      </c>
      <c r="O14" s="235">
        <f>IF($B14&gt;2030,0,IF($B14&gt;O$5,0,IF($B14=O$5,VLOOKUP($B14,'הספק קיים ותחזית יצור'!$B$80:$E$100,4,FALSE)/'הנחות עבודה'!$D$33-SUM(O$5:O13)+O$5,N14*(1-'הנחות עבודה'!$D$38))))</f>
        <v>1456.4841530032877</v>
      </c>
      <c r="P14" s="235">
        <f>IF($B14&gt;2030,0,IF($B14&gt;P$5,0,IF($B14=P$5,VLOOKUP($B14,'הספק קיים ותחזית יצור'!$B$80:$E$100,4,FALSE)/'הנחות עבודה'!$D$33-SUM(P$5:P13)+P$5,O14*(1-'הנחות עבודה'!$D$38))))</f>
        <v>1447.745248085268</v>
      </c>
      <c r="Q14" s="235">
        <f>IF($B14&gt;2030,0,IF($B14&gt;Q$5,0,IF($B14=Q$5,VLOOKUP($B14,'הספק קיים ותחזית יצור'!$B$80:$E$100,4,FALSE)/'הנחות עבודה'!$D$33-SUM(Q$5:Q13)+Q$5,P14*(1-'הנחות עבודה'!$D$38))))</f>
        <v>1439.0587765967564</v>
      </c>
      <c r="R14" s="235">
        <f>IF($B14&gt;2030,0,IF($B14&gt;R$5,0,IF($B14=R$5,VLOOKUP($B14,'הספק קיים ותחזית יצור'!$B$80:$E$100,4,FALSE)/'הנחות עבודה'!$D$33-SUM(R$5:R13)+R$5,Q14*(1-'הנחות עבודה'!$D$38))))</f>
        <v>1430.4244239371758</v>
      </c>
      <c r="S14" s="235">
        <f>IF($B14&gt;2030,0,IF($B14&gt;S$5,0,IF($B14=S$5,VLOOKUP($B14,'הספק קיים ותחזית יצור'!$B$80:$E$100,4,FALSE)/'הנחות עבודה'!$D$33-SUM(S$5:S13)+S$5,R14*(1-'הנחות עבודה'!$D$38))))</f>
        <v>1421.8418773935527</v>
      </c>
      <c r="T14" s="235">
        <f>IF($B14&gt;2030,0,IF($B14&gt;T$5,0,IF($B14=T$5,VLOOKUP($B14,'הספק קיים ותחזית יצור'!$B$80:$E$100,4,FALSE)/'הנחות עבודה'!$D$33-SUM(T$5:T13)+T$5,S14*(1-'הנחות עבודה'!$D$38))))</f>
        <v>1413.3108261291914</v>
      </c>
      <c r="U14" s="235">
        <f>IF($B14&gt;2030,0,IF($B14&gt;U$5,0,IF($B14=U$5,VLOOKUP($B14,'הספק קיים ותחזית יצור'!$B$80:$E$100,4,FALSE)/'הנחות עבודה'!$D$33-SUM(U$5:U13)+U$5,T14*(1-'הנחות עבודה'!$D$38))))</f>
        <v>1404.8309611724162</v>
      </c>
      <c r="V14" s="235">
        <f>IF($B14&gt;2030,0,IF($B14&gt;V$5,0,IF($B14=V$5,VLOOKUP($B14,'הספק קיים ותחזית יצור'!$B$80:$E$100,4,FALSE)/'הנחות עבודה'!$D$33-SUM(V$5:V13)+V$5,U14*(1-'הנחות עבודה'!$D$38))))</f>
        <v>1396.4019754053818</v>
      </c>
      <c r="W14" s="236">
        <f>IF($B14&gt;2030,0,IF($B14&gt;W$5,0,IF($B14=W$5,VLOOKUP($B14,'הספק קיים ותחזית יצור'!$B$80:$E$100,4,FALSE)/'הנחות עבודה'!$D$33-SUM(W$5:W13)+W$5,V14*(1-'הנחות עבודה'!$D$38))))</f>
        <v>1388.0235635529496</v>
      </c>
    </row>
    <row r="15" spans="1:45">
      <c r="B15" s="306">
        <f t="shared" si="4"/>
        <v>2029</v>
      </c>
      <c r="C15" s="234">
        <f>IF($B15&gt;2030,0,IF($B15&gt;C$5,0,IF($B15=C$5,VLOOKUP($B15,'הספק קיים ותחזית יצור'!$B$80:$E$100,4,FALSE)/'הנחות עבודה'!$D$33-SUM(C$5:C14)+C$5,B15*(1-'הנחות עבודה'!$D$38))))</f>
        <v>0</v>
      </c>
      <c r="D15" s="235">
        <f>IF($B15&gt;2030,0,IF($B15&gt;D$5,0,IF($B15=D$5,VLOOKUP($B15,'הספק קיים ותחזית יצור'!$B$80:$E$100,4,FALSE)/'הנחות עבודה'!$D$33-SUM(D$5:D14)+D$5,C15*(1-'הנחות עבודה'!$D$38))))</f>
        <v>0</v>
      </c>
      <c r="E15" s="235">
        <f>IF($B15&gt;2030,0,IF($B15&gt;E$5,0,IF($B15=E$5,VLOOKUP($B15,'הספק קיים ותחזית יצור'!$B$80:$E$100,4,FALSE)/'הנחות עבודה'!$D$33-SUM(E$5:E14)+E$5,D15*(1-'הנחות עבודה'!$D$38))))</f>
        <v>0</v>
      </c>
      <c r="F15" s="235">
        <f>IF($B15&gt;2030,0,IF($B15&gt;F$5,0,IF($B15=F$5,VLOOKUP($B15,'הספק קיים ותחזית יצור'!$B$80:$E$100,4,FALSE)/'הנחות עבודה'!$D$33-SUM(F$5:F14)+F$5,E15*(1-'הנחות עבודה'!$D$38))))</f>
        <v>0</v>
      </c>
      <c r="G15" s="235">
        <f>IF($B15&gt;2030,0,IF($B15&gt;G$5,0,IF($B15=G$5,VLOOKUP($B15,'הספק קיים ותחזית יצור'!$B$80:$E$100,4,FALSE)/'הנחות עבודה'!$D$33-SUM(G$5:G14)+G$5,F15*(1-'הנחות עבודה'!$D$38))))</f>
        <v>0</v>
      </c>
      <c r="H15" s="235">
        <f>IF($B15&gt;2030,0,IF($B15&gt;H$5,0,IF($B15=H$5,VLOOKUP($B15,'הספק קיים ותחזית יצור'!$B$80:$E$100,4,FALSE)/'הנחות עבודה'!$D$33-SUM(H$5:H14)+H$5,G15*(1-'הנחות עבודה'!$D$38))))</f>
        <v>0</v>
      </c>
      <c r="I15" s="235">
        <f>IF($B15&gt;2030,0,IF($B15&gt;I$5,0,IF($B15=I$5,VLOOKUP($B15,'הספק קיים ותחזית יצור'!$B$80:$E$100,4,FALSE)/'הנחות עבודה'!$D$33-SUM(I$5:I14)+I$5,H15*(1-'הנחות עבודה'!$D$38))))</f>
        <v>0</v>
      </c>
      <c r="J15" s="235">
        <f>IF($B15&gt;2030,0,IF($B15&gt;J$5,0,IF($B15=J$5,VLOOKUP($B15,'הספק קיים ותחזית יצור'!$B$80:$E$100,4,FALSE)/'הנחות עבודה'!$D$33-SUM(J$5:J14)+J$5,I15*(1-'הנחות עבודה'!$D$38))))</f>
        <v>0</v>
      </c>
      <c r="K15" s="235">
        <f>IF($B15&gt;2030,0,IF($B15&gt;K$5,0,IF($B15=K$5,VLOOKUP($B15,'הספק קיים ותחזית יצור'!$B$80:$E$100,4,FALSE)/'הנחות עבודה'!$D$33-SUM(K$5:K14)+K$5,J15*(1-'הנחות עבודה'!$D$38))))</f>
        <v>0</v>
      </c>
      <c r="L15" s="235">
        <f>IF($B15&gt;2030,0,IF($B15&gt;L$5,0,IF($B15=L$5,VLOOKUP($B15,'הספק קיים ותחזית יצור'!$B$80:$E$100,4,FALSE)/'הנחות עבודה'!$D$33-SUM(L$5:L14)+L$5,K15*(1-'הנחות עבודה'!$D$38))))</f>
        <v>1651.413781948213</v>
      </c>
      <c r="M15" s="235">
        <f>IF($B15&gt;2030,0,IF($B15&gt;M$5,0,IF($B15=M$5,VLOOKUP($B15,'הספק קיים ותחזית יצור'!$B$80:$E$100,4,FALSE)/'הנחות עבודה'!$D$33-SUM(M$5:M14)+M$5,L15*(1-'הנחות עבודה'!$D$38))))</f>
        <v>1641.5052992565238</v>
      </c>
      <c r="N15" s="235">
        <f>IF($B15&gt;2030,0,IF($B15&gt;N$5,0,IF($B15=N$5,VLOOKUP($B15,'הספק קיים ותחזית יצור'!$B$80:$E$100,4,FALSE)/'הנחות עבודה'!$D$33-SUM(N$5:N14)+N$5,M15*(1-'הנחות עבודה'!$D$38))))</f>
        <v>1631.6562674609847</v>
      </c>
      <c r="O15" s="235">
        <f>IF($B15&gt;2030,0,IF($B15&gt;O$5,0,IF($B15=O$5,VLOOKUP($B15,'הספק קיים ותחזית יצור'!$B$80:$E$100,4,FALSE)/'הנחות עבודה'!$D$33-SUM(O$5:O14)+O$5,N15*(1-'הנחות עבודה'!$D$38))))</f>
        <v>1621.8663298562187</v>
      </c>
      <c r="P15" s="235">
        <f>IF($B15&gt;2030,0,IF($B15&gt;P$5,0,IF($B15=P$5,VLOOKUP($B15,'הספק קיים ותחזית יצור'!$B$80:$E$100,4,FALSE)/'הנחות עבודה'!$D$33-SUM(P$5:P14)+P$5,O15*(1-'הנחות עבודה'!$D$38))))</f>
        <v>1612.1351318770814</v>
      </c>
      <c r="Q15" s="235">
        <f>IF($B15&gt;2030,0,IF($B15&gt;Q$5,0,IF($B15=Q$5,VLOOKUP($B15,'הספק קיים ותחזית יצור'!$B$80:$E$100,4,FALSE)/'הנחות עבודה'!$D$33-SUM(Q$5:Q14)+Q$5,P15*(1-'הנחות עבודה'!$D$38))))</f>
        <v>1602.462321085819</v>
      </c>
      <c r="R15" s="235">
        <f>IF($B15&gt;2030,0,IF($B15&gt;R$5,0,IF($B15=R$5,VLOOKUP($B15,'הספק קיים ותחזית יצור'!$B$80:$E$100,4,FALSE)/'הנחות עבודה'!$D$33-SUM(R$5:R14)+R$5,Q15*(1-'הנחות עבודה'!$D$38))))</f>
        <v>1592.847547159304</v>
      </c>
      <c r="S15" s="235">
        <f>IF($B15&gt;2030,0,IF($B15&gt;S$5,0,IF($B15=S$5,VLOOKUP($B15,'הספק קיים ותחזית יצור'!$B$80:$E$100,4,FALSE)/'הנחות עבודה'!$D$33-SUM(S$5:S14)+S$5,R15*(1-'הנחות עבודה'!$D$38))))</f>
        <v>1583.2904618763482</v>
      </c>
      <c r="T15" s="235">
        <f>IF($B15&gt;2030,0,IF($B15&gt;T$5,0,IF($B15=T$5,VLOOKUP($B15,'הספק קיים ותחזית יצור'!$B$80:$E$100,4,FALSE)/'הנחות עבודה'!$D$33-SUM(T$5:T14)+T$5,S15*(1-'הנחות עבודה'!$D$38))))</f>
        <v>1573.7907191050901</v>
      </c>
      <c r="U15" s="235">
        <f>IF($B15&gt;2030,0,IF($B15&gt;U$5,0,IF($B15=U$5,VLOOKUP($B15,'הספק קיים ותחזית יצור'!$B$80:$E$100,4,FALSE)/'הנחות עבודה'!$D$33-SUM(U$5:U14)+U$5,T15*(1-'הנחות עבודה'!$D$38))))</f>
        <v>1564.3479747904596</v>
      </c>
      <c r="V15" s="235">
        <f>IF($B15&gt;2030,0,IF($B15&gt;V$5,0,IF($B15=V$5,VLOOKUP($B15,'הספק קיים ותחזית יצור'!$B$80:$E$100,4,FALSE)/'הנחות עבודה'!$D$33-SUM(V$5:V14)+V$5,U15*(1-'הנחות עבודה'!$D$38))))</f>
        <v>1554.9618869417168</v>
      </c>
      <c r="W15" s="236">
        <f>IF($B15&gt;2030,0,IF($B15&gt;W$5,0,IF($B15=W$5,VLOOKUP($B15,'הספק קיים ותחזית יצור'!$B$80:$E$100,4,FALSE)/'הנחות עבודה'!$D$33-SUM(W$5:W14)+W$5,V15*(1-'הנחות עבודה'!$D$38))))</f>
        <v>1545.6321156200665</v>
      </c>
    </row>
    <row r="16" spans="1:45">
      <c r="B16" s="306">
        <f t="shared" si="4"/>
        <v>2030</v>
      </c>
      <c r="C16" s="234">
        <f>IF($B16&gt;2030,0,IF($B16&gt;C$5,0,IF($B16=C$5,VLOOKUP($B16,'הספק קיים ותחזית יצור'!$B$80:$E$100,4,FALSE)/'הנחות עבודה'!$D$33-SUM(C$5:C15)+C$5,B16*(1-'הנחות עבודה'!$D$38))))</f>
        <v>0</v>
      </c>
      <c r="D16" s="235">
        <f>IF($B16&gt;2030,0,IF($B16&gt;D$5,0,IF($B16=D$5,VLOOKUP($B16,'הספק קיים ותחזית יצור'!$B$80:$E$100,4,FALSE)/'הנחות עבודה'!$D$33-SUM(D$5:D15)+D$5,C16*(1-'הנחות עבודה'!$D$38))))</f>
        <v>0</v>
      </c>
      <c r="E16" s="235">
        <f>IF($B16&gt;2030,0,IF($B16&gt;E$5,0,IF($B16=E$5,VLOOKUP($B16,'הספק קיים ותחזית יצור'!$B$80:$E$100,4,FALSE)/'הנחות עבודה'!$D$33-SUM(E$5:E15)+E$5,D16*(1-'הנחות עבודה'!$D$38))))</f>
        <v>0</v>
      </c>
      <c r="F16" s="235">
        <f>IF($B16&gt;2030,0,IF($B16&gt;F$5,0,IF($B16=F$5,VLOOKUP($B16,'הספק קיים ותחזית יצור'!$B$80:$E$100,4,FALSE)/'הנחות עבודה'!$D$33-SUM(F$5:F15)+F$5,E16*(1-'הנחות עבודה'!$D$38))))</f>
        <v>0</v>
      </c>
      <c r="G16" s="235">
        <f>IF($B16&gt;2030,0,IF($B16&gt;G$5,0,IF($B16=G$5,VLOOKUP($B16,'הספק קיים ותחזית יצור'!$B$80:$E$100,4,FALSE)/'הנחות עבודה'!$D$33-SUM(G$5:G15)+G$5,F16*(1-'הנחות עבודה'!$D$38))))</f>
        <v>0</v>
      </c>
      <c r="H16" s="235">
        <f>IF($B16&gt;2030,0,IF($B16&gt;H$5,0,IF($B16=H$5,VLOOKUP($B16,'הספק קיים ותחזית יצור'!$B$80:$E$100,4,FALSE)/'הנחות עבודה'!$D$33-SUM(H$5:H15)+H$5,G16*(1-'הנחות עבודה'!$D$38))))</f>
        <v>0</v>
      </c>
      <c r="I16" s="235">
        <f>IF($B16&gt;2030,0,IF($B16&gt;I$5,0,IF($B16=I$5,VLOOKUP($B16,'הספק קיים ותחזית יצור'!$B$80:$E$100,4,FALSE)/'הנחות עבודה'!$D$33-SUM(I$5:I15)+I$5,H16*(1-'הנחות עבודה'!$D$38))))</f>
        <v>0</v>
      </c>
      <c r="J16" s="235">
        <f>IF($B16&gt;2030,0,IF($B16&gt;J$5,0,IF($B16=J$5,VLOOKUP($B16,'הספק קיים ותחזית יצור'!$B$80:$E$100,4,FALSE)/'הנחות עבודה'!$D$33-SUM(J$5:J15)+J$5,I16*(1-'הנחות עבודה'!$D$38))))</f>
        <v>0</v>
      </c>
      <c r="K16" s="235">
        <f>IF($B16&gt;2030,0,IF($B16&gt;K$5,0,IF($B16=K$5,VLOOKUP($B16,'הספק קיים ותחזית יצור'!$B$80:$E$100,4,FALSE)/'הנחות עבודה'!$D$33-SUM(K$5:K15)+K$5,J16*(1-'הנחות עבודה'!$D$38))))</f>
        <v>0</v>
      </c>
      <c r="L16" s="235">
        <f>IF($B16&gt;2030,0,IF($B16&gt;L$5,0,IF($B16=L$5,VLOOKUP($B16,'הספק קיים ותחזית יצור'!$B$80:$E$100,4,FALSE)/'הנחות עבודה'!$D$33-SUM(L$5:L15)+L$5,K16*(1-'הנחות עבודה'!$D$38))))</f>
        <v>0</v>
      </c>
      <c r="M16" s="235">
        <f>IF($B16&gt;2030,0,IF($B16&gt;M$5,0,IF($B16=M$5,VLOOKUP($B16,'הספק קיים ותחזית יצור'!$B$80:$E$100,4,FALSE)/'הנחות עבודה'!$D$33-SUM(M$5:M15)+M$5,L16*(1-'הנחות עבודה'!$D$38))))</f>
        <v>1698.5273571395901</v>
      </c>
      <c r="N16" s="235">
        <f>IF($B16&gt;2030,0,IF($B16&gt;N$5,0,IF($B16=N$5,VLOOKUP($B16,'הספק קיים ותחזית יצור'!$B$80:$E$100,4,FALSE)/'הנחות עבודה'!$D$33-SUM(N$5:N15)+N$5,M16*(1-'הנחות עבודה'!$D$38))))</f>
        <v>1688.3361929967525</v>
      </c>
      <c r="O16" s="235">
        <f>IF($B16&gt;2030,0,IF($B16&gt;O$5,0,IF($B16=O$5,VLOOKUP($B16,'הספק קיים ותחזית יצור'!$B$80:$E$100,4,FALSE)/'הנחות עבודה'!$D$33-SUM(O$5:O15)+O$5,N16*(1-'הנחות עבודה'!$D$38))))</f>
        <v>1678.206175838772</v>
      </c>
      <c r="P16" s="235">
        <f>IF($B16&gt;2030,0,IF($B16&gt;P$5,0,IF($B16=P$5,VLOOKUP($B16,'הספק קיים ותחזית יצור'!$B$80:$E$100,4,FALSE)/'הנחות עבודה'!$D$33-SUM(P$5:P15)+P$5,O16*(1-'הנחות עבודה'!$D$38))))</f>
        <v>1668.1369387837394</v>
      </c>
      <c r="Q16" s="235">
        <f>IF($B16&gt;2030,0,IF($B16&gt;Q$5,0,IF($B16=Q$5,VLOOKUP($B16,'הספק קיים ותחזית יצור'!$B$80:$E$100,4,FALSE)/'הנחות עבודה'!$D$33-SUM(Q$5:Q15)+Q$5,P16*(1-'הנחות עבודה'!$D$38))))</f>
        <v>1658.128117151037</v>
      </c>
      <c r="R16" s="235">
        <f>IF($B16&gt;2030,0,IF($B16&gt;R$5,0,IF($B16=R$5,VLOOKUP($B16,'הספק קיים ותחזית יצור'!$B$80:$E$100,4,FALSE)/'הנחות עבודה'!$D$33-SUM(R$5:R15)+R$5,Q16*(1-'הנחות עבודה'!$D$38))))</f>
        <v>1648.1793484481309</v>
      </c>
      <c r="S16" s="235">
        <f>IF($B16&gt;2030,0,IF($B16&gt;S$5,0,IF($B16=S$5,VLOOKUP($B16,'הספק קיים ותחזית יצור'!$B$80:$E$100,4,FALSE)/'הנחות עבודה'!$D$33-SUM(S$5:S15)+S$5,R16*(1-'הנחות עבודה'!$D$38))))</f>
        <v>1638.2902723574421</v>
      </c>
      <c r="T16" s="235">
        <f>IF($B16&gt;2030,0,IF($B16&gt;T$5,0,IF($B16=T$5,VLOOKUP($B16,'הספק קיים ותחזית יצור'!$B$80:$E$100,4,FALSE)/'הנחות עבודה'!$D$33-SUM(T$5:T15)+T$5,S16*(1-'הנחות עבודה'!$D$38))))</f>
        <v>1628.4605307232973</v>
      </c>
      <c r="U16" s="235">
        <f>IF($B16&gt;2030,0,IF($B16&gt;U$5,0,IF($B16=U$5,VLOOKUP($B16,'הספק קיים ותחזית יצור'!$B$80:$E$100,4,FALSE)/'הנחות עבודה'!$D$33-SUM(U$5:U15)+U$5,T16*(1-'הנחות עבודה'!$D$38))))</f>
        <v>1618.6897675389575</v>
      </c>
      <c r="V16" s="235">
        <f>IF($B16&gt;2030,0,IF($B16&gt;V$5,0,IF($B16=V$5,VLOOKUP($B16,'הספק קיים ותחזית יצור'!$B$80:$E$100,4,FALSE)/'הנחות עבודה'!$D$33-SUM(V$5:V15)+V$5,U16*(1-'הנחות עבודה'!$D$38))))</f>
        <v>1608.9776289337237</v>
      </c>
      <c r="W16" s="236">
        <f>IF($B16&gt;2030,0,IF($B16&gt;W$5,0,IF($B16=W$5,VLOOKUP($B16,'הספק קיים ותחזית יצור'!$B$80:$E$100,4,FALSE)/'הנחות עבודה'!$D$33-SUM(W$5:W15)+W$5,V16*(1-'הנחות עבודה'!$D$38))))</f>
        <v>1599.3237631601214</v>
      </c>
    </row>
    <row r="17" spans="2:23">
      <c r="B17" s="306">
        <f t="shared" si="4"/>
        <v>2031</v>
      </c>
      <c r="C17" s="234">
        <f>IF($B17&gt;2030,0,IF($B17&gt;C$5,0,IF($B17=C$5,VLOOKUP($B17,'הספק קיים ותחזית יצור'!$B$80:$E$100,4,FALSE)/'הנחות עבודה'!$D$33-SUM(C$5:C16)+C$5,B17*(1-'הנחות עבודה'!$D$38))))</f>
        <v>0</v>
      </c>
      <c r="D17" s="235">
        <f>IF($B17&gt;2030,0,IF($B17&gt;D$5,0,IF($B17=D$5,VLOOKUP($B17,'הספק קיים ותחזית יצור'!$B$80:$E$100,4,FALSE)/'הנחות עבודה'!$D$33-SUM(D$5:D16)+D$5,C17*(1-'הנחות עבודה'!$D$38))))</f>
        <v>0</v>
      </c>
      <c r="E17" s="235">
        <f>IF($B17&gt;2030,0,IF($B17&gt;E$5,0,IF($B17=E$5,VLOOKUP($B17,'הספק קיים ותחזית יצור'!$B$80:$E$100,4,FALSE)/'הנחות עבודה'!$D$33-SUM(E$5:E16)+E$5,D17*(1-'הנחות עבודה'!$D$38))))</f>
        <v>0</v>
      </c>
      <c r="F17" s="235">
        <f>IF($B17&gt;2030,0,IF($B17&gt;F$5,0,IF($B17=F$5,VLOOKUP($B17,'הספק קיים ותחזית יצור'!$B$80:$E$100,4,FALSE)/'הנחות עבודה'!$D$33-SUM(F$5:F16)+F$5,E17*(1-'הנחות עבודה'!$D$38))))</f>
        <v>0</v>
      </c>
      <c r="G17" s="235">
        <f>IF($B17&gt;2030,0,IF($B17&gt;G$5,0,IF($B17=G$5,VLOOKUP($B17,'הספק קיים ותחזית יצור'!$B$80:$E$100,4,FALSE)/'הנחות עבודה'!$D$33-SUM(G$5:G16)+G$5,F17*(1-'הנחות עבודה'!$D$38))))</f>
        <v>0</v>
      </c>
      <c r="H17" s="235">
        <f>IF($B17&gt;2030,0,IF($B17&gt;H$5,0,IF($B17=H$5,VLOOKUP($B17,'הספק קיים ותחזית יצור'!$B$80:$E$100,4,FALSE)/'הנחות עבודה'!$D$33-SUM(H$5:H16)+H$5,G17*(1-'הנחות עבודה'!$D$38))))</f>
        <v>0</v>
      </c>
      <c r="I17" s="235">
        <f>IF($B17&gt;2030,0,IF($B17&gt;I$5,0,IF($B17=I$5,VLOOKUP($B17,'הספק קיים ותחזית יצור'!$B$80:$E$100,4,FALSE)/'הנחות עבודה'!$D$33-SUM(I$5:I16)+I$5,H17*(1-'הנחות עבודה'!$D$38))))</f>
        <v>0</v>
      </c>
      <c r="J17" s="235">
        <f>IF($B17&gt;2030,0,IF($B17&gt;J$5,0,IF($B17=J$5,VLOOKUP($B17,'הספק קיים ותחזית יצור'!$B$80:$E$100,4,FALSE)/'הנחות עבודה'!$D$33-SUM(J$5:J16)+J$5,I17*(1-'הנחות עבודה'!$D$38))))</f>
        <v>0</v>
      </c>
      <c r="K17" s="235">
        <f>IF($B17&gt;2030,0,IF($B17&gt;K$5,0,IF($B17=K$5,VLOOKUP($B17,'הספק קיים ותחזית יצור'!$B$80:$E$100,4,FALSE)/'הנחות עבודה'!$D$33-SUM(K$5:K16)+K$5,J17*(1-'הנחות עבודה'!$D$38))))</f>
        <v>0</v>
      </c>
      <c r="L17" s="235">
        <f>IF($B17&gt;2030,0,IF($B17&gt;L$5,0,IF($B17=L$5,VLOOKUP($B17,'הספק קיים ותחזית יצור'!$B$80:$E$100,4,FALSE)/'הנחות עבודה'!$D$33-SUM(L$5:L16)+L$5,K17*(1-'הנחות עבודה'!$D$38))))</f>
        <v>0</v>
      </c>
      <c r="M17" s="235">
        <f>IF($B17&gt;2030,0,IF($B17&gt;M$5,0,IF($B17=M$5,VLOOKUP($B17,'הספק קיים ותחזית יצור'!$B$80:$E$100,4,FALSE)/'הנחות עבודה'!$D$33-SUM(M$5:M16)+M$5,L17*(1-'הנחות עבודה'!$D$38))))</f>
        <v>0</v>
      </c>
      <c r="N17" s="235">
        <f>IF($B17&gt;2030,0,IF($B17&gt;N$5,0,IF($B17=N$5,VLOOKUP($B17,'הספק קיים ותחזית יצור'!$B$80:$E$100,4,FALSE)/'הנחות עבודה'!$D$33-SUM(N$5:N16)+N$5,M17*(1-'הנחות עבודה'!$D$38))))</f>
        <v>0</v>
      </c>
      <c r="O17" s="235">
        <f>IF($B17&gt;2030,0,IF($B17&gt;O$5,0,IF($B17=O$5,VLOOKUP($B17,'הספק קיים ותחזית יצור'!$B$80:$E$100,4,FALSE)/'הנחות עבודה'!$D$33-SUM(O$5:O16)+O$5,N17*(1-'הנחות עבודה'!$D$38))))</f>
        <v>0</v>
      </c>
      <c r="P17" s="235">
        <f>IF($B17&gt;2030,0,IF($B17&gt;P$5,0,IF($B17=P$5,VLOOKUP($B17,'הספק קיים ותחזית יצור'!$B$80:$E$100,4,FALSE)/'הנחות עבודה'!$D$33-SUM(P$5:P16)+P$5,O17*(1-'הנחות עבודה'!$D$38))))</f>
        <v>0</v>
      </c>
      <c r="Q17" s="235">
        <f>IF($B17&gt;2030,0,IF($B17&gt;Q$5,0,IF($B17=Q$5,VLOOKUP($B17,'הספק קיים ותחזית יצור'!$B$80:$E$100,4,FALSE)/'הנחות עבודה'!$D$33-SUM(Q$5:Q16)+Q$5,P17*(1-'הנחות עבודה'!$D$38))))</f>
        <v>0</v>
      </c>
      <c r="R17" s="235">
        <f>IF($B17&gt;2030,0,IF($B17&gt;R$5,0,IF($B17=R$5,VLOOKUP($B17,'הספק קיים ותחזית יצור'!$B$80:$E$100,4,FALSE)/'הנחות עבודה'!$D$33-SUM(R$5:R16)+R$5,Q17*(1-'הנחות עבודה'!$D$38))))</f>
        <v>0</v>
      </c>
      <c r="S17" s="235">
        <f>IF($B17&gt;2030,0,IF($B17&gt;S$5,0,IF($B17=S$5,VLOOKUP($B17,'הספק קיים ותחזית יצור'!$B$80:$E$100,4,FALSE)/'הנחות עבודה'!$D$33-SUM(S$5:S16)+S$5,R17*(1-'הנחות עבודה'!$D$38))))</f>
        <v>0</v>
      </c>
      <c r="T17" s="235">
        <f>IF($B17&gt;2030,0,IF($B17&gt;T$5,0,IF($B17=T$5,VLOOKUP($B17,'הספק קיים ותחזית יצור'!$B$80:$E$100,4,FALSE)/'הנחות עבודה'!$D$33-SUM(T$5:T16)+T$5,S17*(1-'הנחות עבודה'!$D$38))))</f>
        <v>0</v>
      </c>
      <c r="U17" s="235">
        <f>IF($B17&gt;2030,0,IF($B17&gt;U$5,0,IF($B17=U$5,VLOOKUP($B17,'הספק קיים ותחזית יצור'!$B$80:$E$100,4,FALSE)/'הנחות עבודה'!$D$33-SUM(U$5:U16)+U$5,T17*(1-'הנחות עבודה'!$D$38))))</f>
        <v>0</v>
      </c>
      <c r="V17" s="235">
        <f>IF($B17&gt;2030,0,IF($B17&gt;V$5,0,IF($B17=V$5,VLOOKUP($B17,'הספק קיים ותחזית יצור'!$B$80:$E$100,4,FALSE)/'הנחות עבודה'!$D$33-SUM(V$5:V16)+V$5,U17*(1-'הנחות עבודה'!$D$38))))</f>
        <v>0</v>
      </c>
      <c r="W17" s="236">
        <f>IF($B17&gt;2030,0,IF($B17&gt;W$5,0,IF($B17=W$5,VLOOKUP($B17,'הספק קיים ותחזית יצור'!$B$80:$E$100,4,FALSE)/'הנחות עבודה'!$D$33-SUM(W$5:W16)+W$5,V17*(1-'הנחות עבודה'!$D$38))))</f>
        <v>0</v>
      </c>
    </row>
    <row r="18" spans="2:23">
      <c r="B18" s="306">
        <f t="shared" si="4"/>
        <v>2032</v>
      </c>
      <c r="C18" s="234">
        <f>IF($B18&gt;2030,0,IF($B18&gt;C$5,0,IF($B18=C$5,VLOOKUP($B18,'הספק קיים ותחזית יצור'!$B$80:$E$100,4,FALSE)/'הנחות עבודה'!$D$33-SUM(C$5:C17)+C$5,B18*(1-'הנחות עבודה'!$D$38))))</f>
        <v>0</v>
      </c>
      <c r="D18" s="235">
        <f>IF($B18&gt;2030,0,IF($B18&gt;D$5,0,IF($B18=D$5,VLOOKUP($B18,'הספק קיים ותחזית יצור'!$B$80:$E$100,4,FALSE)/'הנחות עבודה'!$D$33-SUM(D$5:D17)+D$5,C18*(1-'הנחות עבודה'!$D$38))))</f>
        <v>0</v>
      </c>
      <c r="E18" s="235">
        <f>IF($B18&gt;2030,0,IF($B18&gt;E$5,0,IF($B18=E$5,VLOOKUP($B18,'הספק קיים ותחזית יצור'!$B$80:$E$100,4,FALSE)/'הנחות עבודה'!$D$33-SUM(E$5:E17)+E$5,D18*(1-'הנחות עבודה'!$D$38))))</f>
        <v>0</v>
      </c>
      <c r="F18" s="235">
        <f>IF($B18&gt;2030,0,IF($B18&gt;F$5,0,IF($B18=F$5,VLOOKUP($B18,'הספק קיים ותחזית יצור'!$B$80:$E$100,4,FALSE)/'הנחות עבודה'!$D$33-SUM(F$5:F17)+F$5,E18*(1-'הנחות עבודה'!$D$38))))</f>
        <v>0</v>
      </c>
      <c r="G18" s="235">
        <f>IF($B18&gt;2030,0,IF($B18&gt;G$5,0,IF($B18=G$5,VLOOKUP($B18,'הספק קיים ותחזית יצור'!$B$80:$E$100,4,FALSE)/'הנחות עבודה'!$D$33-SUM(G$5:G17)+G$5,F18*(1-'הנחות עבודה'!$D$38))))</f>
        <v>0</v>
      </c>
      <c r="H18" s="235">
        <f>IF($B18&gt;2030,0,IF($B18&gt;H$5,0,IF($B18=H$5,VLOOKUP($B18,'הספק קיים ותחזית יצור'!$B$80:$E$100,4,FALSE)/'הנחות עבודה'!$D$33-SUM(H$5:H17)+H$5,G18*(1-'הנחות עבודה'!$D$38))))</f>
        <v>0</v>
      </c>
      <c r="I18" s="235">
        <f>IF($B18&gt;2030,0,IF($B18&gt;I$5,0,IF($B18=I$5,VLOOKUP($B18,'הספק קיים ותחזית יצור'!$B$80:$E$100,4,FALSE)/'הנחות עבודה'!$D$33-SUM(I$5:I17)+I$5,H18*(1-'הנחות עבודה'!$D$38))))</f>
        <v>0</v>
      </c>
      <c r="J18" s="235">
        <f>IF($B18&gt;2030,0,IF($B18&gt;J$5,0,IF($B18=J$5,VLOOKUP($B18,'הספק קיים ותחזית יצור'!$B$80:$E$100,4,FALSE)/'הנחות עבודה'!$D$33-SUM(J$5:J17)+J$5,I18*(1-'הנחות עבודה'!$D$38))))</f>
        <v>0</v>
      </c>
      <c r="K18" s="235">
        <f>IF($B18&gt;2030,0,IF($B18&gt;K$5,0,IF($B18=K$5,VLOOKUP($B18,'הספק קיים ותחזית יצור'!$B$80:$E$100,4,FALSE)/'הנחות עבודה'!$D$33-SUM(K$5:K17)+K$5,J18*(1-'הנחות עבודה'!$D$38))))</f>
        <v>0</v>
      </c>
      <c r="L18" s="235">
        <f>IF($B18&gt;2030,0,IF($B18&gt;L$5,0,IF($B18=L$5,VLOOKUP($B18,'הספק קיים ותחזית יצור'!$B$80:$E$100,4,FALSE)/'הנחות עבודה'!$D$33-SUM(L$5:L17)+L$5,K18*(1-'הנחות עבודה'!$D$38))))</f>
        <v>0</v>
      </c>
      <c r="M18" s="235">
        <f>IF($B18&gt;2030,0,IF($B18&gt;M$5,0,IF($B18=M$5,VLOOKUP($B18,'הספק קיים ותחזית יצור'!$B$80:$E$100,4,FALSE)/'הנחות עבודה'!$D$33-SUM(M$5:M17)+M$5,L18*(1-'הנחות עבודה'!$D$38))))</f>
        <v>0</v>
      </c>
      <c r="N18" s="235">
        <f>IF($B18&gt;2030,0,IF($B18&gt;N$5,0,IF($B18=N$5,VLOOKUP($B18,'הספק קיים ותחזית יצור'!$B$80:$E$100,4,FALSE)/'הנחות עבודה'!$D$33-SUM(N$5:N17)+N$5,M18*(1-'הנחות עבודה'!$D$38))))</f>
        <v>0</v>
      </c>
      <c r="O18" s="235">
        <f>IF($B18&gt;2030,0,IF($B18&gt;O$5,0,IF($B18=O$5,VLOOKUP($B18,'הספק קיים ותחזית יצור'!$B$80:$E$100,4,FALSE)/'הנחות עבודה'!$D$33-SUM(O$5:O17)+O$5,N18*(1-'הנחות עבודה'!$D$38))))</f>
        <v>0</v>
      </c>
      <c r="P18" s="235">
        <f>IF($B18&gt;2030,0,IF($B18&gt;P$5,0,IF($B18=P$5,VLOOKUP($B18,'הספק קיים ותחזית יצור'!$B$80:$E$100,4,FALSE)/'הנחות עבודה'!$D$33-SUM(P$5:P17)+P$5,O18*(1-'הנחות עבודה'!$D$38))))</f>
        <v>0</v>
      </c>
      <c r="Q18" s="235">
        <f>IF($B18&gt;2030,0,IF($B18&gt;Q$5,0,IF($B18=Q$5,VLOOKUP($B18,'הספק קיים ותחזית יצור'!$B$80:$E$100,4,FALSE)/'הנחות עבודה'!$D$33-SUM(Q$5:Q17)+Q$5,P18*(1-'הנחות עבודה'!$D$38))))</f>
        <v>0</v>
      </c>
      <c r="R18" s="235">
        <f>IF($B18&gt;2030,0,IF($B18&gt;R$5,0,IF($B18=R$5,VLOOKUP($B18,'הספק קיים ותחזית יצור'!$B$80:$E$100,4,FALSE)/'הנחות עבודה'!$D$33-SUM(R$5:R17)+R$5,Q18*(1-'הנחות עבודה'!$D$38))))</f>
        <v>0</v>
      </c>
      <c r="S18" s="235">
        <f>IF($B18&gt;2030,0,IF($B18&gt;S$5,0,IF($B18=S$5,VLOOKUP($B18,'הספק קיים ותחזית יצור'!$B$80:$E$100,4,FALSE)/'הנחות עבודה'!$D$33-SUM(S$5:S17)+S$5,R18*(1-'הנחות עבודה'!$D$38))))</f>
        <v>0</v>
      </c>
      <c r="T18" s="235">
        <f>IF($B18&gt;2030,0,IF($B18&gt;T$5,0,IF($B18=T$5,VLOOKUP($B18,'הספק קיים ותחזית יצור'!$B$80:$E$100,4,FALSE)/'הנחות עבודה'!$D$33-SUM(T$5:T17)+T$5,S18*(1-'הנחות עבודה'!$D$38))))</f>
        <v>0</v>
      </c>
      <c r="U18" s="235">
        <f>IF($B18&gt;2030,0,IF($B18&gt;U$5,0,IF($B18=U$5,VLOOKUP($B18,'הספק קיים ותחזית יצור'!$B$80:$E$100,4,FALSE)/'הנחות עבודה'!$D$33-SUM(U$5:U17)+U$5,T18*(1-'הנחות עבודה'!$D$38))))</f>
        <v>0</v>
      </c>
      <c r="V18" s="235">
        <f>IF($B18&gt;2030,0,IF($B18&gt;V$5,0,IF($B18=V$5,VLOOKUP($B18,'הספק קיים ותחזית יצור'!$B$80:$E$100,4,FALSE)/'הנחות עבודה'!$D$33-SUM(V$5:V17)+V$5,U18*(1-'הנחות עבודה'!$D$38))))</f>
        <v>0</v>
      </c>
      <c r="W18" s="236">
        <f>IF($B18&gt;2030,0,IF($B18&gt;W$5,0,IF($B18=W$5,VLOOKUP($B18,'הספק קיים ותחזית יצור'!$B$80:$E$100,4,FALSE)/'הנחות עבודה'!$D$33-SUM(W$5:W17)+W$5,V18*(1-'הנחות עבודה'!$D$38))))</f>
        <v>0</v>
      </c>
    </row>
    <row r="19" spans="2:23">
      <c r="B19" s="306">
        <f t="shared" si="4"/>
        <v>2033</v>
      </c>
      <c r="C19" s="234">
        <f>IF($B19&gt;2030,0,IF($B19&gt;C$5,0,IF($B19=C$5,VLOOKUP($B19,'הספק קיים ותחזית יצור'!$B$80:$E$100,4,FALSE)/'הנחות עבודה'!$D$33-SUM(C$5:C18)+C$5,B19*(1-'הנחות עבודה'!$D$38))))</f>
        <v>0</v>
      </c>
      <c r="D19" s="235">
        <f>IF($B19&gt;2030,0,IF($B19&gt;D$5,0,IF($B19=D$5,VLOOKUP($B19,'הספק קיים ותחזית יצור'!$B$80:$E$100,4,FALSE)/'הנחות עבודה'!$D$33-SUM(D$5:D18)+D$5,C19*(1-'הנחות עבודה'!$D$38))))</f>
        <v>0</v>
      </c>
      <c r="E19" s="235">
        <f>IF($B19&gt;2030,0,IF($B19&gt;E$5,0,IF($B19=E$5,VLOOKUP($B19,'הספק קיים ותחזית יצור'!$B$80:$E$100,4,FALSE)/'הנחות עבודה'!$D$33-SUM(E$5:E18)+E$5,D19*(1-'הנחות עבודה'!$D$38))))</f>
        <v>0</v>
      </c>
      <c r="F19" s="235">
        <f>IF($B19&gt;2030,0,IF($B19&gt;F$5,0,IF($B19=F$5,VLOOKUP($B19,'הספק קיים ותחזית יצור'!$B$80:$E$100,4,FALSE)/'הנחות עבודה'!$D$33-SUM(F$5:F18)+F$5,E19*(1-'הנחות עבודה'!$D$38))))</f>
        <v>0</v>
      </c>
      <c r="G19" s="235">
        <f>IF($B19&gt;2030,0,IF($B19&gt;G$5,0,IF($B19=G$5,VLOOKUP($B19,'הספק קיים ותחזית יצור'!$B$80:$E$100,4,FALSE)/'הנחות עבודה'!$D$33-SUM(G$5:G18)+G$5,F19*(1-'הנחות עבודה'!$D$38))))</f>
        <v>0</v>
      </c>
      <c r="H19" s="235">
        <f>IF($B19&gt;2030,0,IF($B19&gt;H$5,0,IF($B19=H$5,VLOOKUP($B19,'הספק קיים ותחזית יצור'!$B$80:$E$100,4,FALSE)/'הנחות עבודה'!$D$33-SUM(H$5:H18)+H$5,G19*(1-'הנחות עבודה'!$D$38))))</f>
        <v>0</v>
      </c>
      <c r="I19" s="235">
        <f>IF($B19&gt;2030,0,IF($B19&gt;I$5,0,IF($B19=I$5,VLOOKUP($B19,'הספק קיים ותחזית יצור'!$B$80:$E$100,4,FALSE)/'הנחות עבודה'!$D$33-SUM(I$5:I18)+I$5,H19*(1-'הנחות עבודה'!$D$38))))</f>
        <v>0</v>
      </c>
      <c r="J19" s="235">
        <f>IF($B19&gt;2030,0,IF($B19&gt;J$5,0,IF($B19=J$5,VLOOKUP($B19,'הספק קיים ותחזית יצור'!$B$80:$E$100,4,FALSE)/'הנחות עבודה'!$D$33-SUM(J$5:J18)+J$5,I19*(1-'הנחות עבודה'!$D$38))))</f>
        <v>0</v>
      </c>
      <c r="K19" s="235">
        <f>IF($B19&gt;2030,0,IF($B19&gt;K$5,0,IF($B19=K$5,VLOOKUP($B19,'הספק קיים ותחזית יצור'!$B$80:$E$100,4,FALSE)/'הנחות עבודה'!$D$33-SUM(K$5:K18)+K$5,J19*(1-'הנחות עבודה'!$D$38))))</f>
        <v>0</v>
      </c>
      <c r="L19" s="235">
        <f>IF($B19&gt;2030,0,IF($B19&gt;L$5,0,IF($B19=L$5,VLOOKUP($B19,'הספק קיים ותחזית יצור'!$B$80:$E$100,4,FALSE)/'הנחות עבודה'!$D$33-SUM(L$5:L18)+L$5,K19*(1-'הנחות עבודה'!$D$38))))</f>
        <v>0</v>
      </c>
      <c r="M19" s="235">
        <f>IF($B19&gt;2030,0,IF($B19&gt;M$5,0,IF($B19=M$5,VLOOKUP($B19,'הספק קיים ותחזית יצור'!$B$80:$E$100,4,FALSE)/'הנחות עבודה'!$D$33-SUM(M$5:M18)+M$5,L19*(1-'הנחות עבודה'!$D$38))))</f>
        <v>0</v>
      </c>
      <c r="N19" s="235">
        <f>IF($B19&gt;2030,0,IF($B19&gt;N$5,0,IF($B19=N$5,VLOOKUP($B19,'הספק קיים ותחזית יצור'!$B$80:$E$100,4,FALSE)/'הנחות עבודה'!$D$33-SUM(N$5:N18)+N$5,M19*(1-'הנחות עבודה'!$D$38))))</f>
        <v>0</v>
      </c>
      <c r="O19" s="235">
        <f>IF($B19&gt;2030,0,IF($B19&gt;O$5,0,IF($B19=O$5,VLOOKUP($B19,'הספק קיים ותחזית יצור'!$B$80:$E$100,4,FALSE)/'הנחות עבודה'!$D$33-SUM(O$5:O18)+O$5,N19*(1-'הנחות עבודה'!$D$38))))</f>
        <v>0</v>
      </c>
      <c r="P19" s="235">
        <f>IF($B19&gt;2030,0,IF($B19&gt;P$5,0,IF($B19=P$5,VLOOKUP($B19,'הספק קיים ותחזית יצור'!$B$80:$E$100,4,FALSE)/'הנחות עבודה'!$D$33-SUM(P$5:P18)+P$5,O19*(1-'הנחות עבודה'!$D$38))))</f>
        <v>0</v>
      </c>
      <c r="Q19" s="235">
        <f>IF($B19&gt;2030,0,IF($B19&gt;Q$5,0,IF($B19=Q$5,VLOOKUP($B19,'הספק קיים ותחזית יצור'!$B$80:$E$100,4,FALSE)/'הנחות עבודה'!$D$33-SUM(Q$5:Q18)+Q$5,P19*(1-'הנחות עבודה'!$D$38))))</f>
        <v>0</v>
      </c>
      <c r="R19" s="235">
        <f>IF($B19&gt;2030,0,IF($B19&gt;R$5,0,IF($B19=R$5,VLOOKUP($B19,'הספק קיים ותחזית יצור'!$B$80:$E$100,4,FALSE)/'הנחות עבודה'!$D$33-SUM(R$5:R18)+R$5,Q19*(1-'הנחות עבודה'!$D$38))))</f>
        <v>0</v>
      </c>
      <c r="S19" s="235">
        <f>IF($B19&gt;2030,0,IF($B19&gt;S$5,0,IF($B19=S$5,VLOOKUP($B19,'הספק קיים ותחזית יצור'!$B$80:$E$100,4,FALSE)/'הנחות עבודה'!$D$33-SUM(S$5:S18)+S$5,R19*(1-'הנחות עבודה'!$D$38))))</f>
        <v>0</v>
      </c>
      <c r="T19" s="235">
        <f>IF($B19&gt;2030,0,IF($B19&gt;T$5,0,IF($B19=T$5,VLOOKUP($B19,'הספק קיים ותחזית יצור'!$B$80:$E$100,4,FALSE)/'הנחות עבודה'!$D$33-SUM(T$5:T18)+T$5,S19*(1-'הנחות עבודה'!$D$38))))</f>
        <v>0</v>
      </c>
      <c r="U19" s="235">
        <f>IF($B19&gt;2030,0,IF($B19&gt;U$5,0,IF($B19=U$5,VLOOKUP($B19,'הספק קיים ותחזית יצור'!$B$80:$E$100,4,FALSE)/'הנחות עבודה'!$D$33-SUM(U$5:U18)+U$5,T19*(1-'הנחות עבודה'!$D$38))))</f>
        <v>0</v>
      </c>
      <c r="V19" s="235">
        <f>IF($B19&gt;2030,0,IF($B19&gt;V$5,0,IF($B19=V$5,VLOOKUP($B19,'הספק קיים ותחזית יצור'!$B$80:$E$100,4,FALSE)/'הנחות עבודה'!$D$33-SUM(V$5:V18)+V$5,U19*(1-'הנחות עבודה'!$D$38))))</f>
        <v>0</v>
      </c>
      <c r="W19" s="236">
        <f>IF($B19&gt;2030,0,IF($B19&gt;W$5,0,IF($B19=W$5,VLOOKUP($B19,'הספק קיים ותחזית יצור'!$B$80:$E$100,4,FALSE)/'הנחות עבודה'!$D$33-SUM(W$5:W18)+W$5,V19*(1-'הנחות עבודה'!$D$38))))</f>
        <v>0</v>
      </c>
    </row>
    <row r="20" spans="2:23">
      <c r="B20" s="306">
        <f t="shared" si="4"/>
        <v>2034</v>
      </c>
      <c r="C20" s="234">
        <f>IF($B20&gt;2030,0,IF($B20&gt;C$5,0,IF($B20=C$5,VLOOKUP($B20,'הספק קיים ותחזית יצור'!$B$80:$E$100,4,FALSE)/'הנחות עבודה'!$D$33-SUM(C$5:C19)+C$5,B20*(1-'הנחות עבודה'!$D$38))))</f>
        <v>0</v>
      </c>
      <c r="D20" s="235">
        <f>IF($B20&gt;2030,0,IF($B20&gt;D$5,0,IF($B20=D$5,VLOOKUP($B20,'הספק קיים ותחזית יצור'!$B$80:$E$100,4,FALSE)/'הנחות עבודה'!$D$33-SUM(D$5:D19)+D$5,C20*(1-'הנחות עבודה'!$D$38))))</f>
        <v>0</v>
      </c>
      <c r="E20" s="235">
        <f>IF($B20&gt;2030,0,IF($B20&gt;E$5,0,IF($B20=E$5,VLOOKUP($B20,'הספק קיים ותחזית יצור'!$B$80:$E$100,4,FALSE)/'הנחות עבודה'!$D$33-SUM(E$5:E19)+E$5,D20*(1-'הנחות עבודה'!$D$38))))</f>
        <v>0</v>
      </c>
      <c r="F20" s="235">
        <f>IF($B20&gt;2030,0,IF($B20&gt;F$5,0,IF($B20=F$5,VLOOKUP($B20,'הספק קיים ותחזית יצור'!$B$80:$E$100,4,FALSE)/'הנחות עבודה'!$D$33-SUM(F$5:F19)+F$5,E20*(1-'הנחות עבודה'!$D$38))))</f>
        <v>0</v>
      </c>
      <c r="G20" s="235">
        <f>IF($B20&gt;2030,0,IF($B20&gt;G$5,0,IF($B20=G$5,VLOOKUP($B20,'הספק קיים ותחזית יצור'!$B$80:$E$100,4,FALSE)/'הנחות עבודה'!$D$33-SUM(G$5:G19)+G$5,F20*(1-'הנחות עבודה'!$D$38))))</f>
        <v>0</v>
      </c>
      <c r="H20" s="235">
        <f>IF($B20&gt;2030,0,IF($B20&gt;H$5,0,IF($B20=H$5,VLOOKUP($B20,'הספק קיים ותחזית יצור'!$B$80:$E$100,4,FALSE)/'הנחות עבודה'!$D$33-SUM(H$5:H19)+H$5,G20*(1-'הנחות עבודה'!$D$38))))</f>
        <v>0</v>
      </c>
      <c r="I20" s="235">
        <f>IF($B20&gt;2030,0,IF($B20&gt;I$5,0,IF($B20=I$5,VLOOKUP($B20,'הספק קיים ותחזית יצור'!$B$80:$E$100,4,FALSE)/'הנחות עבודה'!$D$33-SUM(I$5:I19)+I$5,H20*(1-'הנחות עבודה'!$D$38))))</f>
        <v>0</v>
      </c>
      <c r="J20" s="235">
        <f>IF($B20&gt;2030,0,IF($B20&gt;J$5,0,IF($B20=J$5,VLOOKUP($B20,'הספק קיים ותחזית יצור'!$B$80:$E$100,4,FALSE)/'הנחות עבודה'!$D$33-SUM(J$5:J19)+J$5,I20*(1-'הנחות עבודה'!$D$38))))</f>
        <v>0</v>
      </c>
      <c r="K20" s="235">
        <f>IF($B20&gt;2030,0,IF($B20&gt;K$5,0,IF($B20=K$5,VLOOKUP($B20,'הספק קיים ותחזית יצור'!$B$80:$E$100,4,FALSE)/'הנחות עבודה'!$D$33-SUM(K$5:K19)+K$5,J20*(1-'הנחות עבודה'!$D$38))))</f>
        <v>0</v>
      </c>
      <c r="L20" s="235">
        <f>IF($B20&gt;2030,0,IF($B20&gt;L$5,0,IF($B20=L$5,VLOOKUP($B20,'הספק קיים ותחזית יצור'!$B$80:$E$100,4,FALSE)/'הנחות עבודה'!$D$33-SUM(L$5:L19)+L$5,K20*(1-'הנחות עבודה'!$D$38))))</f>
        <v>0</v>
      </c>
      <c r="M20" s="235">
        <f>IF($B20&gt;2030,0,IF($B20&gt;M$5,0,IF($B20=M$5,VLOOKUP($B20,'הספק קיים ותחזית יצור'!$B$80:$E$100,4,FALSE)/'הנחות עבודה'!$D$33-SUM(M$5:M19)+M$5,L20*(1-'הנחות עבודה'!$D$38))))</f>
        <v>0</v>
      </c>
      <c r="N20" s="235">
        <f>IF($B20&gt;2030,0,IF($B20&gt;N$5,0,IF($B20=N$5,VLOOKUP($B20,'הספק קיים ותחזית יצור'!$B$80:$E$100,4,FALSE)/'הנחות עבודה'!$D$33-SUM(N$5:N19)+N$5,M20*(1-'הנחות עבודה'!$D$38))))</f>
        <v>0</v>
      </c>
      <c r="O20" s="235">
        <f>IF($B20&gt;2030,0,IF($B20&gt;O$5,0,IF($B20=O$5,VLOOKUP($B20,'הספק קיים ותחזית יצור'!$B$80:$E$100,4,FALSE)/'הנחות עבודה'!$D$33-SUM(O$5:O19)+O$5,N20*(1-'הנחות עבודה'!$D$38))))</f>
        <v>0</v>
      </c>
      <c r="P20" s="235">
        <f>IF($B20&gt;2030,0,IF($B20&gt;P$5,0,IF($B20=P$5,VLOOKUP($B20,'הספק קיים ותחזית יצור'!$B$80:$E$100,4,FALSE)/'הנחות עבודה'!$D$33-SUM(P$5:P19)+P$5,O20*(1-'הנחות עבודה'!$D$38))))</f>
        <v>0</v>
      </c>
      <c r="Q20" s="235">
        <f>IF($B20&gt;2030,0,IF($B20&gt;Q$5,0,IF($B20=Q$5,VLOOKUP($B20,'הספק קיים ותחזית יצור'!$B$80:$E$100,4,FALSE)/'הנחות עבודה'!$D$33-SUM(Q$5:Q19)+Q$5,P20*(1-'הנחות עבודה'!$D$38))))</f>
        <v>0</v>
      </c>
      <c r="R20" s="235">
        <f>IF($B20&gt;2030,0,IF($B20&gt;R$5,0,IF($B20=R$5,VLOOKUP($B20,'הספק קיים ותחזית יצור'!$B$80:$E$100,4,FALSE)/'הנחות עבודה'!$D$33-SUM(R$5:R19)+R$5,Q20*(1-'הנחות עבודה'!$D$38))))</f>
        <v>0</v>
      </c>
      <c r="S20" s="235">
        <f>IF($B20&gt;2030,0,IF($B20&gt;S$5,0,IF($B20=S$5,VLOOKUP($B20,'הספק קיים ותחזית יצור'!$B$80:$E$100,4,FALSE)/'הנחות עבודה'!$D$33-SUM(S$5:S19)+S$5,R20*(1-'הנחות עבודה'!$D$38))))</f>
        <v>0</v>
      </c>
      <c r="T20" s="235">
        <f>IF($B20&gt;2030,0,IF($B20&gt;T$5,0,IF($B20=T$5,VLOOKUP($B20,'הספק קיים ותחזית יצור'!$B$80:$E$100,4,FALSE)/'הנחות עבודה'!$D$33-SUM(T$5:T19)+T$5,S20*(1-'הנחות עבודה'!$D$38))))</f>
        <v>0</v>
      </c>
      <c r="U20" s="235">
        <f>IF($B20&gt;2030,0,IF($B20&gt;U$5,0,IF($B20=U$5,VLOOKUP($B20,'הספק קיים ותחזית יצור'!$B$80:$E$100,4,FALSE)/'הנחות עבודה'!$D$33-SUM(U$5:U19)+U$5,T20*(1-'הנחות עבודה'!$D$38))))</f>
        <v>0</v>
      </c>
      <c r="V20" s="235">
        <f>IF($B20&gt;2030,0,IF($B20&gt;V$5,0,IF($B20=V$5,VLOOKUP($B20,'הספק קיים ותחזית יצור'!$B$80:$E$100,4,FALSE)/'הנחות עבודה'!$D$33-SUM(V$5:V19)+V$5,U20*(1-'הנחות עבודה'!$D$38))))</f>
        <v>0</v>
      </c>
      <c r="W20" s="236">
        <f>IF($B20&gt;2030,0,IF($B20&gt;W$5,0,IF($B20=W$5,VLOOKUP($B20,'הספק קיים ותחזית יצור'!$B$80:$E$100,4,FALSE)/'הנחות עבודה'!$D$33-SUM(W$5:W19)+W$5,V20*(1-'הנחות עבודה'!$D$38))))</f>
        <v>0</v>
      </c>
    </row>
    <row r="21" spans="2:23">
      <c r="B21" s="306">
        <f t="shared" si="4"/>
        <v>2035</v>
      </c>
      <c r="C21" s="234">
        <f>IF($B21&gt;2030,0,IF($B21&gt;C$5,0,IF($B21=C$5,VLOOKUP($B21,'הספק קיים ותחזית יצור'!$B$80:$E$100,4,FALSE)/'הנחות עבודה'!$D$33-SUM(C$5:C20)+C$5,B21*(1-'הנחות עבודה'!$D$38))))</f>
        <v>0</v>
      </c>
      <c r="D21" s="235">
        <f>IF($B21&gt;2030,0,IF($B21&gt;D$5,0,IF($B21=D$5,VLOOKUP($B21,'הספק קיים ותחזית יצור'!$B$80:$E$100,4,FALSE)/'הנחות עבודה'!$D$33-SUM(D$5:D20)+D$5,C21*(1-'הנחות עבודה'!$D$38))))</f>
        <v>0</v>
      </c>
      <c r="E21" s="235">
        <f>IF($B21&gt;2030,0,IF($B21&gt;E$5,0,IF($B21=E$5,VLOOKUP($B21,'הספק קיים ותחזית יצור'!$B$80:$E$100,4,FALSE)/'הנחות עבודה'!$D$33-SUM(E$5:E20)+E$5,D21*(1-'הנחות עבודה'!$D$38))))</f>
        <v>0</v>
      </c>
      <c r="F21" s="235">
        <f>IF($B21&gt;2030,0,IF($B21&gt;F$5,0,IF($B21=F$5,VLOOKUP($B21,'הספק קיים ותחזית יצור'!$B$80:$E$100,4,FALSE)/'הנחות עבודה'!$D$33-SUM(F$5:F20)+F$5,E21*(1-'הנחות עבודה'!$D$38))))</f>
        <v>0</v>
      </c>
      <c r="G21" s="235">
        <f>IF($B21&gt;2030,0,IF($B21&gt;G$5,0,IF($B21=G$5,VLOOKUP($B21,'הספק קיים ותחזית יצור'!$B$80:$E$100,4,FALSE)/'הנחות עבודה'!$D$33-SUM(G$5:G20)+G$5,F21*(1-'הנחות עבודה'!$D$38))))</f>
        <v>0</v>
      </c>
      <c r="H21" s="235">
        <f>IF($B21&gt;2030,0,IF($B21&gt;H$5,0,IF($B21=H$5,VLOOKUP($B21,'הספק קיים ותחזית יצור'!$B$80:$E$100,4,FALSE)/'הנחות עבודה'!$D$33-SUM(H$5:H20)+H$5,G21*(1-'הנחות עבודה'!$D$38))))</f>
        <v>0</v>
      </c>
      <c r="I21" s="235">
        <f>IF($B21&gt;2030,0,IF($B21&gt;I$5,0,IF($B21=I$5,VLOOKUP($B21,'הספק קיים ותחזית יצור'!$B$80:$E$100,4,FALSE)/'הנחות עבודה'!$D$33-SUM(I$5:I20)+I$5,H21*(1-'הנחות עבודה'!$D$38))))</f>
        <v>0</v>
      </c>
      <c r="J21" s="235">
        <f>IF($B21&gt;2030,0,IF($B21&gt;J$5,0,IF($B21=J$5,VLOOKUP($B21,'הספק קיים ותחזית יצור'!$B$80:$E$100,4,FALSE)/'הנחות עבודה'!$D$33-SUM(J$5:J20)+J$5,I21*(1-'הנחות עבודה'!$D$38))))</f>
        <v>0</v>
      </c>
      <c r="K21" s="235">
        <f>IF($B21&gt;2030,0,IF($B21&gt;K$5,0,IF($B21=K$5,VLOOKUP($B21,'הספק קיים ותחזית יצור'!$B$80:$E$100,4,FALSE)/'הנחות עבודה'!$D$33-SUM(K$5:K20)+K$5,J21*(1-'הנחות עבודה'!$D$38))))</f>
        <v>0</v>
      </c>
      <c r="L21" s="235">
        <f>IF($B21&gt;2030,0,IF($B21&gt;L$5,0,IF($B21=L$5,VLOOKUP($B21,'הספק קיים ותחזית יצור'!$B$80:$E$100,4,FALSE)/'הנחות עבודה'!$D$33-SUM(L$5:L20)+L$5,K21*(1-'הנחות עבודה'!$D$38))))</f>
        <v>0</v>
      </c>
      <c r="M21" s="235">
        <f>IF($B21&gt;2030,0,IF($B21&gt;M$5,0,IF($B21=M$5,VLOOKUP($B21,'הספק קיים ותחזית יצור'!$B$80:$E$100,4,FALSE)/'הנחות עבודה'!$D$33-SUM(M$5:M20)+M$5,L21*(1-'הנחות עבודה'!$D$38))))</f>
        <v>0</v>
      </c>
      <c r="N21" s="235">
        <f>IF($B21&gt;2030,0,IF($B21&gt;N$5,0,IF($B21=N$5,VLOOKUP($B21,'הספק קיים ותחזית יצור'!$B$80:$E$100,4,FALSE)/'הנחות עבודה'!$D$33-SUM(N$5:N20)+N$5,M21*(1-'הנחות עבודה'!$D$38))))</f>
        <v>0</v>
      </c>
      <c r="O21" s="235">
        <f>IF($B21&gt;2030,0,IF($B21&gt;O$5,0,IF($B21=O$5,VLOOKUP($B21,'הספק קיים ותחזית יצור'!$B$80:$E$100,4,FALSE)/'הנחות עבודה'!$D$33-SUM(O$5:O20)+O$5,N21*(1-'הנחות עבודה'!$D$38))))</f>
        <v>0</v>
      </c>
      <c r="P21" s="235">
        <f>IF($B21&gt;2030,0,IF($B21&gt;P$5,0,IF($B21=P$5,VLOOKUP($B21,'הספק קיים ותחזית יצור'!$B$80:$E$100,4,FALSE)/'הנחות עבודה'!$D$33-SUM(P$5:P20)+P$5,O21*(1-'הנחות עבודה'!$D$38))))</f>
        <v>0</v>
      </c>
      <c r="Q21" s="235">
        <f>IF($B21&gt;2030,0,IF($B21&gt;Q$5,0,IF($B21=Q$5,VLOOKUP($B21,'הספק קיים ותחזית יצור'!$B$80:$E$100,4,FALSE)/'הנחות עבודה'!$D$33-SUM(Q$5:Q20)+Q$5,P21*(1-'הנחות עבודה'!$D$38))))</f>
        <v>0</v>
      </c>
      <c r="R21" s="235">
        <f>IF($B21&gt;2030,0,IF($B21&gt;R$5,0,IF($B21=R$5,VLOOKUP($B21,'הספק קיים ותחזית יצור'!$B$80:$E$100,4,FALSE)/'הנחות עבודה'!$D$33-SUM(R$5:R20)+R$5,Q21*(1-'הנחות עבודה'!$D$38))))</f>
        <v>0</v>
      </c>
      <c r="S21" s="235">
        <f>IF($B21&gt;2030,0,IF($B21&gt;S$5,0,IF($B21=S$5,VLOOKUP($B21,'הספק קיים ותחזית יצור'!$B$80:$E$100,4,FALSE)/'הנחות עבודה'!$D$33-SUM(S$5:S20)+S$5,R21*(1-'הנחות עבודה'!$D$38))))</f>
        <v>0</v>
      </c>
      <c r="T21" s="235">
        <f>IF($B21&gt;2030,0,IF($B21&gt;T$5,0,IF($B21=T$5,VLOOKUP($B21,'הספק קיים ותחזית יצור'!$B$80:$E$100,4,FALSE)/'הנחות עבודה'!$D$33-SUM(T$5:T20)+T$5,S21*(1-'הנחות עבודה'!$D$38))))</f>
        <v>0</v>
      </c>
      <c r="U21" s="235">
        <f>IF($B21&gt;2030,0,IF($B21&gt;U$5,0,IF($B21=U$5,VLOOKUP($B21,'הספק קיים ותחזית יצור'!$B$80:$E$100,4,FALSE)/'הנחות עבודה'!$D$33-SUM(U$5:U20)+U$5,T21*(1-'הנחות עבודה'!$D$38))))</f>
        <v>0</v>
      </c>
      <c r="V21" s="235">
        <f>IF($B21&gt;2030,0,IF($B21&gt;V$5,0,IF($B21=V$5,VLOOKUP($B21,'הספק קיים ותחזית יצור'!$B$80:$E$100,4,FALSE)/'הנחות עבודה'!$D$33-SUM(V$5:V20)+V$5,U21*(1-'הנחות עבודה'!$D$38))))</f>
        <v>0</v>
      </c>
      <c r="W21" s="236">
        <f>IF($B21&gt;2030,0,IF($B21&gt;W$5,0,IF($B21=W$5,VLOOKUP($B21,'הספק קיים ותחזית יצור'!$B$80:$E$100,4,FALSE)/'הנחות עבודה'!$D$33-SUM(W$5:W20)+W$5,V21*(1-'הנחות עבודה'!$D$38))))</f>
        <v>0</v>
      </c>
    </row>
    <row r="22" spans="2:23">
      <c r="B22" s="306">
        <f t="shared" si="4"/>
        <v>2036</v>
      </c>
      <c r="C22" s="234">
        <f>IF($B22&gt;2030,0,IF($B22&gt;C$5,0,IF($B22=C$5,VLOOKUP($B22,'הספק קיים ותחזית יצור'!$B$80:$E$100,4,FALSE)/'הנחות עבודה'!$D$33-SUM(C$5:C21)+C$5,B22*(1-'הנחות עבודה'!$D$38))))</f>
        <v>0</v>
      </c>
      <c r="D22" s="235">
        <f>IF($B22&gt;2030,0,IF($B22&gt;D$5,0,IF($B22=D$5,VLOOKUP($B22,'הספק קיים ותחזית יצור'!$B$80:$E$100,4,FALSE)/'הנחות עבודה'!$D$33-SUM(D$5:D21)+D$5,C22*(1-'הנחות עבודה'!$D$38))))</f>
        <v>0</v>
      </c>
      <c r="E22" s="235">
        <f>IF($B22&gt;2030,0,IF($B22&gt;E$5,0,IF($B22=E$5,VLOOKUP($B22,'הספק קיים ותחזית יצור'!$B$80:$E$100,4,FALSE)/'הנחות עבודה'!$D$33-SUM(E$5:E21)+E$5,D22*(1-'הנחות עבודה'!$D$38))))</f>
        <v>0</v>
      </c>
      <c r="F22" s="235">
        <f>IF($B22&gt;2030,0,IF($B22&gt;F$5,0,IF($B22=F$5,VLOOKUP($B22,'הספק קיים ותחזית יצור'!$B$80:$E$100,4,FALSE)/'הנחות עבודה'!$D$33-SUM(F$5:F21)+F$5,E22*(1-'הנחות עבודה'!$D$38))))</f>
        <v>0</v>
      </c>
      <c r="G22" s="235">
        <f>IF($B22&gt;2030,0,IF($B22&gt;G$5,0,IF($B22=G$5,VLOOKUP($B22,'הספק קיים ותחזית יצור'!$B$80:$E$100,4,FALSE)/'הנחות עבודה'!$D$33-SUM(G$5:G21)+G$5,F22*(1-'הנחות עבודה'!$D$38))))</f>
        <v>0</v>
      </c>
      <c r="H22" s="235">
        <f>IF($B22&gt;2030,0,IF($B22&gt;H$5,0,IF($B22=H$5,VLOOKUP($B22,'הספק קיים ותחזית יצור'!$B$80:$E$100,4,FALSE)/'הנחות עבודה'!$D$33-SUM(H$5:H21)+H$5,G22*(1-'הנחות עבודה'!$D$38))))</f>
        <v>0</v>
      </c>
      <c r="I22" s="235">
        <f>IF($B22&gt;2030,0,IF($B22&gt;I$5,0,IF($B22=I$5,VLOOKUP($B22,'הספק קיים ותחזית יצור'!$B$80:$E$100,4,FALSE)/'הנחות עבודה'!$D$33-SUM(I$5:I21)+I$5,H22*(1-'הנחות עבודה'!$D$38))))</f>
        <v>0</v>
      </c>
      <c r="J22" s="235">
        <f>IF($B22&gt;2030,0,IF($B22&gt;J$5,0,IF($B22=J$5,VLOOKUP($B22,'הספק קיים ותחזית יצור'!$B$80:$E$100,4,FALSE)/'הנחות עבודה'!$D$33-SUM(J$5:J21)+J$5,I22*(1-'הנחות עבודה'!$D$38))))</f>
        <v>0</v>
      </c>
      <c r="K22" s="235">
        <f>IF($B22&gt;2030,0,IF($B22&gt;K$5,0,IF($B22=K$5,VLOOKUP($B22,'הספק קיים ותחזית יצור'!$B$80:$E$100,4,FALSE)/'הנחות עבודה'!$D$33-SUM(K$5:K21)+K$5,J22*(1-'הנחות עבודה'!$D$38))))</f>
        <v>0</v>
      </c>
      <c r="L22" s="235">
        <f>IF($B22&gt;2030,0,IF($B22&gt;L$5,0,IF($B22=L$5,VLOOKUP($B22,'הספק קיים ותחזית יצור'!$B$80:$E$100,4,FALSE)/'הנחות עבודה'!$D$33-SUM(L$5:L21)+L$5,K22*(1-'הנחות עבודה'!$D$38))))</f>
        <v>0</v>
      </c>
      <c r="M22" s="235">
        <f>IF($B22&gt;2030,0,IF($B22&gt;M$5,0,IF($B22=M$5,VLOOKUP($B22,'הספק קיים ותחזית יצור'!$B$80:$E$100,4,FALSE)/'הנחות עבודה'!$D$33-SUM(M$5:M21)+M$5,L22*(1-'הנחות עבודה'!$D$38))))</f>
        <v>0</v>
      </c>
      <c r="N22" s="235">
        <f>IF($B22&gt;2030,0,IF($B22&gt;N$5,0,IF($B22=N$5,VLOOKUP($B22,'הספק קיים ותחזית יצור'!$B$80:$E$100,4,FALSE)/'הנחות עבודה'!$D$33-SUM(N$5:N21)+N$5,M22*(1-'הנחות עבודה'!$D$38))))</f>
        <v>0</v>
      </c>
      <c r="O22" s="235">
        <f>IF($B22&gt;2030,0,IF($B22&gt;O$5,0,IF($B22=O$5,VLOOKUP($B22,'הספק קיים ותחזית יצור'!$B$80:$E$100,4,FALSE)/'הנחות עבודה'!$D$33-SUM(O$5:O21)+O$5,N22*(1-'הנחות עבודה'!$D$38))))</f>
        <v>0</v>
      </c>
      <c r="P22" s="235">
        <f>IF($B22&gt;2030,0,IF($B22&gt;P$5,0,IF($B22=P$5,VLOOKUP($B22,'הספק קיים ותחזית יצור'!$B$80:$E$100,4,FALSE)/'הנחות עבודה'!$D$33-SUM(P$5:P21)+P$5,O22*(1-'הנחות עבודה'!$D$38))))</f>
        <v>0</v>
      </c>
      <c r="Q22" s="235">
        <f>IF($B22&gt;2030,0,IF($B22&gt;Q$5,0,IF($B22=Q$5,VLOOKUP($B22,'הספק קיים ותחזית יצור'!$B$80:$E$100,4,FALSE)/'הנחות עבודה'!$D$33-SUM(Q$5:Q21)+Q$5,P22*(1-'הנחות עבודה'!$D$38))))</f>
        <v>0</v>
      </c>
      <c r="R22" s="235">
        <f>IF($B22&gt;2030,0,IF($B22&gt;R$5,0,IF($B22=R$5,VLOOKUP($B22,'הספק קיים ותחזית יצור'!$B$80:$E$100,4,FALSE)/'הנחות עבודה'!$D$33-SUM(R$5:R21)+R$5,Q22*(1-'הנחות עבודה'!$D$38))))</f>
        <v>0</v>
      </c>
      <c r="S22" s="235">
        <f>IF($B22&gt;2030,0,IF($B22&gt;S$5,0,IF($B22=S$5,VLOOKUP($B22,'הספק קיים ותחזית יצור'!$B$80:$E$100,4,FALSE)/'הנחות עבודה'!$D$33-SUM(S$5:S21)+S$5,R22*(1-'הנחות עבודה'!$D$38))))</f>
        <v>0</v>
      </c>
      <c r="T22" s="235">
        <f>IF($B22&gt;2030,0,IF($B22&gt;T$5,0,IF($B22=T$5,VLOOKUP($B22,'הספק קיים ותחזית יצור'!$B$80:$E$100,4,FALSE)/'הנחות עבודה'!$D$33-SUM(T$5:T21)+T$5,S22*(1-'הנחות עבודה'!$D$38))))</f>
        <v>0</v>
      </c>
      <c r="U22" s="235">
        <f>IF($B22&gt;2030,0,IF($B22&gt;U$5,0,IF($B22=U$5,VLOOKUP($B22,'הספק קיים ותחזית יצור'!$B$80:$E$100,4,FALSE)/'הנחות עבודה'!$D$33-SUM(U$5:U21)+U$5,T22*(1-'הנחות עבודה'!$D$38))))</f>
        <v>0</v>
      </c>
      <c r="V22" s="235">
        <f>IF($B22&gt;2030,0,IF($B22&gt;V$5,0,IF($B22=V$5,VLOOKUP($B22,'הספק קיים ותחזית יצור'!$B$80:$E$100,4,FALSE)/'הנחות עבודה'!$D$33-SUM(V$5:V21)+V$5,U22*(1-'הנחות עבודה'!$D$38))))</f>
        <v>0</v>
      </c>
      <c r="W22" s="236">
        <f>IF($B22&gt;2030,0,IF($B22&gt;W$5,0,IF($B22=W$5,VLOOKUP($B22,'הספק קיים ותחזית יצור'!$B$80:$E$100,4,FALSE)/'הנחות עבודה'!$D$33-SUM(W$5:W21)+W$5,V22*(1-'הנחות עבודה'!$D$38))))</f>
        <v>0</v>
      </c>
    </row>
    <row r="23" spans="2:23">
      <c r="B23" s="306">
        <f t="shared" si="4"/>
        <v>2037</v>
      </c>
      <c r="C23" s="234">
        <f>IF($B23&gt;2030,0,IF($B23&gt;C$5,0,IF($B23=C$5,VLOOKUP($B23,'הספק קיים ותחזית יצור'!$B$80:$E$100,4,FALSE)/'הנחות עבודה'!$D$33-SUM(C$5:C22)+C$5,B23*(1-'הנחות עבודה'!$D$38))))</f>
        <v>0</v>
      </c>
      <c r="D23" s="235">
        <f>IF($B23&gt;2030,0,IF($B23&gt;D$5,0,IF($B23=D$5,VLOOKUP($B23,'הספק קיים ותחזית יצור'!$B$80:$E$100,4,FALSE)/'הנחות עבודה'!$D$33-SUM(D$5:D22)+D$5,C23*(1-'הנחות עבודה'!$D$38))))</f>
        <v>0</v>
      </c>
      <c r="E23" s="235">
        <f>IF($B23&gt;2030,0,IF($B23&gt;E$5,0,IF($B23=E$5,VLOOKUP($B23,'הספק קיים ותחזית יצור'!$B$80:$E$100,4,FALSE)/'הנחות עבודה'!$D$33-SUM(E$5:E22)+E$5,D23*(1-'הנחות עבודה'!$D$38))))</f>
        <v>0</v>
      </c>
      <c r="F23" s="235">
        <f>IF($B23&gt;2030,0,IF($B23&gt;F$5,0,IF($B23=F$5,VLOOKUP($B23,'הספק קיים ותחזית יצור'!$B$80:$E$100,4,FALSE)/'הנחות עבודה'!$D$33-SUM(F$5:F22)+F$5,E23*(1-'הנחות עבודה'!$D$38))))</f>
        <v>0</v>
      </c>
      <c r="G23" s="235">
        <f>IF($B23&gt;2030,0,IF($B23&gt;G$5,0,IF($B23=G$5,VLOOKUP($B23,'הספק קיים ותחזית יצור'!$B$80:$E$100,4,FALSE)/'הנחות עבודה'!$D$33-SUM(G$5:G22)+G$5,F23*(1-'הנחות עבודה'!$D$38))))</f>
        <v>0</v>
      </c>
      <c r="H23" s="235">
        <f>IF($B23&gt;2030,0,IF($B23&gt;H$5,0,IF($B23=H$5,VLOOKUP($B23,'הספק קיים ותחזית יצור'!$B$80:$E$100,4,FALSE)/'הנחות עבודה'!$D$33-SUM(H$5:H22)+H$5,G23*(1-'הנחות עבודה'!$D$38))))</f>
        <v>0</v>
      </c>
      <c r="I23" s="235">
        <f>IF($B23&gt;2030,0,IF($B23&gt;I$5,0,IF($B23=I$5,VLOOKUP($B23,'הספק קיים ותחזית יצור'!$B$80:$E$100,4,FALSE)/'הנחות עבודה'!$D$33-SUM(I$5:I22)+I$5,H23*(1-'הנחות עבודה'!$D$38))))</f>
        <v>0</v>
      </c>
      <c r="J23" s="235">
        <f>IF($B23&gt;2030,0,IF($B23&gt;J$5,0,IF($B23=J$5,VLOOKUP($B23,'הספק קיים ותחזית יצור'!$B$80:$E$100,4,FALSE)/'הנחות עבודה'!$D$33-SUM(J$5:J22)+J$5,I23*(1-'הנחות עבודה'!$D$38))))</f>
        <v>0</v>
      </c>
      <c r="K23" s="235">
        <f>IF($B23&gt;2030,0,IF($B23&gt;K$5,0,IF($B23=K$5,VLOOKUP($B23,'הספק קיים ותחזית יצור'!$B$80:$E$100,4,FALSE)/'הנחות עבודה'!$D$33-SUM(K$5:K22)+K$5,J23*(1-'הנחות עבודה'!$D$38))))</f>
        <v>0</v>
      </c>
      <c r="L23" s="235">
        <f>IF($B23&gt;2030,0,IF($B23&gt;L$5,0,IF($B23=L$5,VLOOKUP($B23,'הספק קיים ותחזית יצור'!$B$80:$E$100,4,FALSE)/'הנחות עבודה'!$D$33-SUM(L$5:L22)+L$5,K23*(1-'הנחות עבודה'!$D$38))))</f>
        <v>0</v>
      </c>
      <c r="M23" s="235">
        <f>IF($B23&gt;2030,0,IF($B23&gt;M$5,0,IF($B23=M$5,VLOOKUP($B23,'הספק קיים ותחזית יצור'!$B$80:$E$100,4,FALSE)/'הנחות עבודה'!$D$33-SUM(M$5:M22)+M$5,L23*(1-'הנחות עבודה'!$D$38))))</f>
        <v>0</v>
      </c>
      <c r="N23" s="235">
        <f>IF($B23&gt;2030,0,IF($B23&gt;N$5,0,IF($B23=N$5,VLOOKUP($B23,'הספק קיים ותחזית יצור'!$B$80:$E$100,4,FALSE)/'הנחות עבודה'!$D$33-SUM(N$5:N22)+N$5,M23*(1-'הנחות עבודה'!$D$38))))</f>
        <v>0</v>
      </c>
      <c r="O23" s="235">
        <f>IF($B23&gt;2030,0,IF($B23&gt;O$5,0,IF($B23=O$5,VLOOKUP($B23,'הספק קיים ותחזית יצור'!$B$80:$E$100,4,FALSE)/'הנחות עבודה'!$D$33-SUM(O$5:O22)+O$5,N23*(1-'הנחות עבודה'!$D$38))))</f>
        <v>0</v>
      </c>
      <c r="P23" s="235">
        <f>IF($B23&gt;2030,0,IF($B23&gt;P$5,0,IF($B23=P$5,VLOOKUP($B23,'הספק קיים ותחזית יצור'!$B$80:$E$100,4,FALSE)/'הנחות עבודה'!$D$33-SUM(P$5:P22)+P$5,O23*(1-'הנחות עבודה'!$D$38))))</f>
        <v>0</v>
      </c>
      <c r="Q23" s="235">
        <f>IF($B23&gt;2030,0,IF($B23&gt;Q$5,0,IF($B23=Q$5,VLOOKUP($B23,'הספק קיים ותחזית יצור'!$B$80:$E$100,4,FALSE)/'הנחות עבודה'!$D$33-SUM(Q$5:Q22)+Q$5,P23*(1-'הנחות עבודה'!$D$38))))</f>
        <v>0</v>
      </c>
      <c r="R23" s="235">
        <f>IF($B23&gt;2030,0,IF($B23&gt;R$5,0,IF($B23=R$5,VLOOKUP($B23,'הספק קיים ותחזית יצור'!$B$80:$E$100,4,FALSE)/'הנחות עבודה'!$D$33-SUM(R$5:R22)+R$5,Q23*(1-'הנחות עבודה'!$D$38))))</f>
        <v>0</v>
      </c>
      <c r="S23" s="235">
        <f>IF($B23&gt;2030,0,IF($B23&gt;S$5,0,IF($B23=S$5,VLOOKUP($B23,'הספק קיים ותחזית יצור'!$B$80:$E$100,4,FALSE)/'הנחות עבודה'!$D$33-SUM(S$5:S22)+S$5,R23*(1-'הנחות עבודה'!$D$38))))</f>
        <v>0</v>
      </c>
      <c r="T23" s="235">
        <f>IF($B23&gt;2030,0,IF($B23&gt;T$5,0,IF($B23=T$5,VLOOKUP($B23,'הספק קיים ותחזית יצור'!$B$80:$E$100,4,FALSE)/'הנחות עבודה'!$D$33-SUM(T$5:T22)+T$5,S23*(1-'הנחות עבודה'!$D$38))))</f>
        <v>0</v>
      </c>
      <c r="U23" s="235">
        <f>IF($B23&gt;2030,0,IF($B23&gt;U$5,0,IF($B23=U$5,VLOOKUP($B23,'הספק קיים ותחזית יצור'!$B$80:$E$100,4,FALSE)/'הנחות עבודה'!$D$33-SUM(U$5:U22)+U$5,T23*(1-'הנחות עבודה'!$D$38))))</f>
        <v>0</v>
      </c>
      <c r="V23" s="235">
        <f>IF($B23&gt;2030,0,IF($B23&gt;V$5,0,IF($B23=V$5,VLOOKUP($B23,'הספק קיים ותחזית יצור'!$B$80:$E$100,4,FALSE)/'הנחות עבודה'!$D$33-SUM(V$5:V22)+V$5,U23*(1-'הנחות עבודה'!$D$38))))</f>
        <v>0</v>
      </c>
      <c r="W23" s="236">
        <f>IF($B23&gt;2030,0,IF($B23&gt;W$5,0,IF($B23=W$5,VLOOKUP($B23,'הספק קיים ותחזית יצור'!$B$80:$E$100,4,FALSE)/'הנחות עבודה'!$D$33-SUM(W$5:W22)+W$5,V23*(1-'הנחות עבודה'!$D$38))))</f>
        <v>0</v>
      </c>
    </row>
    <row r="24" spans="2:23">
      <c r="B24" s="306">
        <f t="shared" si="4"/>
        <v>2038</v>
      </c>
      <c r="C24" s="234">
        <f>IF($B24&gt;2030,0,IF($B24&gt;C$5,0,IF($B24=C$5,VLOOKUP($B24,'הספק קיים ותחזית יצור'!$B$80:$E$100,4,FALSE)/'הנחות עבודה'!$D$33-SUM(C$5:C23)+C$5,B24*(1-'הנחות עבודה'!$D$38))))</f>
        <v>0</v>
      </c>
      <c r="D24" s="235">
        <f>IF($B24&gt;2030,0,IF($B24&gt;D$5,0,IF($B24=D$5,VLOOKUP($B24,'הספק קיים ותחזית יצור'!$B$80:$E$100,4,FALSE)/'הנחות עבודה'!$D$33-SUM(D$5:D23)+D$5,C24*(1-'הנחות עבודה'!$D$38))))</f>
        <v>0</v>
      </c>
      <c r="E24" s="235">
        <f>IF($B24&gt;2030,0,IF($B24&gt;E$5,0,IF($B24=E$5,VLOOKUP($B24,'הספק קיים ותחזית יצור'!$B$80:$E$100,4,FALSE)/'הנחות עבודה'!$D$33-SUM(E$5:E23)+E$5,D24*(1-'הנחות עבודה'!$D$38))))</f>
        <v>0</v>
      </c>
      <c r="F24" s="235">
        <f>IF($B24&gt;2030,0,IF($B24&gt;F$5,0,IF($B24=F$5,VLOOKUP($B24,'הספק קיים ותחזית יצור'!$B$80:$E$100,4,FALSE)/'הנחות עבודה'!$D$33-SUM(F$5:F23)+F$5,E24*(1-'הנחות עבודה'!$D$38))))</f>
        <v>0</v>
      </c>
      <c r="G24" s="235">
        <f>IF($B24&gt;2030,0,IF($B24&gt;G$5,0,IF($B24=G$5,VLOOKUP($B24,'הספק קיים ותחזית יצור'!$B$80:$E$100,4,FALSE)/'הנחות עבודה'!$D$33-SUM(G$5:G23)+G$5,F24*(1-'הנחות עבודה'!$D$38))))</f>
        <v>0</v>
      </c>
      <c r="H24" s="235">
        <f>IF($B24&gt;2030,0,IF($B24&gt;H$5,0,IF($B24=H$5,VLOOKUP($B24,'הספק קיים ותחזית יצור'!$B$80:$E$100,4,FALSE)/'הנחות עבודה'!$D$33-SUM(H$5:H23)+H$5,G24*(1-'הנחות עבודה'!$D$38))))</f>
        <v>0</v>
      </c>
      <c r="I24" s="235">
        <f>IF($B24&gt;2030,0,IF($B24&gt;I$5,0,IF($B24=I$5,VLOOKUP($B24,'הספק קיים ותחזית יצור'!$B$80:$E$100,4,FALSE)/'הנחות עבודה'!$D$33-SUM(I$5:I23)+I$5,H24*(1-'הנחות עבודה'!$D$38))))</f>
        <v>0</v>
      </c>
      <c r="J24" s="235">
        <f>IF($B24&gt;2030,0,IF($B24&gt;J$5,0,IF($B24=J$5,VLOOKUP($B24,'הספק קיים ותחזית יצור'!$B$80:$E$100,4,FALSE)/'הנחות עבודה'!$D$33-SUM(J$5:J23)+J$5,I24*(1-'הנחות עבודה'!$D$38))))</f>
        <v>0</v>
      </c>
      <c r="K24" s="235">
        <f>IF($B24&gt;2030,0,IF($B24&gt;K$5,0,IF($B24=K$5,VLOOKUP($B24,'הספק קיים ותחזית יצור'!$B$80:$E$100,4,FALSE)/'הנחות עבודה'!$D$33-SUM(K$5:K23)+K$5,J24*(1-'הנחות עבודה'!$D$38))))</f>
        <v>0</v>
      </c>
      <c r="L24" s="235">
        <f>IF($B24&gt;2030,0,IF($B24&gt;L$5,0,IF($B24=L$5,VLOOKUP($B24,'הספק קיים ותחזית יצור'!$B$80:$E$100,4,FALSE)/'הנחות עבודה'!$D$33-SUM(L$5:L23)+L$5,K24*(1-'הנחות עבודה'!$D$38))))</f>
        <v>0</v>
      </c>
      <c r="M24" s="235">
        <f>IF($B24&gt;2030,0,IF($B24&gt;M$5,0,IF($B24=M$5,VLOOKUP($B24,'הספק קיים ותחזית יצור'!$B$80:$E$100,4,FALSE)/'הנחות עבודה'!$D$33-SUM(M$5:M23)+M$5,L24*(1-'הנחות עבודה'!$D$38))))</f>
        <v>0</v>
      </c>
      <c r="N24" s="235">
        <f>IF($B24&gt;2030,0,IF($B24&gt;N$5,0,IF($B24=N$5,VLOOKUP($B24,'הספק קיים ותחזית יצור'!$B$80:$E$100,4,FALSE)/'הנחות עבודה'!$D$33-SUM(N$5:N23)+N$5,M24*(1-'הנחות עבודה'!$D$38))))</f>
        <v>0</v>
      </c>
      <c r="O24" s="235">
        <f>IF($B24&gt;2030,0,IF($B24&gt;O$5,0,IF($B24=O$5,VLOOKUP($B24,'הספק קיים ותחזית יצור'!$B$80:$E$100,4,FALSE)/'הנחות עבודה'!$D$33-SUM(O$5:O23)+O$5,N24*(1-'הנחות עבודה'!$D$38))))</f>
        <v>0</v>
      </c>
      <c r="P24" s="235">
        <f>IF($B24&gt;2030,0,IF($B24&gt;P$5,0,IF($B24=P$5,VLOOKUP($B24,'הספק קיים ותחזית יצור'!$B$80:$E$100,4,FALSE)/'הנחות עבודה'!$D$33-SUM(P$5:P23)+P$5,O24*(1-'הנחות עבודה'!$D$38))))</f>
        <v>0</v>
      </c>
      <c r="Q24" s="235">
        <f>IF($B24&gt;2030,0,IF($B24&gt;Q$5,0,IF($B24=Q$5,VLOOKUP($B24,'הספק קיים ותחזית יצור'!$B$80:$E$100,4,FALSE)/'הנחות עבודה'!$D$33-SUM(Q$5:Q23)+Q$5,P24*(1-'הנחות עבודה'!$D$38))))</f>
        <v>0</v>
      </c>
      <c r="R24" s="235">
        <f>IF($B24&gt;2030,0,IF($B24&gt;R$5,0,IF($B24=R$5,VLOOKUP($B24,'הספק קיים ותחזית יצור'!$B$80:$E$100,4,FALSE)/'הנחות עבודה'!$D$33-SUM(R$5:R23)+R$5,Q24*(1-'הנחות עבודה'!$D$38))))</f>
        <v>0</v>
      </c>
      <c r="S24" s="235">
        <f>IF($B24&gt;2030,0,IF($B24&gt;S$5,0,IF($B24=S$5,VLOOKUP($B24,'הספק קיים ותחזית יצור'!$B$80:$E$100,4,FALSE)/'הנחות עבודה'!$D$33-SUM(S$5:S23)+S$5,R24*(1-'הנחות עבודה'!$D$38))))</f>
        <v>0</v>
      </c>
      <c r="T24" s="235">
        <f>IF($B24&gt;2030,0,IF($B24&gt;T$5,0,IF($B24=T$5,VLOOKUP($B24,'הספק קיים ותחזית יצור'!$B$80:$E$100,4,FALSE)/'הנחות עבודה'!$D$33-SUM(T$5:T23)+T$5,S24*(1-'הנחות עבודה'!$D$38))))</f>
        <v>0</v>
      </c>
      <c r="U24" s="235">
        <f>IF($B24&gt;2030,0,IF($B24&gt;U$5,0,IF($B24=U$5,VLOOKUP($B24,'הספק קיים ותחזית יצור'!$B$80:$E$100,4,FALSE)/'הנחות עבודה'!$D$33-SUM(U$5:U23)+U$5,T24*(1-'הנחות עבודה'!$D$38))))</f>
        <v>0</v>
      </c>
      <c r="V24" s="235">
        <f>IF($B24&gt;2030,0,IF($B24&gt;V$5,0,IF($B24=V$5,VLOOKUP($B24,'הספק קיים ותחזית יצור'!$B$80:$E$100,4,FALSE)/'הנחות עבודה'!$D$33-SUM(V$5:V23)+V$5,U24*(1-'הנחות עבודה'!$D$38))))</f>
        <v>0</v>
      </c>
      <c r="W24" s="236">
        <f>IF($B24&gt;2030,0,IF($B24&gt;W$5,0,IF($B24=W$5,VLOOKUP($B24,'הספק קיים ותחזית יצור'!$B$80:$E$100,4,FALSE)/'הנחות עבודה'!$D$33-SUM(W$5:W23)+W$5,V24*(1-'הנחות עבודה'!$D$38))))</f>
        <v>0</v>
      </c>
    </row>
    <row r="25" spans="2:23">
      <c r="B25" s="306">
        <f t="shared" si="4"/>
        <v>2039</v>
      </c>
      <c r="C25" s="234">
        <f>IF($B25&gt;2030,0,IF($B25&gt;C$5,0,IF($B25=C$5,VLOOKUP($B25,'הספק קיים ותחזית יצור'!$B$80:$E$100,4,FALSE)/'הנחות עבודה'!$D$33-SUM(C$5:C24)+C$5,B25*(1-'הנחות עבודה'!$D$38))))</f>
        <v>0</v>
      </c>
      <c r="D25" s="235">
        <f>IF($B25&gt;2030,0,IF($B25&gt;D$5,0,IF($B25=D$5,VLOOKUP($B25,'הספק קיים ותחזית יצור'!$B$80:$E$100,4,FALSE)/'הנחות עבודה'!$D$33-SUM(D$5:D24)+D$5,C25*(1-'הנחות עבודה'!$D$38))))</f>
        <v>0</v>
      </c>
      <c r="E25" s="235">
        <f>IF($B25&gt;2030,0,IF($B25&gt;E$5,0,IF($B25=E$5,VLOOKUP($B25,'הספק קיים ותחזית יצור'!$B$80:$E$100,4,FALSE)/'הנחות עבודה'!$D$33-SUM(E$5:E24)+E$5,D25*(1-'הנחות עבודה'!$D$38))))</f>
        <v>0</v>
      </c>
      <c r="F25" s="235">
        <f>IF($B25&gt;2030,0,IF($B25&gt;F$5,0,IF($B25=F$5,VLOOKUP($B25,'הספק קיים ותחזית יצור'!$B$80:$E$100,4,FALSE)/'הנחות עבודה'!$D$33-SUM(F$5:F24)+F$5,E25*(1-'הנחות עבודה'!$D$38))))</f>
        <v>0</v>
      </c>
      <c r="G25" s="235">
        <f>IF($B25&gt;2030,0,IF($B25&gt;G$5,0,IF($B25=G$5,VLOOKUP($B25,'הספק קיים ותחזית יצור'!$B$80:$E$100,4,FALSE)/'הנחות עבודה'!$D$33-SUM(G$5:G24)+G$5,F25*(1-'הנחות עבודה'!$D$38))))</f>
        <v>0</v>
      </c>
      <c r="H25" s="235">
        <f>IF($B25&gt;2030,0,IF($B25&gt;H$5,0,IF($B25=H$5,VLOOKUP($B25,'הספק קיים ותחזית יצור'!$B$80:$E$100,4,FALSE)/'הנחות עבודה'!$D$33-SUM(H$5:H24)+H$5,G25*(1-'הנחות עבודה'!$D$38))))</f>
        <v>0</v>
      </c>
      <c r="I25" s="235">
        <f>IF($B25&gt;2030,0,IF($B25&gt;I$5,0,IF($B25=I$5,VLOOKUP($B25,'הספק קיים ותחזית יצור'!$B$80:$E$100,4,FALSE)/'הנחות עבודה'!$D$33-SUM(I$5:I24)+I$5,H25*(1-'הנחות עבודה'!$D$38))))</f>
        <v>0</v>
      </c>
      <c r="J25" s="235">
        <f>IF($B25&gt;2030,0,IF($B25&gt;J$5,0,IF($B25=J$5,VLOOKUP($B25,'הספק קיים ותחזית יצור'!$B$80:$E$100,4,FALSE)/'הנחות עבודה'!$D$33-SUM(J$5:J24)+J$5,I25*(1-'הנחות עבודה'!$D$38))))</f>
        <v>0</v>
      </c>
      <c r="K25" s="235">
        <f>IF($B25&gt;2030,0,IF($B25&gt;K$5,0,IF($B25=K$5,VLOOKUP($B25,'הספק קיים ותחזית יצור'!$B$80:$E$100,4,FALSE)/'הנחות עבודה'!$D$33-SUM(K$5:K24)+K$5,J25*(1-'הנחות עבודה'!$D$38))))</f>
        <v>0</v>
      </c>
      <c r="L25" s="235">
        <f>IF($B25&gt;2030,0,IF($B25&gt;L$5,0,IF($B25=L$5,VLOOKUP($B25,'הספק קיים ותחזית יצור'!$B$80:$E$100,4,FALSE)/'הנחות עבודה'!$D$33-SUM(L$5:L24)+L$5,K25*(1-'הנחות עבודה'!$D$38))))</f>
        <v>0</v>
      </c>
      <c r="M25" s="235">
        <f>IF($B25&gt;2030,0,IF($B25&gt;M$5,0,IF($B25=M$5,VLOOKUP($B25,'הספק קיים ותחזית יצור'!$B$80:$E$100,4,FALSE)/'הנחות עבודה'!$D$33-SUM(M$5:M24)+M$5,L25*(1-'הנחות עבודה'!$D$38))))</f>
        <v>0</v>
      </c>
      <c r="N25" s="235">
        <f>IF($B25&gt;2030,0,IF($B25&gt;N$5,0,IF($B25=N$5,VLOOKUP($B25,'הספק קיים ותחזית יצור'!$B$80:$E$100,4,FALSE)/'הנחות עבודה'!$D$33-SUM(N$5:N24)+N$5,M25*(1-'הנחות עבודה'!$D$38))))</f>
        <v>0</v>
      </c>
      <c r="O25" s="235">
        <f>IF($B25&gt;2030,0,IF($B25&gt;O$5,0,IF($B25=O$5,VLOOKUP($B25,'הספק קיים ותחזית יצור'!$B$80:$E$100,4,FALSE)/'הנחות עבודה'!$D$33-SUM(O$5:O24)+O$5,N25*(1-'הנחות עבודה'!$D$38))))</f>
        <v>0</v>
      </c>
      <c r="P25" s="235">
        <f>IF($B25&gt;2030,0,IF($B25&gt;P$5,0,IF($B25=P$5,VLOOKUP($B25,'הספק קיים ותחזית יצור'!$B$80:$E$100,4,FALSE)/'הנחות עבודה'!$D$33-SUM(P$5:P24)+P$5,O25*(1-'הנחות עבודה'!$D$38))))</f>
        <v>0</v>
      </c>
      <c r="Q25" s="235">
        <f>IF($B25&gt;2030,0,IF($B25&gt;Q$5,0,IF($B25=Q$5,VLOOKUP($B25,'הספק קיים ותחזית יצור'!$B$80:$E$100,4,FALSE)/'הנחות עבודה'!$D$33-SUM(Q$5:Q24)+Q$5,P25*(1-'הנחות עבודה'!$D$38))))</f>
        <v>0</v>
      </c>
      <c r="R25" s="235">
        <f>IF($B25&gt;2030,0,IF($B25&gt;R$5,0,IF($B25=R$5,VLOOKUP($B25,'הספק קיים ותחזית יצור'!$B$80:$E$100,4,FALSE)/'הנחות עבודה'!$D$33-SUM(R$5:R24)+R$5,Q25*(1-'הנחות עבודה'!$D$38))))</f>
        <v>0</v>
      </c>
      <c r="S25" s="235">
        <f>IF($B25&gt;2030,0,IF($B25&gt;S$5,0,IF($B25=S$5,VLOOKUP($B25,'הספק קיים ותחזית יצור'!$B$80:$E$100,4,FALSE)/'הנחות עבודה'!$D$33-SUM(S$5:S24)+S$5,R25*(1-'הנחות עבודה'!$D$38))))</f>
        <v>0</v>
      </c>
      <c r="T25" s="235">
        <f>IF($B25&gt;2030,0,IF($B25&gt;T$5,0,IF($B25=T$5,VLOOKUP($B25,'הספק קיים ותחזית יצור'!$B$80:$E$100,4,FALSE)/'הנחות עבודה'!$D$33-SUM(T$5:T24)+T$5,S25*(1-'הנחות עבודה'!$D$38))))</f>
        <v>0</v>
      </c>
      <c r="U25" s="235">
        <f>IF($B25&gt;2030,0,IF($B25&gt;U$5,0,IF($B25=U$5,VLOOKUP($B25,'הספק קיים ותחזית יצור'!$B$80:$E$100,4,FALSE)/'הנחות עבודה'!$D$33-SUM(U$5:U24)+U$5,T25*(1-'הנחות עבודה'!$D$38))))</f>
        <v>0</v>
      </c>
      <c r="V25" s="235">
        <f>IF($B25&gt;2030,0,IF($B25&gt;V$5,0,IF($B25=V$5,VLOOKUP($B25,'הספק קיים ותחזית יצור'!$B$80:$E$100,4,FALSE)/'הנחות עבודה'!$D$33-SUM(V$5:V24)+V$5,U25*(1-'הנחות עבודה'!$D$38))))</f>
        <v>0</v>
      </c>
      <c r="W25" s="236">
        <f>IF($B25&gt;2030,0,IF($B25&gt;W$5,0,IF($B25=W$5,VLOOKUP($B25,'הספק קיים ותחזית יצור'!$B$80:$E$100,4,FALSE)/'הנחות עבודה'!$D$33-SUM(W$5:W24)+W$5,V25*(1-'הנחות עבודה'!$D$38))))</f>
        <v>0</v>
      </c>
    </row>
    <row r="26" spans="2:23" ht="15.75" thickBot="1">
      <c r="B26" s="372">
        <f t="shared" si="4"/>
        <v>2040</v>
      </c>
      <c r="C26" s="237">
        <f>IF($B26&gt;2030,0,IF($B26&gt;C$5,0,IF($B26=C$5,VLOOKUP($B26,'הספק קיים ותחזית יצור'!$B$80:$E$100,4,FALSE)/'הנחות עבודה'!$D$33-SUM(C$5:C25)+C$5,B26*(1-'הנחות עבודה'!$D$38))))</f>
        <v>0</v>
      </c>
      <c r="D26" s="238">
        <f>IF($B26&gt;2030,0,IF($B26&gt;D$5,0,IF($B26=D$5,VLOOKUP($B26,'הספק קיים ותחזית יצור'!$B$80:$E$100,4,FALSE)/'הנחות עבודה'!$D$33-SUM(D$5:D25)+D$5,C26*(1-'הנחות עבודה'!$D$38))))</f>
        <v>0</v>
      </c>
      <c r="E26" s="238">
        <f>IF($B26&gt;2030,0,IF($B26&gt;E$5,0,IF($B26=E$5,VLOOKUP($B26,'הספק קיים ותחזית יצור'!$B$80:$E$100,4,FALSE)/'הנחות עבודה'!$D$33-SUM(E$5:E25)+E$5,D26*(1-'הנחות עבודה'!$D$38))))</f>
        <v>0</v>
      </c>
      <c r="F26" s="238">
        <f>IF($B26&gt;2030,0,IF($B26&gt;F$5,0,IF($B26=F$5,VLOOKUP($B26,'הספק קיים ותחזית יצור'!$B$80:$E$100,4,FALSE)/'הנחות עבודה'!$D$33-SUM(F$5:F25)+F$5,E26*(1-'הנחות עבודה'!$D$38))))</f>
        <v>0</v>
      </c>
      <c r="G26" s="238">
        <f>IF($B26&gt;2030,0,IF($B26&gt;G$5,0,IF($B26=G$5,VLOOKUP($B26,'הספק קיים ותחזית יצור'!$B$80:$E$100,4,FALSE)/'הנחות עבודה'!$D$33-SUM(G$5:G25)+G$5,F26*(1-'הנחות עבודה'!$D$38))))</f>
        <v>0</v>
      </c>
      <c r="H26" s="238">
        <f>IF($B26&gt;2030,0,IF($B26&gt;H$5,0,IF($B26=H$5,VLOOKUP($B26,'הספק קיים ותחזית יצור'!$B$80:$E$100,4,FALSE)/'הנחות עבודה'!$D$33-SUM(H$5:H25)+H$5,G26*(1-'הנחות עבודה'!$D$38))))</f>
        <v>0</v>
      </c>
      <c r="I26" s="238">
        <f>IF($B26&gt;2030,0,IF($B26&gt;I$5,0,IF($B26=I$5,VLOOKUP($B26,'הספק קיים ותחזית יצור'!$B$80:$E$100,4,FALSE)/'הנחות עבודה'!$D$33-SUM(I$5:I25)+I$5,H26*(1-'הנחות עבודה'!$D$38))))</f>
        <v>0</v>
      </c>
      <c r="J26" s="238">
        <f>IF($B26&gt;2030,0,IF($B26&gt;J$5,0,IF($B26=J$5,VLOOKUP($B26,'הספק קיים ותחזית יצור'!$B$80:$E$100,4,FALSE)/'הנחות עבודה'!$D$33-SUM(J$5:J25)+J$5,I26*(1-'הנחות עבודה'!$D$38))))</f>
        <v>0</v>
      </c>
      <c r="K26" s="238">
        <f>IF($B26&gt;2030,0,IF($B26&gt;K$5,0,IF($B26=K$5,VLOOKUP($B26,'הספק קיים ותחזית יצור'!$B$80:$E$100,4,FALSE)/'הנחות עבודה'!$D$33-SUM(K$5:K25)+K$5,J26*(1-'הנחות עבודה'!$D$38))))</f>
        <v>0</v>
      </c>
      <c r="L26" s="238">
        <f>IF($B26&gt;2030,0,IF($B26&gt;L$5,0,IF($B26=L$5,VLOOKUP($B26,'הספק קיים ותחזית יצור'!$B$80:$E$100,4,FALSE)/'הנחות עבודה'!$D$33-SUM(L$5:L25)+L$5,K26*(1-'הנחות עבודה'!$D$38))))</f>
        <v>0</v>
      </c>
      <c r="M26" s="238">
        <f>IF($B26&gt;2030,0,IF($B26&gt;M$5,0,IF($B26=M$5,VLOOKUP($B26,'הספק קיים ותחזית יצור'!$B$80:$E$100,4,FALSE)/'הנחות עבודה'!$D$33-SUM(M$5:M25)+M$5,L26*(1-'הנחות עבודה'!$D$38))))</f>
        <v>0</v>
      </c>
      <c r="N26" s="238">
        <f>IF($B26&gt;2030,0,IF($B26&gt;N$5,0,IF($B26=N$5,VLOOKUP($B26,'הספק קיים ותחזית יצור'!$B$80:$E$100,4,FALSE)/'הנחות עבודה'!$D$33-SUM(N$5:N25)+N$5,M26*(1-'הנחות עבודה'!$D$38))))</f>
        <v>0</v>
      </c>
      <c r="O26" s="238">
        <f>IF($B26&gt;2030,0,IF($B26&gt;O$5,0,IF($B26=O$5,VLOOKUP($B26,'הספק קיים ותחזית יצור'!$B$80:$E$100,4,FALSE)/'הנחות עבודה'!$D$33-SUM(O$5:O25)+O$5,N26*(1-'הנחות עבודה'!$D$38))))</f>
        <v>0</v>
      </c>
      <c r="P26" s="238">
        <f>IF($B26&gt;2030,0,IF($B26&gt;P$5,0,IF($B26=P$5,VLOOKUP($B26,'הספק קיים ותחזית יצור'!$B$80:$E$100,4,FALSE)/'הנחות עבודה'!$D$33-SUM(P$5:P25)+P$5,O26*(1-'הנחות עבודה'!$D$38))))</f>
        <v>0</v>
      </c>
      <c r="Q26" s="238">
        <f>IF($B26&gt;2030,0,IF($B26&gt;Q$5,0,IF($B26=Q$5,VLOOKUP($B26,'הספק קיים ותחזית יצור'!$B$80:$E$100,4,FALSE)/'הנחות עבודה'!$D$33-SUM(Q$5:Q25)+Q$5,P26*(1-'הנחות עבודה'!$D$38))))</f>
        <v>0</v>
      </c>
      <c r="R26" s="238">
        <f>IF($B26&gt;2030,0,IF($B26&gt;R$5,0,IF($B26=R$5,VLOOKUP($B26,'הספק קיים ותחזית יצור'!$B$80:$E$100,4,FALSE)/'הנחות עבודה'!$D$33-SUM(R$5:R25)+R$5,Q26*(1-'הנחות עבודה'!$D$38))))</f>
        <v>0</v>
      </c>
      <c r="S26" s="238">
        <f>IF($B26&gt;2030,0,IF($B26&gt;S$5,0,IF($B26=S$5,VLOOKUP($B26,'הספק קיים ותחזית יצור'!$B$80:$E$100,4,FALSE)/'הנחות עבודה'!$D$33-SUM(S$5:S25)+S$5,R26*(1-'הנחות עבודה'!$D$38))))</f>
        <v>0</v>
      </c>
      <c r="T26" s="238">
        <f>IF($B26&gt;2030,0,IF($B26&gt;T$5,0,IF($B26=T$5,VLOOKUP($B26,'הספק קיים ותחזית יצור'!$B$80:$E$100,4,FALSE)/'הנחות עבודה'!$D$33-SUM(T$5:T25)+T$5,S26*(1-'הנחות עבודה'!$D$38))))</f>
        <v>0</v>
      </c>
      <c r="U26" s="238">
        <f>IF($B26&gt;2030,0,IF($B26&gt;U$5,0,IF($B26=U$5,VLOOKUP($B26,'הספק קיים ותחזית יצור'!$B$80:$E$100,4,FALSE)/'הנחות עבודה'!$D$33-SUM(U$5:U25)+U$5,T26*(1-'הנחות עבודה'!$D$38))))</f>
        <v>0</v>
      </c>
      <c r="V26" s="238">
        <f>IF($B26&gt;2030,0,IF($B26&gt;V$5,0,IF($B26=V$5,VLOOKUP($B26,'הספק קיים ותחזית יצור'!$B$80:$E$100,4,FALSE)/'הנחות עבודה'!$D$33-SUM(V$5:V25)+V$5,U26*(1-'הנחות עבודה'!$D$38))))</f>
        <v>0</v>
      </c>
      <c r="W26" s="239">
        <f>IF($B26&gt;2030,0,IF($B26&gt;W$5,0,IF($B26=W$5,VLOOKUP($B26,'הספק קיים ותחזית יצור'!$B$80:$E$100,4,FALSE)/'הנחות עבודה'!$D$33-SUM(W$5:W25)+W$5,V26*(1-'הנחות עבודה'!$D$38))))</f>
        <v>0</v>
      </c>
    </row>
    <row r="27" spans="2:23" ht="16.5" thickBot="1">
      <c r="B27" s="310" t="s">
        <v>259</v>
      </c>
      <c r="C27" s="580">
        <f>IF(C5='הנחות עבודה'!$C$5,SUMIF($B$6:$B$26,C5,C6:C26),SUMIF($B$6:$B$26,C5,C6:C26)+B27)</f>
        <v>3904.6682808157962</v>
      </c>
      <c r="D27" s="580">
        <f>IF(D5='הנחות עבודה'!$C$5,SUMIF($B$6:$B$26,D5,D6:D26),SUMIF($B$6:$B$26,D5,D6:D26)+C27)</f>
        <v>4877.1899683797419</v>
      </c>
      <c r="E27" s="580">
        <f>IF(E5='הנחות עבודה'!$C$5,SUMIF($B$6:$B$26,E5,E6:E26),SUMIF($B$6:$B$26,E5,E6:E26)+D27)</f>
        <v>5680.0110981991929</v>
      </c>
      <c r="F27" s="580">
        <f>IF(F5='הנחות עבודה'!$C$5,SUMIF($B$6:$B$26,F5,F6:F26),SUMIF($B$6:$B$26,F5,F6:F26)+E27)</f>
        <v>6531.4016677928521</v>
      </c>
      <c r="G27" s="580">
        <f>IF(G5='הנחות עבודה'!$C$5,SUMIF($B$6:$B$26,G5,G6:G26),SUMIF($B$6:$B$26,G5,G6:G26)+F27)</f>
        <v>7421.4130739621596</v>
      </c>
      <c r="H27" s="580">
        <f>IF(H5='הנחות עבודה'!$C$5,SUMIF($B$6:$B$26,H5,H6:H26),SUMIF($B$6:$B$26,H5,H6:H26)+G27)</f>
        <v>8427.1194140446278</v>
      </c>
      <c r="I27" s="580">
        <f>IF(I5='הנחות עבודה'!$C$5,SUMIF($B$6:$B$26,I5,I6:I26),SUMIF($B$6:$B$26,I5,I6:I26)+H27)</f>
        <v>9804.3467429888351</v>
      </c>
      <c r="J27" s="580">
        <f>IF(J5='הנחות עבודה'!$C$5,SUMIF($B$6:$B$26,J5,J6:J26),SUMIF($B$6:$B$26,J5,J6:J26)+I27)</f>
        <v>11256.714891593354</v>
      </c>
      <c r="K27" s="580">
        <f>IF(K5='הנחות עבודה'!$C$5,SUMIF($B$6:$B$26,K5,K6:K26),SUMIF($B$6:$B$26,K5,K6:K26)+J27)</f>
        <v>12748.685357281456</v>
      </c>
      <c r="L27" s="580">
        <f>IF(L5='הנחות עבודה'!$C$5,SUMIF($B$6:$B$26,L5,L6:L26),SUMIF($B$6:$B$26,L5,L6:L26)+K27)</f>
        <v>14400.099139229669</v>
      </c>
      <c r="M27" s="580">
        <f>IF(M5='הנחות עבודה'!$C$5,SUMIF($B$6:$B$26,M5,M6:M26),SUMIF($B$6:$B$26,M5,M6:M26)+L27)</f>
        <v>16098.626496369259</v>
      </c>
      <c r="N27" s="580">
        <f>IF(N5='הנחות עבודה'!$C$5,SUMIF($B$6:$B$26,N5,N6:N26),SUMIF($B$6:$B$26,N5,N6:N26)+M27)</f>
        <v>16098.626496369259</v>
      </c>
      <c r="O27" s="580">
        <f>IF(O5='הנחות עבודה'!$C$5,SUMIF($B$6:$B$26,O5,O6:O26),SUMIF($B$6:$B$26,O5,O6:O26)+N27)</f>
        <v>16098.626496369259</v>
      </c>
      <c r="P27" s="580">
        <f>IF(P5='הנחות עבודה'!$C$5,SUMIF($B$6:$B$26,P5,P6:P26),SUMIF($B$6:$B$26,P5,P6:P26)+O27)</f>
        <v>16098.626496369259</v>
      </c>
      <c r="Q27" s="580">
        <f>IF(Q5='הנחות עבודה'!$C$5,SUMIF($B$6:$B$26,Q5,Q6:Q26),SUMIF($B$6:$B$26,Q5,Q6:Q26)+P27)</f>
        <v>16098.626496369259</v>
      </c>
      <c r="R27" s="580">
        <f>IF(R5='הנחות עבודה'!$C$5,SUMIF($B$6:$B$26,R5,R6:R26),SUMIF($B$6:$B$26,R5,R6:R26)+Q27)</f>
        <v>16098.626496369259</v>
      </c>
      <c r="S27" s="580">
        <f>IF(S5='הנחות עבודה'!$C$5,SUMIF($B$6:$B$26,S5,S6:S26),SUMIF($B$6:$B$26,S5,S6:S26)+R27)</f>
        <v>16098.626496369259</v>
      </c>
      <c r="T27" s="580">
        <f>IF(T5='הנחות עבודה'!$C$5,SUMIF($B$6:$B$26,T5,T6:T26),SUMIF($B$6:$B$26,T5,T6:T26)+S27)</f>
        <v>16098.626496369259</v>
      </c>
      <c r="U27" s="580">
        <f>IF(U5='הנחות עבודה'!$C$5,SUMIF($B$6:$B$26,U5,U6:U26),SUMIF($B$6:$B$26,U5,U6:U26)+T27)</f>
        <v>16098.626496369259</v>
      </c>
      <c r="V27" s="580">
        <f>IF(V5='הנחות עבודה'!$C$5,SUMIF($B$6:$B$26,V5,V6:V26),SUMIF($B$6:$B$26,V5,V6:V26)+U27)</f>
        <v>16098.626496369259</v>
      </c>
      <c r="W27" s="580">
        <f>IF(W5='הנחות עבודה'!$C$5,SUMIF($B$6:$B$26,W5,W6:W26),SUMIF($B$6:$B$26,W5,W6:W26)+V27)</f>
        <v>16098.626496369259</v>
      </c>
    </row>
    <row r="28" spans="2:23" ht="15.75" thickBot="1">
      <c r="D28">
        <f>D27/C27</f>
        <v>1.249066404012368</v>
      </c>
      <c r="E28">
        <f t="shared" ref="E28:M28" si="5">E27/D27</f>
        <v>1.1646073117972391</v>
      </c>
      <c r="F28">
        <f t="shared" si="5"/>
        <v>1.1498924130383454</v>
      </c>
      <c r="G28">
        <f t="shared" si="5"/>
        <v>1.1362665246202914</v>
      </c>
      <c r="H28">
        <f t="shared" si="5"/>
        <v>1.1355141305381535</v>
      </c>
      <c r="I28">
        <f t="shared" si="5"/>
        <v>1.1634280068049021</v>
      </c>
      <c r="J28">
        <f t="shared" si="5"/>
        <v>1.1481351268653486</v>
      </c>
      <c r="K28">
        <f t="shared" si="5"/>
        <v>1.1325404862836423</v>
      </c>
      <c r="L28">
        <f t="shared" si="5"/>
        <v>1.1295360059227599</v>
      </c>
      <c r="M28">
        <f t="shared" si="5"/>
        <v>1.1179524766265223</v>
      </c>
    </row>
    <row r="29" spans="2:23" ht="16.5" thickBot="1">
      <c r="B29" s="1286" t="s">
        <v>340</v>
      </c>
      <c r="C29" s="1287"/>
      <c r="D29" s="1287"/>
      <c r="E29" s="1287"/>
      <c r="F29" s="1287"/>
      <c r="G29" s="1287"/>
      <c r="H29" s="1287"/>
      <c r="I29" s="1287"/>
      <c r="J29" s="1287"/>
      <c r="K29" s="1287"/>
      <c r="L29" s="1287"/>
      <c r="M29" s="1287"/>
      <c r="N29" s="1287"/>
      <c r="O29" s="1287"/>
      <c r="P29" s="1287"/>
      <c r="Q29" s="1287"/>
      <c r="R29" s="1287"/>
      <c r="S29" s="1287"/>
      <c r="T29" s="1287"/>
      <c r="U29" s="1287"/>
      <c r="V29" s="1287"/>
      <c r="W29" s="1288"/>
    </row>
    <row r="30" spans="2:23" ht="16.5" thickBot="1">
      <c r="B30" s="310" t="s">
        <v>237</v>
      </c>
      <c r="C30" s="309">
        <f>C5</f>
        <v>2020</v>
      </c>
      <c r="D30" s="309">
        <v>2021</v>
      </c>
      <c r="E30" s="309">
        <v>2022</v>
      </c>
      <c r="F30" s="309">
        <v>2023</v>
      </c>
      <c r="G30" s="309">
        <v>2024</v>
      </c>
      <c r="H30" s="309">
        <v>2025</v>
      </c>
      <c r="I30" s="309">
        <v>2026</v>
      </c>
      <c r="J30" s="309">
        <v>2027</v>
      </c>
      <c r="K30" s="309">
        <v>2028</v>
      </c>
      <c r="L30" s="309">
        <v>2029</v>
      </c>
      <c r="M30" s="309">
        <v>2030</v>
      </c>
      <c r="N30" s="309">
        <v>2031</v>
      </c>
      <c r="O30" s="309">
        <v>2032</v>
      </c>
      <c r="P30" s="309">
        <v>2033</v>
      </c>
      <c r="Q30" s="309">
        <v>2034</v>
      </c>
      <c r="R30" s="309">
        <v>2035</v>
      </c>
      <c r="S30" s="309">
        <v>2036</v>
      </c>
      <c r="T30" s="309">
        <v>2037</v>
      </c>
      <c r="U30" s="309">
        <v>2038</v>
      </c>
      <c r="V30" s="309">
        <v>2039</v>
      </c>
      <c r="W30" s="307">
        <v>2040</v>
      </c>
    </row>
    <row r="31" spans="2:23">
      <c r="B31" s="311">
        <f>B6</f>
        <v>2020</v>
      </c>
      <c r="C31" s="232">
        <f>IF($B31&gt;2030,0,IF($B31&gt;C$30,0,IF($B31=C$30,VLOOKUP($B31,'הספק קיים ותחזית יצור'!$B$80:$E$100,3,FALSE)/'הנחות עבודה'!$D$33-SUM(C$30:C30)+C$30,B31*(1-'הנחות עבודה'!$D$38))))</f>
        <v>3904.6682808157962</v>
      </c>
      <c r="D31" s="232">
        <f>IF($B31&gt;2030,0,IF($B31&gt;D$30,0,IF($B31=D$30,VLOOKUP($B31,'הספק קיים ותחזית יצור'!$B$80:$E$100,3,FALSE)/'הנחות עבודה'!$D$33-SUM(D$30:D30)+D$30,C31*(1-'הנחות עבודה'!$D$38))))</f>
        <v>3881.2402711309014</v>
      </c>
      <c r="E31" s="232">
        <f>IF($B31&gt;2030,0,IF($B31&gt;E$30,0,IF($B31=E$30,VLOOKUP($B31,'הספק קיים ותחזית יצור'!$B$80:$E$100,3,FALSE)/'הנחות עבודה'!$D$33-SUM(E$30:E30)+E$30,D31*(1-'הנחות עבודה'!$D$38))))</f>
        <v>3857.9528295041159</v>
      </c>
      <c r="F31" s="232">
        <f>IF($B31&gt;2030,0,IF($B31&gt;F$30,0,IF($B31=F$30,VLOOKUP($B31,'הספק קיים ותחזית יצור'!$B$80:$E$100,3,FALSE)/'הנחות עבודה'!$D$33-SUM(F$30:F30)+F$30,E31*(1-'הנחות עבודה'!$D$38))))</f>
        <v>3834.8051125270913</v>
      </c>
      <c r="G31" s="232">
        <f>IF($B31&gt;2030,0,IF($B31&gt;G$30,0,IF($B31=G$30,VLOOKUP($B31,'הספק קיים ותחזית יצור'!$B$80:$E$100,3,FALSE)/'הנחות עבודה'!$D$33-SUM(G$30:G30)+G$30,F31*(1-'הנחות עבודה'!$D$38))))</f>
        <v>3811.7962818519286</v>
      </c>
      <c r="H31" s="232">
        <f>IF($B31&gt;2030,0,IF($B31&gt;H$30,0,IF($B31=H$30,VLOOKUP($B31,'הספק קיים ותחזית יצור'!$B$80:$E$100,3,FALSE)/'הנחות עבודה'!$D$33-SUM(H$30:H30)+H$30,G31*(1-'הנחות עבודה'!$D$38))))</f>
        <v>3788.9255041608171</v>
      </c>
      <c r="I31" s="232">
        <f>IF($B31&gt;2030,0,IF($B31&gt;I$30,0,IF($B31=I$30,VLOOKUP($B31,'הספק קיים ותחזית יצור'!$B$80:$E$100,3,FALSE)/'הנחות עבודה'!$D$33-SUM(I$30:I30)+I$30,H31*(1-'הנחות עבודה'!$D$38))))</f>
        <v>3766.1919511358524</v>
      </c>
      <c r="J31" s="232">
        <f>IF($B31&gt;2030,0,IF($B31&gt;J$30,0,IF($B31=J$30,VLOOKUP($B31,'הספק קיים ותחזית יצור'!$B$80:$E$100,3,FALSE)/'הנחות עבודה'!$D$33-SUM(J$30:J30)+J$30,I31*(1-'הנחות עבודה'!$D$38))))</f>
        <v>3743.5947994290373</v>
      </c>
      <c r="K31" s="232">
        <f>IF($B31&gt;2030,0,IF($B31&gt;K$30,0,IF($B31=K$30,VLOOKUP($B31,'הספק קיים ותחזית יצור'!$B$80:$E$100,3,FALSE)/'הנחות עבודה'!$D$33-SUM(K$30:K30)+K$30,J31*(1-'הנחות עבודה'!$D$38))))</f>
        <v>3721.133230632463</v>
      </c>
      <c r="L31" s="232">
        <f>IF($B31&gt;2030,0,IF($B31&gt;L$30,0,IF($B31=L$30,VLOOKUP($B31,'הספק קיים ותחזית יצור'!$B$80:$E$100,3,FALSE)/'הנחות עבודה'!$D$33-SUM(L$30:L30)+L$30,K31*(1-'הנחות עבודה'!$D$38))))</f>
        <v>3698.8064312486681</v>
      </c>
      <c r="M31" s="232">
        <f>IF($B31&gt;2030,0,IF($B31&gt;M$30,0,IF($B31=M$30,VLOOKUP($B31,'הספק קיים ותחזית יצור'!$B$80:$E$100,3,FALSE)/'הנחות עבודה'!$D$33-SUM(M$30:M30)+M$30,L31*(1-'הנחות עבודה'!$D$38))))</f>
        <v>3676.613592661176</v>
      </c>
      <c r="N31" s="232">
        <f>IF($B31&gt;2030,0,IF($B31&gt;N$30,0,IF($B31=N$30,VLOOKUP($B31,'הספק קיים ותחזית יצור'!$B$80:$E$100,3,FALSE)/'הנחות עבודה'!$D$33-SUM(N$30:N30)+N$30,M31*(1-'הנחות עבודה'!$D$38))))</f>
        <v>3654.553911105209</v>
      </c>
      <c r="O31" s="232">
        <f>IF($B31&gt;2030,0,IF($B31&gt;O$30,0,IF($B31=O$30,VLOOKUP($B31,'הספק קיים ותחזית יצור'!$B$80:$E$100,3,FALSE)/'הנחות עבודה'!$D$33-SUM(O$30:O30)+O$30,N31*(1-'הנחות עבודה'!$D$38))))</f>
        <v>3632.6265876385778</v>
      </c>
      <c r="P31" s="232">
        <f>IF($B31&gt;2030,0,IF($B31&gt;P$30,0,IF($B31=P$30,VLOOKUP($B31,'הספק קיים ותחזית יצור'!$B$80:$E$100,3,FALSE)/'הנחות עבודה'!$D$33-SUM(P$30:P30)+P$30,O31*(1-'הנחות עבודה'!$D$38))))</f>
        <v>3610.8308281127465</v>
      </c>
      <c r="Q31" s="232">
        <f>IF($B31&gt;2030,0,IF($B31&gt;Q$30,0,IF($B31=Q$30,VLOOKUP($B31,'הספק קיים ותחזית יצור'!$B$80:$E$100,3,FALSE)/'הנחות עבודה'!$D$33-SUM(Q$30:Q30)+Q$30,P31*(1-'הנחות עבודה'!$D$38))))</f>
        <v>3589.1658431440701</v>
      </c>
      <c r="R31" s="232">
        <f>IF($B31&gt;2030,0,IF($B31&gt;R$30,0,IF($B31=R$30,VLOOKUP($B31,'הספק קיים ותחזית יצור'!$B$80:$E$100,3,FALSE)/'הנחות עבודה'!$D$33-SUM(R$30:R30)+R$30,Q31*(1-'הנחות עבודה'!$D$38))))</f>
        <v>3567.6308480852058</v>
      </c>
      <c r="S31" s="232">
        <f>IF($B31&gt;2030,0,IF($B31&gt;S$30,0,IF($B31=S$30,VLOOKUP($B31,'הספק קיים ותחזית יצור'!$B$80:$E$100,3,FALSE)/'הנחות עבודה'!$D$33-SUM(S$30:S30)+S$30,R31*(1-'הנחות עבודה'!$D$38))))</f>
        <v>3546.2250629966948</v>
      </c>
      <c r="T31" s="232">
        <f>IF($B31&gt;2030,0,IF($B31&gt;T$30,0,IF($B31=T$30,VLOOKUP($B31,'הספק קיים ותחזית יצור'!$B$80:$E$100,3,FALSE)/'הנחות עבודה'!$D$33-SUM(T$30:T30)+T$30,S31*(1-'הנחות עבודה'!$D$38))))</f>
        <v>3524.9477126187144</v>
      </c>
      <c r="U31" s="232">
        <f>IF($B31&gt;2030,0,IF($B31&gt;U$30,0,IF($B31=U$30,VLOOKUP($B31,'הספק קיים ותחזית יצור'!$B$80:$E$100,3,FALSE)/'הנחות עבודה'!$D$33-SUM(U$30:U30)+U$30,T31*(1-'הנחות עבודה'!$D$38))))</f>
        <v>3503.7980263430022</v>
      </c>
      <c r="V31" s="232">
        <f>IF($B31&gt;2030,0,IF($B31&gt;V$30,0,IF($B31=V$30,VLOOKUP($B31,'הספק קיים ותחזית יצור'!$B$80:$E$100,3,FALSE)/'הנחות עבודה'!$D$33-SUM(V$30:V30)+V$30,U31*(1-'הנחות עבודה'!$D$38))))</f>
        <v>3482.7752381849441</v>
      </c>
      <c r="W31" s="232">
        <f>IF($B31&gt;2030,0,IF($B31&gt;W$30,0,IF($B31=W$30,VLOOKUP($B31,'הספק קיים ותחזית יצור'!$B$80:$E$100,3,FALSE)/'הנחות עבודה'!$D$33-SUM(W$30:W30)+W$30,V31*(1-'הנחות עבודה'!$D$38))))</f>
        <v>3461.8785867558345</v>
      </c>
    </row>
    <row r="32" spans="2:23">
      <c r="B32" s="306">
        <f>+B31+1</f>
        <v>2021</v>
      </c>
      <c r="C32" s="235">
        <f>IF($B32&gt;2030,0,IF($B32&gt;C$30,0,IF($B32=C$30,VLOOKUP($B32,'הספק קיים ותחזית יצור'!$B$80:$E$100,3,FALSE)/'הנחות עבודה'!$D$33-SUM(C$30:C31)+C$30,B32*(1-'הנחות עבודה'!$D$38))))</f>
        <v>0</v>
      </c>
      <c r="D32" s="235">
        <f>IF($B32&gt;2030,0,IF($B32&gt;D$30,0,IF($B32=D$30,VLOOKUP($B32,'הספק קיים ותחזית יצור'!$B$80:$E$100,3,FALSE)/'הנחות עבודה'!$D$33-SUM(D$30:D31)+D$30,C32*(1-'הנחות עבודה'!$D$38))))</f>
        <v>740.87617440724625</v>
      </c>
      <c r="E32" s="235">
        <f>IF($B32&gt;2030,0,IF($B32&gt;E$30,0,IF($B32=E$30,VLOOKUP($B32,'הספק קיים ותחזית יצור'!$B$80:$E$100,3,FALSE)/'הנחות עבודה'!$D$33-SUM(E$30:E31)+E$30,D32*(1-'הנחות עבודה'!$D$38))))</f>
        <v>736.43091736080282</v>
      </c>
      <c r="F32" s="235">
        <f>IF($B32&gt;2030,0,IF($B32&gt;F$30,0,IF($B32=F$30,VLOOKUP($B32,'הספק קיים ותחזית יצור'!$B$80:$E$100,3,FALSE)/'הנחות עבודה'!$D$33-SUM(F$30:F31)+F$30,E32*(1-'הנחות עבודה'!$D$38))))</f>
        <v>732.01233185663796</v>
      </c>
      <c r="G32" s="235">
        <f>IF($B32&gt;2030,0,IF($B32&gt;G$30,0,IF($B32=G$30,VLOOKUP($B32,'הספק קיים ותחזית יצור'!$B$80:$E$100,3,FALSE)/'הנחות עבודה'!$D$33-SUM(G$30:G31)+G$30,F32*(1-'הנחות עבודה'!$D$38))))</f>
        <v>727.62025786549816</v>
      </c>
      <c r="H32" s="235">
        <f>IF($B32&gt;2030,0,IF($B32&gt;H$30,0,IF($B32=H$30,VLOOKUP($B32,'הספק קיים ותחזית יצור'!$B$80:$E$100,3,FALSE)/'הנחות עבודה'!$D$33-SUM(H$30:H31)+H$30,G32*(1-'הנחות עבודה'!$D$38))))</f>
        <v>723.25453631830521</v>
      </c>
      <c r="I32" s="235">
        <f>IF($B32&gt;2030,0,IF($B32&gt;I$30,0,IF($B32=I$30,VLOOKUP($B32,'הספק קיים ותחזית יצור'!$B$80:$E$100,3,FALSE)/'הנחות עבודה'!$D$33-SUM(I$30:I31)+I$30,H32*(1-'הנחות עבודה'!$D$38))))</f>
        <v>718.91500910039542</v>
      </c>
      <c r="J32" s="235">
        <f>IF($B32&gt;2030,0,IF($B32&gt;J$30,0,IF($B32=J$30,VLOOKUP($B32,'הספק קיים ותחזית יצור'!$B$80:$E$100,3,FALSE)/'הנחות עבודה'!$D$33-SUM(J$30:J31)+J$30,I32*(1-'הנחות עבודה'!$D$38))))</f>
        <v>714.601519045793</v>
      </c>
      <c r="K32" s="235">
        <f>IF($B32&gt;2030,0,IF($B32&gt;K$30,0,IF($B32=K$30,VLOOKUP($B32,'הספק קיים ותחזית יצור'!$B$80:$E$100,3,FALSE)/'הנחות עבודה'!$D$33-SUM(K$30:K31)+K$30,J32*(1-'הנחות עבודה'!$D$38))))</f>
        <v>710.3139099315182</v>
      </c>
      <c r="L32" s="235">
        <f>IF($B32&gt;2030,0,IF($B32&gt;L$30,0,IF($B32=L$30,VLOOKUP($B32,'הספק קיים ותחזית יצור'!$B$80:$E$100,3,FALSE)/'הנחות עבודה'!$D$33-SUM(L$30:L31)+L$30,K32*(1-'הנחות עבודה'!$D$38))))</f>
        <v>706.05202647192914</v>
      </c>
      <c r="M32" s="235">
        <f>IF($B32&gt;2030,0,IF($B32&gt;M$30,0,IF($B32=M$30,VLOOKUP($B32,'הספק קיים ותחזית יצור'!$B$80:$E$100,3,FALSE)/'הנחות עבודה'!$D$33-SUM(M$30:M31)+M$30,L32*(1-'הנחות עבודה'!$D$38))))</f>
        <v>701.8157143130976</v>
      </c>
      <c r="N32" s="235">
        <f>IF($B32&gt;2030,0,IF($B32&gt;N$30,0,IF($B32=N$30,VLOOKUP($B32,'הספק קיים ותחזית יצור'!$B$80:$E$100,3,FALSE)/'הנחות עבודה'!$D$33-SUM(N$30:N31)+N$30,M32*(1-'הנחות עבודה'!$D$38))))</f>
        <v>697.60482002721903</v>
      </c>
      <c r="O32" s="235">
        <f>IF($B32&gt;2030,0,IF($B32&gt;O$30,0,IF($B32=O$30,VLOOKUP($B32,'הספק קיים ותחזית יצור'!$B$80:$E$100,3,FALSE)/'הנחות עבודה'!$D$33-SUM(O$30:O31)+O$30,N32*(1-'הנחות עבודה'!$D$38))))</f>
        <v>693.41919110705567</v>
      </c>
      <c r="P32" s="235">
        <f>IF($B32&gt;2030,0,IF($B32&gt;P$30,0,IF($B32=P$30,VLOOKUP($B32,'הספק קיים ותחזית יצור'!$B$80:$E$100,3,FALSE)/'הנחות עבודה'!$D$33-SUM(P$30:P31)+P$30,O32*(1-'הנחות עבודה'!$D$38))))</f>
        <v>689.25867596041337</v>
      </c>
      <c r="Q32" s="235">
        <f>IF($B32&gt;2030,0,IF($B32&gt;Q$30,0,IF($B32=Q$30,VLOOKUP($B32,'הספק קיים ותחזית יצור'!$B$80:$E$100,3,FALSE)/'הנחות עבודה'!$D$33-SUM(Q$30:Q31)+Q$30,P32*(1-'הנחות עבודה'!$D$38))))</f>
        <v>685.12312390465092</v>
      </c>
      <c r="R32" s="235">
        <f>IF($B32&gt;2030,0,IF($B32&gt;R$30,0,IF($B32=R$30,VLOOKUP($B32,'הספק קיים ותחזית יצור'!$B$80:$E$100,3,FALSE)/'הנחות עבודה'!$D$33-SUM(R$30:R31)+R$30,Q32*(1-'הנחות עבודה'!$D$38))))</f>
        <v>681.01238516122305</v>
      </c>
      <c r="S32" s="235">
        <f>IF($B32&gt;2030,0,IF($B32&gt;S$30,0,IF($B32=S$30,VLOOKUP($B32,'הספק קיים ותחזית יצור'!$B$80:$E$100,3,FALSE)/'הנחות עבודה'!$D$33-SUM(S$30:S31)+S$30,R32*(1-'הנחות עבודה'!$D$38))))</f>
        <v>676.92631085025573</v>
      </c>
      <c r="T32" s="235">
        <f>IF($B32&gt;2030,0,IF($B32&gt;T$30,0,IF($B32=T$30,VLOOKUP($B32,'הספק קיים ותחזית יצור'!$B$80:$E$100,3,FALSE)/'הנחות עבודה'!$D$33-SUM(T$30:T31)+T$30,S32*(1-'הנחות עבודה'!$D$38))))</f>
        <v>672.86475298515415</v>
      </c>
      <c r="U32" s="235">
        <f>IF($B32&gt;2030,0,IF($B32&gt;U$30,0,IF($B32=U$30,VLOOKUP($B32,'הספק קיים ותחזית יצור'!$B$80:$E$100,3,FALSE)/'הנחות עבודה'!$D$33-SUM(U$30:U31)+U$30,T32*(1-'הנחות עבודה'!$D$38))))</f>
        <v>668.82756446724318</v>
      </c>
      <c r="V32" s="235">
        <f>IF($B32&gt;2030,0,IF($B32&gt;V$30,0,IF($B32=V$30,VLOOKUP($B32,'הספק קיים ותחזית יצור'!$B$80:$E$100,3,FALSE)/'הנחות עבודה'!$D$33-SUM(V$30:V31)+V$30,U32*(1-'הנחות עבודה'!$D$38))))</f>
        <v>664.81459908043973</v>
      </c>
      <c r="W32" s="235">
        <f>IF($B32&gt;2030,0,IF($B32&gt;W$30,0,IF($B32=W$30,VLOOKUP($B32,'הספק קיים ותחזית יצור'!$B$80:$E$100,3,FALSE)/'הנחות עבודה'!$D$33-SUM(W$30:W31)+W$30,V32*(1-'הנחות עבודה'!$D$38))))</f>
        <v>660.82571148595707</v>
      </c>
    </row>
    <row r="33" spans="2:23">
      <c r="B33" s="306">
        <f t="shared" ref="B33:B51" si="6">+B32+1</f>
        <v>2022</v>
      </c>
      <c r="C33" s="235">
        <f>IF($B33&gt;2030,0,IF($B33&gt;C$30,0,IF($B33=C$30,VLOOKUP($B33,'הספק קיים ותחזית יצור'!$B$80:$E$100,3,FALSE)/'הנחות עבודה'!$D$33-SUM(C$30:C32)+C$30,B33*(1-'הנחות עבודה'!$D$38))))</f>
        <v>0</v>
      </c>
      <c r="D33" s="235">
        <f>IF($B33&gt;2030,0,IF($B33&gt;D$30,0,IF($B33=D$30,VLOOKUP($B33,'הספק קיים ותחזית יצור'!$B$80:$E$100,3,FALSE)/'הנחות עבודה'!$D$33-SUM(D$30:D32)+D$30,C33*(1-'הנחות עבודה'!$D$38))))</f>
        <v>0</v>
      </c>
      <c r="E33" s="235">
        <f>IF($B33&gt;2030,0,IF($B33&gt;E$30,0,IF($B33=E$30,VLOOKUP($B33,'הספק קיים ותחזית יצור'!$B$80:$E$100,3,FALSE)/'הנחות עבודה'!$D$33-SUM(E$30:E32)+E$30,D33*(1-'הנחות עבודה'!$D$38))))</f>
        <v>557.09875473685315</v>
      </c>
      <c r="F33" s="235">
        <f>IF($B33&gt;2030,0,IF($B33&gt;F$30,0,IF($B33=F$30,VLOOKUP($B33,'הספק קיים ותחזית יצור'!$B$80:$E$100,3,FALSE)/'הנחות עבודה'!$D$33-SUM(F$30:F32)+F$30,E33*(1-'הנחות עבודה'!$D$38))))</f>
        <v>553.75616220843199</v>
      </c>
      <c r="G33" s="235">
        <f>IF($B33&gt;2030,0,IF($B33&gt;G$30,0,IF($B33=G$30,VLOOKUP($B33,'הספק קיים ותחזית יצור'!$B$80:$E$100,3,FALSE)/'הנחות עבודה'!$D$33-SUM(G$30:G32)+G$30,F33*(1-'הנחות עבודה'!$D$38))))</f>
        <v>550.43362523518135</v>
      </c>
      <c r="H33" s="235">
        <f>IF($B33&gt;2030,0,IF($B33&gt;H$30,0,IF($B33=H$30,VLOOKUP($B33,'הספק קיים ותחזית יצור'!$B$80:$E$100,3,FALSE)/'הנחות עבודה'!$D$33-SUM(H$30:H32)+H$30,G33*(1-'הנחות עבודה'!$D$38))))</f>
        <v>547.13102348377026</v>
      </c>
      <c r="I33" s="235">
        <f>IF($B33&gt;2030,0,IF($B33&gt;I$30,0,IF($B33=I$30,VLOOKUP($B33,'הספק קיים ותחזית יצור'!$B$80:$E$100,3,FALSE)/'הנחות עבודה'!$D$33-SUM(I$30:I32)+I$30,H33*(1-'הנחות עבודה'!$D$38))))</f>
        <v>543.84823734286761</v>
      </c>
      <c r="J33" s="235">
        <f>IF($B33&gt;2030,0,IF($B33&gt;J$30,0,IF($B33=J$30,VLOOKUP($B33,'הספק קיים ותחזית יצור'!$B$80:$E$100,3,FALSE)/'הנחות עבודה'!$D$33-SUM(J$30:J32)+J$30,I33*(1-'הנחות עבודה'!$D$38))))</f>
        <v>540.58514791881043</v>
      </c>
      <c r="K33" s="235">
        <f>IF($B33&gt;2030,0,IF($B33&gt;K$30,0,IF($B33=K$30,VLOOKUP($B33,'הספק קיים ותחזית יצור'!$B$80:$E$100,3,FALSE)/'הנחות עבודה'!$D$33-SUM(K$30:K32)+K$30,J33*(1-'הנחות עבודה'!$D$38))))</f>
        <v>537.34163703129752</v>
      </c>
      <c r="L33" s="235">
        <f>IF($B33&gt;2030,0,IF($B33&gt;L$30,0,IF($B33=L$30,VLOOKUP($B33,'הספק קיים ותחזית יצור'!$B$80:$E$100,3,FALSE)/'הנחות עבודה'!$D$33-SUM(L$30:L32)+L$30,K33*(1-'הנחות עבודה'!$D$38))))</f>
        <v>534.11758720910973</v>
      </c>
      <c r="M33" s="235">
        <f>IF($B33&gt;2030,0,IF($B33&gt;M$30,0,IF($B33=M$30,VLOOKUP($B33,'הספק קיים ותחזית יצור'!$B$80:$E$100,3,FALSE)/'הנחות עבודה'!$D$33-SUM(M$30:M32)+M$30,L33*(1-'הנחות עבודה'!$D$38))))</f>
        <v>530.91288168585504</v>
      </c>
      <c r="N33" s="235">
        <f>IF($B33&gt;2030,0,IF($B33&gt;N$30,0,IF($B33=N$30,VLOOKUP($B33,'הספק קיים ותחזית יצור'!$B$80:$E$100,3,FALSE)/'הנחות עבודה'!$D$33-SUM(N$30:N32)+N$30,M33*(1-'הנחות עבודה'!$D$38))))</f>
        <v>527.72740439573988</v>
      </c>
      <c r="O33" s="235">
        <f>IF($B33&gt;2030,0,IF($B33&gt;O$30,0,IF($B33=O$30,VLOOKUP($B33,'הספק קיים ותחזית יצור'!$B$80:$E$100,3,FALSE)/'הנחות עבודה'!$D$33-SUM(O$30:O32)+O$30,N33*(1-'הנחות עבודה'!$D$38))))</f>
        <v>524.56103996936542</v>
      </c>
      <c r="P33" s="235">
        <f>IF($B33&gt;2030,0,IF($B33&gt;P$30,0,IF($B33=P$30,VLOOKUP($B33,'הספק קיים ותחזית יצור'!$B$80:$E$100,3,FALSE)/'הנחות עבודה'!$D$33-SUM(P$30:P32)+P$30,O33*(1-'הנחות עבודה'!$D$38))))</f>
        <v>521.41367372954926</v>
      </c>
      <c r="Q33" s="235">
        <f>IF($B33&gt;2030,0,IF($B33&gt;Q$30,0,IF($B33=Q$30,VLOOKUP($B33,'הספק קיים ותחזית יצור'!$B$80:$E$100,3,FALSE)/'הנחות עבודה'!$D$33-SUM(Q$30:Q32)+Q$30,P33*(1-'הנחות עבודה'!$D$38))))</f>
        <v>518.28519168717196</v>
      </c>
      <c r="R33" s="235">
        <f>IF($B33&gt;2030,0,IF($B33&gt;R$30,0,IF($B33=R$30,VLOOKUP($B33,'הספק קיים ותחזית יצור'!$B$80:$E$100,3,FALSE)/'הנחות עבודה'!$D$33-SUM(R$30:R32)+R$30,Q33*(1-'הנחות עבודה'!$D$38))))</f>
        <v>515.17548053704888</v>
      </c>
      <c r="S33" s="235">
        <f>IF($B33&gt;2030,0,IF($B33&gt;S$30,0,IF($B33=S$30,VLOOKUP($B33,'הספק קיים ותחזית יצור'!$B$80:$E$100,3,FALSE)/'הנחות עבודה'!$D$33-SUM(S$30:S32)+S$30,R33*(1-'הנחות עבודה'!$D$38))))</f>
        <v>512.08442765382654</v>
      </c>
      <c r="T33" s="235">
        <f>IF($B33&gt;2030,0,IF($B33&gt;T$30,0,IF($B33=T$30,VLOOKUP($B33,'הספק קיים ותחזית יצור'!$B$80:$E$100,3,FALSE)/'הנחות עבודה'!$D$33-SUM(T$30:T32)+T$30,S33*(1-'הנחות עבודה'!$D$38))))</f>
        <v>509.0119210879036</v>
      </c>
      <c r="U33" s="235">
        <f>IF($B33&gt;2030,0,IF($B33&gt;U$30,0,IF($B33=U$30,VLOOKUP($B33,'הספק קיים ותחזית יצור'!$B$80:$E$100,3,FALSE)/'הנחות עבודה'!$D$33-SUM(U$30:U32)+U$30,T33*(1-'הנחות עבודה'!$D$38))))</f>
        <v>505.95784956137618</v>
      </c>
      <c r="V33" s="235">
        <f>IF($B33&gt;2030,0,IF($B33&gt;V$30,0,IF($B33=V$30,VLOOKUP($B33,'הספק קיים ותחזית יצור'!$B$80:$E$100,3,FALSE)/'הנחות עבודה'!$D$33-SUM(V$30:V32)+V$30,U33*(1-'הנחות עבודה'!$D$38))))</f>
        <v>502.92210246400793</v>
      </c>
      <c r="W33" s="235">
        <f>IF($B33&gt;2030,0,IF($B33&gt;W$30,0,IF($B33=W$30,VLOOKUP($B33,'הספק קיים ותחזית יצור'!$B$80:$E$100,3,FALSE)/'הנחות עבודה'!$D$33-SUM(W$30:W32)+W$30,V33*(1-'הנחות עבודה'!$D$38))))</f>
        <v>499.90456984922389</v>
      </c>
    </row>
    <row r="34" spans="2:23">
      <c r="B34" s="306">
        <f t="shared" si="6"/>
        <v>2023</v>
      </c>
      <c r="C34" s="235">
        <f>IF($B34&gt;2030,0,IF($B34&gt;C$30,0,IF($B34=C$30,VLOOKUP($B34,'הספק קיים ותחזית יצור'!$B$80:$E$100,3,FALSE)/'הנחות עבודה'!$D$33-SUM(C$30:C33)+C$30,B34*(1-'הנחות עבודה'!$D$38))))</f>
        <v>0</v>
      </c>
      <c r="D34" s="235">
        <f>IF($B34&gt;2030,0,IF($B34&gt;D$30,0,IF($B34=D$30,VLOOKUP($B34,'הספק קיים ותחזית יצור'!$B$80:$E$100,3,FALSE)/'הנחות עבודה'!$D$33-SUM(D$30:D33)+D$30,C34*(1-'הנחות עבודה'!$D$38))))</f>
        <v>0</v>
      </c>
      <c r="E34" s="235">
        <f>IF($B34&gt;2030,0,IF($B34&gt;E$30,0,IF($B34=E$30,VLOOKUP($B34,'הספק קיים ותחזית יצור'!$B$80:$E$100,3,FALSE)/'הנחות עבודה'!$D$33-SUM(E$30:E33)+E$30,D34*(1-'הנחות עבודה'!$D$38))))</f>
        <v>0</v>
      </c>
      <c r="F34" s="235">
        <f>IF($B34&gt;2030,0,IF($B34&gt;F$30,0,IF($B34=F$30,VLOOKUP($B34,'הספק קיים ותחזית יצור'!$B$80:$E$100,3,FALSE)/'הנחות עבודה'!$D$33-SUM(F$30:F33)+F$30,E34*(1-'הנחות עבודה'!$D$38))))</f>
        <v>590.95086326967066</v>
      </c>
      <c r="G34" s="235">
        <f>IF($B34&gt;2030,0,IF($B34&gt;G$30,0,IF($B34=G$30,VLOOKUP($B34,'הספק קיים ותחזית יצור'!$B$80:$E$100,3,FALSE)/'הנחות עבודה'!$D$33-SUM(G$30:G33)+G$30,F34*(1-'הנחות עבודה'!$D$38))))</f>
        <v>587.40515809005262</v>
      </c>
      <c r="H34" s="235">
        <f>IF($B34&gt;2030,0,IF($B34&gt;H$30,0,IF($B34=H$30,VLOOKUP($B34,'הספק קיים ותחזית יצור'!$B$80:$E$100,3,FALSE)/'הנחות עבודה'!$D$33-SUM(H$30:H33)+H$30,G34*(1-'הנחות עבודה'!$D$38))))</f>
        <v>583.88072714151235</v>
      </c>
      <c r="I34" s="235">
        <f>IF($B34&gt;2030,0,IF($B34&gt;I$30,0,IF($B34=I$30,VLOOKUP($B34,'הספק קיים ותחזית יצור'!$B$80:$E$100,3,FALSE)/'הנחות עבודה'!$D$33-SUM(I$30:I33)+I$30,H34*(1-'הנחות עבודה'!$D$38))))</f>
        <v>580.37744277866329</v>
      </c>
      <c r="J34" s="235">
        <f>IF($B34&gt;2030,0,IF($B34&gt;J$30,0,IF($B34=J$30,VLOOKUP($B34,'הספק קיים ותחזית יצור'!$B$80:$E$100,3,FALSE)/'הנחות עבודה'!$D$33-SUM(J$30:J33)+J$30,I34*(1-'הנחות עבודה'!$D$38))))</f>
        <v>576.89517812199131</v>
      </c>
      <c r="K34" s="235">
        <f>IF($B34&gt;2030,0,IF($B34&gt;K$30,0,IF($B34=K$30,VLOOKUP($B34,'הספק קיים ותחזית יצור'!$B$80:$E$100,3,FALSE)/'הנחות עבודה'!$D$33-SUM(K$30:K33)+K$30,J34*(1-'הנחות עבודה'!$D$38))))</f>
        <v>573.43380705325933</v>
      </c>
      <c r="L34" s="235">
        <f>IF($B34&gt;2030,0,IF($B34&gt;L$30,0,IF($B34=L$30,VLOOKUP($B34,'הספק קיים ותחזית יצור'!$B$80:$E$100,3,FALSE)/'הנחות עבודה'!$D$33-SUM(L$30:L33)+L$30,K34*(1-'הנחות עבודה'!$D$38))))</f>
        <v>569.99320421093978</v>
      </c>
      <c r="M34" s="235">
        <f>IF($B34&gt;2030,0,IF($B34&gt;M$30,0,IF($B34=M$30,VLOOKUP($B34,'הספק קיים ותחזית יצור'!$B$80:$E$100,3,FALSE)/'הנחות עבודה'!$D$33-SUM(M$30:M33)+M$30,L34*(1-'הנחות עבודה'!$D$38))))</f>
        <v>566.57324498567414</v>
      </c>
      <c r="N34" s="235">
        <f>IF($B34&gt;2030,0,IF($B34&gt;N$30,0,IF($B34=N$30,VLOOKUP($B34,'הספק קיים ותחזית יצור'!$B$80:$E$100,3,FALSE)/'הנחות עבודה'!$D$33-SUM(N$30:N33)+N$30,M34*(1-'הנחות עבודה'!$D$38))))</f>
        <v>563.17380551576014</v>
      </c>
      <c r="O34" s="235">
        <f>IF($B34&gt;2030,0,IF($B34&gt;O$30,0,IF($B34=O$30,VLOOKUP($B34,'הספק קיים ותחזית יצור'!$B$80:$E$100,3,FALSE)/'הנחות עבודה'!$D$33-SUM(O$30:O33)+O$30,N34*(1-'הנחות עבודה'!$D$38))))</f>
        <v>559.79476268266558</v>
      </c>
      <c r="P34" s="235">
        <f>IF($B34&gt;2030,0,IF($B34&gt;P$30,0,IF($B34=P$30,VLOOKUP($B34,'הספק קיים ותחזית יצור'!$B$80:$E$100,3,FALSE)/'הנחות עבודה'!$D$33-SUM(P$30:P33)+P$30,O34*(1-'הנחות עבודה'!$D$38))))</f>
        <v>556.43599410656964</v>
      </c>
      <c r="Q34" s="235">
        <f>IF($B34&gt;2030,0,IF($B34&gt;Q$30,0,IF($B34=Q$30,VLOOKUP($B34,'הספק קיים ותחזית יצור'!$B$80:$E$100,3,FALSE)/'הנחות עבודה'!$D$33-SUM(Q$30:Q33)+Q$30,P34*(1-'הנחות עבודה'!$D$38))))</f>
        <v>553.09737814193022</v>
      </c>
      <c r="R34" s="235">
        <f>IF($B34&gt;2030,0,IF($B34&gt;R$30,0,IF($B34=R$30,VLOOKUP($B34,'הספק קיים ותחזית יצור'!$B$80:$E$100,3,FALSE)/'הנחות עבודה'!$D$33-SUM(R$30:R33)+R$30,Q34*(1-'הנחות עבודה'!$D$38))))</f>
        <v>549.7787938730786</v>
      </c>
      <c r="S34" s="235">
        <f>IF($B34&gt;2030,0,IF($B34&gt;S$30,0,IF($B34=S$30,VLOOKUP($B34,'הספק קיים ותחזית יצור'!$B$80:$E$100,3,FALSE)/'הנחות עבודה'!$D$33-SUM(S$30:S33)+S$30,R34*(1-'הנחות עבודה'!$D$38))))</f>
        <v>546.48012110984007</v>
      </c>
      <c r="T34" s="235">
        <f>IF($B34&gt;2030,0,IF($B34&gt;T$30,0,IF($B34=T$30,VLOOKUP($B34,'הספק קיים ותחזית יצור'!$B$80:$E$100,3,FALSE)/'הנחות עבודה'!$D$33-SUM(T$30:T33)+T$30,S34*(1-'הנחות עבודה'!$D$38))))</f>
        <v>543.20124038318102</v>
      </c>
      <c r="U34" s="235">
        <f>IF($B34&gt;2030,0,IF($B34&gt;U$30,0,IF($B34=U$30,VLOOKUP($B34,'הספק קיים ותחזית יצור'!$B$80:$E$100,3,FALSE)/'הנחות עבודה'!$D$33-SUM(U$30:U33)+U$30,T34*(1-'הנחות עבודה'!$D$38))))</f>
        <v>539.94203294088197</v>
      </c>
      <c r="V34" s="235">
        <f>IF($B34&gt;2030,0,IF($B34&gt;V$30,0,IF($B34=V$30,VLOOKUP($B34,'הספק קיים ותחזית יצור'!$B$80:$E$100,3,FALSE)/'הנחות עבודה'!$D$33-SUM(V$30:V33)+V$30,U34*(1-'הנחות עבודה'!$D$38))))</f>
        <v>536.70238074323663</v>
      </c>
      <c r="W34" s="235">
        <f>IF($B34&gt;2030,0,IF($B34&gt;W$30,0,IF($B34=W$30,VLOOKUP($B34,'הספק קיים ותחזית יצור'!$B$80:$E$100,3,FALSE)/'הנחות עבודה'!$D$33-SUM(W$30:W33)+W$30,V34*(1-'הנחות עבודה'!$D$38))))</f>
        <v>533.48216645877721</v>
      </c>
    </row>
    <row r="35" spans="2:23">
      <c r="B35" s="306">
        <f t="shared" si="6"/>
        <v>2024</v>
      </c>
      <c r="C35" s="235">
        <f>IF($B35&gt;2030,0,IF($B35&gt;C$30,0,IF($B35=C$30,VLOOKUP($B35,'הספק קיים ותחזית יצור'!$B$80:$E$100,3,FALSE)/'הנחות עבודה'!$D$33-SUM(C$30:C34)+C$30,B35*(1-'הנחות עבודה'!$D$38))))</f>
        <v>0</v>
      </c>
      <c r="D35" s="235">
        <f>IF($B35&gt;2030,0,IF($B35&gt;D$30,0,IF($B35=D$30,VLOOKUP($B35,'הספק קיים ותחזית יצור'!$B$80:$E$100,3,FALSE)/'הנחות עבודה'!$D$33-SUM(D$30:D34)+D$30,C35*(1-'הנחות עבודה'!$D$38))))</f>
        <v>0</v>
      </c>
      <c r="E35" s="235">
        <f>IF($B35&gt;2030,0,IF($B35&gt;E$30,0,IF($B35=E$30,VLOOKUP($B35,'הספק קיים ותחזית יצור'!$B$80:$E$100,3,FALSE)/'הנחות עבודה'!$D$33-SUM(E$30:E34)+E$30,D35*(1-'הנחות עבודה'!$D$38))))</f>
        <v>0</v>
      </c>
      <c r="F35" s="235">
        <f>IF($B35&gt;2030,0,IF($B35&gt;F$30,0,IF($B35=F$30,VLOOKUP($B35,'הספק קיים ותחזית יצור'!$B$80:$E$100,3,FALSE)/'הנחות עבודה'!$D$33-SUM(F$30:F34)+F$30,E35*(1-'הנחות עבודה'!$D$38))))</f>
        <v>0</v>
      </c>
      <c r="G35" s="235">
        <f>IF($B35&gt;2030,0,IF($B35&gt;G$30,0,IF($B35=G$30,VLOOKUP($B35,'הספק קיים ותחזית יצור'!$B$80:$E$100,3,FALSE)/'הנחות עבודה'!$D$33-SUM(G$30:G34)+G$30,F35*(1-'הנחות עבודה'!$D$38))))</f>
        <v>616.81891586728034</v>
      </c>
      <c r="H35" s="235">
        <f>IF($B35&gt;2030,0,IF($B35&gt;H$30,0,IF($B35=H$30,VLOOKUP($B35,'הספק קיים ותחזית יצור'!$B$80:$E$100,3,FALSE)/'הנחות עבודה'!$D$33-SUM(H$30:H34)+H$30,G35*(1-'הנחות עבודה'!$D$38))))</f>
        <v>613.1180023720766</v>
      </c>
      <c r="I35" s="235">
        <f>IF($B35&gt;2030,0,IF($B35&gt;I$30,0,IF($B35=I$30,VLOOKUP($B35,'הספק קיים ותחזית יצור'!$B$80:$E$100,3,FALSE)/'הנחות עבודה'!$D$33-SUM(I$30:I34)+I$30,H35*(1-'הנחות עבודה'!$D$38))))</f>
        <v>609.43929435784412</v>
      </c>
      <c r="J35" s="235">
        <f>IF($B35&gt;2030,0,IF($B35&gt;J$30,0,IF($B35=J$30,VLOOKUP($B35,'הספק קיים ותחזית יצור'!$B$80:$E$100,3,FALSE)/'הנחות עבודה'!$D$33-SUM(J$30:J34)+J$30,I35*(1-'הנחות עבודה'!$D$38))))</f>
        <v>605.7826585916971</v>
      </c>
      <c r="K35" s="235">
        <f>IF($B35&gt;2030,0,IF($B35&gt;K$30,0,IF($B35=K$30,VLOOKUP($B35,'הספק קיים ותחזית יצור'!$B$80:$E$100,3,FALSE)/'הנחות עבודה'!$D$33-SUM(K$30:K34)+K$30,J35*(1-'הנחות עבודה'!$D$38))))</f>
        <v>602.14796264014694</v>
      </c>
      <c r="L35" s="235">
        <f>IF($B35&gt;2030,0,IF($B35&gt;L$30,0,IF($B35=L$30,VLOOKUP($B35,'הספק קיים ותחזית יצור'!$B$80:$E$100,3,FALSE)/'הנחות עבודה'!$D$33-SUM(L$30:L34)+L$30,K35*(1-'הנחות עבודה'!$D$38))))</f>
        <v>598.53507486430601</v>
      </c>
      <c r="M35" s="235">
        <f>IF($B35&gt;2030,0,IF($B35&gt;M$30,0,IF($B35=M$30,VLOOKUP($B35,'הספק קיים ותחזית יצור'!$B$80:$E$100,3,FALSE)/'הנחות עבודה'!$D$33-SUM(M$30:M34)+M$30,L35*(1-'הנחות עבודה'!$D$38))))</f>
        <v>594.94386441512017</v>
      </c>
      <c r="N35" s="235">
        <f>IF($B35&gt;2030,0,IF($B35&gt;N$30,0,IF($B35=N$30,VLOOKUP($B35,'הספק קיים ותחזית יצור'!$B$80:$E$100,3,FALSE)/'הנחות עבודה'!$D$33-SUM(N$30:N34)+N$30,M35*(1-'הנחות עבודה'!$D$38))))</f>
        <v>591.37420122862943</v>
      </c>
      <c r="O35" s="235">
        <f>IF($B35&gt;2030,0,IF($B35&gt;O$30,0,IF($B35=O$30,VLOOKUP($B35,'הספק קיים ותחזית יצור'!$B$80:$E$100,3,FALSE)/'הנחות עבודה'!$D$33-SUM(O$30:O34)+O$30,N35*(1-'הנחות עבודה'!$D$38))))</f>
        <v>587.82595602125764</v>
      </c>
      <c r="P35" s="235">
        <f>IF($B35&gt;2030,0,IF($B35&gt;P$30,0,IF($B35=P$30,VLOOKUP($B35,'הספק קיים ותחזית יצור'!$B$80:$E$100,3,FALSE)/'הנחות עבודה'!$D$33-SUM(P$30:P34)+P$30,O35*(1-'הנחות עבודה'!$D$38))))</f>
        <v>584.29900028513009</v>
      </c>
      <c r="Q35" s="235">
        <f>IF($B35&gt;2030,0,IF($B35&gt;Q$30,0,IF($B35=Q$30,VLOOKUP($B35,'הספק קיים ותחזית יצור'!$B$80:$E$100,3,FALSE)/'הנחות עבודה'!$D$33-SUM(Q$30:Q34)+Q$30,P35*(1-'הנחות עבודה'!$D$38))))</f>
        <v>580.79320628341929</v>
      </c>
      <c r="R35" s="235">
        <f>IF($B35&gt;2030,0,IF($B35&gt;R$30,0,IF($B35=R$30,VLOOKUP($B35,'הספק קיים ותחזית יצור'!$B$80:$E$100,3,FALSE)/'הנחות עבודה'!$D$33-SUM(R$30:R34)+R$30,Q35*(1-'הנחות עבודה'!$D$38))))</f>
        <v>577.30844704571882</v>
      </c>
      <c r="S35" s="235">
        <f>IF($B35&gt;2030,0,IF($B35&gt;S$30,0,IF($B35=S$30,VLOOKUP($B35,'הספק קיים ותחזית יצור'!$B$80:$E$100,3,FALSE)/'הנחות עבודה'!$D$33-SUM(S$30:S34)+S$30,R35*(1-'הנחות עבודה'!$D$38))))</f>
        <v>573.84459636344445</v>
      </c>
      <c r="T35" s="235">
        <f>IF($B35&gt;2030,0,IF($B35&gt;T$30,0,IF($B35=T$30,VLOOKUP($B35,'הספק קיים ותחזית יצור'!$B$80:$E$100,3,FALSE)/'הנחות עבודה'!$D$33-SUM(T$30:T34)+T$30,S35*(1-'הנחות עבודה'!$D$38))))</f>
        <v>570.40152878526374</v>
      </c>
      <c r="U35" s="235">
        <f>IF($B35&gt;2030,0,IF($B35&gt;U$30,0,IF($B35=U$30,VLOOKUP($B35,'הספק קיים ותחזית יצור'!$B$80:$E$100,3,FALSE)/'הנחות עבודה'!$D$33-SUM(U$30:U34)+U$30,T35*(1-'הנחות עבודה'!$D$38))))</f>
        <v>566.97911961255215</v>
      </c>
      <c r="V35" s="235">
        <f>IF($B35&gt;2030,0,IF($B35&gt;V$30,0,IF($B35=V$30,VLOOKUP($B35,'הספק קיים ותחזית יצור'!$B$80:$E$100,3,FALSE)/'הנחות עבודה'!$D$33-SUM(V$30:V34)+V$30,U35*(1-'הנחות עבודה'!$D$38))))</f>
        <v>563.5772448948768</v>
      </c>
      <c r="W35" s="235">
        <f>IF($B35&gt;2030,0,IF($B35&gt;W$30,0,IF($B35=W$30,VLOOKUP($B35,'הספק קיים ותחזית יצור'!$B$80:$E$100,3,FALSE)/'הנחות עבודה'!$D$33-SUM(W$30:W34)+W$30,V35*(1-'הנחות עבודה'!$D$38))))</f>
        <v>560.19578142550756</v>
      </c>
    </row>
    <row r="36" spans="2:23">
      <c r="B36" s="306">
        <f t="shared" si="6"/>
        <v>2025</v>
      </c>
      <c r="C36" s="235">
        <f>IF($B36&gt;2030,0,IF($B36&gt;C$30,0,IF($B36=C$30,VLOOKUP($B36,'הספק קיים ותחזית יצור'!$B$80:$E$100,3,FALSE)/'הנחות עבודה'!$D$33-SUM(C$30:C35)+C$30,B36*(1-'הנחות עבודה'!$D$38))))</f>
        <v>0</v>
      </c>
      <c r="D36" s="235">
        <f>IF($B36&gt;2030,0,IF($B36&gt;D$30,0,IF($B36=D$30,VLOOKUP($B36,'הספק קיים ותחזית יצור'!$B$80:$E$100,3,FALSE)/'הנחות עבודה'!$D$33-SUM(D$30:D35)+D$30,C36*(1-'הנחות עבודה'!$D$38))))</f>
        <v>0</v>
      </c>
      <c r="E36" s="235">
        <f>IF($B36&gt;2030,0,IF($B36&gt;E$30,0,IF($B36=E$30,VLOOKUP($B36,'הספק קיים ותחזית יצור'!$B$80:$E$100,3,FALSE)/'הנחות עבודה'!$D$33-SUM(E$30:E35)+E$30,D36*(1-'הנחות עבודה'!$D$38))))</f>
        <v>0</v>
      </c>
      <c r="F36" s="235">
        <f>IF($B36&gt;2030,0,IF($B36&gt;F$30,0,IF($B36=F$30,VLOOKUP($B36,'הספק קיים ותחזית יצור'!$B$80:$E$100,3,FALSE)/'הנחות עבודה'!$D$33-SUM(F$30:F35)+F$30,E36*(1-'הנחות עבודה'!$D$38))))</f>
        <v>0</v>
      </c>
      <c r="G36" s="235">
        <f>IF($B36&gt;2030,0,IF($B36&gt;G$30,0,IF($B36=G$30,VLOOKUP($B36,'הספק קיים ותחזית יצור'!$B$80:$E$100,3,FALSE)/'הנחות עבודה'!$D$33-SUM(G$30:G35)+G$30,F36*(1-'הנחות עבודה'!$D$38))))</f>
        <v>0</v>
      </c>
      <c r="H36" s="235">
        <f>IF($B36&gt;2030,0,IF($B36&gt;H$30,0,IF($B36=H$30,VLOOKUP($B36,'הספק קיים ותחזית יצור'!$B$80:$E$100,3,FALSE)/'הנחות עבודה'!$D$33-SUM(H$30:H35)+H$30,G36*(1-'הנחות עבודה'!$D$38))))</f>
        <v>711.23940972452419</v>
      </c>
      <c r="I36" s="235">
        <f>IF($B36&gt;2030,0,IF($B36&gt;I$30,0,IF($B36=I$30,VLOOKUP($B36,'הספק קיים ותחזית יצור'!$B$80:$E$100,3,FALSE)/'הנחות עבודה'!$D$33-SUM(I$30:I35)+I$30,H36*(1-'הנחות עבודה'!$D$38))))</f>
        <v>706.97197326617709</v>
      </c>
      <c r="J36" s="235">
        <f>IF($B36&gt;2030,0,IF($B36&gt;J$30,0,IF($B36=J$30,VLOOKUP($B36,'הספק קיים ותחזית יצור'!$B$80:$E$100,3,FALSE)/'הנחות עבודה'!$D$33-SUM(J$30:J35)+J$30,I36*(1-'הנחות עבודה'!$D$38))))</f>
        <v>702.73014142658008</v>
      </c>
      <c r="K36" s="235">
        <f>IF($B36&gt;2030,0,IF($B36&gt;K$30,0,IF($B36=K$30,VLOOKUP($B36,'הספק קיים ותחזית יצור'!$B$80:$E$100,3,FALSE)/'הנחות עבודה'!$D$33-SUM(K$30:K35)+K$30,J36*(1-'הנחות עבודה'!$D$38))))</f>
        <v>698.51376057802054</v>
      </c>
      <c r="L36" s="235">
        <f>IF($B36&gt;2030,0,IF($B36&gt;L$30,0,IF($B36=L$30,VLOOKUP($B36,'הספק קיים ותחזית יצור'!$B$80:$E$100,3,FALSE)/'הנחות עבודה'!$D$33-SUM(L$30:L35)+L$30,K36*(1-'הנחות עבודה'!$D$38))))</f>
        <v>694.32267801455237</v>
      </c>
      <c r="M36" s="235">
        <f>IF($B36&gt;2030,0,IF($B36&gt;M$30,0,IF($B36=M$30,VLOOKUP($B36,'הספק קיים ותחזית יצור'!$B$80:$E$100,3,FALSE)/'הנחות עבודה'!$D$33-SUM(M$30:M35)+M$30,L36*(1-'הנחות עבודה'!$D$38))))</f>
        <v>690.1567419464651</v>
      </c>
      <c r="N36" s="235">
        <f>IF($B36&gt;2030,0,IF($B36&gt;N$30,0,IF($B36=N$30,VLOOKUP($B36,'הספק קיים ותחזית יצור'!$B$80:$E$100,3,FALSE)/'הנחות עבודה'!$D$33-SUM(N$30:N35)+N$30,M36*(1-'הנחות עבודה'!$D$38))))</f>
        <v>686.01580149478627</v>
      </c>
      <c r="O36" s="235">
        <f>IF($B36&gt;2030,0,IF($B36&gt;O$30,0,IF($B36=O$30,VLOOKUP($B36,'הספק קיים ותחזית יצור'!$B$80:$E$100,3,FALSE)/'הנחות עבודה'!$D$33-SUM(O$30:O35)+O$30,N36*(1-'הנחות עבודה'!$D$38))))</f>
        <v>681.89970668581759</v>
      </c>
      <c r="P36" s="235">
        <f>IF($B36&gt;2030,0,IF($B36&gt;P$30,0,IF($B36=P$30,VLOOKUP($B36,'הספק קיים ותחזית יצור'!$B$80:$E$100,3,FALSE)/'הנחות עבודה'!$D$33-SUM(P$30:P35)+P$30,O36*(1-'הנחות עבודה'!$D$38))))</f>
        <v>677.80830844570266</v>
      </c>
      <c r="Q36" s="235">
        <f>IF($B36&gt;2030,0,IF($B36&gt;Q$30,0,IF($B36=Q$30,VLOOKUP($B36,'הספק קיים ותחזית יצור'!$B$80:$E$100,3,FALSE)/'הנחות עבודה'!$D$33-SUM(Q$30:Q35)+Q$30,P36*(1-'הנחות עבודה'!$D$38))))</f>
        <v>673.74145859502846</v>
      </c>
      <c r="R36" s="235">
        <f>IF($B36&gt;2030,0,IF($B36&gt;R$30,0,IF($B36=R$30,VLOOKUP($B36,'הספק קיים ותחזית יצור'!$B$80:$E$100,3,FALSE)/'הנחות עבודה'!$D$33-SUM(R$30:R35)+R$30,Q36*(1-'הנחות עבודה'!$D$38))))</f>
        <v>669.69900984345827</v>
      </c>
      <c r="S36" s="235">
        <f>IF($B36&gt;2030,0,IF($B36&gt;S$30,0,IF($B36=S$30,VLOOKUP($B36,'הספק קיים ותחזית יצור'!$B$80:$E$100,3,FALSE)/'הנחות עבודה'!$D$33-SUM(S$30:S35)+S$30,R36*(1-'הנחות עבודה'!$D$38))))</f>
        <v>665.68081578439751</v>
      </c>
      <c r="T36" s="235">
        <f>IF($B36&gt;2030,0,IF($B36&gt;T$30,0,IF($B36=T$30,VLOOKUP($B36,'הספק קיים ותחזית יצור'!$B$80:$E$100,3,FALSE)/'הנחות עבודה'!$D$33-SUM(T$30:T35)+T$30,S36*(1-'הנחות עבודה'!$D$38))))</f>
        <v>661.68673088969115</v>
      </c>
      <c r="U36" s="235">
        <f>IF($B36&gt;2030,0,IF($B36&gt;U$30,0,IF($B36=U$30,VLOOKUP($B36,'הספק קיים ותחזית יצור'!$B$80:$E$100,3,FALSE)/'הנחות עבודה'!$D$33-SUM(U$30:U35)+U$30,T36*(1-'הנחות עבודה'!$D$38))))</f>
        <v>657.71661050435296</v>
      </c>
      <c r="V36" s="235">
        <f>IF($B36&gt;2030,0,IF($B36&gt;V$30,0,IF($B36=V$30,VLOOKUP($B36,'הספק קיים ותחזית יצור'!$B$80:$E$100,3,FALSE)/'הנחות עבודה'!$D$33-SUM(V$30:V35)+V$30,U36*(1-'הנחות עבודה'!$D$38))))</f>
        <v>653.77031084132682</v>
      </c>
      <c r="W36" s="235">
        <f>IF($B36&gt;2030,0,IF($B36&gt;W$30,0,IF($B36=W$30,VLOOKUP($B36,'הספק קיים ותחזית יצור'!$B$80:$E$100,3,FALSE)/'הנחות עבודה'!$D$33-SUM(W$30:W35)+W$30,V36*(1-'הנחות עבודה'!$D$38))))</f>
        <v>649.84768897627885</v>
      </c>
    </row>
    <row r="37" spans="2:23">
      <c r="B37" s="306">
        <f t="shared" si="6"/>
        <v>2026</v>
      </c>
      <c r="C37" s="235">
        <f>IF($B37&gt;2030,0,IF($B37&gt;C$30,0,IF($B37=C$30,VLOOKUP($B37,'הספק קיים ותחזית יצור'!$B$80:$E$100,3,FALSE)/'הנחות עבודה'!$D$33-SUM(C$30:C36)+C$30,B37*(1-'הנחות עבודה'!$D$38))))</f>
        <v>0</v>
      </c>
      <c r="D37" s="235">
        <f>IF($B37&gt;2030,0,IF($B37&gt;D$30,0,IF($B37=D$30,VLOOKUP($B37,'הספק קיים ותחזית יצור'!$B$80:$E$100,3,FALSE)/'הנחות עבודה'!$D$33-SUM(D$30:D36)+D$30,C37*(1-'הנחות עבודה'!$D$38))))</f>
        <v>0</v>
      </c>
      <c r="E37" s="235">
        <f>IF($B37&gt;2030,0,IF($B37&gt;E$30,0,IF($B37=E$30,VLOOKUP($B37,'הספק קיים ותחזית יצור'!$B$80:$E$100,3,FALSE)/'הנחות עבודה'!$D$33-SUM(E$30:E36)+E$30,D37*(1-'הנחות עבודה'!$D$38))))</f>
        <v>0</v>
      </c>
      <c r="F37" s="235">
        <f>IF($B37&gt;2030,0,IF($B37&gt;F$30,0,IF($B37=F$30,VLOOKUP($B37,'הספק קיים ותחזית יצור'!$B$80:$E$100,3,FALSE)/'הנחות עבודה'!$D$33-SUM(F$30:F36)+F$30,E37*(1-'הנחות עבודה'!$D$38))))</f>
        <v>0</v>
      </c>
      <c r="G37" s="235">
        <f>IF($B37&gt;2030,0,IF($B37&gt;G$30,0,IF($B37=G$30,VLOOKUP($B37,'הספק קיים ותחזית יצור'!$B$80:$E$100,3,FALSE)/'הנחות עבודה'!$D$33-SUM(G$30:G36)+G$30,F37*(1-'הנחות עבודה'!$D$38))))</f>
        <v>0</v>
      </c>
      <c r="H37" s="235">
        <f>IF($B37&gt;2030,0,IF($B37&gt;H$30,0,IF($B37=H$30,VLOOKUP($B37,'הספק קיים ותחזית יצור'!$B$80:$E$100,3,FALSE)/'הנחות עבודה'!$D$33-SUM(H$30:H36)+H$30,G37*(1-'הנחות עבודה'!$D$38))))</f>
        <v>0</v>
      </c>
      <c r="I37" s="235">
        <f>IF($B37&gt;2030,0,IF($B37&gt;I$30,0,IF($B37=I$30,VLOOKUP($B37,'הספק קיים ותחזית יצור'!$B$80:$E$100,3,FALSE)/'הנחות עבודה'!$D$33-SUM(I$30:I36)+I$30,H37*(1-'הנחות עבודה'!$D$38))))</f>
        <v>1068.5447022433837</v>
      </c>
      <c r="J37" s="235">
        <f>IF($B37&gt;2030,0,IF($B37&gt;J$30,0,IF($B37=J$30,VLOOKUP($B37,'הספק קיים ותחזית יצור'!$B$80:$E$100,3,FALSE)/'הנחות עבודה'!$D$33-SUM(J$30:J36)+J$30,I37*(1-'הנחות עבודה'!$D$38))))</f>
        <v>1062.1334340299234</v>
      </c>
      <c r="K37" s="235">
        <f>IF($B37&gt;2030,0,IF($B37&gt;K$30,0,IF($B37=K$30,VLOOKUP($B37,'הספק קיים ותחזית יצור'!$B$80:$E$100,3,FALSE)/'הנחות עבודה'!$D$33-SUM(K$30:K36)+K$30,J37*(1-'הנחות עבודה'!$D$38))))</f>
        <v>1055.7606334257439</v>
      </c>
      <c r="L37" s="235">
        <f>IF($B37&gt;2030,0,IF($B37&gt;L$30,0,IF($B37=L$30,VLOOKUP($B37,'הספק קיים ותחזית יצור'!$B$80:$E$100,3,FALSE)/'הנחות עבודה'!$D$33-SUM(L$30:L36)+L$30,K37*(1-'הנחות עבודה'!$D$38))))</f>
        <v>1049.4260696251895</v>
      </c>
      <c r="M37" s="235">
        <f>IF($B37&gt;2030,0,IF($B37&gt;M$30,0,IF($B37=M$30,VLOOKUP($B37,'הספק קיים ותחזית יצור'!$B$80:$E$100,3,FALSE)/'הנחות עבודה'!$D$33-SUM(M$30:M36)+M$30,L37*(1-'הנחות עבודה'!$D$38))))</f>
        <v>1043.1295132074383</v>
      </c>
      <c r="N37" s="235">
        <f>IF($B37&gt;2030,0,IF($B37&gt;N$30,0,IF($B37=N$30,VLOOKUP($B37,'הספק קיים ותחזית יצור'!$B$80:$E$100,3,FALSE)/'הנחות עבודה'!$D$33-SUM(N$30:N36)+N$30,M37*(1-'הנחות עבודה'!$D$38))))</f>
        <v>1036.8707361281936</v>
      </c>
      <c r="O37" s="235">
        <f>IF($B37&gt;2030,0,IF($B37&gt;O$30,0,IF($B37=O$30,VLOOKUP($B37,'הספק קיים ותחזית יצור'!$B$80:$E$100,3,FALSE)/'הנחות עבודה'!$D$33-SUM(O$30:O36)+O$30,N37*(1-'הנחות עבודה'!$D$38))))</f>
        <v>1030.6495117114243</v>
      </c>
      <c r="P37" s="235">
        <f>IF($B37&gt;2030,0,IF($B37&gt;P$30,0,IF($B37=P$30,VLOOKUP($B37,'הספק קיים ותחזית יצור'!$B$80:$E$100,3,FALSE)/'הנחות עבודה'!$D$33-SUM(P$30:P36)+P$30,O37*(1-'הנחות עבודה'!$D$38))))</f>
        <v>1024.4656146411558</v>
      </c>
      <c r="Q37" s="235">
        <f>IF($B37&gt;2030,0,IF($B37&gt;Q$30,0,IF($B37=Q$30,VLOOKUP($B37,'הספק קיים ותחזית יצור'!$B$80:$E$100,3,FALSE)/'הנחות עבודה'!$D$33-SUM(Q$30:Q36)+Q$30,P37*(1-'הנחות עבודה'!$D$38))))</f>
        <v>1018.3188209533088</v>
      </c>
      <c r="R37" s="235">
        <f>IF($B37&gt;2030,0,IF($B37&gt;R$30,0,IF($B37=R$30,VLOOKUP($B37,'הספק קיים ותחזית יצור'!$B$80:$E$100,3,FALSE)/'הנחות עבודה'!$D$33-SUM(R$30:R36)+R$30,Q37*(1-'הנחות עבודה'!$D$38))))</f>
        <v>1012.2089080275889</v>
      </c>
      <c r="S37" s="235">
        <f>IF($B37&gt;2030,0,IF($B37&gt;S$30,0,IF($B37=S$30,VLOOKUP($B37,'הספק קיים ותחזית יצור'!$B$80:$E$100,3,FALSE)/'הנחות עבודה'!$D$33-SUM(S$30:S36)+S$30,R37*(1-'הנחות עבודה'!$D$38))))</f>
        <v>1006.1356545794233</v>
      </c>
      <c r="T37" s="235">
        <f>IF($B37&gt;2030,0,IF($B37&gt;T$30,0,IF($B37=T$30,VLOOKUP($B37,'הספק קיים ותחזית יצור'!$B$80:$E$100,3,FALSE)/'הנחות עבודה'!$D$33-SUM(T$30:T36)+T$30,S37*(1-'הנחות עבודה'!$D$38))))</f>
        <v>1000.0988406519467</v>
      </c>
      <c r="U37" s="235">
        <f>IF($B37&gt;2030,0,IF($B37&gt;U$30,0,IF($B37=U$30,VLOOKUP($B37,'הספק קיים ותחזית יצור'!$B$80:$E$100,3,FALSE)/'הנחות עבודה'!$D$33-SUM(U$30:U36)+U$30,T37*(1-'הנחות עבודה'!$D$38))))</f>
        <v>994.09824760803508</v>
      </c>
      <c r="V37" s="235">
        <f>IF($B37&gt;2030,0,IF($B37&gt;V$30,0,IF($B37=V$30,VLOOKUP($B37,'הספק קיים ותחזית יצור'!$B$80:$E$100,3,FALSE)/'הנחות עבודה'!$D$33-SUM(V$30:V36)+V$30,U37*(1-'הנחות עבודה'!$D$38))))</f>
        <v>988.13365812238692</v>
      </c>
      <c r="W37" s="235">
        <f>IF($B37&gt;2030,0,IF($B37&gt;W$30,0,IF($B37=W$30,VLOOKUP($B37,'הספק קיים ותחזית יצור'!$B$80:$E$100,3,FALSE)/'הנחות עבודה'!$D$33-SUM(W$30:W36)+W$30,V37*(1-'הנחות עבודה'!$D$38))))</f>
        <v>982.20485617365262</v>
      </c>
    </row>
    <row r="38" spans="2:23">
      <c r="B38" s="306">
        <f t="shared" si="6"/>
        <v>2027</v>
      </c>
      <c r="C38" s="235">
        <f>IF($B38&gt;2030,0,IF($B38&gt;C$30,0,IF($B38=C$30,VLOOKUP($B38,'הספק קיים ותחזית יצור'!$B$80:$E$100,3,FALSE)/'הנחות עבודה'!$D$33-SUM(C$30:C37)+C$30,B38*(1-'הנחות עבודה'!$D$38))))</f>
        <v>0</v>
      </c>
      <c r="D38" s="235">
        <f>IF($B38&gt;2030,0,IF($B38&gt;D$30,0,IF($B38=D$30,VLOOKUP($B38,'הספק קיים ותחזית יצור'!$B$80:$E$100,3,FALSE)/'הנחות עבודה'!$D$33-SUM(D$30:D37)+D$30,C38*(1-'הנחות עבודה'!$D$38))))</f>
        <v>0</v>
      </c>
      <c r="E38" s="235">
        <f>IF($B38&gt;2030,0,IF($B38&gt;E$30,0,IF($B38=E$30,VLOOKUP($B38,'הספק קיים ותחזית יצור'!$B$80:$E$100,3,FALSE)/'הנחות עבודה'!$D$33-SUM(E$30:E37)+E$30,D38*(1-'הנחות עבודה'!$D$38))))</f>
        <v>0</v>
      </c>
      <c r="F38" s="235">
        <f>IF($B38&gt;2030,0,IF($B38&gt;F$30,0,IF($B38=F$30,VLOOKUP($B38,'הספק קיים ותחזית יצור'!$B$80:$E$100,3,FALSE)/'הנחות עבודה'!$D$33-SUM(F$30:F37)+F$30,E38*(1-'הנחות עבודה'!$D$38))))</f>
        <v>0</v>
      </c>
      <c r="G38" s="235">
        <f>IF($B38&gt;2030,0,IF($B38&gt;G$30,0,IF($B38=G$30,VLOOKUP($B38,'הספק קיים ותחזית יצור'!$B$80:$E$100,3,FALSE)/'הנחות עבודה'!$D$33-SUM(G$30:G37)+G$30,F38*(1-'הנחות עבודה'!$D$38))))</f>
        <v>0</v>
      </c>
      <c r="H38" s="235">
        <f>IF($B38&gt;2030,0,IF($B38&gt;H$30,0,IF($B38=H$30,VLOOKUP($B38,'הספק קיים ותחזית יצור'!$B$80:$E$100,3,FALSE)/'הנחות עבודה'!$D$33-SUM(H$30:H37)+H$30,G38*(1-'הנחות עבודה'!$D$38))))</f>
        <v>0</v>
      </c>
      <c r="I38" s="235">
        <f>IF($B38&gt;2030,0,IF($B38&gt;I$30,0,IF($B38=I$30,VLOOKUP($B38,'הספק קיים ותחזית יצור'!$B$80:$E$100,3,FALSE)/'הנחות עבודה'!$D$33-SUM(I$30:I37)+I$30,H38*(1-'הנחות עבודה'!$D$38))))</f>
        <v>0</v>
      </c>
      <c r="J38" s="235">
        <f>IF($B38&gt;2030,0,IF($B38&gt;J$30,0,IF($B38=J$30,VLOOKUP($B38,'הספק קיים ותחזית יצור'!$B$80:$E$100,3,FALSE)/'הנחות עבודה'!$D$33-SUM(J$30:J37)+J$30,I38*(1-'הנחות עבודה'!$D$38))))</f>
        <v>1126.1423771989448</v>
      </c>
      <c r="K38" s="235">
        <f>IF($B38&gt;2030,0,IF($B38&gt;K$30,0,IF($B38=K$30,VLOOKUP($B38,'הספק קיים ותחזית יצור'!$B$80:$E$100,3,FALSE)/'הנחות עבודה'!$D$33-SUM(K$30:K37)+K$30,J38*(1-'הנחות עבודה'!$D$38))))</f>
        <v>1119.3855229357512</v>
      </c>
      <c r="L38" s="235">
        <f>IF($B38&gt;2030,0,IF($B38&gt;L$30,0,IF($B38=L$30,VLOOKUP($B38,'הספק קיים ותחזית יצור'!$B$80:$E$100,3,FALSE)/'הנחות עבודה'!$D$33-SUM(L$30:L37)+L$30,K38*(1-'הנחות עבודה'!$D$38))))</f>
        <v>1112.6692097981368</v>
      </c>
      <c r="M38" s="235">
        <f>IF($B38&gt;2030,0,IF($B38&gt;M$30,0,IF($B38=M$30,VLOOKUP($B38,'הספק קיים ותחזית יצור'!$B$80:$E$100,3,FALSE)/'הנחות עבודה'!$D$33-SUM(M$30:M37)+M$30,L38*(1-'הנחות עבודה'!$D$38))))</f>
        <v>1105.993194539348</v>
      </c>
      <c r="N38" s="235">
        <f>IF($B38&gt;2030,0,IF($B38&gt;N$30,0,IF($B38=N$30,VLOOKUP($B38,'הספק קיים ותחזית יצור'!$B$80:$E$100,3,FALSE)/'הנחות עבודה'!$D$33-SUM(N$30:N37)+N$30,M38*(1-'הנחות עבודה'!$D$38))))</f>
        <v>1099.357235372112</v>
      </c>
      <c r="O38" s="235">
        <f>IF($B38&gt;2030,0,IF($B38&gt;O$30,0,IF($B38=O$30,VLOOKUP($B38,'הספק קיים ותחזית יצור'!$B$80:$E$100,3,FALSE)/'הנחות עבודה'!$D$33-SUM(O$30:O37)+O$30,N38*(1-'הנחות עבודה'!$D$38))))</f>
        <v>1092.7610919598792</v>
      </c>
      <c r="P38" s="235">
        <f>IF($B38&gt;2030,0,IF($B38&gt;P$30,0,IF($B38=P$30,VLOOKUP($B38,'הספק קיים ותחזית יצור'!$B$80:$E$100,3,FALSE)/'הנחות עבודה'!$D$33-SUM(P$30:P37)+P$30,O38*(1-'הנחות עבודה'!$D$38))))</f>
        <v>1086.2045254081199</v>
      </c>
      <c r="Q38" s="235">
        <f>IF($B38&gt;2030,0,IF($B38&gt;Q$30,0,IF($B38=Q$30,VLOOKUP($B38,'הספק קיים ותחזית יצור'!$B$80:$E$100,3,FALSE)/'הנחות עבודה'!$D$33-SUM(Q$30:Q37)+Q$30,P38*(1-'הנחות עבודה'!$D$38))))</f>
        <v>1079.6872982556713</v>
      </c>
      <c r="R38" s="235">
        <f>IF($B38&gt;2030,0,IF($B38&gt;R$30,0,IF($B38=R$30,VLOOKUP($B38,'הספק קיים ותחזית יצור'!$B$80:$E$100,3,FALSE)/'הנחות עבודה'!$D$33-SUM(R$30:R37)+R$30,Q38*(1-'הנחות עבודה'!$D$38))))</f>
        <v>1073.2091744661373</v>
      </c>
      <c r="S38" s="235">
        <f>IF($B38&gt;2030,0,IF($B38&gt;S$30,0,IF($B38=S$30,VLOOKUP($B38,'הספק קיים ותחזית יצור'!$B$80:$E$100,3,FALSE)/'הנחות עבודה'!$D$33-SUM(S$30:S37)+S$30,R38*(1-'הנחות עבודה'!$D$38))))</f>
        <v>1066.7699194193403</v>
      </c>
      <c r="T38" s="235">
        <f>IF($B38&gt;2030,0,IF($B38&gt;T$30,0,IF($B38=T$30,VLOOKUP($B38,'הספק קיים ותחזית יצור'!$B$80:$E$100,3,FALSE)/'הנחות עבודה'!$D$33-SUM(T$30:T37)+T$30,S38*(1-'הנחות עבודה'!$D$38))))</f>
        <v>1060.3692999028242</v>
      </c>
      <c r="U38" s="235">
        <f>IF($B38&gt;2030,0,IF($B38&gt;U$30,0,IF($B38=U$30,VLOOKUP($B38,'הספק קיים ותחזית יצור'!$B$80:$E$100,3,FALSE)/'הנחות עבודה'!$D$33-SUM(U$30:U37)+U$30,T38*(1-'הנחות עבודה'!$D$38))))</f>
        <v>1054.0070841034074</v>
      </c>
      <c r="V38" s="235">
        <f>IF($B38&gt;2030,0,IF($B38&gt;V$30,0,IF($B38=V$30,VLOOKUP($B38,'הספק קיים ותחזית יצור'!$B$80:$E$100,3,FALSE)/'הנחות עבודה'!$D$33-SUM(V$30:V37)+V$30,U38*(1-'הנחות עבודה'!$D$38))))</f>
        <v>1047.683041598787</v>
      </c>
      <c r="W38" s="235">
        <f>IF($B38&gt;2030,0,IF($B38&gt;W$30,0,IF($B38=W$30,VLOOKUP($B38,'הספק קיים ותחזית יצור'!$B$80:$E$100,3,FALSE)/'הנחות עבודה'!$D$33-SUM(W$30:W37)+W$30,V38*(1-'הנחות עבודה'!$D$38))))</f>
        <v>1041.3969433491943</v>
      </c>
    </row>
    <row r="39" spans="2:23">
      <c r="B39" s="306">
        <f t="shared" si="6"/>
        <v>2028</v>
      </c>
      <c r="C39" s="235">
        <f>IF($B39&gt;2030,0,IF($B39&gt;C$30,0,IF($B39=C$30,VLOOKUP($B39,'הספק קיים ותחזית יצור'!$B$80:$E$100,3,FALSE)/'הנחות עבודה'!$D$33-SUM(C$30:C38)+C$30,B39*(1-'הנחות עבודה'!$D$38))))</f>
        <v>0</v>
      </c>
      <c r="D39" s="235">
        <f>IF($B39&gt;2030,0,IF($B39&gt;D$30,0,IF($B39=D$30,VLOOKUP($B39,'הספק קיים ותחזית יצור'!$B$80:$E$100,3,FALSE)/'הנחות עבודה'!$D$33-SUM(D$30:D38)+D$30,C39*(1-'הנחות עבודה'!$D$38))))</f>
        <v>0</v>
      </c>
      <c r="E39" s="235">
        <f>IF($B39&gt;2030,0,IF($B39&gt;E$30,0,IF($B39=E$30,VLOOKUP($B39,'הספק קיים ותחזית יצור'!$B$80:$E$100,3,FALSE)/'הנחות עבודה'!$D$33-SUM(E$30:E38)+E$30,D39*(1-'הנחות עבודה'!$D$38))))</f>
        <v>0</v>
      </c>
      <c r="F39" s="235">
        <f>IF($B39&gt;2030,0,IF($B39&gt;F$30,0,IF($B39=F$30,VLOOKUP($B39,'הספק קיים ותחזית יצור'!$B$80:$E$100,3,FALSE)/'הנחות עבודה'!$D$33-SUM(F$30:F38)+F$30,E39*(1-'הנחות עבודה'!$D$38))))</f>
        <v>0</v>
      </c>
      <c r="G39" s="235">
        <f>IF($B39&gt;2030,0,IF($B39&gt;G$30,0,IF($B39=G$30,VLOOKUP($B39,'הספק קיים ותחזית יצור'!$B$80:$E$100,3,FALSE)/'הנחות עבודה'!$D$33-SUM(G$30:G38)+G$30,F39*(1-'הנחות עבודה'!$D$38))))</f>
        <v>0</v>
      </c>
      <c r="H39" s="235">
        <f>IF($B39&gt;2030,0,IF($B39&gt;H$30,0,IF($B39=H$30,VLOOKUP($B39,'הספק קיים ותחזית יצור'!$B$80:$E$100,3,FALSE)/'הנחות עבודה'!$D$33-SUM(H$30:H38)+H$30,G39*(1-'הנחות עבודה'!$D$38))))</f>
        <v>0</v>
      </c>
      <c r="I39" s="235">
        <f>IF($B39&gt;2030,0,IF($B39&gt;I$30,0,IF($B39=I$30,VLOOKUP($B39,'הספק קיים ותחזית יצור'!$B$80:$E$100,3,FALSE)/'הנחות עבודה'!$D$33-SUM(I$30:I38)+I$30,H39*(1-'הנחות עבודה'!$D$38))))</f>
        <v>0</v>
      </c>
      <c r="J39" s="235">
        <f>IF($B39&gt;2030,0,IF($B39&gt;J$30,0,IF($B39=J$30,VLOOKUP($B39,'הספק קיים ותחזית יצור'!$B$80:$E$100,3,FALSE)/'הנחות עבודה'!$D$33-SUM(J$30:J38)+J$30,I39*(1-'הנחות עבודה'!$D$38))))</f>
        <v>0</v>
      </c>
      <c r="K39" s="235">
        <f>IF($B39&gt;2030,0,IF($B39&gt;K$30,0,IF($B39=K$30,VLOOKUP($B39,'הספק קיים ותחזית יצור'!$B$80:$E$100,3,FALSE)/'הנחות עבודה'!$D$33-SUM(K$30:K38)+K$30,J39*(1-'הנחות עבודה'!$D$38))))</f>
        <v>1153.3928620654169</v>
      </c>
      <c r="L39" s="235">
        <f>IF($B39&gt;2030,0,IF($B39&gt;L$30,0,IF($B39=L$30,VLOOKUP($B39,'הספק קיים ותחזית יצור'!$B$80:$E$100,3,FALSE)/'הנחות עבודה'!$D$33-SUM(L$30:L38)+L$30,K39*(1-'הנחות עבודה'!$D$38))))</f>
        <v>1146.4725048930245</v>
      </c>
      <c r="M39" s="235">
        <f>IF($B39&gt;2030,0,IF($B39&gt;M$30,0,IF($B39=M$30,VLOOKUP($B39,'הספק קיים ותחזית יצור'!$B$80:$E$100,3,FALSE)/'הנחות עבודה'!$D$33-SUM(M$30:M38)+M$30,L39*(1-'הנחות עבודה'!$D$38))))</f>
        <v>1139.5936698636663</v>
      </c>
      <c r="N39" s="235">
        <f>IF($B39&gt;2030,0,IF($B39&gt;N$30,0,IF($B39=N$30,VLOOKUP($B39,'הספק קיים ותחזית יצור'!$B$80:$E$100,3,FALSE)/'הנחות עבודה'!$D$33-SUM(N$30:N38)+N$30,M39*(1-'הנחות עבודה'!$D$38))))</f>
        <v>1132.7561078444842</v>
      </c>
      <c r="O39" s="235">
        <f>IF($B39&gt;2030,0,IF($B39&gt;O$30,0,IF($B39=O$30,VLOOKUP($B39,'הספק קיים ותחזית יצור'!$B$80:$E$100,3,FALSE)/'הנחות עבודה'!$D$33-SUM(O$30:O38)+O$30,N39*(1-'הנחות עבודה'!$D$38))))</f>
        <v>1125.9595711974173</v>
      </c>
      <c r="P39" s="235">
        <f>IF($B39&gt;2030,0,IF($B39&gt;P$30,0,IF($B39=P$30,VLOOKUP($B39,'הספק קיים ותחזית יצור'!$B$80:$E$100,3,FALSE)/'הנחות עבודה'!$D$33-SUM(P$30:P38)+P$30,O39*(1-'הנחות עבודה'!$D$38))))</f>
        <v>1119.2038137702327</v>
      </c>
      <c r="Q39" s="235">
        <f>IF($B39&gt;2030,0,IF($B39&gt;Q$30,0,IF($B39=Q$30,VLOOKUP($B39,'הספק קיים ותחזית יצור'!$B$80:$E$100,3,FALSE)/'הנחות עבודה'!$D$33-SUM(Q$30:Q38)+Q$30,P39*(1-'הנחות עבודה'!$D$38))))</f>
        <v>1112.4885908876113</v>
      </c>
      <c r="R39" s="235">
        <f>IF($B39&gt;2030,0,IF($B39&gt;R$30,0,IF($B39=R$30,VLOOKUP($B39,'הספק קיים ותחזית יצור'!$B$80:$E$100,3,FALSE)/'הנחות עבודה'!$D$33-SUM(R$30:R38)+R$30,Q39*(1-'הנחות עבודה'!$D$38))))</f>
        <v>1105.8136593422855</v>
      </c>
      <c r="S39" s="235">
        <f>IF($B39&gt;2030,0,IF($B39&gt;S$30,0,IF($B39=S$30,VLOOKUP($B39,'הספק קיים ותחזית יצור'!$B$80:$E$100,3,FALSE)/'הנחות עבודה'!$D$33-SUM(S$30:S38)+S$30,R39*(1-'הנחות עבודה'!$D$38))))</f>
        <v>1099.1787773862318</v>
      </c>
      <c r="T39" s="235">
        <f>IF($B39&gt;2030,0,IF($B39&gt;T$30,0,IF($B39=T$30,VLOOKUP($B39,'הספק קיים ותחזית יצור'!$B$80:$E$100,3,FALSE)/'הנחות עבודה'!$D$33-SUM(T$30:T38)+T$30,S39*(1-'הנחות עבודה'!$D$38))))</f>
        <v>1092.5837047219145</v>
      </c>
      <c r="U39" s="235">
        <f>IF($B39&gt;2030,0,IF($B39&gt;U$30,0,IF($B39=U$30,VLOOKUP($B39,'הספק קיים ותחזית יצור'!$B$80:$E$100,3,FALSE)/'הנחות עבודה'!$D$33-SUM(U$30:U38)+U$30,T39*(1-'הנחות עבודה'!$D$38))))</f>
        <v>1086.028202493583</v>
      </c>
      <c r="V39" s="235">
        <f>IF($B39&gt;2030,0,IF($B39&gt;V$30,0,IF($B39=V$30,VLOOKUP($B39,'הספק קיים ותחזית יצור'!$B$80:$E$100,3,FALSE)/'הנחות עבודה'!$D$33-SUM(V$30:V38)+V$30,U39*(1-'הנחות עבודה'!$D$38))))</f>
        <v>1079.5120332786214</v>
      </c>
      <c r="W39" s="235">
        <f>IF($B39&gt;2030,0,IF($B39&gt;W$30,0,IF($B39=W$30,VLOOKUP($B39,'הספק קיים ותחזית יצור'!$B$80:$E$100,3,FALSE)/'הנחות עבודה'!$D$33-SUM(W$30:W38)+W$30,V39*(1-'הנחות עבודה'!$D$38))))</f>
        <v>1073.0349610789497</v>
      </c>
    </row>
    <row r="40" spans="2:23">
      <c r="B40" s="306">
        <f t="shared" si="6"/>
        <v>2029</v>
      </c>
      <c r="C40" s="235">
        <f>IF($B40&gt;2030,0,IF($B40&gt;C$30,0,IF($B40=C$30,VLOOKUP($B40,'הספק קיים ותחזית יצור'!$B$80:$E$100,3,FALSE)/'הנחות עבודה'!$D$33-SUM(C$30:C39)+C$30,B40*(1-'הנחות עבודה'!$D$38))))</f>
        <v>0</v>
      </c>
      <c r="D40" s="235">
        <f>IF($B40&gt;2030,0,IF($B40&gt;D$30,0,IF($B40=D$30,VLOOKUP($B40,'הספק קיים ותחזית יצור'!$B$80:$E$100,3,FALSE)/'הנחות עבודה'!$D$33-SUM(D$30:D39)+D$30,C40*(1-'הנחות עבודה'!$D$38))))</f>
        <v>0</v>
      </c>
      <c r="E40" s="235">
        <f>IF($B40&gt;2030,0,IF($B40&gt;E$30,0,IF($B40=E$30,VLOOKUP($B40,'הספק קיים ותחזית יצור'!$B$80:$E$100,3,FALSE)/'הנחות עבודה'!$D$33-SUM(E$30:E39)+E$30,D40*(1-'הנחות עבודה'!$D$38))))</f>
        <v>0</v>
      </c>
      <c r="F40" s="235">
        <f>IF($B40&gt;2030,0,IF($B40&gt;F$30,0,IF($B40=F$30,VLOOKUP($B40,'הספק קיים ותחזית יצור'!$B$80:$E$100,3,FALSE)/'הנחות עבודה'!$D$33-SUM(F$30:F39)+F$30,E40*(1-'הנחות עבודה'!$D$38))))</f>
        <v>0</v>
      </c>
      <c r="G40" s="235">
        <f>IF($B40&gt;2030,0,IF($B40&gt;G$30,0,IF($B40=G$30,VLOOKUP($B40,'הספק קיים ותחזית יצור'!$B$80:$E$100,3,FALSE)/'הנחות עבודה'!$D$33-SUM(G$30:G39)+G$30,F40*(1-'הנחות עבודה'!$D$38))))</f>
        <v>0</v>
      </c>
      <c r="H40" s="235">
        <f>IF($B40&gt;2030,0,IF($B40&gt;H$30,0,IF($B40=H$30,VLOOKUP($B40,'הספק קיים ותחזית יצור'!$B$80:$E$100,3,FALSE)/'הנחות עבודה'!$D$33-SUM(H$30:H39)+H$30,G40*(1-'הנחות עבודה'!$D$38))))</f>
        <v>0</v>
      </c>
      <c r="I40" s="235">
        <f>IF($B40&gt;2030,0,IF($B40&gt;I$30,0,IF($B40=I$30,VLOOKUP($B40,'הספק קיים ותחזית יצור'!$B$80:$E$100,3,FALSE)/'הנחות עבודה'!$D$33-SUM(I$30:I39)+I$30,H40*(1-'הנחות עבודה'!$D$38))))</f>
        <v>0</v>
      </c>
      <c r="J40" s="235">
        <f>IF($B40&gt;2030,0,IF($B40&gt;J$30,0,IF($B40=J$30,VLOOKUP($B40,'הספק קיים ותחזית יצור'!$B$80:$E$100,3,FALSE)/'הנחות עבודה'!$D$33-SUM(J$30:J39)+J$30,I40*(1-'הנחות עבודה'!$D$38))))</f>
        <v>0</v>
      </c>
      <c r="K40" s="235">
        <f>IF($B40&gt;2030,0,IF($B40&gt;K$30,0,IF($B40=K$30,VLOOKUP($B40,'הספק קיים ותחזית יצור'!$B$80:$E$100,3,FALSE)/'הנחות עבודה'!$D$33-SUM(K$30:K39)+K$30,J40*(1-'הנחות עבודה'!$D$38))))</f>
        <v>0</v>
      </c>
      <c r="L40" s="235">
        <f>IF($B40&gt;2030,0,IF($B40&gt;L$30,0,IF($B40=L$30,VLOOKUP($B40,'הספק קיים ותחזית יצור'!$B$80:$E$100,3,FALSE)/'הנחות עבודה'!$D$33-SUM(L$30:L39)+L$30,K40*(1-'הנחות עבודה'!$D$38))))</f>
        <v>1281.7580523680226</v>
      </c>
      <c r="M40" s="235">
        <f>IF($B40&gt;2030,0,IF($B40&gt;M$30,0,IF($B40=M$30,VLOOKUP($B40,'הספק קיים ותחזית יצור'!$B$80:$E$100,3,FALSE)/'הנחות עבודה'!$D$33-SUM(M$30:M39)+M$30,L40*(1-'הנחות עבודה'!$D$38))))</f>
        <v>1274.0675040538144</v>
      </c>
      <c r="N40" s="235">
        <f>IF($B40&gt;2030,0,IF($B40&gt;N$30,0,IF($B40=N$30,VLOOKUP($B40,'הספק קיים ותחזית יצור'!$B$80:$E$100,3,FALSE)/'הנחות עבודה'!$D$33-SUM(N$30:N39)+N$30,M40*(1-'הנחות עבודה'!$D$38))))</f>
        <v>1266.4230990294916</v>
      </c>
      <c r="O40" s="235">
        <f>IF($B40&gt;2030,0,IF($B40&gt;O$30,0,IF($B40=O$30,VLOOKUP($B40,'הספק קיים ותחזית יצור'!$B$80:$E$100,3,FALSE)/'הנחות עבודה'!$D$33-SUM(O$30:O39)+O$30,N40*(1-'הנחות עבודה'!$D$38))))</f>
        <v>1258.8245604353147</v>
      </c>
      <c r="P40" s="235">
        <f>IF($B40&gt;2030,0,IF($B40&gt;P$30,0,IF($B40=P$30,VLOOKUP($B40,'הספק קיים ותחזית יצור'!$B$80:$E$100,3,FALSE)/'הנחות עבודה'!$D$33-SUM(P$30:P39)+P$30,O40*(1-'הנחות עבודה'!$D$38))))</f>
        <v>1251.2716130727028</v>
      </c>
      <c r="Q40" s="235">
        <f>IF($B40&gt;2030,0,IF($B40&gt;Q$30,0,IF($B40=Q$30,VLOOKUP($B40,'הספק קיים ותחזית יצור'!$B$80:$E$100,3,FALSE)/'הנחות עבודה'!$D$33-SUM(Q$30:Q39)+Q$30,P40*(1-'הנחות עבודה'!$D$38))))</f>
        <v>1243.7639833942667</v>
      </c>
      <c r="R40" s="235">
        <f>IF($B40&gt;2030,0,IF($B40&gt;R$30,0,IF($B40=R$30,VLOOKUP($B40,'הספק קיים ותחזית יצור'!$B$80:$E$100,3,FALSE)/'הנחות עבודה'!$D$33-SUM(R$30:R39)+R$30,Q40*(1-'הנחות עבודה'!$D$38))))</f>
        <v>1236.301399493901</v>
      </c>
      <c r="S40" s="235">
        <f>IF($B40&gt;2030,0,IF($B40&gt;S$30,0,IF($B40=S$30,VLOOKUP($B40,'הספק קיים ותחזית יצור'!$B$80:$E$100,3,FALSE)/'הנחות עבודה'!$D$33-SUM(S$30:S39)+S$30,R40*(1-'הנחות עבודה'!$D$38))))</f>
        <v>1228.8835910969376</v>
      </c>
      <c r="T40" s="235">
        <f>IF($B40&gt;2030,0,IF($B40&gt;T$30,0,IF($B40=T$30,VLOOKUP($B40,'הספק קיים ותחזית יצור'!$B$80:$E$100,3,FALSE)/'הנחות עבודה'!$D$33-SUM(T$30:T39)+T$30,S40*(1-'הנחות עבודה'!$D$38))))</f>
        <v>1221.510289550356</v>
      </c>
      <c r="U40" s="235">
        <f>IF($B40&gt;2030,0,IF($B40&gt;U$30,0,IF($B40=U$30,VLOOKUP($B40,'הספק קיים ותחזית יצור'!$B$80:$E$100,3,FALSE)/'הנחות עבודה'!$D$33-SUM(U$30:U39)+U$30,T40*(1-'הנחות עבודה'!$D$38))))</f>
        <v>1214.1812278130537</v>
      </c>
      <c r="V40" s="235">
        <f>IF($B40&gt;2030,0,IF($B40&gt;V$30,0,IF($B40=V$30,VLOOKUP($B40,'הספק קיים ותחזית יצור'!$B$80:$E$100,3,FALSE)/'הנחות עבודה'!$D$33-SUM(V$30:V39)+V$30,U40*(1-'הנחות עבודה'!$D$38))))</f>
        <v>1206.8961404461754</v>
      </c>
      <c r="W40" s="235">
        <f>IF($B40&gt;2030,0,IF($B40&gt;W$30,0,IF($B40=W$30,VLOOKUP($B40,'הספק קיים ותחזית יצור'!$B$80:$E$100,3,FALSE)/'הנחות עבודה'!$D$33-SUM(W$30:W39)+W$30,V40*(1-'הנחות עבודה'!$D$38))))</f>
        <v>1199.6547636034984</v>
      </c>
    </row>
    <row r="41" spans="2:23">
      <c r="B41" s="306">
        <f t="shared" si="6"/>
        <v>2030</v>
      </c>
      <c r="C41" s="235">
        <f>IF($B41&gt;2030,0,IF($B41&gt;C$30,0,IF($B41=C$30,VLOOKUP($B41,'הספק קיים ותחזית יצור'!$B$80:$E$100,3,FALSE)/'הנחות עבודה'!$D$33-SUM(C$30:C40)+C$30,B41*(1-'הנחות עבודה'!$D$38))))</f>
        <v>0</v>
      </c>
      <c r="D41" s="235">
        <f>IF($B41&gt;2030,0,IF($B41&gt;D$30,0,IF($B41=D$30,VLOOKUP($B41,'הספק קיים ותחזית יצור'!$B$80:$E$100,3,FALSE)/'הנחות עבודה'!$D$33-SUM(D$30:D40)+D$30,C41*(1-'הנחות עבודה'!$D$38))))</f>
        <v>0</v>
      </c>
      <c r="E41" s="235">
        <f>IF($B41&gt;2030,0,IF($B41&gt;E$30,0,IF($B41=E$30,VLOOKUP($B41,'הספק קיים ותחזית יצור'!$B$80:$E$100,3,FALSE)/'הנחות עבודה'!$D$33-SUM(E$30:E40)+E$30,D41*(1-'הנחות עבודה'!$D$38))))</f>
        <v>0</v>
      </c>
      <c r="F41" s="235">
        <f>IF($B41&gt;2030,0,IF($B41&gt;F$30,0,IF($B41=F$30,VLOOKUP($B41,'הספק קיים ותחזית יצור'!$B$80:$E$100,3,FALSE)/'הנחות עבודה'!$D$33-SUM(F$30:F40)+F$30,E41*(1-'הנחות עבודה'!$D$38))))</f>
        <v>0</v>
      </c>
      <c r="G41" s="235">
        <f>IF($B41&gt;2030,0,IF($B41&gt;G$30,0,IF($B41=G$30,VLOOKUP($B41,'הספק קיים ותחזית יצור'!$B$80:$E$100,3,FALSE)/'הנחות עבודה'!$D$33-SUM(G$30:G40)+G$30,F41*(1-'הנחות עבודה'!$D$38))))</f>
        <v>0</v>
      </c>
      <c r="H41" s="235">
        <f>IF($B41&gt;2030,0,IF($B41&gt;H$30,0,IF($B41=H$30,VLOOKUP($B41,'הספק קיים ותחזית יצור'!$B$80:$E$100,3,FALSE)/'הנחות עבודה'!$D$33-SUM(H$30:H40)+H$30,G41*(1-'הנחות עבודה'!$D$38))))</f>
        <v>0</v>
      </c>
      <c r="I41" s="235">
        <f>IF($B41&gt;2030,0,IF($B41&gt;I$30,0,IF($B41=I$30,VLOOKUP($B41,'הספק קיים ותחזית יצור'!$B$80:$E$100,3,FALSE)/'הנחות עבודה'!$D$33-SUM(I$30:I40)+I$30,H41*(1-'הנחות עבודה'!$D$38))))</f>
        <v>0</v>
      </c>
      <c r="J41" s="235">
        <f>IF($B41&gt;2030,0,IF($B41&gt;J$30,0,IF($B41=J$30,VLOOKUP($B41,'הספק קיים ותחזית יצור'!$B$80:$E$100,3,FALSE)/'הנחות עבודה'!$D$33-SUM(J$30:J40)+J$30,I41*(1-'הנחות עבודה'!$D$38))))</f>
        <v>0</v>
      </c>
      <c r="K41" s="235">
        <f>IF($B41&gt;2030,0,IF($B41&gt;K$30,0,IF($B41=K$30,VLOOKUP($B41,'הספק קיים ותחזית יצור'!$B$80:$E$100,3,FALSE)/'הנחות עבודה'!$D$33-SUM(K$30:K40)+K$30,J41*(1-'הנחות עבודה'!$D$38))))</f>
        <v>0</v>
      </c>
      <c r="L41" s="235">
        <f>IF($B41&gt;2030,0,IF($B41&gt;L$30,0,IF($B41=L$30,VLOOKUP($B41,'הספק קיים ותחזית יצור'!$B$80:$E$100,3,FALSE)/'הנחות עבודה'!$D$33-SUM(L$30:L40)+L$30,K41*(1-'הנחות עבודה'!$D$38))))</f>
        <v>0</v>
      </c>
      <c r="M41" s="235">
        <f>IF($B41&gt;2030,0,IF($B41&gt;M$30,0,IF($B41=M$30,VLOOKUP($B41,'הספק קיים ותחזית יצור'!$B$80:$E$100,3,FALSE)/'הנחות עבודה'!$D$33-SUM(M$30:M40)+M$30,L41*(1-'הנחות עבודה'!$D$38))))</f>
        <v>1314.770052156533</v>
      </c>
      <c r="N41" s="235">
        <f>IF($B41&gt;2030,0,IF($B41&gt;N$30,0,IF($B41=N$30,VLOOKUP($B41,'הספק קיים ותחזית יצור'!$B$80:$E$100,3,FALSE)/'הנחות עבודה'!$D$33-SUM(N$30:N40)+N$30,M41*(1-'הנחות עבודה'!$D$38))))</f>
        <v>1306.8814318435939</v>
      </c>
      <c r="O41" s="235">
        <f>IF($B41&gt;2030,0,IF($B41&gt;O$30,0,IF($B41=O$30,VLOOKUP($B41,'הספק קיים ותחזית יצור'!$B$80:$E$100,3,FALSE)/'הנחות עבודה'!$D$33-SUM(O$30:O40)+O$30,N41*(1-'הנחות עבודה'!$D$38))))</f>
        <v>1299.0401432525323</v>
      </c>
      <c r="P41" s="235">
        <f>IF($B41&gt;2030,0,IF($B41&gt;P$30,0,IF($B41=P$30,VLOOKUP($B41,'הספק קיים ותחזית יצור'!$B$80:$E$100,3,FALSE)/'הנחות עבודה'!$D$33-SUM(P$30:P40)+P$30,O41*(1-'הנחות עבודה'!$D$38))))</f>
        <v>1291.2459023930171</v>
      </c>
      <c r="Q41" s="235">
        <f>IF($B41&gt;2030,0,IF($B41&gt;Q$30,0,IF($B41=Q$30,VLOOKUP($B41,'הספק קיים ותחזית יצור'!$B$80:$E$100,3,FALSE)/'הנחות עבודה'!$D$33-SUM(Q$30:Q40)+Q$30,P41*(1-'הנחות עבודה'!$D$38))))</f>
        <v>1283.4984269786589</v>
      </c>
      <c r="R41" s="235">
        <f>IF($B41&gt;2030,0,IF($B41&gt;R$30,0,IF($B41=R$30,VLOOKUP($B41,'הספק קיים ותחזית יצור'!$B$80:$E$100,3,FALSE)/'הנחות עבודה'!$D$33-SUM(R$30:R40)+R$30,Q41*(1-'הנחות עבודה'!$D$38))))</f>
        <v>1275.7974364167869</v>
      </c>
      <c r="S41" s="235">
        <f>IF($B41&gt;2030,0,IF($B41&gt;S$30,0,IF($B41=S$30,VLOOKUP($B41,'הספק קיים ותחזית יצור'!$B$80:$E$100,3,FALSE)/'הנחות עבודה'!$D$33-SUM(S$30:S40)+S$30,R41*(1-'הנחות עבודה'!$D$38))))</f>
        <v>1268.1426517982861</v>
      </c>
      <c r="T41" s="235">
        <f>IF($B41&gt;2030,0,IF($B41&gt;T$30,0,IF($B41=T$30,VLOOKUP($B41,'הספק קיים ותחזית יצור'!$B$80:$E$100,3,FALSE)/'הנחות עבודה'!$D$33-SUM(T$30:T40)+T$30,S41*(1-'הנחות עבודה'!$D$38))))</f>
        <v>1260.5337958874964</v>
      </c>
      <c r="U41" s="235">
        <f>IF($B41&gt;2030,0,IF($B41&gt;U$30,0,IF($B41=U$30,VLOOKUP($B41,'הספק קיים ותחזית יצור'!$B$80:$E$100,3,FALSE)/'הנחות עבודה'!$D$33-SUM(U$30:U40)+U$30,T41*(1-'הנחות עבודה'!$D$38))))</f>
        <v>1252.9705931121714</v>
      </c>
      <c r="V41" s="235">
        <f>IF($B41&gt;2030,0,IF($B41&gt;V$30,0,IF($B41=V$30,VLOOKUP($B41,'הספק קיים ותחזית יצור'!$B$80:$E$100,3,FALSE)/'הנחות עבודה'!$D$33-SUM(V$30:V40)+V$30,U41*(1-'הנחות עבודה'!$D$38))))</f>
        <v>1245.4527695534985</v>
      </c>
      <c r="W41" s="235">
        <f>IF($B41&gt;2030,0,IF($B41&gt;W$30,0,IF($B41=W$30,VLOOKUP($B41,'הספק קיים ותחזית יצור'!$B$80:$E$100,3,FALSE)/'הנחות עבודה'!$D$33-SUM(W$30:W40)+W$30,V41*(1-'הנחות עבודה'!$D$38))))</f>
        <v>1237.9800529361776</v>
      </c>
    </row>
    <row r="42" spans="2:23">
      <c r="B42" s="306">
        <f t="shared" si="6"/>
        <v>2031</v>
      </c>
      <c r="C42" s="235">
        <f>IF($B42&gt;2030,0,IF($B42&gt;C$30,0,IF($B42=C$30,VLOOKUP($B42,'הספק קיים ותחזית יצור'!$B$80:$E$100,3,FALSE)/'הנחות עבודה'!$D$33-SUM(C$30:C41)+C$30,B42*(1-'הנחות עבודה'!$D$38))))</f>
        <v>0</v>
      </c>
      <c r="D42" s="235">
        <f>IF($B42&gt;2030,0,IF($B42&gt;D$30,0,IF($B42=D$30,VLOOKUP($B42,'הספק קיים ותחזית יצור'!$B$80:$E$100,3,FALSE)/'הנחות עבודה'!$D$33-SUM(D$30:D41)+D$30,C42*(1-'הנחות עבודה'!$D$38))))</f>
        <v>0</v>
      </c>
      <c r="E42" s="235">
        <f>IF($B42&gt;2030,0,IF($B42&gt;E$30,0,IF($B42=E$30,VLOOKUP($B42,'הספק קיים ותחזית יצור'!$B$80:$E$100,3,FALSE)/'הנחות עבודה'!$D$33-SUM(E$30:E41)+E$30,D42*(1-'הנחות עבודה'!$D$38))))</f>
        <v>0</v>
      </c>
      <c r="F42" s="235">
        <f>IF($B42&gt;2030,0,IF($B42&gt;F$30,0,IF($B42=F$30,VLOOKUP($B42,'הספק קיים ותחזית יצור'!$B$80:$E$100,3,FALSE)/'הנחות עבודה'!$D$33-SUM(F$30:F41)+F$30,E42*(1-'הנחות עבודה'!$D$38))))</f>
        <v>0</v>
      </c>
      <c r="G42" s="235">
        <f>IF($B42&gt;2030,0,IF($B42&gt;G$30,0,IF($B42=G$30,VLOOKUP($B42,'הספק קיים ותחזית יצור'!$B$80:$E$100,3,FALSE)/'הנחות עבודה'!$D$33-SUM(G$30:G41)+G$30,F42*(1-'הנחות עבודה'!$D$38))))</f>
        <v>0</v>
      </c>
      <c r="H42" s="235">
        <f>IF($B42&gt;2030,0,IF($B42&gt;H$30,0,IF($B42=H$30,VLOOKUP($B42,'הספק קיים ותחזית יצור'!$B$80:$E$100,3,FALSE)/'הנחות עבודה'!$D$33-SUM(H$30:H41)+H$30,G42*(1-'הנחות עבודה'!$D$38))))</f>
        <v>0</v>
      </c>
      <c r="I42" s="235">
        <f>IF($B42&gt;2030,0,IF($B42&gt;I$30,0,IF($B42=I$30,VLOOKUP($B42,'הספק קיים ותחזית יצור'!$B$80:$E$100,3,FALSE)/'הנחות עבודה'!$D$33-SUM(I$30:I41)+I$30,H42*(1-'הנחות עבודה'!$D$38))))</f>
        <v>0</v>
      </c>
      <c r="J42" s="235">
        <f>IF($B42&gt;2030,0,IF($B42&gt;J$30,0,IF($B42=J$30,VLOOKUP($B42,'הספק קיים ותחזית יצור'!$B$80:$E$100,3,FALSE)/'הנחות עבודה'!$D$33-SUM(J$30:J41)+J$30,I42*(1-'הנחות עבודה'!$D$38))))</f>
        <v>0</v>
      </c>
      <c r="K42" s="235">
        <f>IF($B42&gt;2030,0,IF($B42&gt;K$30,0,IF($B42=K$30,VLOOKUP($B42,'הספק קיים ותחזית יצור'!$B$80:$E$100,3,FALSE)/'הנחות עבודה'!$D$33-SUM(K$30:K41)+K$30,J42*(1-'הנחות עבודה'!$D$38))))</f>
        <v>0</v>
      </c>
      <c r="L42" s="235">
        <f>IF($B42&gt;2030,0,IF($B42&gt;L$30,0,IF($B42=L$30,VLOOKUP($B42,'הספק קיים ותחזית יצור'!$B$80:$E$100,3,FALSE)/'הנחות עבודה'!$D$33-SUM(L$30:L41)+L$30,K42*(1-'הנחות עבודה'!$D$38))))</f>
        <v>0</v>
      </c>
      <c r="M42" s="235">
        <f>IF($B42&gt;2030,0,IF($B42&gt;M$30,0,IF($B42=M$30,VLOOKUP($B42,'הספק קיים ותחזית יצור'!$B$80:$E$100,3,FALSE)/'הנחות עבודה'!$D$33-SUM(M$30:M41)+M$30,L42*(1-'הנחות עבודה'!$D$38))))</f>
        <v>0</v>
      </c>
      <c r="N42" s="235">
        <f>IF($B42&gt;2030,0,IF($B42&gt;N$30,0,IF($B42=N$30,VLOOKUP($B42,'הספק קיים ותחזית יצור'!$B$80:$E$100,3,FALSE)/'הנחות עבודה'!$D$33-SUM(N$30:N41)+N$30,M42*(1-'הנחות עבודה'!$D$38))))</f>
        <v>0</v>
      </c>
      <c r="O42" s="235">
        <f>IF($B42&gt;2030,0,IF($B42&gt;O$30,0,IF($B42=O$30,VLOOKUP($B42,'הספק קיים ותחזית יצור'!$B$80:$E$100,3,FALSE)/'הנחות עבודה'!$D$33-SUM(O$30:O41)+O$30,N42*(1-'הנחות עבודה'!$D$38))))</f>
        <v>0</v>
      </c>
      <c r="P42" s="235">
        <f>IF($B42&gt;2030,0,IF($B42&gt;P$30,0,IF($B42=P$30,VLOOKUP($B42,'הספק קיים ותחזית יצור'!$B$80:$E$100,3,FALSE)/'הנחות עבודה'!$D$33-SUM(P$30:P41)+P$30,O42*(1-'הנחות עבודה'!$D$38))))</f>
        <v>0</v>
      </c>
      <c r="Q42" s="235">
        <f>IF($B42&gt;2030,0,IF($B42&gt;Q$30,0,IF($B42=Q$30,VLOOKUP($B42,'הספק קיים ותחזית יצור'!$B$80:$E$100,3,FALSE)/'הנחות עבודה'!$D$33-SUM(Q$30:Q41)+Q$30,P42*(1-'הנחות עבודה'!$D$38))))</f>
        <v>0</v>
      </c>
      <c r="R42" s="235">
        <f>IF($B42&gt;2030,0,IF($B42&gt;R$30,0,IF($B42=R$30,VLOOKUP($B42,'הספק קיים ותחזית יצור'!$B$80:$E$100,3,FALSE)/'הנחות עבודה'!$D$33-SUM(R$30:R41)+R$30,Q42*(1-'הנחות עבודה'!$D$38))))</f>
        <v>0</v>
      </c>
      <c r="S42" s="235">
        <f>IF($B42&gt;2030,0,IF($B42&gt;S$30,0,IF($B42=S$30,VLOOKUP($B42,'הספק קיים ותחזית יצור'!$B$80:$E$100,3,FALSE)/'הנחות עבודה'!$D$33-SUM(S$30:S41)+S$30,R42*(1-'הנחות עבודה'!$D$38))))</f>
        <v>0</v>
      </c>
      <c r="T42" s="235">
        <f>IF($B42&gt;2030,0,IF($B42&gt;T$30,0,IF($B42=T$30,VLOOKUP($B42,'הספק קיים ותחזית יצור'!$B$80:$E$100,3,FALSE)/'הנחות עבודה'!$D$33-SUM(T$30:T41)+T$30,S42*(1-'הנחות עבודה'!$D$38))))</f>
        <v>0</v>
      </c>
      <c r="U42" s="235">
        <f>IF($B42&gt;2030,0,IF($B42&gt;U$30,0,IF($B42=U$30,VLOOKUP($B42,'הספק קיים ותחזית יצור'!$B$80:$E$100,3,FALSE)/'הנחות עבודה'!$D$33-SUM(U$30:U41)+U$30,T42*(1-'הנחות עבודה'!$D$38))))</f>
        <v>0</v>
      </c>
      <c r="V42" s="235">
        <f>IF($B42&gt;2030,0,IF($B42&gt;V$30,0,IF($B42=V$30,VLOOKUP($B42,'הספק קיים ותחזית יצור'!$B$80:$E$100,3,FALSE)/'הנחות עבודה'!$D$33-SUM(V$30:V41)+V$30,U42*(1-'הנחות עבודה'!$D$38))))</f>
        <v>0</v>
      </c>
      <c r="W42" s="235">
        <f>IF($B42&gt;2030,0,IF($B42&gt;W$30,0,IF($B42=W$30,VLOOKUP($B42,'הספק קיים ותחזית יצור'!$B$80:$E$100,3,FALSE)/'הנחות עבודה'!$D$33-SUM(W$30:W41)+W$30,V42*(1-'הנחות עבודה'!$D$38))))</f>
        <v>0</v>
      </c>
    </row>
    <row r="43" spans="2:23">
      <c r="B43" s="306">
        <f t="shared" si="6"/>
        <v>2032</v>
      </c>
      <c r="C43" s="235">
        <f>IF($B43&gt;2030,0,IF($B43&gt;C$30,0,IF($B43=C$30,VLOOKUP($B43,'הספק קיים ותחזית יצור'!$B$80:$E$100,3,FALSE)/'הנחות עבודה'!$D$33-SUM(C$30:C42)+C$30,B43*(1-'הנחות עבודה'!$D$38))))</f>
        <v>0</v>
      </c>
      <c r="D43" s="235">
        <f>IF($B43&gt;2030,0,IF($B43&gt;D$30,0,IF($B43=D$30,VLOOKUP($B43,'הספק קיים ותחזית יצור'!$B$80:$E$100,3,FALSE)/'הנחות עבודה'!$D$33-SUM(D$30:D42)+D$30,C43*(1-'הנחות עבודה'!$D$38))))</f>
        <v>0</v>
      </c>
      <c r="E43" s="235">
        <f>IF($B43&gt;2030,0,IF($B43&gt;E$30,0,IF($B43=E$30,VLOOKUP($B43,'הספק קיים ותחזית יצור'!$B$80:$E$100,3,FALSE)/'הנחות עבודה'!$D$33-SUM(E$30:E42)+E$30,D43*(1-'הנחות עבודה'!$D$38))))</f>
        <v>0</v>
      </c>
      <c r="F43" s="235">
        <f>IF($B43&gt;2030,0,IF($B43&gt;F$30,0,IF($B43=F$30,VLOOKUP($B43,'הספק קיים ותחזית יצור'!$B$80:$E$100,3,FALSE)/'הנחות עבודה'!$D$33-SUM(F$30:F42)+F$30,E43*(1-'הנחות עבודה'!$D$38))))</f>
        <v>0</v>
      </c>
      <c r="G43" s="235">
        <f>IF($B43&gt;2030,0,IF($B43&gt;G$30,0,IF($B43=G$30,VLOOKUP($B43,'הספק קיים ותחזית יצור'!$B$80:$E$100,3,FALSE)/'הנחות עבודה'!$D$33-SUM(G$30:G42)+G$30,F43*(1-'הנחות עבודה'!$D$38))))</f>
        <v>0</v>
      </c>
      <c r="H43" s="235">
        <f>IF($B43&gt;2030,0,IF($B43&gt;H$30,0,IF($B43=H$30,VLOOKUP($B43,'הספק קיים ותחזית יצור'!$B$80:$E$100,3,FALSE)/'הנחות עבודה'!$D$33-SUM(H$30:H42)+H$30,G43*(1-'הנחות עבודה'!$D$38))))</f>
        <v>0</v>
      </c>
      <c r="I43" s="235">
        <f>IF($B43&gt;2030,0,IF($B43&gt;I$30,0,IF($B43=I$30,VLOOKUP($B43,'הספק קיים ותחזית יצור'!$B$80:$E$100,3,FALSE)/'הנחות עבודה'!$D$33-SUM(I$30:I42)+I$30,H43*(1-'הנחות עבודה'!$D$38))))</f>
        <v>0</v>
      </c>
      <c r="J43" s="235">
        <f>IF($B43&gt;2030,0,IF($B43&gt;J$30,0,IF($B43=J$30,VLOOKUP($B43,'הספק קיים ותחזית יצור'!$B$80:$E$100,3,FALSE)/'הנחות עבודה'!$D$33-SUM(J$30:J42)+J$30,I43*(1-'הנחות עבודה'!$D$38))))</f>
        <v>0</v>
      </c>
      <c r="K43" s="235">
        <f>IF($B43&gt;2030,0,IF($B43&gt;K$30,0,IF($B43=K$30,VLOOKUP($B43,'הספק קיים ותחזית יצור'!$B$80:$E$100,3,FALSE)/'הנחות עבודה'!$D$33-SUM(K$30:K42)+K$30,J43*(1-'הנחות עבודה'!$D$38))))</f>
        <v>0</v>
      </c>
      <c r="L43" s="235">
        <f>IF($B43&gt;2030,0,IF($B43&gt;L$30,0,IF($B43=L$30,VLOOKUP($B43,'הספק קיים ותחזית יצור'!$B$80:$E$100,3,FALSE)/'הנחות עבודה'!$D$33-SUM(L$30:L42)+L$30,K43*(1-'הנחות עבודה'!$D$38))))</f>
        <v>0</v>
      </c>
      <c r="M43" s="235">
        <f>IF($B43&gt;2030,0,IF($B43&gt;M$30,0,IF($B43=M$30,VLOOKUP($B43,'הספק קיים ותחזית יצור'!$B$80:$E$100,3,FALSE)/'הנחות עבודה'!$D$33-SUM(M$30:M42)+M$30,L43*(1-'הנחות עבודה'!$D$38))))</f>
        <v>0</v>
      </c>
      <c r="N43" s="235">
        <f>IF($B43&gt;2030,0,IF($B43&gt;N$30,0,IF($B43=N$30,VLOOKUP($B43,'הספק קיים ותחזית יצור'!$B$80:$E$100,3,FALSE)/'הנחות עבודה'!$D$33-SUM(N$30:N42)+N$30,M43*(1-'הנחות עבודה'!$D$38))))</f>
        <v>0</v>
      </c>
      <c r="O43" s="235">
        <f>IF($B43&gt;2030,0,IF($B43&gt;O$30,0,IF($B43=O$30,VLOOKUP($B43,'הספק קיים ותחזית יצור'!$B$80:$E$100,3,FALSE)/'הנחות עבודה'!$D$33-SUM(O$30:O42)+O$30,N43*(1-'הנחות עבודה'!$D$38))))</f>
        <v>0</v>
      </c>
      <c r="P43" s="235">
        <f>IF($B43&gt;2030,0,IF($B43&gt;P$30,0,IF($B43=P$30,VLOOKUP($B43,'הספק קיים ותחזית יצור'!$B$80:$E$100,3,FALSE)/'הנחות עבודה'!$D$33-SUM(P$30:P42)+P$30,O43*(1-'הנחות עבודה'!$D$38))))</f>
        <v>0</v>
      </c>
      <c r="Q43" s="235">
        <f>IF($B43&gt;2030,0,IF($B43&gt;Q$30,0,IF($B43=Q$30,VLOOKUP($B43,'הספק קיים ותחזית יצור'!$B$80:$E$100,3,FALSE)/'הנחות עבודה'!$D$33-SUM(Q$30:Q42)+Q$30,P43*(1-'הנחות עבודה'!$D$38))))</f>
        <v>0</v>
      </c>
      <c r="R43" s="235">
        <f>IF($B43&gt;2030,0,IF($B43&gt;R$30,0,IF($B43=R$30,VLOOKUP($B43,'הספק קיים ותחזית יצור'!$B$80:$E$100,3,FALSE)/'הנחות עבודה'!$D$33-SUM(R$30:R42)+R$30,Q43*(1-'הנחות עבודה'!$D$38))))</f>
        <v>0</v>
      </c>
      <c r="S43" s="235">
        <f>IF($B43&gt;2030,0,IF($B43&gt;S$30,0,IF($B43=S$30,VLOOKUP($B43,'הספק קיים ותחזית יצור'!$B$80:$E$100,3,FALSE)/'הנחות עבודה'!$D$33-SUM(S$30:S42)+S$30,R43*(1-'הנחות עבודה'!$D$38))))</f>
        <v>0</v>
      </c>
      <c r="T43" s="235">
        <f>IF($B43&gt;2030,0,IF($B43&gt;T$30,0,IF($B43=T$30,VLOOKUP($B43,'הספק קיים ותחזית יצור'!$B$80:$E$100,3,FALSE)/'הנחות עבודה'!$D$33-SUM(T$30:T42)+T$30,S43*(1-'הנחות עבודה'!$D$38))))</f>
        <v>0</v>
      </c>
      <c r="U43" s="235">
        <f>IF($B43&gt;2030,0,IF($B43&gt;U$30,0,IF($B43=U$30,VLOOKUP($B43,'הספק קיים ותחזית יצור'!$B$80:$E$100,3,FALSE)/'הנחות עבודה'!$D$33-SUM(U$30:U42)+U$30,T43*(1-'הנחות עבודה'!$D$38))))</f>
        <v>0</v>
      </c>
      <c r="V43" s="235">
        <f>IF($B43&gt;2030,0,IF($B43&gt;V$30,0,IF($B43=V$30,VLOOKUP($B43,'הספק קיים ותחזית יצור'!$B$80:$E$100,3,FALSE)/'הנחות עבודה'!$D$33-SUM(V$30:V42)+V$30,U43*(1-'הנחות עבודה'!$D$38))))</f>
        <v>0</v>
      </c>
      <c r="W43" s="235">
        <f>IF($B43&gt;2030,0,IF($B43&gt;W$30,0,IF($B43=W$30,VLOOKUP($B43,'הספק קיים ותחזית יצור'!$B$80:$E$100,3,FALSE)/'הנחות עבודה'!$D$33-SUM(W$30:W42)+W$30,V43*(1-'הנחות עבודה'!$D$38))))</f>
        <v>0</v>
      </c>
    </row>
    <row r="44" spans="2:23">
      <c r="B44" s="306">
        <f t="shared" si="6"/>
        <v>2033</v>
      </c>
      <c r="C44" s="235">
        <f>IF($B44&gt;2030,0,IF($B44&gt;C$30,0,IF($B44=C$30,VLOOKUP($B44,'הספק קיים ותחזית יצור'!$B$80:$E$100,3,FALSE)/'הנחות עבודה'!$D$33-SUM(C$30:C43)+C$30,B44*(1-'הנחות עבודה'!$D$38))))</f>
        <v>0</v>
      </c>
      <c r="D44" s="235">
        <f>IF($B44&gt;2030,0,IF($B44&gt;D$30,0,IF($B44=D$30,VLOOKUP($B44,'הספק קיים ותחזית יצור'!$B$80:$E$100,3,FALSE)/'הנחות עבודה'!$D$33-SUM(D$30:D43)+D$30,C44*(1-'הנחות עבודה'!$D$38))))</f>
        <v>0</v>
      </c>
      <c r="E44" s="235">
        <f>IF($B44&gt;2030,0,IF($B44&gt;E$30,0,IF($B44=E$30,VLOOKUP($B44,'הספק קיים ותחזית יצור'!$B$80:$E$100,3,FALSE)/'הנחות עבודה'!$D$33-SUM(E$30:E43)+E$30,D44*(1-'הנחות עבודה'!$D$38))))</f>
        <v>0</v>
      </c>
      <c r="F44" s="235">
        <f>IF($B44&gt;2030,0,IF($B44&gt;F$30,0,IF($B44=F$30,VLOOKUP($B44,'הספק קיים ותחזית יצור'!$B$80:$E$100,3,FALSE)/'הנחות עבודה'!$D$33-SUM(F$30:F43)+F$30,E44*(1-'הנחות עבודה'!$D$38))))</f>
        <v>0</v>
      </c>
      <c r="G44" s="235">
        <f>IF($B44&gt;2030,0,IF($B44&gt;G$30,0,IF($B44=G$30,VLOOKUP($B44,'הספק קיים ותחזית יצור'!$B$80:$E$100,3,FALSE)/'הנחות עבודה'!$D$33-SUM(G$30:G43)+G$30,F44*(1-'הנחות עבודה'!$D$38))))</f>
        <v>0</v>
      </c>
      <c r="H44" s="235">
        <f>IF($B44&gt;2030,0,IF($B44&gt;H$30,0,IF($B44=H$30,VLOOKUP($B44,'הספק קיים ותחזית יצור'!$B$80:$E$100,3,FALSE)/'הנחות עבודה'!$D$33-SUM(H$30:H43)+H$30,G44*(1-'הנחות עבודה'!$D$38))))</f>
        <v>0</v>
      </c>
      <c r="I44" s="235">
        <f>IF($B44&gt;2030,0,IF($B44&gt;I$30,0,IF($B44=I$30,VLOOKUP($B44,'הספק קיים ותחזית יצור'!$B$80:$E$100,3,FALSE)/'הנחות עבודה'!$D$33-SUM(I$30:I43)+I$30,H44*(1-'הנחות עבודה'!$D$38))))</f>
        <v>0</v>
      </c>
      <c r="J44" s="235">
        <f>IF($B44&gt;2030,0,IF($B44&gt;J$30,0,IF($B44=J$30,VLOOKUP($B44,'הספק קיים ותחזית יצור'!$B$80:$E$100,3,FALSE)/'הנחות עבודה'!$D$33-SUM(J$30:J43)+J$30,I44*(1-'הנחות עבודה'!$D$38))))</f>
        <v>0</v>
      </c>
      <c r="K44" s="235">
        <f>IF($B44&gt;2030,0,IF($B44&gt;K$30,0,IF($B44=K$30,VLOOKUP($B44,'הספק קיים ותחזית יצור'!$B$80:$E$100,3,FALSE)/'הנחות עבודה'!$D$33-SUM(K$30:K43)+K$30,J44*(1-'הנחות עבודה'!$D$38))))</f>
        <v>0</v>
      </c>
      <c r="L44" s="235">
        <f>IF($B44&gt;2030,0,IF($B44&gt;L$30,0,IF($B44=L$30,VLOOKUP($B44,'הספק קיים ותחזית יצור'!$B$80:$E$100,3,FALSE)/'הנחות עבודה'!$D$33-SUM(L$30:L43)+L$30,K44*(1-'הנחות עבודה'!$D$38))))</f>
        <v>0</v>
      </c>
      <c r="M44" s="235">
        <f>IF($B44&gt;2030,0,IF($B44&gt;M$30,0,IF($B44=M$30,VLOOKUP($B44,'הספק קיים ותחזית יצור'!$B$80:$E$100,3,FALSE)/'הנחות עבודה'!$D$33-SUM(M$30:M43)+M$30,L44*(1-'הנחות עבודה'!$D$38))))</f>
        <v>0</v>
      </c>
      <c r="N44" s="235">
        <f>IF($B44&gt;2030,0,IF($B44&gt;N$30,0,IF($B44=N$30,VLOOKUP($B44,'הספק קיים ותחזית יצור'!$B$80:$E$100,3,FALSE)/'הנחות עבודה'!$D$33-SUM(N$30:N43)+N$30,M44*(1-'הנחות עבודה'!$D$38))))</f>
        <v>0</v>
      </c>
      <c r="O44" s="235">
        <f>IF($B44&gt;2030,0,IF($B44&gt;O$30,0,IF($B44=O$30,VLOOKUP($B44,'הספק קיים ותחזית יצור'!$B$80:$E$100,3,FALSE)/'הנחות עבודה'!$D$33-SUM(O$30:O43)+O$30,N44*(1-'הנחות עבודה'!$D$38))))</f>
        <v>0</v>
      </c>
      <c r="P44" s="235">
        <f>IF($B44&gt;2030,0,IF($B44&gt;P$30,0,IF($B44=P$30,VLOOKUP($B44,'הספק קיים ותחזית יצור'!$B$80:$E$100,3,FALSE)/'הנחות עבודה'!$D$33-SUM(P$30:P43)+P$30,O44*(1-'הנחות עבודה'!$D$38))))</f>
        <v>0</v>
      </c>
      <c r="Q44" s="235">
        <f>IF($B44&gt;2030,0,IF($B44&gt;Q$30,0,IF($B44=Q$30,VLOOKUP($B44,'הספק קיים ותחזית יצור'!$B$80:$E$100,3,FALSE)/'הנחות עבודה'!$D$33-SUM(Q$30:Q43)+Q$30,P44*(1-'הנחות עבודה'!$D$38))))</f>
        <v>0</v>
      </c>
      <c r="R44" s="235">
        <f>IF($B44&gt;2030,0,IF($B44&gt;R$30,0,IF($B44=R$30,VLOOKUP($B44,'הספק קיים ותחזית יצור'!$B$80:$E$100,3,FALSE)/'הנחות עבודה'!$D$33-SUM(R$30:R43)+R$30,Q44*(1-'הנחות עבודה'!$D$38))))</f>
        <v>0</v>
      </c>
      <c r="S44" s="235">
        <f>IF($B44&gt;2030,0,IF($B44&gt;S$30,0,IF($B44=S$30,VLOOKUP($B44,'הספק קיים ותחזית יצור'!$B$80:$E$100,3,FALSE)/'הנחות עבודה'!$D$33-SUM(S$30:S43)+S$30,R44*(1-'הנחות עבודה'!$D$38))))</f>
        <v>0</v>
      </c>
      <c r="T44" s="235">
        <f>IF($B44&gt;2030,0,IF($B44&gt;T$30,0,IF($B44=T$30,VLOOKUP($B44,'הספק קיים ותחזית יצור'!$B$80:$E$100,3,FALSE)/'הנחות עבודה'!$D$33-SUM(T$30:T43)+T$30,S44*(1-'הנחות עבודה'!$D$38))))</f>
        <v>0</v>
      </c>
      <c r="U44" s="235">
        <f>IF($B44&gt;2030,0,IF($B44&gt;U$30,0,IF($B44=U$30,VLOOKUP($B44,'הספק קיים ותחזית יצור'!$B$80:$E$100,3,FALSE)/'הנחות עבודה'!$D$33-SUM(U$30:U43)+U$30,T44*(1-'הנחות עבודה'!$D$38))))</f>
        <v>0</v>
      </c>
      <c r="V44" s="235">
        <f>IF($B44&gt;2030,0,IF($B44&gt;V$30,0,IF($B44=V$30,VLOOKUP($B44,'הספק קיים ותחזית יצור'!$B$80:$E$100,3,FALSE)/'הנחות עבודה'!$D$33-SUM(V$30:V43)+V$30,U44*(1-'הנחות עבודה'!$D$38))))</f>
        <v>0</v>
      </c>
      <c r="W44" s="235">
        <f>IF($B44&gt;2030,0,IF($B44&gt;W$30,0,IF($B44=W$30,VLOOKUP($B44,'הספק קיים ותחזית יצור'!$B$80:$E$100,3,FALSE)/'הנחות עבודה'!$D$33-SUM(W$30:W43)+W$30,V44*(1-'הנחות עבודה'!$D$38))))</f>
        <v>0</v>
      </c>
    </row>
    <row r="45" spans="2:23">
      <c r="B45" s="306">
        <f t="shared" si="6"/>
        <v>2034</v>
      </c>
      <c r="C45" s="235">
        <f>IF($B45&gt;2030,0,IF($B45&gt;C$30,0,IF($B45=C$30,VLOOKUP($B45,'הספק קיים ותחזית יצור'!$B$80:$E$100,3,FALSE)/'הנחות עבודה'!$D$33-SUM(C$30:C44)+C$30,B45*(1-'הנחות עבודה'!$D$38))))</f>
        <v>0</v>
      </c>
      <c r="D45" s="235">
        <f>IF($B45&gt;2030,0,IF($B45&gt;D$30,0,IF($B45=D$30,VLOOKUP($B45,'הספק קיים ותחזית יצור'!$B$80:$E$100,3,FALSE)/'הנחות עבודה'!$D$33-SUM(D$30:D44)+D$30,C45*(1-'הנחות עבודה'!$D$38))))</f>
        <v>0</v>
      </c>
      <c r="E45" s="235">
        <f>IF($B45&gt;2030,0,IF($B45&gt;E$30,0,IF($B45=E$30,VLOOKUP($B45,'הספק קיים ותחזית יצור'!$B$80:$E$100,3,FALSE)/'הנחות עבודה'!$D$33-SUM(E$30:E44)+E$30,D45*(1-'הנחות עבודה'!$D$38))))</f>
        <v>0</v>
      </c>
      <c r="F45" s="235">
        <f>IF($B45&gt;2030,0,IF($B45&gt;F$30,0,IF($B45=F$30,VLOOKUP($B45,'הספק קיים ותחזית יצור'!$B$80:$E$100,3,FALSE)/'הנחות עבודה'!$D$33-SUM(F$30:F44)+F$30,E45*(1-'הנחות עבודה'!$D$38))))</f>
        <v>0</v>
      </c>
      <c r="G45" s="235">
        <f>IF($B45&gt;2030,0,IF($B45&gt;G$30,0,IF($B45=G$30,VLOOKUP($B45,'הספק קיים ותחזית יצור'!$B$80:$E$100,3,FALSE)/'הנחות עבודה'!$D$33-SUM(G$30:G44)+G$30,F45*(1-'הנחות עבודה'!$D$38))))</f>
        <v>0</v>
      </c>
      <c r="H45" s="235">
        <f>IF($B45&gt;2030,0,IF($B45&gt;H$30,0,IF($B45=H$30,VLOOKUP($B45,'הספק קיים ותחזית יצור'!$B$80:$E$100,3,FALSE)/'הנחות עבודה'!$D$33-SUM(H$30:H44)+H$30,G45*(1-'הנחות עבודה'!$D$38))))</f>
        <v>0</v>
      </c>
      <c r="I45" s="235">
        <f>IF($B45&gt;2030,0,IF($B45&gt;I$30,0,IF($B45=I$30,VLOOKUP($B45,'הספק קיים ותחזית יצור'!$B$80:$E$100,3,FALSE)/'הנחות עבודה'!$D$33-SUM(I$30:I44)+I$30,H45*(1-'הנחות עבודה'!$D$38))))</f>
        <v>0</v>
      </c>
      <c r="J45" s="235">
        <f>IF($B45&gt;2030,0,IF($B45&gt;J$30,0,IF($B45=J$30,VLOOKUP($B45,'הספק קיים ותחזית יצור'!$B$80:$E$100,3,FALSE)/'הנחות עבודה'!$D$33-SUM(J$30:J44)+J$30,I45*(1-'הנחות עבודה'!$D$38))))</f>
        <v>0</v>
      </c>
      <c r="K45" s="235">
        <f>IF($B45&gt;2030,0,IF($B45&gt;K$30,0,IF($B45=K$30,VLOOKUP($B45,'הספק קיים ותחזית יצור'!$B$80:$E$100,3,FALSE)/'הנחות עבודה'!$D$33-SUM(K$30:K44)+K$30,J45*(1-'הנחות עבודה'!$D$38))))</f>
        <v>0</v>
      </c>
      <c r="L45" s="235">
        <f>IF($B45&gt;2030,0,IF($B45&gt;L$30,0,IF($B45=L$30,VLOOKUP($B45,'הספק קיים ותחזית יצור'!$B$80:$E$100,3,FALSE)/'הנחות עבודה'!$D$33-SUM(L$30:L44)+L$30,K45*(1-'הנחות עבודה'!$D$38))))</f>
        <v>0</v>
      </c>
      <c r="M45" s="235">
        <f>IF($B45&gt;2030,0,IF($B45&gt;M$30,0,IF($B45=M$30,VLOOKUP($B45,'הספק קיים ותחזית יצור'!$B$80:$E$100,3,FALSE)/'הנחות עבודה'!$D$33-SUM(M$30:M44)+M$30,L45*(1-'הנחות עבודה'!$D$38))))</f>
        <v>0</v>
      </c>
      <c r="N45" s="235">
        <f>IF($B45&gt;2030,0,IF($B45&gt;N$30,0,IF($B45=N$30,VLOOKUP($B45,'הספק קיים ותחזית יצור'!$B$80:$E$100,3,FALSE)/'הנחות עבודה'!$D$33-SUM(N$30:N44)+N$30,M45*(1-'הנחות עבודה'!$D$38))))</f>
        <v>0</v>
      </c>
      <c r="O45" s="235">
        <f>IF($B45&gt;2030,0,IF($B45&gt;O$30,0,IF($B45=O$30,VLOOKUP($B45,'הספק קיים ותחזית יצור'!$B$80:$E$100,3,FALSE)/'הנחות עבודה'!$D$33-SUM(O$30:O44)+O$30,N45*(1-'הנחות עבודה'!$D$38))))</f>
        <v>0</v>
      </c>
      <c r="P45" s="235">
        <f>IF($B45&gt;2030,0,IF($B45&gt;P$30,0,IF($B45=P$30,VLOOKUP($B45,'הספק קיים ותחזית יצור'!$B$80:$E$100,3,FALSE)/'הנחות עבודה'!$D$33-SUM(P$30:P44)+P$30,O45*(1-'הנחות עבודה'!$D$38))))</f>
        <v>0</v>
      </c>
      <c r="Q45" s="235">
        <f>IF($B45&gt;2030,0,IF($B45&gt;Q$30,0,IF($B45=Q$30,VLOOKUP($B45,'הספק קיים ותחזית יצור'!$B$80:$E$100,3,FALSE)/'הנחות עבודה'!$D$33-SUM(Q$30:Q44)+Q$30,P45*(1-'הנחות עבודה'!$D$38))))</f>
        <v>0</v>
      </c>
      <c r="R45" s="235">
        <f>IF($B45&gt;2030,0,IF($B45&gt;R$30,0,IF($B45=R$30,VLOOKUP($B45,'הספק קיים ותחזית יצור'!$B$80:$E$100,3,FALSE)/'הנחות עבודה'!$D$33-SUM(R$30:R44)+R$30,Q45*(1-'הנחות עבודה'!$D$38))))</f>
        <v>0</v>
      </c>
      <c r="S45" s="235">
        <f>IF($B45&gt;2030,0,IF($B45&gt;S$30,0,IF($B45=S$30,VLOOKUP($B45,'הספק קיים ותחזית יצור'!$B$80:$E$100,3,FALSE)/'הנחות עבודה'!$D$33-SUM(S$30:S44)+S$30,R45*(1-'הנחות עבודה'!$D$38))))</f>
        <v>0</v>
      </c>
      <c r="T45" s="235">
        <f>IF($B45&gt;2030,0,IF($B45&gt;T$30,0,IF($B45=T$30,VLOOKUP($B45,'הספק קיים ותחזית יצור'!$B$80:$E$100,3,FALSE)/'הנחות עבודה'!$D$33-SUM(T$30:T44)+T$30,S45*(1-'הנחות עבודה'!$D$38))))</f>
        <v>0</v>
      </c>
      <c r="U45" s="235">
        <f>IF($B45&gt;2030,0,IF($B45&gt;U$30,0,IF($B45=U$30,VLOOKUP($B45,'הספק קיים ותחזית יצור'!$B$80:$E$100,3,FALSE)/'הנחות עבודה'!$D$33-SUM(U$30:U44)+U$30,T45*(1-'הנחות עבודה'!$D$38))))</f>
        <v>0</v>
      </c>
      <c r="V45" s="235">
        <f>IF($B45&gt;2030,0,IF($B45&gt;V$30,0,IF($B45=V$30,VLOOKUP($B45,'הספק קיים ותחזית יצור'!$B$80:$E$100,3,FALSE)/'הנחות עבודה'!$D$33-SUM(V$30:V44)+V$30,U45*(1-'הנחות עבודה'!$D$38))))</f>
        <v>0</v>
      </c>
      <c r="W45" s="235">
        <f>IF($B45&gt;2030,0,IF($B45&gt;W$30,0,IF($B45=W$30,VLOOKUP($B45,'הספק קיים ותחזית יצור'!$B$80:$E$100,3,FALSE)/'הנחות עבודה'!$D$33-SUM(W$30:W44)+W$30,V45*(1-'הנחות עבודה'!$D$38))))</f>
        <v>0</v>
      </c>
    </row>
    <row r="46" spans="2:23">
      <c r="B46" s="306">
        <f t="shared" si="6"/>
        <v>2035</v>
      </c>
      <c r="C46" s="235">
        <f>IF($B46&gt;2030,0,IF($B46&gt;C$30,0,IF($B46=C$30,VLOOKUP($B46,'הספק קיים ותחזית יצור'!$B$80:$E$100,3,FALSE)/'הנחות עבודה'!$D$33-SUM(C$30:C45)+C$30,B46*(1-'הנחות עבודה'!$D$38))))</f>
        <v>0</v>
      </c>
      <c r="D46" s="235">
        <f>IF($B46&gt;2030,0,IF($B46&gt;D$30,0,IF($B46=D$30,VLOOKUP($B46,'הספק קיים ותחזית יצור'!$B$80:$E$100,3,FALSE)/'הנחות עבודה'!$D$33-SUM(D$30:D45)+D$30,C46*(1-'הנחות עבודה'!$D$38))))</f>
        <v>0</v>
      </c>
      <c r="E46" s="235">
        <f>IF($B46&gt;2030,0,IF($B46&gt;E$30,0,IF($B46=E$30,VLOOKUP($B46,'הספק קיים ותחזית יצור'!$B$80:$E$100,3,FALSE)/'הנחות עבודה'!$D$33-SUM(E$30:E45)+E$30,D46*(1-'הנחות עבודה'!$D$38))))</f>
        <v>0</v>
      </c>
      <c r="F46" s="235">
        <f>IF($B46&gt;2030,0,IF($B46&gt;F$30,0,IF($B46=F$30,VLOOKUP($B46,'הספק קיים ותחזית יצור'!$B$80:$E$100,3,FALSE)/'הנחות עבודה'!$D$33-SUM(F$30:F45)+F$30,E46*(1-'הנחות עבודה'!$D$38))))</f>
        <v>0</v>
      </c>
      <c r="G46" s="235">
        <f>IF($B46&gt;2030,0,IF($B46&gt;G$30,0,IF($B46=G$30,VLOOKUP($B46,'הספק קיים ותחזית יצור'!$B$80:$E$100,3,FALSE)/'הנחות עבודה'!$D$33-SUM(G$30:G45)+G$30,F46*(1-'הנחות עבודה'!$D$38))))</f>
        <v>0</v>
      </c>
      <c r="H46" s="235">
        <f>IF($B46&gt;2030,0,IF($B46&gt;H$30,0,IF($B46=H$30,VLOOKUP($B46,'הספק קיים ותחזית יצור'!$B$80:$E$100,3,FALSE)/'הנחות עבודה'!$D$33-SUM(H$30:H45)+H$30,G46*(1-'הנחות עבודה'!$D$38))))</f>
        <v>0</v>
      </c>
      <c r="I46" s="235">
        <f>IF($B46&gt;2030,0,IF($B46&gt;I$30,0,IF($B46=I$30,VLOOKUP($B46,'הספק קיים ותחזית יצור'!$B$80:$E$100,3,FALSE)/'הנחות עבודה'!$D$33-SUM(I$30:I45)+I$30,H46*(1-'הנחות עבודה'!$D$38))))</f>
        <v>0</v>
      </c>
      <c r="J46" s="235">
        <f>IF($B46&gt;2030,0,IF($B46&gt;J$30,0,IF($B46=J$30,VLOOKUP($B46,'הספק קיים ותחזית יצור'!$B$80:$E$100,3,FALSE)/'הנחות עבודה'!$D$33-SUM(J$30:J45)+J$30,I46*(1-'הנחות עבודה'!$D$38))))</f>
        <v>0</v>
      </c>
      <c r="K46" s="235">
        <f>IF($B46&gt;2030,0,IF($B46&gt;K$30,0,IF($B46=K$30,VLOOKUP($B46,'הספק קיים ותחזית יצור'!$B$80:$E$100,3,FALSE)/'הנחות עבודה'!$D$33-SUM(K$30:K45)+K$30,J46*(1-'הנחות עבודה'!$D$38))))</f>
        <v>0</v>
      </c>
      <c r="L46" s="235">
        <f>IF($B46&gt;2030,0,IF($B46&gt;L$30,0,IF($B46=L$30,VLOOKUP($B46,'הספק קיים ותחזית יצור'!$B$80:$E$100,3,FALSE)/'הנחות עבודה'!$D$33-SUM(L$30:L45)+L$30,K46*(1-'הנחות עבודה'!$D$38))))</f>
        <v>0</v>
      </c>
      <c r="M46" s="235">
        <f>IF($B46&gt;2030,0,IF($B46&gt;M$30,0,IF($B46=M$30,VLOOKUP($B46,'הספק קיים ותחזית יצור'!$B$80:$E$100,3,FALSE)/'הנחות עבודה'!$D$33-SUM(M$30:M45)+M$30,L46*(1-'הנחות עבודה'!$D$38))))</f>
        <v>0</v>
      </c>
      <c r="N46" s="235">
        <f>IF($B46&gt;2030,0,IF($B46&gt;N$30,0,IF($B46=N$30,VLOOKUP($B46,'הספק קיים ותחזית יצור'!$B$80:$E$100,3,FALSE)/'הנחות עבודה'!$D$33-SUM(N$30:N45)+N$30,M46*(1-'הנחות עבודה'!$D$38))))</f>
        <v>0</v>
      </c>
      <c r="O46" s="235">
        <f>IF($B46&gt;2030,0,IF($B46&gt;O$30,0,IF($B46=O$30,VLOOKUP($B46,'הספק קיים ותחזית יצור'!$B$80:$E$100,3,FALSE)/'הנחות עבודה'!$D$33-SUM(O$30:O45)+O$30,N46*(1-'הנחות עבודה'!$D$38))))</f>
        <v>0</v>
      </c>
      <c r="P46" s="235">
        <f>IF($B46&gt;2030,0,IF($B46&gt;P$30,0,IF($B46=P$30,VLOOKUP($B46,'הספק קיים ותחזית יצור'!$B$80:$E$100,3,FALSE)/'הנחות עבודה'!$D$33-SUM(P$30:P45)+P$30,O46*(1-'הנחות עבודה'!$D$38))))</f>
        <v>0</v>
      </c>
      <c r="Q46" s="235">
        <f>IF($B46&gt;2030,0,IF($B46&gt;Q$30,0,IF($B46=Q$30,VLOOKUP($B46,'הספק קיים ותחזית יצור'!$B$80:$E$100,3,FALSE)/'הנחות עבודה'!$D$33-SUM(Q$30:Q45)+Q$30,P46*(1-'הנחות עבודה'!$D$38))))</f>
        <v>0</v>
      </c>
      <c r="R46" s="235">
        <f>IF($B46&gt;2030,0,IF($B46&gt;R$30,0,IF($B46=R$30,VLOOKUP($B46,'הספק קיים ותחזית יצור'!$B$80:$E$100,3,FALSE)/'הנחות עבודה'!$D$33-SUM(R$30:R45)+R$30,Q46*(1-'הנחות עבודה'!$D$38))))</f>
        <v>0</v>
      </c>
      <c r="S46" s="235">
        <f>IF($B46&gt;2030,0,IF($B46&gt;S$30,0,IF($B46=S$30,VLOOKUP($B46,'הספק קיים ותחזית יצור'!$B$80:$E$100,3,FALSE)/'הנחות עבודה'!$D$33-SUM(S$30:S45)+S$30,R46*(1-'הנחות עבודה'!$D$38))))</f>
        <v>0</v>
      </c>
      <c r="T46" s="235">
        <f>IF($B46&gt;2030,0,IF($B46&gt;T$30,0,IF($B46=T$30,VLOOKUP($B46,'הספק קיים ותחזית יצור'!$B$80:$E$100,3,FALSE)/'הנחות עבודה'!$D$33-SUM(T$30:T45)+T$30,S46*(1-'הנחות עבודה'!$D$38))))</f>
        <v>0</v>
      </c>
      <c r="U46" s="235">
        <f>IF($B46&gt;2030,0,IF($B46&gt;U$30,0,IF($B46=U$30,VLOOKUP($B46,'הספק קיים ותחזית יצור'!$B$80:$E$100,3,FALSE)/'הנחות עבודה'!$D$33-SUM(U$30:U45)+U$30,T46*(1-'הנחות עבודה'!$D$38))))</f>
        <v>0</v>
      </c>
      <c r="V46" s="235">
        <f>IF($B46&gt;2030,0,IF($B46&gt;V$30,0,IF($B46=V$30,VLOOKUP($B46,'הספק קיים ותחזית יצור'!$B$80:$E$100,3,FALSE)/'הנחות עבודה'!$D$33-SUM(V$30:V45)+V$30,U46*(1-'הנחות עבודה'!$D$38))))</f>
        <v>0</v>
      </c>
      <c r="W46" s="235">
        <f>IF($B46&gt;2030,0,IF($B46&gt;W$30,0,IF($B46=W$30,VLOOKUP($B46,'הספק קיים ותחזית יצור'!$B$80:$E$100,3,FALSE)/'הנחות עבודה'!$D$33-SUM(W$30:W45)+W$30,V46*(1-'הנחות עבודה'!$D$38))))</f>
        <v>0</v>
      </c>
    </row>
    <row r="47" spans="2:23">
      <c r="B47" s="306">
        <f t="shared" si="6"/>
        <v>2036</v>
      </c>
      <c r="C47" s="235">
        <f>IF($B47&gt;2030,0,IF($B47&gt;C$30,0,IF($B47=C$30,VLOOKUP($B47,'הספק קיים ותחזית יצור'!$B$80:$E$100,3,FALSE)/'הנחות עבודה'!$D$33-SUM(C$30:C46)+C$30,B47*(1-'הנחות עבודה'!$D$38))))</f>
        <v>0</v>
      </c>
      <c r="D47" s="235">
        <f>IF($B47&gt;2030,0,IF($B47&gt;D$30,0,IF($B47=D$30,VLOOKUP($B47,'הספק קיים ותחזית יצור'!$B$80:$E$100,3,FALSE)/'הנחות עבודה'!$D$33-SUM(D$30:D46)+D$30,C47*(1-'הנחות עבודה'!$D$38))))</f>
        <v>0</v>
      </c>
      <c r="E47" s="235">
        <f>IF($B47&gt;2030,0,IF($B47&gt;E$30,0,IF($B47=E$30,VLOOKUP($B47,'הספק קיים ותחזית יצור'!$B$80:$E$100,3,FALSE)/'הנחות עבודה'!$D$33-SUM(E$30:E46)+E$30,D47*(1-'הנחות עבודה'!$D$38))))</f>
        <v>0</v>
      </c>
      <c r="F47" s="235">
        <f>IF($B47&gt;2030,0,IF($B47&gt;F$30,0,IF($B47=F$30,VLOOKUP($B47,'הספק קיים ותחזית יצור'!$B$80:$E$100,3,FALSE)/'הנחות עבודה'!$D$33-SUM(F$30:F46)+F$30,E47*(1-'הנחות עבודה'!$D$38))))</f>
        <v>0</v>
      </c>
      <c r="G47" s="235">
        <f>IF($B47&gt;2030,0,IF($B47&gt;G$30,0,IF($B47=G$30,VLOOKUP($B47,'הספק קיים ותחזית יצור'!$B$80:$E$100,3,FALSE)/'הנחות עבודה'!$D$33-SUM(G$30:G46)+G$30,F47*(1-'הנחות עבודה'!$D$38))))</f>
        <v>0</v>
      </c>
      <c r="H47" s="235">
        <f>IF($B47&gt;2030,0,IF($B47&gt;H$30,0,IF($B47=H$30,VLOOKUP($B47,'הספק קיים ותחזית יצור'!$B$80:$E$100,3,FALSE)/'הנחות עבודה'!$D$33-SUM(H$30:H46)+H$30,G47*(1-'הנחות עבודה'!$D$38))))</f>
        <v>0</v>
      </c>
      <c r="I47" s="235">
        <f>IF($B47&gt;2030,0,IF($B47&gt;I$30,0,IF($B47=I$30,VLOOKUP($B47,'הספק קיים ותחזית יצור'!$B$80:$E$100,3,FALSE)/'הנחות עבודה'!$D$33-SUM(I$30:I46)+I$30,H47*(1-'הנחות עבודה'!$D$38))))</f>
        <v>0</v>
      </c>
      <c r="J47" s="235">
        <f>IF($B47&gt;2030,0,IF($B47&gt;J$30,0,IF($B47=J$30,VLOOKUP($B47,'הספק קיים ותחזית יצור'!$B$80:$E$100,3,FALSE)/'הנחות עבודה'!$D$33-SUM(J$30:J46)+J$30,I47*(1-'הנחות עבודה'!$D$38))))</f>
        <v>0</v>
      </c>
      <c r="K47" s="235">
        <f>IF($B47&gt;2030,0,IF($B47&gt;K$30,0,IF($B47=K$30,VLOOKUP($B47,'הספק קיים ותחזית יצור'!$B$80:$E$100,3,FALSE)/'הנחות עבודה'!$D$33-SUM(K$30:K46)+K$30,J47*(1-'הנחות עבודה'!$D$38))))</f>
        <v>0</v>
      </c>
      <c r="L47" s="235">
        <f>IF($B47&gt;2030,0,IF($B47&gt;L$30,0,IF($B47=L$30,VLOOKUP($B47,'הספק קיים ותחזית יצור'!$B$80:$E$100,3,FALSE)/'הנחות עבודה'!$D$33-SUM(L$30:L46)+L$30,K47*(1-'הנחות עבודה'!$D$38))))</f>
        <v>0</v>
      </c>
      <c r="M47" s="235">
        <f>IF($B47&gt;2030,0,IF($B47&gt;M$30,0,IF($B47=M$30,VLOOKUP($B47,'הספק קיים ותחזית יצור'!$B$80:$E$100,3,FALSE)/'הנחות עבודה'!$D$33-SUM(M$30:M46)+M$30,L47*(1-'הנחות עבודה'!$D$38))))</f>
        <v>0</v>
      </c>
      <c r="N47" s="235">
        <f>IF($B47&gt;2030,0,IF($B47&gt;N$30,0,IF($B47=N$30,VLOOKUP($B47,'הספק קיים ותחזית יצור'!$B$80:$E$100,3,FALSE)/'הנחות עבודה'!$D$33-SUM(N$30:N46)+N$30,M47*(1-'הנחות עבודה'!$D$38))))</f>
        <v>0</v>
      </c>
      <c r="O47" s="235">
        <f>IF($B47&gt;2030,0,IF($B47&gt;O$30,0,IF($B47=O$30,VLOOKUP($B47,'הספק קיים ותחזית יצור'!$B$80:$E$100,3,FALSE)/'הנחות עבודה'!$D$33-SUM(O$30:O46)+O$30,N47*(1-'הנחות עבודה'!$D$38))))</f>
        <v>0</v>
      </c>
      <c r="P47" s="235">
        <f>IF($B47&gt;2030,0,IF($B47&gt;P$30,0,IF($B47=P$30,VLOOKUP($B47,'הספק קיים ותחזית יצור'!$B$80:$E$100,3,FALSE)/'הנחות עבודה'!$D$33-SUM(P$30:P46)+P$30,O47*(1-'הנחות עבודה'!$D$38))))</f>
        <v>0</v>
      </c>
      <c r="Q47" s="235">
        <f>IF($B47&gt;2030,0,IF($B47&gt;Q$30,0,IF($B47=Q$30,VLOOKUP($B47,'הספק קיים ותחזית יצור'!$B$80:$E$100,3,FALSE)/'הנחות עבודה'!$D$33-SUM(Q$30:Q46)+Q$30,P47*(1-'הנחות עבודה'!$D$38))))</f>
        <v>0</v>
      </c>
      <c r="R47" s="235">
        <f>IF($B47&gt;2030,0,IF($B47&gt;R$30,0,IF($B47=R$30,VLOOKUP($B47,'הספק קיים ותחזית יצור'!$B$80:$E$100,3,FALSE)/'הנחות עבודה'!$D$33-SUM(R$30:R46)+R$30,Q47*(1-'הנחות עבודה'!$D$38))))</f>
        <v>0</v>
      </c>
      <c r="S47" s="235">
        <f>IF($B47&gt;2030,0,IF($B47&gt;S$30,0,IF($B47=S$30,VLOOKUP($B47,'הספק קיים ותחזית יצור'!$B$80:$E$100,3,FALSE)/'הנחות עבודה'!$D$33-SUM(S$30:S46)+S$30,R47*(1-'הנחות עבודה'!$D$38))))</f>
        <v>0</v>
      </c>
      <c r="T47" s="235">
        <f>IF($B47&gt;2030,0,IF($B47&gt;T$30,0,IF($B47=T$30,VLOOKUP($B47,'הספק קיים ותחזית יצור'!$B$80:$E$100,3,FALSE)/'הנחות עבודה'!$D$33-SUM(T$30:T46)+T$30,S47*(1-'הנחות עבודה'!$D$38))))</f>
        <v>0</v>
      </c>
      <c r="U47" s="235">
        <f>IF($B47&gt;2030,0,IF($B47&gt;U$30,0,IF($B47=U$30,VLOOKUP($B47,'הספק קיים ותחזית יצור'!$B$80:$E$100,3,FALSE)/'הנחות עבודה'!$D$33-SUM(U$30:U46)+U$30,T47*(1-'הנחות עבודה'!$D$38))))</f>
        <v>0</v>
      </c>
      <c r="V47" s="235">
        <f>IF($B47&gt;2030,0,IF($B47&gt;V$30,0,IF($B47=V$30,VLOOKUP($B47,'הספק קיים ותחזית יצור'!$B$80:$E$100,3,FALSE)/'הנחות עבודה'!$D$33-SUM(V$30:V46)+V$30,U47*(1-'הנחות עבודה'!$D$38))))</f>
        <v>0</v>
      </c>
      <c r="W47" s="235">
        <f>IF($B47&gt;2030,0,IF($B47&gt;W$30,0,IF($B47=W$30,VLOOKUP($B47,'הספק קיים ותחזית יצור'!$B$80:$E$100,3,FALSE)/'הנחות עבודה'!$D$33-SUM(W$30:W46)+W$30,V47*(1-'הנחות עבודה'!$D$38))))</f>
        <v>0</v>
      </c>
    </row>
    <row r="48" spans="2:23">
      <c r="B48" s="306">
        <f t="shared" si="6"/>
        <v>2037</v>
      </c>
      <c r="C48" s="235">
        <f>IF($B48&gt;2030,0,IF($B48&gt;C$30,0,IF($B48=C$30,VLOOKUP($B48,'הספק קיים ותחזית יצור'!$B$80:$E$100,3,FALSE)/'הנחות עבודה'!$D$33-SUM(C$30:C47)+C$30,B48*(1-'הנחות עבודה'!$D$38))))</f>
        <v>0</v>
      </c>
      <c r="D48" s="235">
        <f>IF($B48&gt;2030,0,IF($B48&gt;D$30,0,IF($B48=D$30,VLOOKUP($B48,'הספק קיים ותחזית יצור'!$B$80:$E$100,3,FALSE)/'הנחות עבודה'!$D$33-SUM(D$30:D47)+D$30,C48*(1-'הנחות עבודה'!$D$38))))</f>
        <v>0</v>
      </c>
      <c r="E48" s="235">
        <f>IF($B48&gt;2030,0,IF($B48&gt;E$30,0,IF($B48=E$30,VLOOKUP($B48,'הספק קיים ותחזית יצור'!$B$80:$E$100,3,FALSE)/'הנחות עבודה'!$D$33-SUM(E$30:E47)+E$30,D48*(1-'הנחות עבודה'!$D$38))))</f>
        <v>0</v>
      </c>
      <c r="F48" s="235">
        <f>IF($B48&gt;2030,0,IF($B48&gt;F$30,0,IF($B48=F$30,VLOOKUP($B48,'הספק קיים ותחזית יצור'!$B$80:$E$100,3,FALSE)/'הנחות עבודה'!$D$33-SUM(F$30:F47)+F$30,E48*(1-'הנחות עבודה'!$D$38))))</f>
        <v>0</v>
      </c>
      <c r="G48" s="235">
        <f>IF($B48&gt;2030,0,IF($B48&gt;G$30,0,IF($B48=G$30,VLOOKUP($B48,'הספק קיים ותחזית יצור'!$B$80:$E$100,3,FALSE)/'הנחות עבודה'!$D$33-SUM(G$30:G47)+G$30,F48*(1-'הנחות עבודה'!$D$38))))</f>
        <v>0</v>
      </c>
      <c r="H48" s="235">
        <f>IF($B48&gt;2030,0,IF($B48&gt;H$30,0,IF($B48=H$30,VLOOKUP($B48,'הספק קיים ותחזית יצור'!$B$80:$E$100,3,FALSE)/'הנחות עבודה'!$D$33-SUM(H$30:H47)+H$30,G48*(1-'הנחות עבודה'!$D$38))))</f>
        <v>0</v>
      </c>
      <c r="I48" s="235">
        <f>IF($B48&gt;2030,0,IF($B48&gt;I$30,0,IF($B48=I$30,VLOOKUP($B48,'הספק קיים ותחזית יצור'!$B$80:$E$100,3,FALSE)/'הנחות עבודה'!$D$33-SUM(I$30:I47)+I$30,H48*(1-'הנחות עבודה'!$D$38))))</f>
        <v>0</v>
      </c>
      <c r="J48" s="235">
        <f>IF($B48&gt;2030,0,IF($B48&gt;J$30,0,IF($B48=J$30,VLOOKUP($B48,'הספק קיים ותחזית יצור'!$B$80:$E$100,3,FALSE)/'הנחות עבודה'!$D$33-SUM(J$30:J47)+J$30,I48*(1-'הנחות עבודה'!$D$38))))</f>
        <v>0</v>
      </c>
      <c r="K48" s="235">
        <f>IF($B48&gt;2030,0,IF($B48&gt;K$30,0,IF($B48=K$30,VLOOKUP($B48,'הספק קיים ותחזית יצור'!$B$80:$E$100,3,FALSE)/'הנחות עבודה'!$D$33-SUM(K$30:K47)+K$30,J48*(1-'הנחות עבודה'!$D$38))))</f>
        <v>0</v>
      </c>
      <c r="L48" s="235">
        <f>IF($B48&gt;2030,0,IF($B48&gt;L$30,0,IF($B48=L$30,VLOOKUP($B48,'הספק קיים ותחזית יצור'!$B$80:$E$100,3,FALSE)/'הנחות עבודה'!$D$33-SUM(L$30:L47)+L$30,K48*(1-'הנחות עבודה'!$D$38))))</f>
        <v>0</v>
      </c>
      <c r="M48" s="235">
        <f>IF($B48&gt;2030,0,IF($B48&gt;M$30,0,IF($B48=M$30,VLOOKUP($B48,'הספק קיים ותחזית יצור'!$B$80:$E$100,3,FALSE)/'הנחות עבודה'!$D$33-SUM(M$30:M47)+M$30,L48*(1-'הנחות עבודה'!$D$38))))</f>
        <v>0</v>
      </c>
      <c r="N48" s="235">
        <f>IF($B48&gt;2030,0,IF($B48&gt;N$30,0,IF($B48=N$30,VLOOKUP($B48,'הספק קיים ותחזית יצור'!$B$80:$E$100,3,FALSE)/'הנחות עבודה'!$D$33-SUM(N$30:N47)+N$30,M48*(1-'הנחות עבודה'!$D$38))))</f>
        <v>0</v>
      </c>
      <c r="O48" s="235">
        <f>IF($B48&gt;2030,0,IF($B48&gt;O$30,0,IF($B48=O$30,VLOOKUP($B48,'הספק קיים ותחזית יצור'!$B$80:$E$100,3,FALSE)/'הנחות עבודה'!$D$33-SUM(O$30:O47)+O$30,N48*(1-'הנחות עבודה'!$D$38))))</f>
        <v>0</v>
      </c>
      <c r="P48" s="235">
        <f>IF($B48&gt;2030,0,IF($B48&gt;P$30,0,IF($B48=P$30,VLOOKUP($B48,'הספק קיים ותחזית יצור'!$B$80:$E$100,3,FALSE)/'הנחות עבודה'!$D$33-SUM(P$30:P47)+P$30,O48*(1-'הנחות עבודה'!$D$38))))</f>
        <v>0</v>
      </c>
      <c r="Q48" s="235">
        <f>IF($B48&gt;2030,0,IF($B48&gt;Q$30,0,IF($B48=Q$30,VLOOKUP($B48,'הספק קיים ותחזית יצור'!$B$80:$E$100,3,FALSE)/'הנחות עבודה'!$D$33-SUM(Q$30:Q47)+Q$30,P48*(1-'הנחות עבודה'!$D$38))))</f>
        <v>0</v>
      </c>
      <c r="R48" s="235">
        <f>IF($B48&gt;2030,0,IF($B48&gt;R$30,0,IF($B48=R$30,VLOOKUP($B48,'הספק קיים ותחזית יצור'!$B$80:$E$100,3,FALSE)/'הנחות עבודה'!$D$33-SUM(R$30:R47)+R$30,Q48*(1-'הנחות עבודה'!$D$38))))</f>
        <v>0</v>
      </c>
      <c r="S48" s="235">
        <f>IF($B48&gt;2030,0,IF($B48&gt;S$30,0,IF($B48=S$30,VLOOKUP($B48,'הספק קיים ותחזית יצור'!$B$80:$E$100,3,FALSE)/'הנחות עבודה'!$D$33-SUM(S$30:S47)+S$30,R48*(1-'הנחות עבודה'!$D$38))))</f>
        <v>0</v>
      </c>
      <c r="T48" s="235">
        <f>IF($B48&gt;2030,0,IF($B48&gt;T$30,0,IF($B48=T$30,VLOOKUP($B48,'הספק קיים ותחזית יצור'!$B$80:$E$100,3,FALSE)/'הנחות עבודה'!$D$33-SUM(T$30:T47)+T$30,S48*(1-'הנחות עבודה'!$D$38))))</f>
        <v>0</v>
      </c>
      <c r="U48" s="235">
        <f>IF($B48&gt;2030,0,IF($B48&gt;U$30,0,IF($B48=U$30,VLOOKUP($B48,'הספק קיים ותחזית יצור'!$B$80:$E$100,3,FALSE)/'הנחות עבודה'!$D$33-SUM(U$30:U47)+U$30,T48*(1-'הנחות עבודה'!$D$38))))</f>
        <v>0</v>
      </c>
      <c r="V48" s="235">
        <f>IF($B48&gt;2030,0,IF($B48&gt;V$30,0,IF($B48=V$30,VLOOKUP($B48,'הספק קיים ותחזית יצור'!$B$80:$E$100,3,FALSE)/'הנחות עבודה'!$D$33-SUM(V$30:V47)+V$30,U48*(1-'הנחות עבודה'!$D$38))))</f>
        <v>0</v>
      </c>
      <c r="W48" s="235">
        <f>IF($B48&gt;2030,0,IF($B48&gt;W$30,0,IF($B48=W$30,VLOOKUP($B48,'הספק קיים ותחזית יצור'!$B$80:$E$100,3,FALSE)/'הנחות עבודה'!$D$33-SUM(W$30:W47)+W$30,V48*(1-'הנחות עבודה'!$D$38))))</f>
        <v>0</v>
      </c>
    </row>
    <row r="49" spans="2:23">
      <c r="B49" s="306">
        <f t="shared" si="6"/>
        <v>2038</v>
      </c>
      <c r="C49" s="235">
        <f>IF($B49&gt;2030,0,IF($B49&gt;C$30,0,IF($B49=C$30,VLOOKUP($B49,'הספק קיים ותחזית יצור'!$B$80:$E$100,3,FALSE)/'הנחות עבודה'!$D$33-SUM(C$30:C48)+C$30,B49*(1-'הנחות עבודה'!$D$38))))</f>
        <v>0</v>
      </c>
      <c r="D49" s="235">
        <f>IF($B49&gt;2030,0,IF($B49&gt;D$30,0,IF($B49=D$30,VLOOKUP($B49,'הספק קיים ותחזית יצור'!$B$80:$E$100,3,FALSE)/'הנחות עבודה'!$D$33-SUM(D$30:D48)+D$30,C49*(1-'הנחות עבודה'!$D$38))))</f>
        <v>0</v>
      </c>
      <c r="E49" s="235">
        <f>IF($B49&gt;2030,0,IF($B49&gt;E$30,0,IF($B49=E$30,VLOOKUP($B49,'הספק קיים ותחזית יצור'!$B$80:$E$100,3,FALSE)/'הנחות עבודה'!$D$33-SUM(E$30:E48)+E$30,D49*(1-'הנחות עבודה'!$D$38))))</f>
        <v>0</v>
      </c>
      <c r="F49" s="235">
        <f>IF($B49&gt;2030,0,IF($B49&gt;F$30,0,IF($B49=F$30,VLOOKUP($B49,'הספק קיים ותחזית יצור'!$B$80:$E$100,3,FALSE)/'הנחות עבודה'!$D$33-SUM(F$30:F48)+F$30,E49*(1-'הנחות עבודה'!$D$38))))</f>
        <v>0</v>
      </c>
      <c r="G49" s="235">
        <f>IF($B49&gt;2030,0,IF($B49&gt;G$30,0,IF($B49=G$30,VLOOKUP($B49,'הספק קיים ותחזית יצור'!$B$80:$E$100,3,FALSE)/'הנחות עבודה'!$D$33-SUM(G$30:G48)+G$30,F49*(1-'הנחות עבודה'!$D$38))))</f>
        <v>0</v>
      </c>
      <c r="H49" s="235">
        <f>IF($B49&gt;2030,0,IF($B49&gt;H$30,0,IF($B49=H$30,VLOOKUP($B49,'הספק קיים ותחזית יצור'!$B$80:$E$100,3,FALSE)/'הנחות עבודה'!$D$33-SUM(H$30:H48)+H$30,G49*(1-'הנחות עבודה'!$D$38))))</f>
        <v>0</v>
      </c>
      <c r="I49" s="235">
        <f>IF($B49&gt;2030,0,IF($B49&gt;I$30,0,IF($B49=I$30,VLOOKUP($B49,'הספק קיים ותחזית יצור'!$B$80:$E$100,3,FALSE)/'הנחות עבודה'!$D$33-SUM(I$30:I48)+I$30,H49*(1-'הנחות עבודה'!$D$38))))</f>
        <v>0</v>
      </c>
      <c r="J49" s="235">
        <f>IF($B49&gt;2030,0,IF($B49&gt;J$30,0,IF($B49=J$30,VLOOKUP($B49,'הספק קיים ותחזית יצור'!$B$80:$E$100,3,FALSE)/'הנחות עבודה'!$D$33-SUM(J$30:J48)+J$30,I49*(1-'הנחות עבודה'!$D$38))))</f>
        <v>0</v>
      </c>
      <c r="K49" s="235">
        <f>IF($B49&gt;2030,0,IF($B49&gt;K$30,0,IF($B49=K$30,VLOOKUP($B49,'הספק קיים ותחזית יצור'!$B$80:$E$100,3,FALSE)/'הנחות עבודה'!$D$33-SUM(K$30:K48)+K$30,J49*(1-'הנחות עבודה'!$D$38))))</f>
        <v>0</v>
      </c>
      <c r="L49" s="235">
        <f>IF($B49&gt;2030,0,IF($B49&gt;L$30,0,IF($B49=L$30,VLOOKUP($B49,'הספק קיים ותחזית יצור'!$B$80:$E$100,3,FALSE)/'הנחות עבודה'!$D$33-SUM(L$30:L48)+L$30,K49*(1-'הנחות עבודה'!$D$38))))</f>
        <v>0</v>
      </c>
      <c r="M49" s="235">
        <f>IF($B49&gt;2030,0,IF($B49&gt;M$30,0,IF($B49=M$30,VLOOKUP($B49,'הספק קיים ותחזית יצור'!$B$80:$E$100,3,FALSE)/'הנחות עבודה'!$D$33-SUM(M$30:M48)+M$30,L49*(1-'הנחות עבודה'!$D$38))))</f>
        <v>0</v>
      </c>
      <c r="N49" s="235">
        <f>IF($B49&gt;2030,0,IF($B49&gt;N$30,0,IF($B49=N$30,VLOOKUP($B49,'הספק קיים ותחזית יצור'!$B$80:$E$100,3,FALSE)/'הנחות עבודה'!$D$33-SUM(N$30:N48)+N$30,M49*(1-'הנחות עבודה'!$D$38))))</f>
        <v>0</v>
      </c>
      <c r="O49" s="235">
        <f>IF($B49&gt;2030,0,IF($B49&gt;O$30,0,IF($B49=O$30,VLOOKUP($B49,'הספק קיים ותחזית יצור'!$B$80:$E$100,3,FALSE)/'הנחות עבודה'!$D$33-SUM(O$30:O48)+O$30,N49*(1-'הנחות עבודה'!$D$38))))</f>
        <v>0</v>
      </c>
      <c r="P49" s="235">
        <f>IF($B49&gt;2030,0,IF($B49&gt;P$30,0,IF($B49=P$30,VLOOKUP($B49,'הספק קיים ותחזית יצור'!$B$80:$E$100,3,FALSE)/'הנחות עבודה'!$D$33-SUM(P$30:P48)+P$30,O49*(1-'הנחות עבודה'!$D$38))))</f>
        <v>0</v>
      </c>
      <c r="Q49" s="235">
        <f>IF($B49&gt;2030,0,IF($B49&gt;Q$30,0,IF($B49=Q$30,VLOOKUP($B49,'הספק קיים ותחזית יצור'!$B$80:$E$100,3,FALSE)/'הנחות עבודה'!$D$33-SUM(Q$30:Q48)+Q$30,P49*(1-'הנחות עבודה'!$D$38))))</f>
        <v>0</v>
      </c>
      <c r="R49" s="235">
        <f>IF($B49&gt;2030,0,IF($B49&gt;R$30,0,IF($B49=R$30,VLOOKUP($B49,'הספק קיים ותחזית יצור'!$B$80:$E$100,3,FALSE)/'הנחות עבודה'!$D$33-SUM(R$30:R48)+R$30,Q49*(1-'הנחות עבודה'!$D$38))))</f>
        <v>0</v>
      </c>
      <c r="S49" s="235">
        <f>IF($B49&gt;2030,0,IF($B49&gt;S$30,0,IF($B49=S$30,VLOOKUP($B49,'הספק קיים ותחזית יצור'!$B$80:$E$100,3,FALSE)/'הנחות עבודה'!$D$33-SUM(S$30:S48)+S$30,R49*(1-'הנחות עבודה'!$D$38))))</f>
        <v>0</v>
      </c>
      <c r="T49" s="235">
        <f>IF($B49&gt;2030,0,IF($B49&gt;T$30,0,IF($B49=T$30,VLOOKUP($B49,'הספק קיים ותחזית יצור'!$B$80:$E$100,3,FALSE)/'הנחות עבודה'!$D$33-SUM(T$30:T48)+T$30,S49*(1-'הנחות עבודה'!$D$38))))</f>
        <v>0</v>
      </c>
      <c r="U49" s="235">
        <f>IF($B49&gt;2030,0,IF($B49&gt;U$30,0,IF($B49=U$30,VLOOKUP($B49,'הספק קיים ותחזית יצור'!$B$80:$E$100,3,FALSE)/'הנחות עבודה'!$D$33-SUM(U$30:U48)+U$30,T49*(1-'הנחות עבודה'!$D$38))))</f>
        <v>0</v>
      </c>
      <c r="V49" s="235">
        <f>IF($B49&gt;2030,0,IF($B49&gt;V$30,0,IF($B49=V$30,VLOOKUP($B49,'הספק קיים ותחזית יצור'!$B$80:$E$100,3,FALSE)/'הנחות עבודה'!$D$33-SUM(V$30:V48)+V$30,U49*(1-'הנחות עבודה'!$D$38))))</f>
        <v>0</v>
      </c>
      <c r="W49" s="235">
        <f>IF($B49&gt;2030,0,IF($B49&gt;W$30,0,IF($B49=W$30,VLOOKUP($B49,'הספק קיים ותחזית יצור'!$B$80:$E$100,3,FALSE)/'הנחות עבודה'!$D$33-SUM(W$30:W48)+W$30,V49*(1-'הנחות עבודה'!$D$38))))</f>
        <v>0</v>
      </c>
    </row>
    <row r="50" spans="2:23">
      <c r="B50" s="306">
        <f t="shared" si="6"/>
        <v>2039</v>
      </c>
      <c r="C50" s="235">
        <f>IF($B50&gt;2030,0,IF($B50&gt;C$30,0,IF($B50=C$30,VLOOKUP($B50,'הספק קיים ותחזית יצור'!$B$80:$E$100,3,FALSE)/'הנחות עבודה'!$D$33-SUM(C$30:C49)+C$30,B50*(1-'הנחות עבודה'!$D$38))))</f>
        <v>0</v>
      </c>
      <c r="D50" s="235">
        <f>IF($B50&gt;2030,0,IF($B50&gt;D$30,0,IF($B50=D$30,VLOOKUP($B50,'הספק קיים ותחזית יצור'!$B$80:$E$100,3,FALSE)/'הנחות עבודה'!$D$33-SUM(D$30:D49)+D$30,C50*(1-'הנחות עבודה'!$D$38))))</f>
        <v>0</v>
      </c>
      <c r="E50" s="235">
        <f>IF($B50&gt;2030,0,IF($B50&gt;E$30,0,IF($B50=E$30,VLOOKUP($B50,'הספק קיים ותחזית יצור'!$B$80:$E$100,3,FALSE)/'הנחות עבודה'!$D$33-SUM(E$30:E49)+E$30,D50*(1-'הנחות עבודה'!$D$38))))</f>
        <v>0</v>
      </c>
      <c r="F50" s="235">
        <f>IF($B50&gt;2030,0,IF($B50&gt;F$30,0,IF($B50=F$30,VLOOKUP($B50,'הספק קיים ותחזית יצור'!$B$80:$E$100,3,FALSE)/'הנחות עבודה'!$D$33-SUM(F$30:F49)+F$30,E50*(1-'הנחות עבודה'!$D$38))))</f>
        <v>0</v>
      </c>
      <c r="G50" s="235">
        <f>IF($B50&gt;2030,0,IF($B50&gt;G$30,0,IF($B50=G$30,VLOOKUP($B50,'הספק קיים ותחזית יצור'!$B$80:$E$100,3,FALSE)/'הנחות עבודה'!$D$33-SUM(G$30:G49)+G$30,F50*(1-'הנחות עבודה'!$D$38))))</f>
        <v>0</v>
      </c>
      <c r="H50" s="235">
        <f>IF($B50&gt;2030,0,IF($B50&gt;H$30,0,IF($B50=H$30,VLOOKUP($B50,'הספק קיים ותחזית יצור'!$B$80:$E$100,3,FALSE)/'הנחות עבודה'!$D$33-SUM(H$30:H49)+H$30,G50*(1-'הנחות עבודה'!$D$38))))</f>
        <v>0</v>
      </c>
      <c r="I50" s="235">
        <f>IF($B50&gt;2030,0,IF($B50&gt;I$30,0,IF($B50=I$30,VLOOKUP($B50,'הספק קיים ותחזית יצור'!$B$80:$E$100,3,FALSE)/'הנחות עבודה'!$D$33-SUM(I$30:I49)+I$30,H50*(1-'הנחות עבודה'!$D$38))))</f>
        <v>0</v>
      </c>
      <c r="J50" s="235">
        <f>IF($B50&gt;2030,0,IF($B50&gt;J$30,0,IF($B50=J$30,VLOOKUP($B50,'הספק קיים ותחזית יצור'!$B$80:$E$100,3,FALSE)/'הנחות עבודה'!$D$33-SUM(J$30:J49)+J$30,I50*(1-'הנחות עבודה'!$D$38))))</f>
        <v>0</v>
      </c>
      <c r="K50" s="235">
        <f>IF($B50&gt;2030,0,IF($B50&gt;K$30,0,IF($B50=K$30,VLOOKUP($B50,'הספק קיים ותחזית יצור'!$B$80:$E$100,3,FALSE)/'הנחות עבודה'!$D$33-SUM(K$30:K49)+K$30,J50*(1-'הנחות עבודה'!$D$38))))</f>
        <v>0</v>
      </c>
      <c r="L50" s="235">
        <f>IF($B50&gt;2030,0,IF($B50&gt;L$30,0,IF($B50=L$30,VLOOKUP($B50,'הספק קיים ותחזית יצור'!$B$80:$E$100,3,FALSE)/'הנחות עבודה'!$D$33-SUM(L$30:L49)+L$30,K50*(1-'הנחות עבודה'!$D$38))))</f>
        <v>0</v>
      </c>
      <c r="M50" s="235">
        <f>IF($B50&gt;2030,0,IF($B50&gt;M$30,0,IF($B50=M$30,VLOOKUP($B50,'הספק קיים ותחזית יצור'!$B$80:$E$100,3,FALSE)/'הנחות עבודה'!$D$33-SUM(M$30:M49)+M$30,L50*(1-'הנחות עבודה'!$D$38))))</f>
        <v>0</v>
      </c>
      <c r="N50" s="235">
        <f>IF($B50&gt;2030,0,IF($B50&gt;N$30,0,IF($B50=N$30,VLOOKUP($B50,'הספק קיים ותחזית יצור'!$B$80:$E$100,3,FALSE)/'הנחות עבודה'!$D$33-SUM(N$30:N49)+N$30,M50*(1-'הנחות עבודה'!$D$38))))</f>
        <v>0</v>
      </c>
      <c r="O50" s="235">
        <f>IF($B50&gt;2030,0,IF($B50&gt;O$30,0,IF($B50=O$30,VLOOKUP($B50,'הספק קיים ותחזית יצור'!$B$80:$E$100,3,FALSE)/'הנחות עבודה'!$D$33-SUM(O$30:O49)+O$30,N50*(1-'הנחות עבודה'!$D$38))))</f>
        <v>0</v>
      </c>
      <c r="P50" s="235">
        <f>IF($B50&gt;2030,0,IF($B50&gt;P$30,0,IF($B50=P$30,VLOOKUP($B50,'הספק קיים ותחזית יצור'!$B$80:$E$100,3,FALSE)/'הנחות עבודה'!$D$33-SUM(P$30:P49)+P$30,O50*(1-'הנחות עבודה'!$D$38))))</f>
        <v>0</v>
      </c>
      <c r="Q50" s="235">
        <f>IF($B50&gt;2030,0,IF($B50&gt;Q$30,0,IF($B50=Q$30,VLOOKUP($B50,'הספק קיים ותחזית יצור'!$B$80:$E$100,3,FALSE)/'הנחות עבודה'!$D$33-SUM(Q$30:Q49)+Q$30,P50*(1-'הנחות עבודה'!$D$38))))</f>
        <v>0</v>
      </c>
      <c r="R50" s="235">
        <f>IF($B50&gt;2030,0,IF($B50&gt;R$30,0,IF($B50=R$30,VLOOKUP($B50,'הספק קיים ותחזית יצור'!$B$80:$E$100,3,FALSE)/'הנחות עבודה'!$D$33-SUM(R$30:R49)+R$30,Q50*(1-'הנחות עבודה'!$D$38))))</f>
        <v>0</v>
      </c>
      <c r="S50" s="235">
        <f>IF($B50&gt;2030,0,IF($B50&gt;S$30,0,IF($B50=S$30,VLOOKUP($B50,'הספק קיים ותחזית יצור'!$B$80:$E$100,3,FALSE)/'הנחות עבודה'!$D$33-SUM(S$30:S49)+S$30,R50*(1-'הנחות עבודה'!$D$38))))</f>
        <v>0</v>
      </c>
      <c r="T50" s="235">
        <f>IF($B50&gt;2030,0,IF($B50&gt;T$30,0,IF($B50=T$30,VLOOKUP($B50,'הספק קיים ותחזית יצור'!$B$80:$E$100,3,FALSE)/'הנחות עבודה'!$D$33-SUM(T$30:T49)+T$30,S50*(1-'הנחות עבודה'!$D$38))))</f>
        <v>0</v>
      </c>
      <c r="U50" s="235">
        <f>IF($B50&gt;2030,0,IF($B50&gt;U$30,0,IF($B50=U$30,VLOOKUP($B50,'הספק קיים ותחזית יצור'!$B$80:$E$100,3,FALSE)/'הנחות עבודה'!$D$33-SUM(U$30:U49)+U$30,T50*(1-'הנחות עבודה'!$D$38))))</f>
        <v>0</v>
      </c>
      <c r="V50" s="235">
        <f>IF($B50&gt;2030,0,IF($B50&gt;V$30,0,IF($B50=V$30,VLOOKUP($B50,'הספק קיים ותחזית יצור'!$B$80:$E$100,3,FALSE)/'הנחות עבודה'!$D$33-SUM(V$30:V49)+V$30,U50*(1-'הנחות עבודה'!$D$38))))</f>
        <v>0</v>
      </c>
      <c r="W50" s="235">
        <f>IF($B50&gt;2030,0,IF($B50&gt;W$30,0,IF($B50=W$30,VLOOKUP($B50,'הספק קיים ותחזית יצור'!$B$80:$E$100,3,FALSE)/'הנחות עבודה'!$D$33-SUM(W$30:W49)+W$30,V50*(1-'הנחות עבודה'!$D$38))))</f>
        <v>0</v>
      </c>
    </row>
    <row r="51" spans="2:23" ht="15.75" thickBot="1">
      <c r="B51" s="372">
        <f t="shared" si="6"/>
        <v>2040</v>
      </c>
      <c r="C51" s="238">
        <f>IF($B51&gt;2030,0,IF($B51&gt;C$30,0,IF($B51=C$30,VLOOKUP($B51,'הספק קיים ותחזית יצור'!$B$80:$E$100,3,FALSE)/'הנחות עבודה'!$D$33-SUM(C$30:C50)+C$30,B51*(1-'הנחות עבודה'!$D$38))))</f>
        <v>0</v>
      </c>
      <c r="D51" s="238">
        <f>IF($B51&gt;2030,0,IF($B51&gt;D$30,0,IF($B51=D$30,VLOOKUP($B51,'הספק קיים ותחזית יצור'!$B$80:$E$100,3,FALSE)/'הנחות עבודה'!$D$33-SUM(D$30:D50)+D$30,C51*(1-'הנחות עבודה'!$D$38))))</f>
        <v>0</v>
      </c>
      <c r="E51" s="238">
        <f>IF($B51&gt;2030,0,IF($B51&gt;E$30,0,IF($B51=E$30,VLOOKUP($B51,'הספק קיים ותחזית יצור'!$B$80:$E$100,3,FALSE)/'הנחות עבודה'!$D$33-SUM(E$30:E50)+E$30,D51*(1-'הנחות עבודה'!$D$38))))</f>
        <v>0</v>
      </c>
      <c r="F51" s="238">
        <f>IF($B51&gt;2030,0,IF($B51&gt;F$30,0,IF($B51=F$30,VLOOKUP($B51,'הספק קיים ותחזית יצור'!$B$80:$E$100,3,FALSE)/'הנחות עבודה'!$D$33-SUM(F$30:F50)+F$30,E51*(1-'הנחות עבודה'!$D$38))))</f>
        <v>0</v>
      </c>
      <c r="G51" s="238">
        <f>IF($B51&gt;2030,0,IF($B51&gt;G$30,0,IF($B51=G$30,VLOOKUP($B51,'הספק קיים ותחזית יצור'!$B$80:$E$100,3,FALSE)/'הנחות עבודה'!$D$33-SUM(G$30:G50)+G$30,F51*(1-'הנחות עבודה'!$D$38))))</f>
        <v>0</v>
      </c>
      <c r="H51" s="238">
        <f>IF($B51&gt;2030,0,IF($B51&gt;H$30,0,IF($B51=H$30,VLOOKUP($B51,'הספק קיים ותחזית יצור'!$B$80:$E$100,3,FALSE)/'הנחות עבודה'!$D$33-SUM(H$30:H50)+H$30,G51*(1-'הנחות עבודה'!$D$38))))</f>
        <v>0</v>
      </c>
      <c r="I51" s="238">
        <f>IF($B51&gt;2030,0,IF($B51&gt;I$30,0,IF($B51=I$30,VLOOKUP($B51,'הספק קיים ותחזית יצור'!$B$80:$E$100,3,FALSE)/'הנחות עבודה'!$D$33-SUM(I$30:I50)+I$30,H51*(1-'הנחות עבודה'!$D$38))))</f>
        <v>0</v>
      </c>
      <c r="J51" s="238">
        <f>IF($B51&gt;2030,0,IF($B51&gt;J$30,0,IF($B51=J$30,VLOOKUP($B51,'הספק קיים ותחזית יצור'!$B$80:$E$100,3,FALSE)/'הנחות עבודה'!$D$33-SUM(J$30:J50)+J$30,I51*(1-'הנחות עבודה'!$D$38))))</f>
        <v>0</v>
      </c>
      <c r="K51" s="238">
        <f>IF($B51&gt;2030,0,IF($B51&gt;K$30,0,IF($B51=K$30,VLOOKUP($B51,'הספק קיים ותחזית יצור'!$B$80:$E$100,3,FALSE)/'הנחות עבודה'!$D$33-SUM(K$30:K50)+K$30,J51*(1-'הנחות עבודה'!$D$38))))</f>
        <v>0</v>
      </c>
      <c r="L51" s="238">
        <f>IF($B51&gt;2030,0,IF($B51&gt;L$30,0,IF($B51=L$30,VLOOKUP($B51,'הספק קיים ותחזית יצור'!$B$80:$E$100,3,FALSE)/'הנחות עבודה'!$D$33-SUM(L$30:L50)+L$30,K51*(1-'הנחות עבודה'!$D$38))))</f>
        <v>0</v>
      </c>
      <c r="M51" s="238">
        <f>IF($B51&gt;2030,0,IF($B51&gt;M$30,0,IF($B51=M$30,VLOOKUP($B51,'הספק קיים ותחזית יצור'!$B$80:$E$100,3,FALSE)/'הנחות עבודה'!$D$33-SUM(M$30:M50)+M$30,L51*(1-'הנחות עבודה'!$D$38))))</f>
        <v>0</v>
      </c>
      <c r="N51" s="238">
        <f>IF($B51&gt;2030,0,IF($B51&gt;N$30,0,IF($B51=N$30,VLOOKUP($B51,'הספק קיים ותחזית יצור'!$B$80:$E$100,3,FALSE)/'הנחות עבודה'!$D$33-SUM(N$30:N50)+N$30,M51*(1-'הנחות עבודה'!$D$38))))</f>
        <v>0</v>
      </c>
      <c r="O51" s="238">
        <f>IF($B51&gt;2030,0,IF($B51&gt;O$30,0,IF($B51=O$30,VLOOKUP($B51,'הספק קיים ותחזית יצור'!$B$80:$E$100,3,FALSE)/'הנחות עבודה'!$D$33-SUM(O$30:O50)+O$30,N51*(1-'הנחות עבודה'!$D$38))))</f>
        <v>0</v>
      </c>
      <c r="P51" s="238">
        <f>IF($B51&gt;2030,0,IF($B51&gt;P$30,0,IF($B51=P$30,VLOOKUP($B51,'הספק קיים ותחזית יצור'!$B$80:$E$100,3,FALSE)/'הנחות עבודה'!$D$33-SUM(P$30:P50)+P$30,O51*(1-'הנחות עבודה'!$D$38))))</f>
        <v>0</v>
      </c>
      <c r="Q51" s="238">
        <f>IF($B51&gt;2030,0,IF($B51&gt;Q$30,0,IF($B51=Q$30,VLOOKUP($B51,'הספק קיים ותחזית יצור'!$B$80:$E$100,3,FALSE)/'הנחות עבודה'!$D$33-SUM(Q$30:Q50)+Q$30,P51*(1-'הנחות עבודה'!$D$38))))</f>
        <v>0</v>
      </c>
      <c r="R51" s="238">
        <f>IF($B51&gt;2030,0,IF($B51&gt;R$30,0,IF($B51=R$30,VLOOKUP($B51,'הספק קיים ותחזית יצור'!$B$80:$E$100,3,FALSE)/'הנחות עבודה'!$D$33-SUM(R$30:R50)+R$30,Q51*(1-'הנחות עבודה'!$D$38))))</f>
        <v>0</v>
      </c>
      <c r="S51" s="238">
        <f>IF($B51&gt;2030,0,IF($B51&gt;S$30,0,IF($B51=S$30,VLOOKUP($B51,'הספק קיים ותחזית יצור'!$B$80:$E$100,3,FALSE)/'הנחות עבודה'!$D$33-SUM(S$30:S50)+S$30,R51*(1-'הנחות עבודה'!$D$38))))</f>
        <v>0</v>
      </c>
      <c r="T51" s="238">
        <f>IF($B51&gt;2030,0,IF($B51&gt;T$30,0,IF($B51=T$30,VLOOKUP($B51,'הספק קיים ותחזית יצור'!$B$80:$E$100,3,FALSE)/'הנחות עבודה'!$D$33-SUM(T$30:T50)+T$30,S51*(1-'הנחות עבודה'!$D$38))))</f>
        <v>0</v>
      </c>
      <c r="U51" s="238">
        <f>IF($B51&gt;2030,0,IF($B51&gt;U$30,0,IF($B51=U$30,VLOOKUP($B51,'הספק קיים ותחזית יצור'!$B$80:$E$100,3,FALSE)/'הנחות עבודה'!$D$33-SUM(U$30:U50)+U$30,T51*(1-'הנחות עבודה'!$D$38))))</f>
        <v>0</v>
      </c>
      <c r="V51" s="238">
        <f>IF($B51&gt;2030,0,IF($B51&gt;V$30,0,IF($B51=V$30,VLOOKUP($B51,'הספק קיים ותחזית יצור'!$B$80:$E$100,3,FALSE)/'הנחות עבודה'!$D$33-SUM(V$30:V50)+V$30,U51*(1-'הנחות עבודה'!$D$38))))</f>
        <v>0</v>
      </c>
      <c r="W51" s="238">
        <f>IF($B51&gt;2030,0,IF($B51&gt;W$30,0,IF($B51=W$30,VLOOKUP($B51,'הספק קיים ותחזית יצור'!$B$80:$E$100,3,FALSE)/'הנחות עבודה'!$D$33-SUM(W$30:W50)+W$30,V51*(1-'הנחות עבודה'!$D$38))))</f>
        <v>0</v>
      </c>
    </row>
    <row r="52" spans="2:23" ht="16.5" thickBot="1">
      <c r="B52" s="310" t="s">
        <v>259</v>
      </c>
      <c r="C52" s="580">
        <f>IF(C30='הנחות עבודה'!$C$5,SUMIF($B$6:$B$26,C30,C31:C51),SUMIF($B$6:$B$26,C30,C31:C51)+B52)</f>
        <v>3904.6682808157962</v>
      </c>
      <c r="D52" s="580">
        <f>IF(D30='הנחות עבודה'!$C$5,SUMIF($B$6:$B$26,D30,D31:D51),SUMIF($B$6:$B$26,D30,D31:D51)+C52)</f>
        <v>4645.544455223042</v>
      </c>
      <c r="E52" s="580">
        <f>IF(E30='הנחות עבודה'!$C$5,SUMIF($B$6:$B$26,E30,E31:E51),SUMIF($B$6:$B$26,E30,E31:E51)+D52)</f>
        <v>5202.6432099598951</v>
      </c>
      <c r="F52" s="580">
        <f>IF(F30='הנחות עבודה'!$C$5,SUMIF($B$6:$B$26,F30,F31:F51),SUMIF($B$6:$B$26,F30,F31:F51)+E52)</f>
        <v>5793.5940732295658</v>
      </c>
      <c r="G52" s="580">
        <f>IF(G30='הנחות עבודה'!$C$5,SUMIF($B$6:$B$26,G30,G31:G51),SUMIF($B$6:$B$26,G30,G31:G51)+F52)</f>
        <v>6410.4129890968461</v>
      </c>
      <c r="H52" s="580">
        <f>IF(H30='הנחות עבודה'!$C$5,SUMIF($B$6:$B$26,H30,H31:H51),SUMIF($B$6:$B$26,H30,H31:H51)+G52)</f>
        <v>7121.6523988213703</v>
      </c>
      <c r="I52" s="580">
        <f>IF(I30='הנחות עבודה'!$C$5,SUMIF($B$6:$B$26,I30,I31:I51),SUMIF($B$6:$B$26,I30,I31:I51)+H52)</f>
        <v>8190.197101064754</v>
      </c>
      <c r="J52" s="580">
        <f>IF(J30='הנחות עבודה'!$C$5,SUMIF($B$6:$B$26,J30,J31:J51),SUMIF($B$6:$B$26,J30,J31:J51)+I52)</f>
        <v>9316.3394782636988</v>
      </c>
      <c r="K52" s="580">
        <f>IF(K30='הנחות עבודה'!$C$5,SUMIF($B$6:$B$26,K30,K31:K51),SUMIF($B$6:$B$26,K30,K31:K51)+J52)</f>
        <v>10469.732340329116</v>
      </c>
      <c r="L52" s="580">
        <f>IF(L30='הנחות עבודה'!$C$5,SUMIF($B$6:$B$26,L30,L31:L51),SUMIF($B$6:$B$26,L30,L31:L51)+K52)</f>
        <v>11751.490392697138</v>
      </c>
      <c r="M52" s="580">
        <f>IF(M30='הנחות עבודה'!$C$5,SUMIF($B$6:$B$26,M30,M31:M51),SUMIF($B$6:$B$26,M30,M31:M51)+L52)</f>
        <v>13066.260444853671</v>
      </c>
      <c r="N52" s="580">
        <f>IF(N30='הנחות עבודה'!$C$5,SUMIF($B$6:$B$26,N30,N31:N51),SUMIF($B$6:$B$26,N30,N31:N51)+M52)</f>
        <v>13066.260444853671</v>
      </c>
      <c r="O52" s="580">
        <f>IF(O30='הנחות עבודה'!$C$5,SUMIF($B$6:$B$26,O30,O31:O51),SUMIF($B$6:$B$26,O30,O31:O51)+N52)</f>
        <v>13066.260444853671</v>
      </c>
      <c r="P52" s="580">
        <f>IF(P30='הנחות עבודה'!$C$5,SUMIF($B$6:$B$26,P30,P31:P51),SUMIF($B$6:$B$26,P30,P31:P51)+O52)</f>
        <v>13066.260444853671</v>
      </c>
      <c r="Q52" s="580">
        <f>IF(Q30='הנחות עבודה'!$C$5,SUMIF($B$6:$B$26,Q30,Q31:Q51),SUMIF($B$6:$B$26,Q30,Q31:Q51)+P52)</f>
        <v>13066.260444853671</v>
      </c>
      <c r="R52" s="580">
        <f>IF(R30='הנחות עבודה'!$C$5,SUMIF($B$6:$B$26,R30,R31:R51),SUMIF($B$6:$B$26,R30,R31:R51)+Q52)</f>
        <v>13066.260444853671</v>
      </c>
      <c r="S52" s="580">
        <f>IF(S30='הנחות עבודה'!$C$5,SUMIF($B$6:$B$26,S30,S31:S51),SUMIF($B$6:$B$26,S30,S31:S51)+R52)</f>
        <v>13066.260444853671</v>
      </c>
      <c r="T52" s="580">
        <f>IF(T30='הנחות עבודה'!$C$5,SUMIF($B$6:$B$26,T30,T31:T51),SUMIF($B$6:$B$26,T30,T31:T51)+S52)</f>
        <v>13066.260444853671</v>
      </c>
      <c r="U52" s="580">
        <f>IF(U30='הנחות עבודה'!$C$5,SUMIF($B$6:$B$26,U30,U31:U51),SUMIF($B$6:$B$26,U30,U31:U51)+T52)</f>
        <v>13066.260444853671</v>
      </c>
      <c r="V52" s="580">
        <f>IF(V30='הנחות עבודה'!$C$5,SUMIF($B$6:$B$26,V30,V31:V51),SUMIF($B$6:$B$26,V30,V31:V51)+U52)</f>
        <v>13066.260444853671</v>
      </c>
      <c r="W52" s="580">
        <f>IF(W30='הנחות עבודה'!$C$5,SUMIF($B$6:$B$26,W30,W31:W51),SUMIF($B$6:$B$26,W30,W31:W51)+V52)</f>
        <v>13066.260444853671</v>
      </c>
    </row>
    <row r="53" spans="2:23" ht="15.75" thickBot="1"/>
    <row r="54" spans="2:23" ht="16.5" thickBot="1">
      <c r="B54" s="1286" t="s">
        <v>235</v>
      </c>
      <c r="C54" s="1287"/>
      <c r="D54" s="1287"/>
      <c r="E54" s="1287"/>
      <c r="F54" s="1287"/>
      <c r="G54" s="1287"/>
      <c r="H54" s="1287"/>
      <c r="I54" s="1287"/>
      <c r="J54" s="1287"/>
      <c r="K54" s="1287"/>
      <c r="L54" s="1287"/>
      <c r="M54" s="1287"/>
      <c r="N54" s="1287"/>
      <c r="O54" s="1287"/>
      <c r="P54" s="1287"/>
      <c r="Q54" s="1287"/>
      <c r="R54" s="1287"/>
      <c r="S54" s="1287"/>
      <c r="T54" s="1287"/>
      <c r="U54" s="1287"/>
      <c r="V54" s="1287"/>
      <c r="W54" s="1288"/>
    </row>
    <row r="55" spans="2:23" ht="16.5" thickBot="1">
      <c r="B55" s="310" t="s">
        <v>237</v>
      </c>
      <c r="C55" s="309">
        <f>C30</f>
        <v>2020</v>
      </c>
      <c r="D55" s="309">
        <v>2021</v>
      </c>
      <c r="E55" s="309">
        <v>2022</v>
      </c>
      <c r="F55" s="309">
        <v>2023</v>
      </c>
      <c r="G55" s="309">
        <v>2024</v>
      </c>
      <c r="H55" s="309">
        <v>2025</v>
      </c>
      <c r="I55" s="309">
        <v>2026</v>
      </c>
      <c r="J55" s="309">
        <v>2027</v>
      </c>
      <c r="K55" s="309">
        <v>2028</v>
      </c>
      <c r="L55" s="309">
        <v>2029</v>
      </c>
      <c r="M55" s="309">
        <v>2030</v>
      </c>
      <c r="N55" s="309">
        <v>2031</v>
      </c>
      <c r="O55" s="309">
        <v>2032</v>
      </c>
      <c r="P55" s="309">
        <v>2033</v>
      </c>
      <c r="Q55" s="309">
        <v>2034</v>
      </c>
      <c r="R55" s="309">
        <v>2035</v>
      </c>
      <c r="S55" s="309">
        <v>2036</v>
      </c>
      <c r="T55" s="309">
        <v>2037</v>
      </c>
      <c r="U55" s="309">
        <v>2038</v>
      </c>
      <c r="V55" s="309">
        <v>2039</v>
      </c>
      <c r="W55" s="307">
        <v>2040</v>
      </c>
    </row>
    <row r="56" spans="2:23">
      <c r="B56" s="311">
        <f>B31</f>
        <v>2020</v>
      </c>
      <c r="C56" s="582">
        <f>IF($B56&gt;2030,0,IF($B56&gt;C$55,0,IF($B56=C$55,VLOOKUP($B56,'הספק קיים ותחזית יצור'!$B$80:$E$100,2,FALSE)/'הנחות עבודה'!$D$33-SUM(C$55:C55)+C$55,B56*(1-'הנחות עבודה'!$D$38))))</f>
        <v>3904.6682808157962</v>
      </c>
      <c r="D56" s="232">
        <f>IF($B56&gt;2030,0,IF($B56&gt;D$55,0,IF($B56=D$55,VLOOKUP($B56,'הספק קיים ותחזית יצור'!$B$80:$E$100,2,FALSE)/'הנחות עבודה'!$D$33-SUM(D$55:D55)+D$55,C56*(1-'הנחות עבודה'!$D$38))))</f>
        <v>3881.2402711309014</v>
      </c>
      <c r="E56" s="232">
        <f>IF($B56&gt;2030,0,IF($B56&gt;E$55,0,IF($B56=E$55,VLOOKUP($B56,'הספק קיים ותחזית יצור'!$B$80:$E$100,2,FALSE)/'הנחות עבודה'!$D$33-SUM(E$55:E55)+E$55,D56*(1-'הנחות עבודה'!$D$38))))</f>
        <v>3857.9528295041159</v>
      </c>
      <c r="F56" s="232">
        <f>IF($B56&gt;2030,0,IF($B56&gt;F$55,0,IF($B56=F$55,VLOOKUP($B56,'הספק קיים ותחזית יצור'!$B$80:$E$100,2,FALSE)/'הנחות עבודה'!$D$33-SUM(F$55:F55)+F$55,E56*(1-'הנחות עבודה'!$D$38))))</f>
        <v>3834.8051125270913</v>
      </c>
      <c r="G56" s="232">
        <f>IF($B56&gt;2030,0,IF($B56&gt;G$55,0,IF($B56=G$55,VLOOKUP($B56,'הספק קיים ותחזית יצור'!$B$80:$E$100,2,FALSE)/'הנחות עבודה'!$D$33-SUM(G$55:G55)+G$55,F56*(1-'הנחות עבודה'!$D$38))))</f>
        <v>3811.7962818519286</v>
      </c>
      <c r="H56" s="232">
        <f>IF($B56&gt;2030,0,IF($B56&gt;H$55,0,IF($B56=H$55,VLOOKUP($B56,'הספק קיים ותחזית יצור'!$B$80:$E$100,2,FALSE)/'הנחות עבודה'!$D$33-SUM(H$55:H55)+H$55,G56*(1-'הנחות עבודה'!$D$38))))</f>
        <v>3788.9255041608171</v>
      </c>
      <c r="I56" s="232">
        <f>IF($B56&gt;2030,0,IF($B56&gt;I$55,0,IF($B56=I$55,VLOOKUP($B56,'הספק קיים ותחזית יצור'!$B$80:$E$100,2,FALSE)/'הנחות עבודה'!$D$33-SUM(I$55:I55)+I$55,H56*(1-'הנחות עבודה'!$D$38))))</f>
        <v>3766.1919511358524</v>
      </c>
      <c r="J56" s="232">
        <f>IF($B56&gt;2030,0,IF($B56&gt;J$55,0,IF($B56=J$55,VLOOKUP($B56,'הספק קיים ותחזית יצור'!$B$80:$E$100,2,FALSE)/'הנחות עבודה'!$D$33-SUM(J$55:J55)+J$55,I56*(1-'הנחות עבודה'!$D$38))))</f>
        <v>3743.5947994290373</v>
      </c>
      <c r="K56" s="232">
        <f>IF($B56&gt;2030,0,IF($B56&gt;K$55,0,IF($B56=K$55,VLOOKUP($B56,'הספק קיים ותחזית יצור'!$B$80:$E$100,2,FALSE)/'הנחות עבודה'!$D$33-SUM(K$55:K55)+K$55,J56*(1-'הנחות עבודה'!$D$38))))</f>
        <v>3721.133230632463</v>
      </c>
      <c r="L56" s="232">
        <f>IF($B56&gt;2030,0,IF($B56&gt;L$55,0,IF($B56=L$55,VLOOKUP($B56,'הספק קיים ותחזית יצור'!$B$80:$E$100,2,FALSE)/'הנחות עבודה'!$D$33-SUM(L$55:L55)+L$55,K56*(1-'הנחות עבודה'!$D$38))))</f>
        <v>3698.8064312486681</v>
      </c>
      <c r="M56" s="232">
        <f>IF($B56&gt;2030,0,IF($B56&gt;M$55,0,IF($B56=M$55,VLOOKUP($B56,'הספק קיים ותחזית יצור'!$B$80:$E$100,2,FALSE)/'הנחות עבודה'!$D$33-SUM(M$55:M55)+M$55,L56*(1-'הנחות עבודה'!$D$38))))</f>
        <v>3676.613592661176</v>
      </c>
      <c r="N56" s="232">
        <f>IF($B56&gt;2030,0,IF($B56&gt;N$55,0,IF($B56=N$55,VLOOKUP($B56,'הספק קיים ותחזית יצור'!$B$80:$E$100,2,FALSE)/'הנחות עבודה'!$D$33-SUM(N$55:N55)+N$55,M56*(1-'הנחות עבודה'!$D$38))))</f>
        <v>3654.553911105209</v>
      </c>
      <c r="O56" s="232">
        <f>IF($B56&gt;2030,0,IF($B56&gt;O$55,0,IF($B56=O$55,VLOOKUP($B56,'הספק קיים ותחזית יצור'!$B$80:$E$100,2,FALSE)/'הנחות עבודה'!$D$33-SUM(O$55:O55)+O$55,N56*(1-'הנחות עבודה'!$D$38))))</f>
        <v>3632.6265876385778</v>
      </c>
      <c r="P56" s="232">
        <f>IF($B56&gt;2030,0,IF($B56&gt;P$55,0,IF($B56=P$55,VLOOKUP($B56,'הספק קיים ותחזית יצור'!$B$80:$E$100,2,FALSE)/'הנחות עבודה'!$D$33-SUM(P$55:P55)+P$55,O56*(1-'הנחות עבודה'!$D$38))))</f>
        <v>3610.8308281127465</v>
      </c>
      <c r="Q56" s="232">
        <f>IF($B56&gt;2030,0,IF($B56&gt;Q$55,0,IF($B56=Q$55,VLOOKUP($B56,'הספק קיים ותחזית יצור'!$B$80:$E$100,2,FALSE)/'הנחות עבודה'!$D$33-SUM(Q$55:Q55)+Q$55,P56*(1-'הנחות עבודה'!$D$38))))</f>
        <v>3589.1658431440701</v>
      </c>
      <c r="R56" s="232">
        <f>IF($B56&gt;2030,0,IF($B56&gt;R$55,0,IF($B56=R$55,VLOOKUP($B56,'הספק קיים ותחזית יצור'!$B$80:$E$100,2,FALSE)/'הנחות עבודה'!$D$33-SUM(R$55:R55)+R$55,Q56*(1-'הנחות עבודה'!$D$38))))</f>
        <v>3567.6308480852058</v>
      </c>
      <c r="S56" s="232">
        <f>IF($B56&gt;2030,0,IF($B56&gt;S$55,0,IF($B56=S$55,VLOOKUP($B56,'הספק קיים ותחזית יצור'!$B$80:$E$100,2,FALSE)/'הנחות עבודה'!$D$33-SUM(S$55:S55)+S$55,R56*(1-'הנחות עבודה'!$D$38))))</f>
        <v>3546.2250629966948</v>
      </c>
      <c r="T56" s="232">
        <f>IF($B56&gt;2030,0,IF($B56&gt;T$55,0,IF($B56=T$55,VLOOKUP($B56,'הספק קיים ותחזית יצור'!$B$80:$E$100,2,FALSE)/'הנחות עבודה'!$D$33-SUM(T$55:T55)+T$55,S56*(1-'הנחות עבודה'!$D$38))))</f>
        <v>3524.9477126187144</v>
      </c>
      <c r="U56" s="232">
        <f>IF($B56&gt;2030,0,IF($B56&gt;U$55,0,IF($B56=U$55,VLOOKUP($B56,'הספק קיים ותחזית יצור'!$B$80:$E$100,2,FALSE)/'הנחות עבודה'!$D$33-SUM(U$55:U55)+U$55,T56*(1-'הנחות עבודה'!$D$38))))</f>
        <v>3503.7980263430022</v>
      </c>
      <c r="V56" s="232">
        <f>IF($B56&gt;2030,0,IF($B56&gt;V$55,0,IF($B56=V$55,VLOOKUP($B56,'הספק קיים ותחזית יצור'!$B$80:$E$100,2,FALSE)/'הנחות עבודה'!$D$33-SUM(V$55:V55)+V$55,U56*(1-'הנחות עבודה'!$D$38))))</f>
        <v>3482.7752381849441</v>
      </c>
      <c r="W56" s="233">
        <f>IF($B56&gt;2030,0,IF($B56&gt;W$55,0,IF($B56=W$55,VLOOKUP($B56,'הספק קיים ותחזית יצור'!$B$80:$E$100,2,FALSE)/'הנחות עבודה'!$D$33-SUM(W$55:W55)+W$55,V56*(1-'הנחות עבודה'!$D$38))))</f>
        <v>3461.8785867558345</v>
      </c>
    </row>
    <row r="57" spans="2:23">
      <c r="B57" s="306">
        <f>+B56+1</f>
        <v>2021</v>
      </c>
      <c r="C57" s="234">
        <f>IF($B57&gt;2030,0,IF($B57&gt;C$55,0,IF($B57=C$55,VLOOKUP($B57,'הספק קיים ותחזית יצור'!$B$80:$E$100,2,FALSE)/'הנחות עבודה'!$D$33-SUM(C$55:C56)+C$55,B57*(1-'הנחות עבודה'!$D$38))))</f>
        <v>0</v>
      </c>
      <c r="D57" s="235">
        <f>IF($B57&gt;2030,0,IF($B57&gt;D$55,0,IF($B57=D$55,VLOOKUP($B57,'הספק קיים ותחזית יצור'!$B$80:$E$100,2,FALSE)/'הנחות עבודה'!$D$33-SUM(D$55:D56)+D$55,C57*(1-'הנחות עבודה'!$D$38))))</f>
        <v>323.91425072518814</v>
      </c>
      <c r="E57" s="235">
        <f>IF($B57&gt;2030,0,IF($B57&gt;E$55,0,IF($B57=E$55,VLOOKUP($B57,'הספק קיים ותחזית יצור'!$B$80:$E$100,2,FALSE)/'הנחות עבודה'!$D$33-SUM(E$55:E56)+E$55,D57*(1-'הנחות עבודה'!$D$38))))</f>
        <v>321.970765220837</v>
      </c>
      <c r="F57" s="235">
        <f>IF($B57&gt;2030,0,IF($B57&gt;F$55,0,IF($B57=F$55,VLOOKUP($B57,'הספק קיים ותחזית יצור'!$B$80:$E$100,2,FALSE)/'הנחות עבודה'!$D$33-SUM(F$55:F56)+F$55,E57*(1-'הנחות עבודה'!$D$38))))</f>
        <v>320.03894062951196</v>
      </c>
      <c r="G57" s="235">
        <f>IF($B57&gt;2030,0,IF($B57&gt;G$55,0,IF($B57=G$55,VLOOKUP($B57,'הספק קיים ותחזית יצור'!$B$80:$E$100,2,FALSE)/'הנחות עבודה'!$D$33-SUM(G$55:G56)+G$55,F57*(1-'הנחות עבודה'!$D$38))))</f>
        <v>318.11870698573489</v>
      </c>
      <c r="H57" s="235">
        <f>IF($B57&gt;2030,0,IF($B57&gt;H$55,0,IF($B57=H$55,VLOOKUP($B57,'הספק קיים ותחזית יצור'!$B$80:$E$100,2,FALSE)/'הנחות עבודה'!$D$33-SUM(H$55:H56)+H$55,G57*(1-'הנחות עבודה'!$D$38))))</f>
        <v>316.20999474382046</v>
      </c>
      <c r="I57" s="235">
        <f>IF($B57&gt;2030,0,IF($B57&gt;I$55,0,IF($B57=I$55,VLOOKUP($B57,'הספק קיים ותחזית יצור'!$B$80:$E$100,2,FALSE)/'הנחות עבודה'!$D$33-SUM(I$55:I56)+I$55,H57*(1-'הנחות עבודה'!$D$38))))</f>
        <v>314.31273477535751</v>
      </c>
      <c r="J57" s="235">
        <f>IF($B57&gt;2030,0,IF($B57&gt;J$55,0,IF($B57=J$55,VLOOKUP($B57,'הספק קיים ותחזית יצור'!$B$80:$E$100,2,FALSE)/'הנחות עבודה'!$D$33-SUM(J$55:J56)+J$55,I57*(1-'הנחות עבודה'!$D$38))))</f>
        <v>312.42685836670535</v>
      </c>
      <c r="K57" s="235">
        <f>IF($B57&gt;2030,0,IF($B57&gt;K$55,0,IF($B57=K$55,VLOOKUP($B57,'הספק קיים ותחזית יצור'!$B$80:$E$100,2,FALSE)/'הנחות עבודה'!$D$33-SUM(K$55:K56)+K$55,J57*(1-'הנחות עבודה'!$D$38))))</f>
        <v>310.55229721650511</v>
      </c>
      <c r="L57" s="235">
        <f>IF($B57&gt;2030,0,IF($B57&gt;L$55,0,IF($B57=L$55,VLOOKUP($B57,'הספק קיים ותחזית יצור'!$B$80:$E$100,2,FALSE)/'הנחות עבודה'!$D$33-SUM(L$55:L56)+L$55,K57*(1-'הנחות עבודה'!$D$38))))</f>
        <v>308.68898343320609</v>
      </c>
      <c r="M57" s="235">
        <f>IF($B57&gt;2030,0,IF($B57&gt;M$55,0,IF($B57=M$55,VLOOKUP($B57,'הספק קיים ותחזית יצור'!$B$80:$E$100,2,FALSE)/'הנחות עבודה'!$D$33-SUM(M$55:M56)+M$55,L57*(1-'הנחות עבודה'!$D$38))))</f>
        <v>306.83684953260683</v>
      </c>
      <c r="N57" s="235">
        <f>IF($B57&gt;2030,0,IF($B57&gt;N$55,0,IF($B57=N$55,VLOOKUP($B57,'הספק קיים ותחזית יצור'!$B$80:$E$100,2,FALSE)/'הנחות עבודה'!$D$33-SUM(N$55:N56)+N$55,M57*(1-'הנחות עבודה'!$D$38))))</f>
        <v>304.99582843541117</v>
      </c>
      <c r="O57" s="235">
        <f>IF($B57&gt;2030,0,IF($B57&gt;O$55,0,IF($B57=O$55,VLOOKUP($B57,'הספק קיים ותחזית יצור'!$B$80:$E$100,2,FALSE)/'הנחות עבודה'!$D$33-SUM(O$55:O56)+O$55,N57*(1-'הנחות עבודה'!$D$38))))</f>
        <v>303.16585346479872</v>
      </c>
      <c r="P57" s="235">
        <f>IF($B57&gt;2030,0,IF($B57&gt;P$55,0,IF($B57=P$55,VLOOKUP($B57,'הספק קיים ותחזית יצור'!$B$80:$E$100,2,FALSE)/'הנחות עבודה'!$D$33-SUM(P$55:P56)+P$55,O57*(1-'הנחות עבודה'!$D$38))))</f>
        <v>301.34685834400995</v>
      </c>
      <c r="Q57" s="235">
        <f>IF($B57&gt;2030,0,IF($B57&gt;Q$55,0,IF($B57=Q$55,VLOOKUP($B57,'הספק קיים ותחזית יצור'!$B$80:$E$100,2,FALSE)/'הנחות עבודה'!$D$33-SUM(Q$55:Q56)+Q$55,P57*(1-'הנחות עבודה'!$D$38))))</f>
        <v>299.53877719394586</v>
      </c>
      <c r="R57" s="235">
        <f>IF($B57&gt;2030,0,IF($B57&gt;R$55,0,IF($B57=R$55,VLOOKUP($B57,'הספק קיים ותחזית יצור'!$B$80:$E$100,2,FALSE)/'הנחות עבודה'!$D$33-SUM(R$55:R56)+R$55,Q57*(1-'הנחות עבודה'!$D$38))))</f>
        <v>297.74154453078216</v>
      </c>
      <c r="S57" s="235">
        <f>IF($B57&gt;2030,0,IF($B57&gt;S$55,0,IF($B57=S$55,VLOOKUP($B57,'הספק קיים ותחזית יצור'!$B$80:$E$100,2,FALSE)/'הנחות עבודה'!$D$33-SUM(S$55:S56)+S$55,R57*(1-'הנחות עבודה'!$D$38))))</f>
        <v>295.95509526359746</v>
      </c>
      <c r="T57" s="235">
        <f>IF($B57&gt;2030,0,IF($B57&gt;T$55,0,IF($B57=T$55,VLOOKUP($B57,'הספק קיים ותחזית יצור'!$B$80:$E$100,2,FALSE)/'הנחות עבודה'!$D$33-SUM(T$55:T56)+T$55,S57*(1-'הנחות עבודה'!$D$38))))</f>
        <v>294.17936469201589</v>
      </c>
      <c r="U57" s="235">
        <f>IF($B57&gt;2030,0,IF($B57&gt;U$55,0,IF($B57=U$55,VLOOKUP($B57,'הספק קיים ותחזית יצור'!$B$80:$E$100,2,FALSE)/'הנחות עבודה'!$D$33-SUM(U$55:U56)+U$55,T57*(1-'הנחות עבודה'!$D$38))))</f>
        <v>292.41428850386382</v>
      </c>
      <c r="V57" s="235">
        <f>IF($B57&gt;2030,0,IF($B57&gt;V$55,0,IF($B57=V$55,VLOOKUP($B57,'הספק קיים ותחזית יצור'!$B$80:$E$100,2,FALSE)/'הנחות עבודה'!$D$33-SUM(V$55:V56)+V$55,U57*(1-'הנחות עבודה'!$D$38))))</f>
        <v>290.65980277284064</v>
      </c>
      <c r="W57" s="236">
        <f>IF($B57&gt;2030,0,IF($B57&gt;W$55,0,IF($B57=W$55,VLOOKUP($B57,'הספק קיים ותחזית יצור'!$B$80:$E$100,2,FALSE)/'הנחות עבודה'!$D$33-SUM(W$55:W56)+W$55,V57*(1-'הנחות עבודה'!$D$38))))</f>
        <v>288.91584395620362</v>
      </c>
    </row>
    <row r="58" spans="2:23">
      <c r="B58" s="306">
        <f t="shared" ref="B58:B76" si="7">+B57+1</f>
        <v>2022</v>
      </c>
      <c r="C58" s="234">
        <f>IF($B58&gt;2030,0,IF($B58&gt;C$55,0,IF($B58=C$55,VLOOKUP($B58,'הספק קיים ותחזית יצור'!$B$80:$E$100,2,FALSE)/'הנחות עבודה'!$D$33-SUM(C$55:C57)+C$55,B58*(1-'הנחות עבודה'!$D$38))))</f>
        <v>0</v>
      </c>
      <c r="D58" s="235">
        <f>IF($B58&gt;2030,0,IF($B58&gt;D$55,0,IF($B58=D$55,VLOOKUP($B58,'הספק קיים ותחזית יצור'!$B$80:$E$100,2,FALSE)/'הנחות עבודה'!$D$33-SUM(D$55:D57)+D$55,C58*(1-'הנחות עבודה'!$D$38))))</f>
        <v>0</v>
      </c>
      <c r="E58" s="235">
        <f>IF($B58&gt;2030,0,IF($B58&gt;E$55,0,IF($B58=E$55,VLOOKUP($B58,'הספק קיים ותחזית יצור'!$B$80:$E$100,2,FALSE)/'הנחות עבודה'!$D$33-SUM(E$55:E57)+E$55,D58*(1-'הנחות עבודה'!$D$38))))</f>
        <v>114.79847958817481</v>
      </c>
      <c r="F58" s="235">
        <f>IF($B58&gt;2030,0,IF($B58&gt;F$55,0,IF($B58=F$55,VLOOKUP($B58,'הספק קיים ותחזית יצור'!$B$80:$E$100,2,FALSE)/'הנחות עבודה'!$D$33-SUM(F$55:F57)+F$55,E58*(1-'הנחות עבודה'!$D$38))))</f>
        <v>114.10968871064577</v>
      </c>
      <c r="G58" s="235">
        <f>IF($B58&gt;2030,0,IF($B58&gt;G$55,0,IF($B58=G$55,VLOOKUP($B58,'הספק קיים ותחזית יצור'!$B$80:$E$100,2,FALSE)/'הנחות עבודה'!$D$33-SUM(G$55:G57)+G$55,F58*(1-'הנחות עבודה'!$D$38))))</f>
        <v>113.42503057838189</v>
      </c>
      <c r="H58" s="235">
        <f>IF($B58&gt;2030,0,IF($B58&gt;H$55,0,IF($B58=H$55,VLOOKUP($B58,'הספק קיים ותחזית יצור'!$B$80:$E$100,2,FALSE)/'הנחות עבודה'!$D$33-SUM(H$55:H57)+H$55,G58*(1-'הנחות עבודה'!$D$38))))</f>
        <v>112.74448039491161</v>
      </c>
      <c r="I58" s="235">
        <f>IF($B58&gt;2030,0,IF($B58&gt;I$55,0,IF($B58=I$55,VLOOKUP($B58,'הספק קיים ותחזית יצור'!$B$80:$E$100,2,FALSE)/'הנחות עבודה'!$D$33-SUM(I$55:I57)+I$55,H58*(1-'הנחות עבודה'!$D$38))))</f>
        <v>112.06801351254214</v>
      </c>
      <c r="J58" s="235">
        <f>IF($B58&gt;2030,0,IF($B58&gt;J$55,0,IF($B58=J$55,VLOOKUP($B58,'הספק קיים ותחזית יצור'!$B$80:$E$100,2,FALSE)/'הנחות עבודה'!$D$33-SUM(J$55:J57)+J$55,I58*(1-'הנחות עבודה'!$D$38))))</f>
        <v>111.39560543146689</v>
      </c>
      <c r="K58" s="235">
        <f>IF($B58&gt;2030,0,IF($B58&gt;K$55,0,IF($B58=K$55,VLOOKUP($B58,'הספק קיים ותחזית יצור'!$B$80:$E$100,2,FALSE)/'הנחות עבודה'!$D$33-SUM(K$55:K57)+K$55,J58*(1-'הנחות עבודה'!$D$38))))</f>
        <v>110.72723179887809</v>
      </c>
      <c r="L58" s="235">
        <f>IF($B58&gt;2030,0,IF($B58&gt;L$55,0,IF($B58=L$55,VLOOKUP($B58,'הספק קיים ותחזית יצור'!$B$80:$E$100,2,FALSE)/'הנחות עבודה'!$D$33-SUM(L$55:L57)+L$55,K58*(1-'הנחות עבודה'!$D$38))))</f>
        <v>110.06286840808482</v>
      </c>
      <c r="M58" s="235">
        <f>IF($B58&gt;2030,0,IF($B58&gt;M$55,0,IF($B58=M$55,VLOOKUP($B58,'הספק קיים ותחזית יצור'!$B$80:$E$100,2,FALSE)/'הנחות עבודה'!$D$33-SUM(M$55:M57)+M$55,L58*(1-'הנחות עבודה'!$D$38))))</f>
        <v>109.40249119763631</v>
      </c>
      <c r="N58" s="235">
        <f>IF($B58&gt;2030,0,IF($B58&gt;N$55,0,IF($B58=N$55,VLOOKUP($B58,'הספק קיים ותחזית יצור'!$B$80:$E$100,2,FALSE)/'הנחות עבודה'!$D$33-SUM(N$55:N57)+N$55,M58*(1-'הנחות עבודה'!$D$38))))</f>
        <v>108.74607625045049</v>
      </c>
      <c r="O58" s="235">
        <f>IF($B58&gt;2030,0,IF($B58&gt;O$55,0,IF($B58=O$55,VLOOKUP($B58,'הספק קיים ותחזית יצור'!$B$80:$E$100,2,FALSE)/'הנחות עבודה'!$D$33-SUM(O$55:O57)+O$55,N58*(1-'הנחות עבודה'!$D$38))))</f>
        <v>108.09359979294778</v>
      </c>
      <c r="P58" s="235">
        <f>IF($B58&gt;2030,0,IF($B58&gt;P$55,0,IF($B58=P$55,VLOOKUP($B58,'הספק קיים ותחזית יצור'!$B$80:$E$100,2,FALSE)/'הנחות עבודה'!$D$33-SUM(P$55:P57)+P$55,O58*(1-'הנחות עבודה'!$D$38))))</f>
        <v>107.4450381941901</v>
      </c>
      <c r="Q58" s="235">
        <f>IF($B58&gt;2030,0,IF($B58&gt;Q$55,0,IF($B58=Q$55,VLOOKUP($B58,'הספק קיים ותחזית יצור'!$B$80:$E$100,2,FALSE)/'הנחות עבודה'!$D$33-SUM(Q$55:Q57)+Q$55,P58*(1-'הנחות עבודה'!$D$38))))</f>
        <v>106.80036796502496</v>
      </c>
      <c r="R58" s="235">
        <f>IF($B58&gt;2030,0,IF($B58&gt;R$55,0,IF($B58=R$55,VLOOKUP($B58,'הספק קיים ותחזית יצור'!$B$80:$E$100,2,FALSE)/'הנחות עבודה'!$D$33-SUM(R$55:R57)+R$55,Q58*(1-'הנחות עבודה'!$D$38))))</f>
        <v>106.15956575723482</v>
      </c>
      <c r="S58" s="235">
        <f>IF($B58&gt;2030,0,IF($B58&gt;S$55,0,IF($B58=S$55,VLOOKUP($B58,'הספק קיים ותחזית יצור'!$B$80:$E$100,2,FALSE)/'הנחות עבודה'!$D$33-SUM(S$55:S57)+S$55,R58*(1-'הנחות עבודה'!$D$38))))</f>
        <v>105.5226083626914</v>
      </c>
      <c r="T58" s="235">
        <f>IF($B58&gt;2030,0,IF($B58&gt;T$55,0,IF($B58=T$55,VLOOKUP($B58,'הספק קיים ותחזית יצור'!$B$80:$E$100,2,FALSE)/'הנחות עבודה'!$D$33-SUM(T$55:T57)+T$55,S58*(1-'הנחות עבודה'!$D$38))))</f>
        <v>104.88947271251526</v>
      </c>
      <c r="U58" s="235">
        <f>IF($B58&gt;2030,0,IF($B58&gt;U$55,0,IF($B58=U$55,VLOOKUP($B58,'הספק קיים ותחזית יצור'!$B$80:$E$100,2,FALSE)/'הנחות עבודה'!$D$33-SUM(U$55:U57)+U$55,T58*(1-'הנחות עבודה'!$D$38))))</f>
        <v>104.26013587624017</v>
      </c>
      <c r="V58" s="235">
        <f>IF($B58&gt;2030,0,IF($B58&gt;V$55,0,IF($B58=V$55,VLOOKUP($B58,'הספק קיים ותחזית יצור'!$B$80:$E$100,2,FALSE)/'הנחות עבודה'!$D$33-SUM(V$55:V57)+V$55,U58*(1-'הנחות עבודה'!$D$38))))</f>
        <v>103.63457506098273</v>
      </c>
      <c r="W58" s="236">
        <f>IF($B58&gt;2030,0,IF($B58&gt;W$55,0,IF($B58=W$55,VLOOKUP($B58,'הספק קיים ותחזית יצור'!$B$80:$E$100,2,FALSE)/'הנחות עבודה'!$D$33-SUM(W$55:W57)+W$55,V58*(1-'הנחות עבודה'!$D$38))))</f>
        <v>103.01276761061683</v>
      </c>
    </row>
    <row r="59" spans="2:23">
      <c r="B59" s="306">
        <f t="shared" si="7"/>
        <v>2023</v>
      </c>
      <c r="C59" s="234">
        <f>IF($B59&gt;2030,0,IF($B59&gt;C$55,0,IF($B59=C$55,VLOOKUP($B59,'הספק קיים ותחזית יצור'!$B$80:$E$100,2,FALSE)/'הנחות עבודה'!$D$33-SUM(C$55:C58)+C$55,B59*(1-'הנחות עבודה'!$D$38))))</f>
        <v>0</v>
      </c>
      <c r="D59" s="235">
        <f>IF($B59&gt;2030,0,IF($B59&gt;D$55,0,IF($B59=D$55,VLOOKUP($B59,'הספק קיים ותחזית יצור'!$B$80:$E$100,2,FALSE)/'הנחות עבודה'!$D$33-SUM(D$55:D58)+D$55,C59*(1-'הנחות עבודה'!$D$38))))</f>
        <v>0</v>
      </c>
      <c r="E59" s="235">
        <f>IF($B59&gt;2030,0,IF($B59&gt;E$55,0,IF($B59=E$55,VLOOKUP($B59,'הספק קיים ותחזית יצור'!$B$80:$E$100,2,FALSE)/'הנחות עבודה'!$D$33-SUM(E$55:E58)+E$55,D59*(1-'הנחות עבודה'!$D$38))))</f>
        <v>0</v>
      </c>
      <c r="F59" s="235">
        <f>IF($B59&gt;2030,0,IF($B59&gt;F$55,0,IF($B59=F$55,VLOOKUP($B59,'הספק קיים ותחזית יצור'!$B$80:$E$100,2,FALSE)/'הנחות עבודה'!$D$33-SUM(F$55:F58)+F$55,E59*(1-'הנחות עבודה'!$D$38))))</f>
        <v>122.1593918864919</v>
      </c>
      <c r="G59" s="235">
        <f>IF($B59&gt;2030,0,IF($B59&gt;G$55,0,IF($B59=G$55,VLOOKUP($B59,'הספק קיים ותחזית יצור'!$B$80:$E$100,2,FALSE)/'הנחות עבודה'!$D$33-SUM(G$55:G58)+G$55,F59*(1-'הנחות עבודה'!$D$38))))</f>
        <v>121.42643553517296</v>
      </c>
      <c r="H59" s="235">
        <f>IF($B59&gt;2030,0,IF($B59&gt;H$55,0,IF($B59=H$55,VLOOKUP($B59,'הספק קיים ותחזית יצור'!$B$80:$E$100,2,FALSE)/'הנחות עבודה'!$D$33-SUM(H$55:H58)+H$55,G59*(1-'הנחות עבודה'!$D$38))))</f>
        <v>120.69787692196192</v>
      </c>
      <c r="I59" s="235">
        <f>IF($B59&gt;2030,0,IF($B59&gt;I$55,0,IF($B59=I$55,VLOOKUP($B59,'הספק קיים ותחזית יצור'!$B$80:$E$100,2,FALSE)/'הנחות עבודה'!$D$33-SUM(I$55:I58)+I$55,H59*(1-'הנחות עבודה'!$D$38))))</f>
        <v>119.97368966043015</v>
      </c>
      <c r="J59" s="235">
        <f>IF($B59&gt;2030,0,IF($B59&gt;J$55,0,IF($B59=J$55,VLOOKUP($B59,'הספק קיים ותחזית יצור'!$B$80:$E$100,2,FALSE)/'הנחות עבודה'!$D$33-SUM(J$55:J58)+J$55,I59*(1-'הנחות עבודה'!$D$38))))</f>
        <v>119.25384752246757</v>
      </c>
      <c r="K59" s="235">
        <f>IF($B59&gt;2030,0,IF($B59&gt;K$55,0,IF($B59=K$55,VLOOKUP($B59,'הספק קיים ותחזית יצור'!$B$80:$E$100,2,FALSE)/'הנחות עבודה'!$D$33-SUM(K$55:K58)+K$55,J59*(1-'הנחות עבודה'!$D$38))))</f>
        <v>118.53832443733276</v>
      </c>
      <c r="L59" s="235">
        <f>IF($B59&gt;2030,0,IF($B59&gt;L$55,0,IF($B59=L$55,VLOOKUP($B59,'הספק קיים ותחזית יצור'!$B$80:$E$100,2,FALSE)/'הנחות עבודה'!$D$33-SUM(L$55:L58)+L$55,K59*(1-'הנחות עבודה'!$D$38))))</f>
        <v>117.82709449070876</v>
      </c>
      <c r="M59" s="235">
        <f>IF($B59&gt;2030,0,IF($B59&gt;M$55,0,IF($B59=M$55,VLOOKUP($B59,'הספק קיים ותחזית יצור'!$B$80:$E$100,2,FALSE)/'הנחות עבודה'!$D$33-SUM(M$55:M58)+M$55,L59*(1-'הנחות עבודה'!$D$38))))</f>
        <v>117.1201319237645</v>
      </c>
      <c r="N59" s="235">
        <f>IF($B59&gt;2030,0,IF($B59&gt;N$55,0,IF($B59=N$55,VLOOKUP($B59,'הספק קיים ותחזית יצור'!$B$80:$E$100,2,FALSE)/'הנחות עבודה'!$D$33-SUM(N$55:N58)+N$55,M59*(1-'הנחות עבודה'!$D$38))))</f>
        <v>116.41741113222191</v>
      </c>
      <c r="O59" s="235">
        <f>IF($B59&gt;2030,0,IF($B59&gt;O$55,0,IF($B59=O$55,VLOOKUP($B59,'הספק קיים ותחזית יצור'!$B$80:$E$100,2,FALSE)/'הנחות עבודה'!$D$33-SUM(O$55:O58)+O$55,N59*(1-'הנחות עבודה'!$D$38))))</f>
        <v>115.71890666542858</v>
      </c>
      <c r="P59" s="235">
        <f>IF($B59&gt;2030,0,IF($B59&gt;P$55,0,IF($B59=P$55,VLOOKUP($B59,'הספק קיים ותחזית יצור'!$B$80:$E$100,2,FALSE)/'הנחות עבודה'!$D$33-SUM(P$55:P58)+P$55,O59*(1-'הנחות עבודה'!$D$38))))</f>
        <v>115.02459322543601</v>
      </c>
      <c r="Q59" s="235">
        <f>IF($B59&gt;2030,0,IF($B59&gt;Q$55,0,IF($B59=Q$55,VLOOKUP($B59,'הספק קיים ותחזית יצור'!$B$80:$E$100,2,FALSE)/'הנחות עבודה'!$D$33-SUM(Q$55:Q58)+Q$55,P59*(1-'הנחות עבודה'!$D$38))))</f>
        <v>114.3344456660834</v>
      </c>
      <c r="R59" s="235">
        <f>IF($B59&gt;2030,0,IF($B59&gt;R$55,0,IF($B59=R$55,VLOOKUP($B59,'הספק קיים ותחזית יצור'!$B$80:$E$100,2,FALSE)/'הנחות עבודה'!$D$33-SUM(R$55:R58)+R$55,Q59*(1-'הנחות עבודה'!$D$38))))</f>
        <v>113.64843899208689</v>
      </c>
      <c r="S59" s="235">
        <f>IF($B59&gt;2030,0,IF($B59&gt;S$55,0,IF($B59=S$55,VLOOKUP($B59,'הספק קיים ותחזית יצור'!$B$80:$E$100,2,FALSE)/'הנחות עבודה'!$D$33-SUM(S$55:S58)+S$55,R59*(1-'הנחות עבודה'!$D$38))))</f>
        <v>112.96654835813438</v>
      </c>
      <c r="T59" s="235">
        <f>IF($B59&gt;2030,0,IF($B59&gt;T$55,0,IF($B59=T$55,VLOOKUP($B59,'הספק קיים ותחזית יצור'!$B$80:$E$100,2,FALSE)/'הנחות עבודה'!$D$33-SUM(T$55:T58)+T$55,S59*(1-'הנחות עבודה'!$D$38))))</f>
        <v>112.28874906798556</v>
      </c>
      <c r="U59" s="235">
        <f>IF($B59&gt;2030,0,IF($B59&gt;U$55,0,IF($B59=U$55,VLOOKUP($B59,'הספק קיים ותחזית יצור'!$B$80:$E$100,2,FALSE)/'הנחות עבודה'!$D$33-SUM(U$55:U58)+U$55,T59*(1-'הנחות עבודה'!$D$38))))</f>
        <v>111.61501657357765</v>
      </c>
      <c r="V59" s="235">
        <f>IF($B59&gt;2030,0,IF($B59&gt;V$55,0,IF($B59=V$55,VLOOKUP($B59,'הספק קיים ותחזית יצור'!$B$80:$E$100,2,FALSE)/'הנחות עבודה'!$D$33-SUM(V$55:V58)+V$55,U59*(1-'הנחות עבודה'!$D$38))))</f>
        <v>110.94532647413618</v>
      </c>
      <c r="W59" s="236">
        <f>IF($B59&gt;2030,0,IF($B59&gt;W$55,0,IF($B59=W$55,VLOOKUP($B59,'הספק קיים ותחזית יצור'!$B$80:$E$100,2,FALSE)/'הנחות עבודה'!$D$33-SUM(W$55:W58)+W$55,V59*(1-'הנחות עבודה'!$D$38))))</f>
        <v>110.27965451529137</v>
      </c>
    </row>
    <row r="60" spans="2:23">
      <c r="B60" s="306">
        <f t="shared" si="7"/>
        <v>2024</v>
      </c>
      <c r="C60" s="234">
        <f>IF($B60&gt;2030,0,IF($B60&gt;C$55,0,IF($B60=C$55,VLOOKUP($B60,'הספק קיים ותחזית יצור'!$B$80:$E$100,2,FALSE)/'הנחות עבודה'!$D$33-SUM(C$55:C59)+C$55,B60*(1-'הנחות עבודה'!$D$38))))</f>
        <v>0</v>
      </c>
      <c r="D60" s="235">
        <f>IF($B60&gt;2030,0,IF($B60&gt;D$55,0,IF($B60=D$55,VLOOKUP($B60,'הספק קיים ותחזית יצור'!$B$80:$E$100,2,FALSE)/'הנחות עבודה'!$D$33-SUM(D$55:D59)+D$55,C60*(1-'הנחות עבודה'!$D$38))))</f>
        <v>0</v>
      </c>
      <c r="E60" s="235">
        <f>IF($B60&gt;2030,0,IF($B60&gt;E$55,0,IF($B60=E$55,VLOOKUP($B60,'הספק קיים ותחזית יצור'!$B$80:$E$100,2,FALSE)/'הנחות עבודה'!$D$33-SUM(E$55:E59)+E$55,D60*(1-'הנחות עבודה'!$D$38))))</f>
        <v>0</v>
      </c>
      <c r="F60" s="235">
        <f>IF($B60&gt;2030,0,IF($B60&gt;F$55,0,IF($B60=F$55,VLOOKUP($B60,'הספק קיים ותחזית יצור'!$B$80:$E$100,2,FALSE)/'הנחות עבודה'!$D$33-SUM(F$55:F59)+F$55,E60*(1-'הנחות עבודה'!$D$38))))</f>
        <v>0</v>
      </c>
      <c r="G60" s="235">
        <f>IF($B60&gt;2030,0,IF($B60&gt;G$55,0,IF($B60=G$55,VLOOKUP($B60,'הספק קיים ותחזית יצור'!$B$80:$E$100,2,FALSE)/'הנחות עבודה'!$D$33-SUM(G$55:G59)+G$55,F60*(1-'הנחות עבודה'!$D$38))))</f>
        <v>125.07243332363396</v>
      </c>
      <c r="H60" s="235">
        <f>IF($B60&gt;2030,0,IF($B60&gt;H$55,0,IF($B60=H$55,VLOOKUP($B60,'הספק קיים ותחזית יצור'!$B$80:$E$100,2,FALSE)/'הנחות עבודה'!$D$33-SUM(H$55:H59)+H$55,G60*(1-'הנחות עבודה'!$D$38))))</f>
        <v>124.32199872369216</v>
      </c>
      <c r="I60" s="235">
        <f>IF($B60&gt;2030,0,IF($B60&gt;I$55,0,IF($B60=I$55,VLOOKUP($B60,'הספק קיים ותחזית יצור'!$B$80:$E$100,2,FALSE)/'הנחות עבודה'!$D$33-SUM(I$55:I59)+I$55,H60*(1-'הנחות עבודה'!$D$38))))</f>
        <v>123.57606673135001</v>
      </c>
      <c r="J60" s="235">
        <f>IF($B60&gt;2030,0,IF($B60&gt;J$55,0,IF($B60=J$55,VLOOKUP($B60,'הספק קיים ותחזית יצור'!$B$80:$E$100,2,FALSE)/'הנחות עבודה'!$D$33-SUM(J$55:J59)+J$55,I60*(1-'הנחות עבודה'!$D$38))))</f>
        <v>122.83461033096191</v>
      </c>
      <c r="K60" s="235">
        <f>IF($B60&gt;2030,0,IF($B60&gt;K$55,0,IF($B60=K$55,VLOOKUP($B60,'הספק קיים ותחזית יצור'!$B$80:$E$100,2,FALSE)/'הנחות עבודה'!$D$33-SUM(K$55:K59)+K$55,J60*(1-'הנחות עבודה'!$D$38))))</f>
        <v>122.09760266897614</v>
      </c>
      <c r="L60" s="235">
        <f>IF($B60&gt;2030,0,IF($B60&gt;L$55,0,IF($B60=L$55,VLOOKUP($B60,'הספק קיים ותחזית יצור'!$B$80:$E$100,2,FALSE)/'הנחות עבודה'!$D$33-SUM(L$55:L59)+L$55,K60*(1-'הנחות עבודה'!$D$38))))</f>
        <v>121.36501705296227</v>
      </c>
      <c r="M60" s="235">
        <f>IF($B60&gt;2030,0,IF($B60&gt;M$55,0,IF($B60=M$55,VLOOKUP($B60,'הספק קיים ותחזית יצור'!$B$80:$E$100,2,FALSE)/'הנחות עבודה'!$D$33-SUM(M$55:M59)+M$55,L60*(1-'הנחות עבודה'!$D$38))))</f>
        <v>120.6368269506445</v>
      </c>
      <c r="N60" s="235">
        <f>IF($B60&gt;2030,0,IF($B60&gt;N$55,0,IF($B60=N$55,VLOOKUP($B60,'הספק קיים ותחזית יצור'!$B$80:$E$100,2,FALSE)/'הנחות עבודה'!$D$33-SUM(N$55:N59)+N$55,M60*(1-'הנחות עבודה'!$D$38))))</f>
        <v>119.91300598894064</v>
      </c>
      <c r="O60" s="235">
        <f>IF($B60&gt;2030,0,IF($B60&gt;O$55,0,IF($B60=O$55,VLOOKUP($B60,'הספק קיים ותחזית יצור'!$B$80:$E$100,2,FALSE)/'הנחות עבודה'!$D$33-SUM(O$55:O59)+O$55,N60*(1-'הנחות עבודה'!$D$38))))</f>
        <v>119.19352795300699</v>
      </c>
      <c r="P60" s="235">
        <f>IF($B60&gt;2030,0,IF($B60&gt;P$55,0,IF($B60=P$55,VLOOKUP($B60,'הספק קיים ותחזית יצור'!$B$80:$E$100,2,FALSE)/'הנחות עבודה'!$D$33-SUM(P$55:P59)+P$55,O60*(1-'הנחות עבודה'!$D$38))))</f>
        <v>118.47836678528896</v>
      </c>
      <c r="Q60" s="235">
        <f>IF($B60&gt;2030,0,IF($B60&gt;Q$55,0,IF($B60=Q$55,VLOOKUP($B60,'הספק קיים ותחזית יצור'!$B$80:$E$100,2,FALSE)/'הנחות עבודה'!$D$33-SUM(Q$55:Q59)+Q$55,P60*(1-'הנחות עבודה'!$D$38))))</f>
        <v>117.76749658457722</v>
      </c>
      <c r="R60" s="235">
        <f>IF($B60&gt;2030,0,IF($B60&gt;R$55,0,IF($B60=R$55,VLOOKUP($B60,'הספק קיים ותחזית יצור'!$B$80:$E$100,2,FALSE)/'הנחות עבודה'!$D$33-SUM(R$55:R59)+R$55,Q60*(1-'הנחות עבודה'!$D$38))))</f>
        <v>117.06089160506976</v>
      </c>
      <c r="S60" s="235">
        <f>IF($B60&gt;2030,0,IF($B60&gt;S$55,0,IF($B60=S$55,VLOOKUP($B60,'הספק קיים ותחזית יצור'!$B$80:$E$100,2,FALSE)/'הנחות עבודה'!$D$33-SUM(S$55:S59)+S$55,R60*(1-'הנחות עבודה'!$D$38))))</f>
        <v>116.35852625543934</v>
      </c>
      <c r="T60" s="235">
        <f>IF($B60&gt;2030,0,IF($B60&gt;T$55,0,IF($B60=T$55,VLOOKUP($B60,'הספק קיים ותחזית יצור'!$B$80:$E$100,2,FALSE)/'הנחות עבודה'!$D$33-SUM(T$55:T59)+T$55,S60*(1-'הנחות עבודה'!$D$38))))</f>
        <v>115.66037509790671</v>
      </c>
      <c r="U60" s="235">
        <f>IF($B60&gt;2030,0,IF($B60&gt;U$55,0,IF($B60=U$55,VLOOKUP($B60,'הספק קיים ותחזית יצור'!$B$80:$E$100,2,FALSE)/'הנחות עבודה'!$D$33-SUM(U$55:U59)+U$55,T60*(1-'הנחות עבודה'!$D$38))))</f>
        <v>114.96641284731926</v>
      </c>
      <c r="V60" s="235">
        <f>IF($B60&gt;2030,0,IF($B60&gt;V$55,0,IF($B60=V$55,VLOOKUP($B60,'הספק קיים ותחזית יצור'!$B$80:$E$100,2,FALSE)/'הנחות עבודה'!$D$33-SUM(V$55:V59)+V$55,U60*(1-'הנחות עבודה'!$D$38))))</f>
        <v>114.27661437023535</v>
      </c>
      <c r="W60" s="236">
        <f>IF($B60&gt;2030,0,IF($B60&gt;W$55,0,IF($B60=W$55,VLOOKUP($B60,'הספק קיים ותחזית יצור'!$B$80:$E$100,2,FALSE)/'הנחות עבודה'!$D$33-SUM(W$55:W59)+W$55,V60*(1-'הנחות עבודה'!$D$38))))</f>
        <v>113.59095468401394</v>
      </c>
    </row>
    <row r="61" spans="2:23">
      <c r="B61" s="306">
        <f t="shared" si="7"/>
        <v>2025</v>
      </c>
      <c r="C61" s="234">
        <f>IF($B61&gt;2030,0,IF($B61&gt;C$55,0,IF($B61=C$55,VLOOKUP($B61,'הספק קיים ותחזית יצור'!$B$80:$E$100,2,FALSE)/'הנחות עבודה'!$D$33-SUM(C$55:C60)+C$55,B61*(1-'הנחות עבודה'!$D$38))))</f>
        <v>0</v>
      </c>
      <c r="D61" s="235">
        <f>IF($B61&gt;2030,0,IF($B61&gt;D$55,0,IF($B61=D$55,VLOOKUP($B61,'הספק קיים ותחזית יצור'!$B$80:$E$100,2,FALSE)/'הנחות עבודה'!$D$33-SUM(D$55:D60)+D$55,C61*(1-'הנחות עבודה'!$D$38))))</f>
        <v>0</v>
      </c>
      <c r="E61" s="235">
        <f>IF($B61&gt;2030,0,IF($B61&gt;E$55,0,IF($B61=E$55,VLOOKUP($B61,'הספק קיים ותחזית יצור'!$B$80:$E$100,2,FALSE)/'הנחות עבודה'!$D$33-SUM(E$55:E60)+E$55,D61*(1-'הנחות עבודה'!$D$38))))</f>
        <v>0</v>
      </c>
      <c r="F61" s="235">
        <f>IF($B61&gt;2030,0,IF($B61&gt;F$55,0,IF($B61=F$55,VLOOKUP($B61,'הספק קיים ותחזית יצור'!$B$80:$E$100,2,FALSE)/'הנחות עבודה'!$D$33-SUM(F$55:F60)+F$55,E61*(1-'הנחות עבודה'!$D$38))))</f>
        <v>0</v>
      </c>
      <c r="G61" s="235">
        <f>IF($B61&gt;2030,0,IF($B61&gt;G$55,0,IF($B61=G$55,VLOOKUP($B61,'הספק קיים ותחזית יצור'!$B$80:$E$100,2,FALSE)/'הנחות עבודה'!$D$33-SUM(G$55:G60)+G$55,F61*(1-'הנחות עבודה'!$D$38))))</f>
        <v>0</v>
      </c>
      <c r="H61" s="235">
        <f>IF($B61&gt;2030,0,IF($B61&gt;H$55,0,IF($B61=H$55,VLOOKUP($B61,'הספק קיים ותחזית יצור'!$B$80:$E$100,2,FALSE)/'הנחות עבודה'!$D$33-SUM(H$55:H60)+H$55,G61*(1-'הנחות עבודה'!$D$38))))</f>
        <v>181.19893508022506</v>
      </c>
      <c r="I61" s="235">
        <f>IF($B61&gt;2030,0,IF($B61&gt;I$55,0,IF($B61=I$55,VLOOKUP($B61,'הספק קיים ותחזית יצור'!$B$80:$E$100,2,FALSE)/'הנחות עבודה'!$D$33-SUM(I$55:I60)+I$55,H61*(1-'הנחות עבודה'!$D$38))))</f>
        <v>180.11174146974369</v>
      </c>
      <c r="J61" s="235">
        <f>IF($B61&gt;2030,0,IF($B61&gt;J$55,0,IF($B61=J$55,VLOOKUP($B61,'הספק קיים ותחזית יצור'!$B$80:$E$100,2,FALSE)/'הנחות עבודה'!$D$33-SUM(J$55:J60)+J$55,I61*(1-'הנחות עבודה'!$D$38))))</f>
        <v>179.03107102092522</v>
      </c>
      <c r="K61" s="235">
        <f>IF($B61&gt;2030,0,IF($B61&gt;K$55,0,IF($B61=K$55,VLOOKUP($B61,'הספק קיים ותחזית יצור'!$B$80:$E$100,2,FALSE)/'הנחות עבודה'!$D$33-SUM(K$55:K60)+K$55,J61*(1-'הנחות עבודה'!$D$38))))</f>
        <v>177.95688459479967</v>
      </c>
      <c r="L61" s="235">
        <f>IF($B61&gt;2030,0,IF($B61&gt;L$55,0,IF($B61=L$55,VLOOKUP($B61,'הספק קיים ותחזית יצור'!$B$80:$E$100,2,FALSE)/'הנחות עבודה'!$D$33-SUM(L$55:L60)+L$55,K61*(1-'הנחות עבודה'!$D$38))))</f>
        <v>176.88914328723087</v>
      </c>
      <c r="M61" s="235">
        <f>IF($B61&gt;2030,0,IF($B61&gt;M$55,0,IF($B61=M$55,VLOOKUP($B61,'הספק קיים ותחזית יצור'!$B$80:$E$100,2,FALSE)/'הנחות עבודה'!$D$33-SUM(M$55:M60)+M$55,L61*(1-'הנחות עבודה'!$D$38))))</f>
        <v>175.82780842750748</v>
      </c>
      <c r="N61" s="235">
        <f>IF($B61&gt;2030,0,IF($B61&gt;N$55,0,IF($B61=N$55,VLOOKUP($B61,'הספק קיים ותחזית יצור'!$B$80:$E$100,2,FALSE)/'הנחות עבודה'!$D$33-SUM(N$55:N60)+N$55,M61*(1-'הנחות עבודה'!$D$38))))</f>
        <v>174.77284157694243</v>
      </c>
      <c r="O61" s="235">
        <f>IF($B61&gt;2030,0,IF($B61&gt;O$55,0,IF($B61=O$55,VLOOKUP($B61,'הספק קיים ותחזית יצור'!$B$80:$E$100,2,FALSE)/'הנחות עבודה'!$D$33-SUM(O$55:O60)+O$55,N61*(1-'הנחות עבודה'!$D$38))))</f>
        <v>173.72420452748077</v>
      </c>
      <c r="P61" s="235">
        <f>IF($B61&gt;2030,0,IF($B61&gt;P$55,0,IF($B61=P$55,VLOOKUP($B61,'הספק קיים ותחזית יצור'!$B$80:$E$100,2,FALSE)/'הנחות עבודה'!$D$33-SUM(P$55:P60)+P$55,O61*(1-'הנחות עבודה'!$D$38))))</f>
        <v>172.68185930031589</v>
      </c>
      <c r="Q61" s="235">
        <f>IF($B61&gt;2030,0,IF($B61&gt;Q$55,0,IF($B61=Q$55,VLOOKUP($B61,'הספק קיים ותחזית יצור'!$B$80:$E$100,2,FALSE)/'הנחות עבודה'!$D$33-SUM(Q$55:Q60)+Q$55,P61*(1-'הנחות עבודה'!$D$38))))</f>
        <v>171.64576814451399</v>
      </c>
      <c r="R61" s="235">
        <f>IF($B61&gt;2030,0,IF($B61&gt;R$55,0,IF($B61=R$55,VLOOKUP($B61,'הספק קיים ותחזית יצור'!$B$80:$E$100,2,FALSE)/'הנחות עבודה'!$D$33-SUM(R$55:R60)+R$55,Q61*(1-'הנחות עבודה'!$D$38))))</f>
        <v>170.6158935356469</v>
      </c>
      <c r="S61" s="235">
        <f>IF($B61&gt;2030,0,IF($B61&gt;S$55,0,IF($B61=S$55,VLOOKUP($B61,'הספק קיים ותחזית יצור'!$B$80:$E$100,2,FALSE)/'הנחות עבודה'!$D$33-SUM(S$55:S60)+S$55,R61*(1-'הנחות עבודה'!$D$38))))</f>
        <v>169.59219817443301</v>
      </c>
      <c r="T61" s="235">
        <f>IF($B61&gt;2030,0,IF($B61&gt;T$55,0,IF($B61=T$55,VLOOKUP($B61,'הספק קיים ותחזית יצור'!$B$80:$E$100,2,FALSE)/'הנחות עבודה'!$D$33-SUM(T$55:T60)+T$55,S61*(1-'הנחות עבודה'!$D$38))))</f>
        <v>168.57464498538641</v>
      </c>
      <c r="U61" s="235">
        <f>IF($B61&gt;2030,0,IF($B61&gt;U$55,0,IF($B61=U$55,VLOOKUP($B61,'הספק קיים ותחזית יצור'!$B$80:$E$100,2,FALSE)/'הנחות עבודה'!$D$33-SUM(U$55:U60)+U$55,T61*(1-'הנחות עבודה'!$D$38))))</f>
        <v>167.56319711547408</v>
      </c>
      <c r="V61" s="235">
        <f>IF($B61&gt;2030,0,IF($B61&gt;V$55,0,IF($B61=V$55,VLOOKUP($B61,'הספק קיים ותחזית יצור'!$B$80:$E$100,2,FALSE)/'הנחות עבודה'!$D$33-SUM(V$55:V60)+V$55,U61*(1-'הנחות עבודה'!$D$38))))</f>
        <v>166.55781793278123</v>
      </c>
      <c r="W61" s="236">
        <f>IF($B61&gt;2030,0,IF($B61&gt;W$55,0,IF($B61=W$55,VLOOKUP($B61,'הספק קיים ותחזית יצור'!$B$80:$E$100,2,FALSE)/'הנחות עבודה'!$D$33-SUM(W$55:W60)+W$55,V61*(1-'הנחות עבודה'!$D$38))))</f>
        <v>165.55847102518456</v>
      </c>
    </row>
    <row r="62" spans="2:23">
      <c r="B62" s="306">
        <f t="shared" si="7"/>
        <v>2026</v>
      </c>
      <c r="C62" s="234">
        <f>IF($B62&gt;2030,0,IF($B62&gt;C$55,0,IF($B62=C$55,VLOOKUP($B62,'הספק קיים ותחזית יצור'!$B$80:$E$100,2,FALSE)/'הנחות עבודה'!$D$33-SUM(C$55:C61)+C$55,B62*(1-'הנחות עבודה'!$D$38))))</f>
        <v>0</v>
      </c>
      <c r="D62" s="235">
        <f>IF($B62&gt;2030,0,IF($B62&gt;D$55,0,IF($B62=D$55,VLOOKUP($B62,'הספק קיים ותחזית יצור'!$B$80:$E$100,2,FALSE)/'הנחות עבודה'!$D$33-SUM(D$55:D61)+D$55,C62*(1-'הנחות עבודה'!$D$38))))</f>
        <v>0</v>
      </c>
      <c r="E62" s="235">
        <f>IF($B62&gt;2030,0,IF($B62&gt;E$55,0,IF($B62=E$55,VLOOKUP($B62,'הספק קיים ותחזית יצור'!$B$80:$E$100,2,FALSE)/'הנחות עבודה'!$D$33-SUM(E$55:E61)+E$55,D62*(1-'הנחות עבודה'!$D$38))))</f>
        <v>0</v>
      </c>
      <c r="F62" s="235">
        <f>IF($B62&gt;2030,0,IF($B62&gt;F$55,0,IF($B62=F$55,VLOOKUP($B62,'הספק קיים ותחזית יצור'!$B$80:$E$100,2,FALSE)/'הנחות עבודה'!$D$33-SUM(F$55:F61)+F$55,E62*(1-'הנחות עבודה'!$D$38))))</f>
        <v>0</v>
      </c>
      <c r="G62" s="235">
        <f>IF($B62&gt;2030,0,IF($B62&gt;G$55,0,IF($B62=G$55,VLOOKUP($B62,'הספק קיים ותחזית יצור'!$B$80:$E$100,2,FALSE)/'הנחות עבודה'!$D$33-SUM(G$55:G61)+G$55,F62*(1-'הנחות עבודה'!$D$38))))</f>
        <v>0</v>
      </c>
      <c r="H62" s="235">
        <f>IF($B62&gt;2030,0,IF($B62&gt;H$55,0,IF($B62=H$55,VLOOKUP($B62,'הספק קיים ותחזית יצור'!$B$80:$E$100,2,FALSE)/'הנחות עבודה'!$D$33-SUM(H$55:H61)+H$55,G62*(1-'הנחות עבודה'!$D$38))))</f>
        <v>0</v>
      </c>
      <c r="I62" s="235">
        <f>IF($B62&gt;2030,0,IF($B62&gt;I$55,0,IF($B62=I$55,VLOOKUP($B62,'הספק קיים ותחזית יצור'!$B$80:$E$100,2,FALSE)/'הנחות עבודה'!$D$33-SUM(I$55:I61)+I$55,H62*(1-'הנחות עבודה'!$D$38))))</f>
        <v>619.03221265441971</v>
      </c>
      <c r="J62" s="235">
        <f>IF($B62&gt;2030,0,IF($B62&gt;J$55,0,IF($B62=J$55,VLOOKUP($B62,'הספק קיים ותחזית יצור'!$B$80:$E$100,2,FALSE)/'הנחות עבודה'!$D$33-SUM(J$55:J61)+J$55,I62*(1-'הנחות עבודה'!$D$38))))</f>
        <v>615.3180193784932</v>
      </c>
      <c r="K62" s="235">
        <f>IF($B62&gt;2030,0,IF($B62&gt;K$55,0,IF($B62=K$55,VLOOKUP($B62,'הספק קיים ותחזית יצור'!$B$80:$E$100,2,FALSE)/'הנחות עבודה'!$D$33-SUM(K$55:K61)+K$55,J62*(1-'הנחות עבודה'!$D$38))))</f>
        <v>611.62611126222225</v>
      </c>
      <c r="L62" s="235">
        <f>IF($B62&gt;2030,0,IF($B62&gt;L$55,0,IF($B62=L$55,VLOOKUP($B62,'הספק קיים ותחזית יצור'!$B$80:$E$100,2,FALSE)/'הנחות עבודה'!$D$33-SUM(L$55:L61)+L$55,K62*(1-'הנחות עבודה'!$D$38))))</f>
        <v>607.95635459464893</v>
      </c>
      <c r="M62" s="235">
        <f>IF($B62&gt;2030,0,IF($B62&gt;M$55,0,IF($B62=M$55,VLOOKUP($B62,'הספק קיים ותחזית יצור'!$B$80:$E$100,2,FALSE)/'הנחות עבודה'!$D$33-SUM(M$55:M61)+M$55,L62*(1-'הנחות עבודה'!$D$38))))</f>
        <v>604.30861646708104</v>
      </c>
      <c r="N62" s="235">
        <f>IF($B62&gt;2030,0,IF($B62&gt;N$55,0,IF($B62=N$55,VLOOKUP($B62,'הספק קיים ותחזית יצור'!$B$80:$E$100,2,FALSE)/'הנחות עבודה'!$D$33-SUM(N$55:N61)+N$55,M62*(1-'הנחות עבודה'!$D$38))))</f>
        <v>600.6827647682785</v>
      </c>
      <c r="O62" s="235">
        <f>IF($B62&gt;2030,0,IF($B62&gt;O$55,0,IF($B62=O$55,VLOOKUP($B62,'הספק קיים ותחזית יצור'!$B$80:$E$100,2,FALSE)/'הנחות עבודה'!$D$33-SUM(O$55:O61)+O$55,N62*(1-'הנחות עבודה'!$D$38))))</f>
        <v>597.07866817966885</v>
      </c>
      <c r="P62" s="235">
        <f>IF($B62&gt;2030,0,IF($B62&gt;P$55,0,IF($B62=P$55,VLOOKUP($B62,'הספק קיים ותחזית יצור'!$B$80:$E$100,2,FALSE)/'הנחות עבודה'!$D$33-SUM(P$55:P61)+P$55,O62*(1-'הנחות עבודה'!$D$38))))</f>
        <v>593.49619617059079</v>
      </c>
      <c r="Q62" s="235">
        <f>IF($B62&gt;2030,0,IF($B62&gt;Q$55,0,IF($B62=Q$55,VLOOKUP($B62,'הספק קיים ותחזית יצור'!$B$80:$E$100,2,FALSE)/'הנחות עבודה'!$D$33-SUM(Q$55:Q61)+Q$55,P62*(1-'הנחות עבודה'!$D$38))))</f>
        <v>589.93521899356722</v>
      </c>
      <c r="R62" s="235">
        <f>IF($B62&gt;2030,0,IF($B62&gt;R$55,0,IF($B62=R$55,VLOOKUP($B62,'הספק קיים ותחזית יצור'!$B$80:$E$100,2,FALSE)/'הנחות עבודה'!$D$33-SUM(R$55:R61)+R$55,Q62*(1-'הנחות עבודה'!$D$38))))</f>
        <v>586.39560767960586</v>
      </c>
      <c r="S62" s="235">
        <f>IF($B62&gt;2030,0,IF($B62&gt;S$55,0,IF($B62=S$55,VLOOKUP($B62,'הספק קיים ותחזית יצור'!$B$80:$E$100,2,FALSE)/'הנחות עבודה'!$D$33-SUM(S$55:S61)+S$55,R62*(1-'הנחות עבודה'!$D$38))))</f>
        <v>582.87723403352823</v>
      </c>
      <c r="T62" s="235">
        <f>IF($B62&gt;2030,0,IF($B62&gt;T$55,0,IF($B62=T$55,VLOOKUP($B62,'הספק קיים ותחזית יצור'!$B$80:$E$100,2,FALSE)/'הנחות עבודה'!$D$33-SUM(T$55:T61)+T$55,S62*(1-'הנחות עבודה'!$D$38))))</f>
        <v>579.37997062932709</v>
      </c>
      <c r="U62" s="235">
        <f>IF($B62&gt;2030,0,IF($B62&gt;U$55,0,IF($B62=U$55,VLOOKUP($B62,'הספק קיים ותחזית יצור'!$B$80:$E$100,2,FALSE)/'הנחות עבודה'!$D$33-SUM(U$55:U61)+U$55,T62*(1-'הנחות עבודה'!$D$38))))</f>
        <v>575.90369080555115</v>
      </c>
      <c r="V62" s="235">
        <f>IF($B62&gt;2030,0,IF($B62&gt;V$55,0,IF($B62=V$55,VLOOKUP($B62,'הספק קיים ותחזית יצור'!$B$80:$E$100,2,FALSE)/'הנחות עבודה'!$D$33-SUM(V$55:V61)+V$55,U62*(1-'הנחות עבודה'!$D$38))))</f>
        <v>572.44826866071787</v>
      </c>
      <c r="W62" s="236">
        <f>IF($B62&gt;2030,0,IF($B62&gt;W$55,0,IF($B62=W$55,VLOOKUP($B62,'הספק קיים ותחזית יצור'!$B$80:$E$100,2,FALSE)/'הנחות עבודה'!$D$33-SUM(W$55:W61)+W$55,V62*(1-'הנחות עבודה'!$D$38))))</f>
        <v>569.01357904875351</v>
      </c>
    </row>
    <row r="63" spans="2:23">
      <c r="B63" s="306">
        <f t="shared" si="7"/>
        <v>2027</v>
      </c>
      <c r="C63" s="234">
        <f>IF($B63&gt;2030,0,IF($B63&gt;C$55,0,IF($B63=C$55,VLOOKUP($B63,'הספק קיים ותחזית יצור'!$B$80:$E$100,2,FALSE)/'הנחות עבודה'!$D$33-SUM(C$55:C62)+C$55,B63*(1-'הנחות עבודה'!$D$38))))</f>
        <v>0</v>
      </c>
      <c r="D63" s="235">
        <f>IF($B63&gt;2030,0,IF($B63&gt;D$55,0,IF($B63=D$55,VLOOKUP($B63,'הספק קיים ותחזית יצור'!$B$80:$E$100,2,FALSE)/'הנחות עבודה'!$D$33-SUM(D$55:D62)+D$55,C63*(1-'הנחות עבודה'!$D$38))))</f>
        <v>0</v>
      </c>
      <c r="E63" s="235">
        <f>IF($B63&gt;2030,0,IF($B63&gt;E$55,0,IF($B63=E$55,VLOOKUP($B63,'הספק קיים ותחזית יצור'!$B$80:$E$100,2,FALSE)/'הנחות עבודה'!$D$33-SUM(E$55:E62)+E$55,D63*(1-'הנחות עבודה'!$D$38))))</f>
        <v>0</v>
      </c>
      <c r="F63" s="235">
        <f>IF($B63&gt;2030,0,IF($B63&gt;F$55,0,IF($B63=F$55,VLOOKUP($B63,'הספק קיים ותחזית יצור'!$B$80:$E$100,2,FALSE)/'הנחות עבודה'!$D$33-SUM(F$55:F62)+F$55,E63*(1-'הנחות עבודה'!$D$38))))</f>
        <v>0</v>
      </c>
      <c r="G63" s="235">
        <f>IF($B63&gt;2030,0,IF($B63&gt;G$55,0,IF($B63=G$55,VLOOKUP($B63,'הספק קיים ותחזית יצור'!$B$80:$E$100,2,FALSE)/'הנחות עבודה'!$D$33-SUM(G$55:G62)+G$55,F63*(1-'הנחות עבודה'!$D$38))))</f>
        <v>0</v>
      </c>
      <c r="H63" s="235">
        <f>IF($B63&gt;2030,0,IF($B63&gt;H$55,0,IF($B63=H$55,VLOOKUP($B63,'הספק קיים ותחזית יצור'!$B$80:$E$100,2,FALSE)/'הנחות עבודה'!$D$33-SUM(H$55:H62)+H$55,G63*(1-'הנחות עבודה'!$D$38))))</f>
        <v>0</v>
      </c>
      <c r="I63" s="235">
        <f>IF($B63&gt;2030,0,IF($B63&gt;I$55,0,IF($B63=I$55,VLOOKUP($B63,'הספק קיים ותחזית יצור'!$B$80:$E$100,2,FALSE)/'הנחות עבודה'!$D$33-SUM(I$55:I62)+I$55,H63*(1-'הנחות עבודה'!$D$38))))</f>
        <v>0</v>
      </c>
      <c r="J63" s="235">
        <f>IF($B63&gt;2030,0,IF($B63&gt;J$55,0,IF($B63=J$55,VLOOKUP($B63,'הספק קיים ותחזית יצור'!$B$80:$E$100,2,FALSE)/'הנחות עבודה'!$D$33-SUM(J$55:J62)+J$55,I63*(1-'הנחות עבודה'!$D$38))))</f>
        <v>651.56146328788145</v>
      </c>
      <c r="K63" s="235">
        <f>IF($B63&gt;2030,0,IF($B63&gt;K$55,0,IF($B63=K$55,VLOOKUP($B63,'הספק קיים ותחזית יצור'!$B$80:$E$100,2,FALSE)/'הנחות עבודה'!$D$33-SUM(K$55:K62)+K$55,J63*(1-'הנחות עבודה'!$D$38))))</f>
        <v>647.65209450815416</v>
      </c>
      <c r="L63" s="235">
        <f>IF($B63&gt;2030,0,IF($B63&gt;L$55,0,IF($B63=L$55,VLOOKUP($B63,'הספק קיים ותחזית יצור'!$B$80:$E$100,2,FALSE)/'הנחות עבודה'!$D$33-SUM(L$55:L62)+L$55,K63*(1-'הנחות עבודה'!$D$38))))</f>
        <v>643.76618194110529</v>
      </c>
      <c r="M63" s="235">
        <f>IF($B63&gt;2030,0,IF($B63&gt;M$55,0,IF($B63=M$55,VLOOKUP($B63,'הספק קיים ותחזית יצור'!$B$80:$E$100,2,FALSE)/'הנחות עבודה'!$D$33-SUM(M$55:M62)+M$55,L63*(1-'הנחות עבודה'!$D$38))))</f>
        <v>639.90358484945864</v>
      </c>
      <c r="N63" s="235">
        <f>IF($B63&gt;2030,0,IF($B63&gt;N$55,0,IF($B63=N$55,VLOOKUP($B63,'הספק קיים ותחזית יצור'!$B$80:$E$100,2,FALSE)/'הנחות עבודה'!$D$33-SUM(N$55:N62)+N$55,M63*(1-'הנחות עבודה'!$D$38))))</f>
        <v>636.06416334036192</v>
      </c>
      <c r="O63" s="235">
        <f>IF($B63&gt;2030,0,IF($B63&gt;O$55,0,IF($B63=O$55,VLOOKUP($B63,'הספק קיים ותחזית יצור'!$B$80:$E$100,2,FALSE)/'הנחות עבודה'!$D$33-SUM(O$55:O62)+O$55,N63*(1-'הנחות עבודה'!$D$38))))</f>
        <v>632.24777836031978</v>
      </c>
      <c r="P63" s="235">
        <f>IF($B63&gt;2030,0,IF($B63&gt;P$55,0,IF($B63=P$55,VLOOKUP($B63,'הספק קיים ותחזית יצור'!$B$80:$E$100,2,FALSE)/'הנחות עבודה'!$D$33-SUM(P$55:P62)+P$55,O63*(1-'הנחות עבודה'!$D$38))))</f>
        <v>628.4542916901579</v>
      </c>
      <c r="Q63" s="235">
        <f>IF($B63&gt;2030,0,IF($B63&gt;Q$55,0,IF($B63=Q$55,VLOOKUP($B63,'הספק קיים ותחזית יצור'!$B$80:$E$100,2,FALSE)/'הנחות עבודה'!$D$33-SUM(Q$55:Q62)+Q$55,P63*(1-'הנחות עבודה'!$D$38))))</f>
        <v>624.68356594001693</v>
      </c>
      <c r="R63" s="235">
        <f>IF($B63&gt;2030,0,IF($B63&gt;R$55,0,IF($B63=R$55,VLOOKUP($B63,'הספק קיים ותחזית יצור'!$B$80:$E$100,2,FALSE)/'הנחות עבודה'!$D$33-SUM(R$55:R62)+R$55,Q63*(1-'הנחות עבודה'!$D$38))))</f>
        <v>620.93546454437683</v>
      </c>
      <c r="S63" s="235">
        <f>IF($B63&gt;2030,0,IF($B63&gt;S$55,0,IF($B63=S$55,VLOOKUP($B63,'הספק קיים ותחזית יצור'!$B$80:$E$100,2,FALSE)/'הנחות עבודה'!$D$33-SUM(S$55:S62)+S$55,R63*(1-'הנחות עבודה'!$D$38))))</f>
        <v>617.20985175711053</v>
      </c>
      <c r="T63" s="235">
        <f>IF($B63&gt;2030,0,IF($B63&gt;T$55,0,IF($B63=T$55,VLOOKUP($B63,'הספק קיים ותחזית יצור'!$B$80:$E$100,2,FALSE)/'הנחות עבודה'!$D$33-SUM(T$55:T62)+T$55,S63*(1-'הנחות עבודה'!$D$38))))</f>
        <v>613.50659264656781</v>
      </c>
      <c r="U63" s="235">
        <f>IF($B63&gt;2030,0,IF($B63&gt;U$55,0,IF($B63=U$55,VLOOKUP($B63,'הספק קיים ותחזית יצור'!$B$80:$E$100,2,FALSE)/'הנחות עבודה'!$D$33-SUM(U$55:U62)+U$55,T63*(1-'הנחות עבודה'!$D$38))))</f>
        <v>609.82555309068835</v>
      </c>
      <c r="V63" s="235">
        <f>IF($B63&gt;2030,0,IF($B63&gt;V$55,0,IF($B63=V$55,VLOOKUP($B63,'הספק קיים ותחזית יצור'!$B$80:$E$100,2,FALSE)/'הנחות עבודה'!$D$33-SUM(V$55:V62)+V$55,U63*(1-'הנחות עבודה'!$D$38))))</f>
        <v>606.1665997721442</v>
      </c>
      <c r="W63" s="236">
        <f>IF($B63&gt;2030,0,IF($B63&gt;W$55,0,IF($B63=W$55,VLOOKUP($B63,'הספק קיים ותחזית יצור'!$B$80:$E$100,2,FALSE)/'הנחות עבודה'!$D$33-SUM(W$55:W62)+W$55,V63*(1-'הנחות עבודה'!$D$38))))</f>
        <v>602.52960017351131</v>
      </c>
    </row>
    <row r="64" spans="2:23">
      <c r="B64" s="306">
        <f t="shared" si="7"/>
        <v>2028</v>
      </c>
      <c r="C64" s="234">
        <f>IF($B64&gt;2030,0,IF($B64&gt;C$55,0,IF($B64=C$55,VLOOKUP($B64,'הספק קיים ותחזית יצור'!$B$80:$E$100,2,FALSE)/'הנחות עבודה'!$D$33-SUM(C$55:C63)+C$55,B64*(1-'הנחות עבודה'!$D$38))))</f>
        <v>0</v>
      </c>
      <c r="D64" s="235">
        <f>IF($B64&gt;2030,0,IF($B64&gt;D$55,0,IF($B64=D$55,VLOOKUP($B64,'הספק קיים ותחזית יצור'!$B$80:$E$100,2,FALSE)/'הנחות עבודה'!$D$33-SUM(D$55:D63)+D$55,C64*(1-'הנחות עבודה'!$D$38))))</f>
        <v>0</v>
      </c>
      <c r="E64" s="235">
        <f>IF($B64&gt;2030,0,IF($B64&gt;E$55,0,IF($B64=E$55,VLOOKUP($B64,'הספק קיים ותחזית יצור'!$B$80:$E$100,2,FALSE)/'הנחות עבודה'!$D$33-SUM(E$55:E63)+E$55,D64*(1-'הנחות עבודה'!$D$38))))</f>
        <v>0</v>
      </c>
      <c r="F64" s="235">
        <f>IF($B64&gt;2030,0,IF($B64&gt;F$55,0,IF($B64=F$55,VLOOKUP($B64,'הספק קיים ותחזית יצור'!$B$80:$E$100,2,FALSE)/'הנחות עבודה'!$D$33-SUM(F$55:F63)+F$55,E64*(1-'הנחות עבודה'!$D$38))))</f>
        <v>0</v>
      </c>
      <c r="G64" s="235">
        <f>IF($B64&gt;2030,0,IF($B64&gt;G$55,0,IF($B64=G$55,VLOOKUP($B64,'הספק קיים ותחזית יצור'!$B$80:$E$100,2,FALSE)/'הנחות עבודה'!$D$33-SUM(G$55:G63)+G$55,F64*(1-'הנחות עבודה'!$D$38))))</f>
        <v>0</v>
      </c>
      <c r="H64" s="235">
        <f>IF($B64&gt;2030,0,IF($B64&gt;H$55,0,IF($B64=H$55,VLOOKUP($B64,'הספק קיים ותחזית יצור'!$B$80:$E$100,2,FALSE)/'הנחות עבודה'!$D$33-SUM(H$55:H63)+H$55,G64*(1-'הנחות עבודה'!$D$38))))</f>
        <v>0</v>
      </c>
      <c r="I64" s="235">
        <f>IF($B64&gt;2030,0,IF($B64&gt;I$55,0,IF($B64=I$55,VLOOKUP($B64,'הספק קיים ותחזית יצור'!$B$80:$E$100,2,FALSE)/'הנחות עבודה'!$D$33-SUM(I$55:I63)+I$55,H64*(1-'הנחות עבודה'!$D$38))))</f>
        <v>0</v>
      </c>
      <c r="J64" s="235">
        <f>IF($B64&gt;2030,0,IF($B64&gt;J$55,0,IF($B64=J$55,VLOOKUP($B64,'הספק קיים ותחזית יצור'!$B$80:$E$100,2,FALSE)/'הנחות עבודה'!$D$33-SUM(J$55:J63)+J$55,I64*(1-'הנחות עבודה'!$D$38))))</f>
        <v>0</v>
      </c>
      <c r="K64" s="235">
        <f>IF($B64&gt;2030,0,IF($B64&gt;K$55,0,IF($B64=K$55,VLOOKUP($B64,'הספק קיים ותחזית יצור'!$B$80:$E$100,2,FALSE)/'הנחות עבודה'!$D$33-SUM(K$55:K63)+K$55,J64*(1-'הנחות עבודה'!$D$38))))</f>
        <v>662.48868657758612</v>
      </c>
      <c r="L64" s="235">
        <f>IF($B64&gt;2030,0,IF($B64&gt;L$55,0,IF($B64=L$55,VLOOKUP($B64,'הספק קיים ותחזית יצור'!$B$80:$E$100,2,FALSE)/'הנחות עבודה'!$D$33-SUM(L$55:L63)+L$55,K64*(1-'הנחות עבודה'!$D$38))))</f>
        <v>658.51375445812062</v>
      </c>
      <c r="M64" s="235">
        <f>IF($B64&gt;2030,0,IF($B64&gt;M$55,0,IF($B64=M$55,VLOOKUP($B64,'הספק קיים ותחזית יצור'!$B$80:$E$100,2,FALSE)/'הנחות עבודה'!$D$33-SUM(M$55:M63)+M$55,L64*(1-'הנחות עבודה'!$D$38))))</f>
        <v>654.56267193137194</v>
      </c>
      <c r="N64" s="235">
        <f>IF($B64&gt;2030,0,IF($B64&gt;N$55,0,IF($B64=N$55,VLOOKUP($B64,'הספק קיים ותחזית יצור'!$B$80:$E$100,2,FALSE)/'הנחות עבודה'!$D$33-SUM(N$55:N63)+N$55,M64*(1-'הנחות עבודה'!$D$38))))</f>
        <v>650.63529589978373</v>
      </c>
      <c r="O64" s="235">
        <f>IF($B64&gt;2030,0,IF($B64&gt;O$55,0,IF($B64=O$55,VLOOKUP($B64,'הספק קיים ותחזית יצור'!$B$80:$E$100,2,FALSE)/'הנחות עבודה'!$D$33-SUM(O$55:O63)+O$55,N64*(1-'הנחות עבודה'!$D$38))))</f>
        <v>646.73148412438502</v>
      </c>
      <c r="P64" s="235">
        <f>IF($B64&gt;2030,0,IF($B64&gt;P$55,0,IF($B64=P$55,VLOOKUP($B64,'הספק קיים ותחזית יצור'!$B$80:$E$100,2,FALSE)/'הנחות עבודה'!$D$33-SUM(P$55:P63)+P$55,O64*(1-'הנחות עבודה'!$D$38))))</f>
        <v>642.85109521963875</v>
      </c>
      <c r="Q64" s="235">
        <f>IF($B64&gt;2030,0,IF($B64&gt;Q$55,0,IF($B64=Q$55,VLOOKUP($B64,'הספק קיים ותחזית יצור'!$B$80:$E$100,2,FALSE)/'הנחות עבודה'!$D$33-SUM(Q$55:Q63)+Q$55,P64*(1-'הנחות עבודה'!$D$38))))</f>
        <v>638.99398864832096</v>
      </c>
      <c r="R64" s="235">
        <f>IF($B64&gt;2030,0,IF($B64&gt;R$55,0,IF($B64=R$55,VLOOKUP($B64,'הספק קיים ותחזית יצור'!$B$80:$E$100,2,FALSE)/'הנחות עבודה'!$D$33-SUM(R$55:R63)+R$55,Q64*(1-'הנחות עבודה'!$D$38))))</f>
        <v>635.16002471643105</v>
      </c>
      <c r="S64" s="235">
        <f>IF($B64&gt;2030,0,IF($B64&gt;S$55,0,IF($B64=S$55,VLOOKUP($B64,'הספק קיים ותחזית יצור'!$B$80:$E$100,2,FALSE)/'הנחות עבודה'!$D$33-SUM(S$55:S63)+S$55,R64*(1-'הנחות עבודה'!$D$38))))</f>
        <v>631.34906456813246</v>
      </c>
      <c r="T64" s="235">
        <f>IF($B64&gt;2030,0,IF($B64&gt;T$55,0,IF($B64=T$55,VLOOKUP($B64,'הספק קיים ותחזית יצור'!$B$80:$E$100,2,FALSE)/'הנחות עבודה'!$D$33-SUM(T$55:T63)+T$55,S64*(1-'הנחות עבודה'!$D$38))))</f>
        <v>627.56097018072364</v>
      </c>
      <c r="U64" s="235">
        <f>IF($B64&gt;2030,0,IF($B64&gt;U$55,0,IF($B64=U$55,VLOOKUP($B64,'הספק קיים ותחזית יצור'!$B$80:$E$100,2,FALSE)/'הנחות עבודה'!$D$33-SUM(U$55:U63)+U$55,T64*(1-'הנחות עבודה'!$D$38))))</f>
        <v>623.79560435963924</v>
      </c>
      <c r="V64" s="235">
        <f>IF($B64&gt;2030,0,IF($B64&gt;V$55,0,IF($B64=V$55,VLOOKUP($B64,'הספק קיים ותחזית יצור'!$B$80:$E$100,2,FALSE)/'הנחות עבודה'!$D$33-SUM(V$55:V63)+V$55,U64*(1-'הנחות עבודה'!$D$38))))</f>
        <v>620.05283073348141</v>
      </c>
      <c r="W64" s="236">
        <f>IF($B64&gt;2030,0,IF($B64&gt;W$55,0,IF($B64=W$55,VLOOKUP($B64,'הספק קיים ותחזית יצור'!$B$80:$E$100,2,FALSE)/'הנחות עבודה'!$D$33-SUM(W$55:W63)+W$55,V64*(1-'הנחות עבודה'!$D$38))))</f>
        <v>616.33251374908048</v>
      </c>
    </row>
    <row r="65" spans="2:23">
      <c r="B65" s="306">
        <f t="shared" si="7"/>
        <v>2029</v>
      </c>
      <c r="C65" s="234">
        <f>IF($B65&gt;2030,0,IF($B65&gt;C$55,0,IF($B65=C$55,VLOOKUP($B65,'הספק קיים ותחזית יצור'!$B$80:$E$100,2,FALSE)/'הנחות עבודה'!$D$33-SUM(C$55:C64)+C$55,B65*(1-'הנחות עבודה'!$D$38))))</f>
        <v>0</v>
      </c>
      <c r="D65" s="235">
        <f>IF($B65&gt;2030,0,IF($B65&gt;D$55,0,IF($B65=D$55,VLOOKUP($B65,'הספק קיים ותחזית יצור'!$B$80:$E$100,2,FALSE)/'הנחות עבודה'!$D$33-SUM(D$55:D64)+D$55,C65*(1-'הנחות עבודה'!$D$38))))</f>
        <v>0</v>
      </c>
      <c r="E65" s="235">
        <f>IF($B65&gt;2030,0,IF($B65&gt;E$55,0,IF($B65=E$55,VLOOKUP($B65,'הספק קיים ותחזית יצור'!$B$80:$E$100,2,FALSE)/'הנחות עבודה'!$D$33-SUM(E$55:E64)+E$55,D65*(1-'הנחות עבודה'!$D$38))))</f>
        <v>0</v>
      </c>
      <c r="F65" s="235">
        <f>IF($B65&gt;2030,0,IF($B65&gt;F$55,0,IF($B65=F$55,VLOOKUP($B65,'הספק קיים ותחזית יצור'!$B$80:$E$100,2,FALSE)/'הנחות עבודה'!$D$33-SUM(F$55:F64)+F$55,E65*(1-'הנחות עבודה'!$D$38))))</f>
        <v>0</v>
      </c>
      <c r="G65" s="235">
        <f>IF($B65&gt;2030,0,IF($B65&gt;G$55,0,IF($B65=G$55,VLOOKUP($B65,'הספק קיים ותחזית יצור'!$B$80:$E$100,2,FALSE)/'הנחות עבודה'!$D$33-SUM(G$55:G64)+G$55,F65*(1-'הנחות עבודה'!$D$38))))</f>
        <v>0</v>
      </c>
      <c r="H65" s="235">
        <f>IF($B65&gt;2030,0,IF($B65&gt;H$55,0,IF($B65=H$55,VLOOKUP($B65,'הספק קיים ותחזית יצור'!$B$80:$E$100,2,FALSE)/'הנחות עבודה'!$D$33-SUM(H$55:H64)+H$55,G65*(1-'הנחות עבודה'!$D$38))))</f>
        <v>0</v>
      </c>
      <c r="I65" s="235">
        <f>IF($B65&gt;2030,0,IF($B65&gt;I$55,0,IF($B65=I$55,VLOOKUP($B65,'הספק קיים ותחזית יצור'!$B$80:$E$100,2,FALSE)/'הנחות עבודה'!$D$33-SUM(I$55:I64)+I$55,H65*(1-'הנחות עבודה'!$D$38))))</f>
        <v>0</v>
      </c>
      <c r="J65" s="235">
        <f>IF($B65&gt;2030,0,IF($B65&gt;J$55,0,IF($B65=J$55,VLOOKUP($B65,'הספק קיים ותחזית יצור'!$B$80:$E$100,2,FALSE)/'הנחות עבודה'!$D$33-SUM(J$55:J64)+J$55,I65*(1-'הנחות עבודה'!$D$38))))</f>
        <v>0</v>
      </c>
      <c r="K65" s="235">
        <f>IF($B65&gt;2030,0,IF($B65&gt;K$55,0,IF($B65=K$55,VLOOKUP($B65,'הספק קיים ותחזית יצור'!$B$80:$E$100,2,FALSE)/'הנחות עבודה'!$D$33-SUM(K$55:K64)+K$55,J65*(1-'הנחות עבודה'!$D$38))))</f>
        <v>0</v>
      </c>
      <c r="L65" s="235">
        <f>IF($B65&gt;2030,0,IF($B65&gt;L$55,0,IF($B65=L$55,VLOOKUP($B65,'הספק קיים ותחזית יצור'!$B$80:$E$100,2,FALSE)/'הנחות עבודה'!$D$33-SUM(L$55:L64)+L$55,K65*(1-'הנחות עבודה'!$D$38))))</f>
        <v>743.82022164536647</v>
      </c>
      <c r="M65" s="235">
        <f>IF($B65&gt;2030,0,IF($B65&gt;M$55,0,IF($B65=M$55,VLOOKUP($B65,'הספק קיים ותחזית יצור'!$B$80:$E$100,2,FALSE)/'הנחות עבודה'!$D$33-SUM(M$55:M64)+M$55,L65*(1-'הנחות עבודה'!$D$38))))</f>
        <v>739.35730031549429</v>
      </c>
      <c r="N65" s="235">
        <f>IF($B65&gt;2030,0,IF($B65&gt;N$55,0,IF($B65=N$55,VLOOKUP($B65,'הספק קיים ותחזית יצור'!$B$80:$E$100,2,FALSE)/'הנחות עבודה'!$D$33-SUM(N$55:N64)+N$55,M65*(1-'הנחות עבודה'!$D$38))))</f>
        <v>734.92115651360132</v>
      </c>
      <c r="O65" s="235">
        <f>IF($B65&gt;2030,0,IF($B65&gt;O$55,0,IF($B65=O$55,VLOOKUP($B65,'הספק קיים ותחזית יצור'!$B$80:$E$100,2,FALSE)/'הנחות עבודה'!$D$33-SUM(O$55:O64)+O$55,N65*(1-'הנחות עבודה'!$D$38))))</f>
        <v>730.5116295745197</v>
      </c>
      <c r="P65" s="235">
        <f>IF($B65&gt;2030,0,IF($B65&gt;P$55,0,IF($B65=P$55,VLOOKUP($B65,'הספק קיים ותחזית יצור'!$B$80:$E$100,2,FALSE)/'הנחות עבודה'!$D$33-SUM(P$55:P64)+P$55,O65*(1-'הנחות עבודה'!$D$38))))</f>
        <v>726.12855979707263</v>
      </c>
      <c r="Q65" s="235">
        <f>IF($B65&gt;2030,0,IF($B65&gt;Q$55,0,IF($B65=Q$55,VLOOKUP($B65,'הספק קיים ותחזית יצור'!$B$80:$E$100,2,FALSE)/'הנחות עבודה'!$D$33-SUM(Q$55:Q64)+Q$55,P65*(1-'הנחות עבודה'!$D$38))))</f>
        <v>721.77178843829017</v>
      </c>
      <c r="R65" s="235">
        <f>IF($B65&gt;2030,0,IF($B65&gt;R$55,0,IF($B65=R$55,VLOOKUP($B65,'הספק קיים ותחזית יצור'!$B$80:$E$100,2,FALSE)/'הנחות עבודה'!$D$33-SUM(R$55:R64)+R$55,Q65*(1-'הנחות עבודה'!$D$38))))</f>
        <v>717.44115770766041</v>
      </c>
      <c r="S65" s="235">
        <f>IF($B65&gt;2030,0,IF($B65&gt;S$55,0,IF($B65=S$55,VLOOKUP($B65,'הספק קיים ותחזית יצור'!$B$80:$E$100,2,FALSE)/'הנחות עבודה'!$D$33-SUM(S$55:S64)+S$55,R65*(1-'הנחות עבודה'!$D$38))))</f>
        <v>713.13651076141446</v>
      </c>
      <c r="T65" s="235">
        <f>IF($B65&gt;2030,0,IF($B65&gt;T$55,0,IF($B65=T$55,VLOOKUP($B65,'הספק קיים ותחזית יצור'!$B$80:$E$100,2,FALSE)/'הנחות עבודה'!$D$33-SUM(T$55:T64)+T$55,S65*(1-'הנחות עבודה'!$D$38))))</f>
        <v>708.85769169684602</v>
      </c>
      <c r="U65" s="235">
        <f>IF($B65&gt;2030,0,IF($B65&gt;U$55,0,IF($B65=U$55,VLOOKUP($B65,'הספק קיים ותחזית יצור'!$B$80:$E$100,2,FALSE)/'הנחות עבודה'!$D$33-SUM(U$55:U64)+U$55,T65*(1-'הנחות עבודה'!$D$38))))</f>
        <v>704.60454554666489</v>
      </c>
      <c r="V65" s="235">
        <f>IF($B65&gt;2030,0,IF($B65&gt;V$55,0,IF($B65=V$55,VLOOKUP($B65,'הספק קיים ותחזית יצור'!$B$80:$E$100,2,FALSE)/'הנחות עבודה'!$D$33-SUM(V$55:V64)+V$55,U65*(1-'הנחות עבודה'!$D$38))))</f>
        <v>700.37691827338494</v>
      </c>
      <c r="W65" s="236">
        <f>IF($B65&gt;2030,0,IF($B65&gt;W$55,0,IF($B65=W$55,VLOOKUP($B65,'הספק קיים ותחזית יצור'!$B$80:$E$100,2,FALSE)/'הנחות עבודה'!$D$33-SUM(W$55:W64)+W$55,V65*(1-'הנחות עבודה'!$D$38))))</f>
        <v>696.17465676374468</v>
      </c>
    </row>
    <row r="66" spans="2:23">
      <c r="B66" s="306">
        <f t="shared" si="7"/>
        <v>2030</v>
      </c>
      <c r="C66" s="234">
        <f>IF($B66&gt;2030,0,IF($B66&gt;C$55,0,IF($B66=C$55,VLOOKUP($B66,'הספק קיים ותחזית יצור'!$B$80:$E$100,2,FALSE)/'הנחות עבודה'!$D$33-SUM(C$55:C65)+C$55,B66*(1-'הנחות עבודה'!$D$38))))</f>
        <v>0</v>
      </c>
      <c r="D66" s="235">
        <f>IF($B66&gt;2030,0,IF($B66&gt;D$55,0,IF($B66=D$55,VLOOKUP($B66,'הספק קיים ותחזית יצור'!$B$80:$E$100,2,FALSE)/'הנחות עבודה'!$D$33-SUM(D$55:D65)+D$55,C66*(1-'הנחות עבודה'!$D$38))))</f>
        <v>0</v>
      </c>
      <c r="E66" s="235">
        <f>IF($B66&gt;2030,0,IF($B66&gt;E$55,0,IF($B66=E$55,VLOOKUP($B66,'הספק קיים ותחזית יצור'!$B$80:$E$100,2,FALSE)/'הנחות עבודה'!$D$33-SUM(E$55:E65)+E$55,D66*(1-'הנחות עבודה'!$D$38))))</f>
        <v>0</v>
      </c>
      <c r="F66" s="235">
        <f>IF($B66&gt;2030,0,IF($B66&gt;F$55,0,IF($B66=F$55,VLOOKUP($B66,'הספק קיים ותחזית יצור'!$B$80:$E$100,2,FALSE)/'הנחות עבודה'!$D$33-SUM(F$55:F65)+F$55,E66*(1-'הנחות עבודה'!$D$38))))</f>
        <v>0</v>
      </c>
      <c r="G66" s="235">
        <f>IF($B66&gt;2030,0,IF($B66&gt;G$55,0,IF($B66=G$55,VLOOKUP($B66,'הספק קיים ותחזית יצור'!$B$80:$E$100,2,FALSE)/'הנחות עבודה'!$D$33-SUM(G$55:G65)+G$55,F66*(1-'הנחות עבודה'!$D$38))))</f>
        <v>0</v>
      </c>
      <c r="H66" s="235">
        <f>IF($B66&gt;2030,0,IF($B66&gt;H$55,0,IF($B66=H$55,VLOOKUP($B66,'הספק קיים ותחזית יצור'!$B$80:$E$100,2,FALSE)/'הנחות עבודה'!$D$33-SUM(H$55:H65)+H$55,G66*(1-'הנחות עבודה'!$D$38))))</f>
        <v>0</v>
      </c>
      <c r="I66" s="235">
        <f>IF($B66&gt;2030,0,IF($B66&gt;I$55,0,IF($B66=I$55,VLOOKUP($B66,'הספק קיים ותחזית יצור'!$B$80:$E$100,2,FALSE)/'הנחות עבודה'!$D$33-SUM(I$55:I65)+I$55,H66*(1-'הנחות עבודה'!$D$38))))</f>
        <v>0</v>
      </c>
      <c r="J66" s="235">
        <f>IF($B66&gt;2030,0,IF($B66&gt;J$55,0,IF($B66=J$55,VLOOKUP($B66,'הספק קיים ותחזית יצור'!$B$80:$E$100,2,FALSE)/'הנחות עבודה'!$D$33-SUM(J$55:J65)+J$55,I66*(1-'הנחות עבודה'!$D$38))))</f>
        <v>0</v>
      </c>
      <c r="K66" s="235">
        <f>IF($B66&gt;2030,0,IF($B66&gt;K$55,0,IF($B66=K$55,VLOOKUP($B66,'הספק קיים ותחזית יצור'!$B$80:$E$100,2,FALSE)/'הנחות עבודה'!$D$33-SUM(K$55:K65)+K$55,J66*(1-'הנחות עבודה'!$D$38))))</f>
        <v>0</v>
      </c>
      <c r="L66" s="235">
        <f>IF($B66&gt;2030,0,IF($B66&gt;L$55,0,IF($B66=L$55,VLOOKUP($B66,'הספק קיים ותחזית יצור'!$B$80:$E$100,2,FALSE)/'הנחות עבודה'!$D$33-SUM(L$55:L65)+L$55,K66*(1-'הנחות עבודה'!$D$38))))</f>
        <v>0</v>
      </c>
      <c r="M66" s="235">
        <f>IF($B66&gt;2030,0,IF($B66&gt;M$55,0,IF($B66=M$55,VLOOKUP($B66,'הספק קיים ותחזית יצור'!$B$80:$E$100,2,FALSE)/'הנחות עבודה'!$D$33-SUM(M$55:M65)+M$55,L66*(1-'הנחות עבודה'!$D$38))))</f>
        <v>758.00809086056051</v>
      </c>
      <c r="N66" s="235">
        <f>IF($B66&gt;2030,0,IF($B66&gt;N$55,0,IF($B66=N$55,VLOOKUP($B66,'הספק קיים ותחזית יצור'!$B$80:$E$100,2,FALSE)/'הנחות עבודה'!$D$33-SUM(N$55:N65)+N$55,M66*(1-'הנחות עבודה'!$D$38))))</f>
        <v>753.46004231539712</v>
      </c>
      <c r="O66" s="235">
        <f>IF($B66&gt;2030,0,IF($B66&gt;O$55,0,IF($B66=O$55,VLOOKUP($B66,'הספק קיים ותחזית יצור'!$B$80:$E$100,2,FALSE)/'הנחות עבודה'!$D$33-SUM(O$55:O65)+O$55,N66*(1-'הנחות עבודה'!$D$38))))</f>
        <v>748.93928206150474</v>
      </c>
      <c r="P66" s="235">
        <f>IF($B66&gt;2030,0,IF($B66&gt;P$55,0,IF($B66=P$55,VLOOKUP($B66,'הספק קיים ותחזית יצור'!$B$80:$E$100,2,FALSE)/'הנחות עבודה'!$D$33-SUM(P$55:P65)+P$55,O66*(1-'הנחות עבודה'!$D$38))))</f>
        <v>744.44564636913572</v>
      </c>
      <c r="Q66" s="235">
        <f>IF($B66&gt;2030,0,IF($B66&gt;Q$55,0,IF($B66=Q$55,VLOOKUP($B66,'הספק קיים ותחזית יצור'!$B$80:$E$100,2,FALSE)/'הנחות עבודה'!$D$33-SUM(Q$55:Q65)+Q$55,P66*(1-'הנחות עבודה'!$D$38))))</f>
        <v>739.97897249092091</v>
      </c>
      <c r="R66" s="235">
        <f>IF($B66&gt;2030,0,IF($B66&gt;R$55,0,IF($B66=R$55,VLOOKUP($B66,'הספק קיים ותחזית יצור'!$B$80:$E$100,2,FALSE)/'הנחות עבודה'!$D$33-SUM(R$55:R65)+R$55,Q66*(1-'הנחות עבודה'!$D$38))))</f>
        <v>735.53909865597541</v>
      </c>
      <c r="S66" s="235">
        <f>IF($B66&gt;2030,0,IF($B66&gt;S$55,0,IF($B66=S$55,VLOOKUP($B66,'הספק קיים ותחזית יצור'!$B$80:$E$100,2,FALSE)/'הנחות עבודה'!$D$33-SUM(S$55:S65)+S$55,R66*(1-'הנחות עבודה'!$D$38))))</f>
        <v>731.12586406403955</v>
      </c>
      <c r="T66" s="235">
        <f>IF($B66&gt;2030,0,IF($B66&gt;T$55,0,IF($B66=T$55,VLOOKUP($B66,'הספק קיים ותחזית יצור'!$B$80:$E$100,2,FALSE)/'הנחות עבודה'!$D$33-SUM(T$55:T65)+T$55,S66*(1-'הנחות עבודה'!$D$38))))</f>
        <v>726.7391088796553</v>
      </c>
      <c r="U66" s="235">
        <f>IF($B66&gt;2030,0,IF($B66&gt;U$55,0,IF($B66=U$55,VLOOKUP($B66,'הספק קיים ותחזית יצור'!$B$80:$E$100,2,FALSE)/'הנחות עבודה'!$D$33-SUM(U$55:U65)+U$55,T66*(1-'הנחות עבודה'!$D$38))))</f>
        <v>722.37867422637737</v>
      </c>
      <c r="V66" s="235">
        <f>IF($B66&gt;2030,0,IF($B66&gt;V$55,0,IF($B66=V$55,VLOOKUP($B66,'הספק קיים ותחזית יצור'!$B$80:$E$100,2,FALSE)/'הנחות עבודה'!$D$33-SUM(V$55:V65)+V$55,U66*(1-'הנחות עבודה'!$D$38))))</f>
        <v>718.04440218101911</v>
      </c>
      <c r="W66" s="236">
        <f>IF($B66&gt;2030,0,IF($B66&gt;W$55,0,IF($B66=W$55,VLOOKUP($B66,'הספק קיים ותחזית יצור'!$B$80:$E$100,2,FALSE)/'הנחות עבודה'!$D$33-SUM(W$55:W65)+W$55,V66*(1-'הנחות עבודה'!$D$38))))</f>
        <v>713.73613576793298</v>
      </c>
    </row>
    <row r="67" spans="2:23">
      <c r="B67" s="306">
        <f t="shared" si="7"/>
        <v>2031</v>
      </c>
      <c r="C67" s="234">
        <f>IF($B67&gt;2030,0,IF($B67&gt;C$55,0,IF($B67=C$55,VLOOKUP($B67,'הספק קיים ותחזית יצור'!$B$80:$E$100,2,FALSE)/'הנחות עבודה'!$D$33-SUM(C$55:C66)+C$55,B67*(1-'הנחות עבודה'!$D$38))))</f>
        <v>0</v>
      </c>
      <c r="D67" s="235">
        <f>IF($B67&gt;2030,0,IF($B67&gt;D$55,0,IF($B67=D$55,VLOOKUP($B67,'הספק קיים ותחזית יצור'!$B$80:$E$100,2,FALSE)/'הנחות עבודה'!$D$33-SUM(D$55:D66)+D$55,C67*(1-'הנחות עבודה'!$D$38))))</f>
        <v>0</v>
      </c>
      <c r="E67" s="235">
        <f>IF($B67&gt;2030,0,IF($B67&gt;E$55,0,IF($B67=E$55,VLOOKUP($B67,'הספק קיים ותחזית יצור'!$B$80:$E$100,2,FALSE)/'הנחות עבודה'!$D$33-SUM(E$55:E66)+E$55,D67*(1-'הנחות עבודה'!$D$38))))</f>
        <v>0</v>
      </c>
      <c r="F67" s="235">
        <f>IF($B67&gt;2030,0,IF($B67&gt;F$55,0,IF($B67=F$55,VLOOKUP($B67,'הספק קיים ותחזית יצור'!$B$80:$E$100,2,FALSE)/'הנחות עבודה'!$D$33-SUM(F$55:F66)+F$55,E67*(1-'הנחות עבודה'!$D$38))))</f>
        <v>0</v>
      </c>
      <c r="G67" s="235">
        <f>IF($B67&gt;2030,0,IF($B67&gt;G$55,0,IF($B67=G$55,VLOOKUP($B67,'הספק קיים ותחזית יצור'!$B$80:$E$100,2,FALSE)/'הנחות עבודה'!$D$33-SUM(G$55:G66)+G$55,F67*(1-'הנחות עבודה'!$D$38))))</f>
        <v>0</v>
      </c>
      <c r="H67" s="235">
        <f>IF($B67&gt;2030,0,IF($B67&gt;H$55,0,IF($B67=H$55,VLOOKUP($B67,'הספק קיים ותחזית יצור'!$B$80:$E$100,2,FALSE)/'הנחות עבודה'!$D$33-SUM(H$55:H66)+H$55,G67*(1-'הנחות עבודה'!$D$38))))</f>
        <v>0</v>
      </c>
      <c r="I67" s="235">
        <f>IF($B67&gt;2030,0,IF($B67&gt;I$55,0,IF($B67=I$55,VLOOKUP($B67,'הספק קיים ותחזית יצור'!$B$80:$E$100,2,FALSE)/'הנחות עבודה'!$D$33-SUM(I$55:I66)+I$55,H67*(1-'הנחות עבודה'!$D$38))))</f>
        <v>0</v>
      </c>
      <c r="J67" s="235">
        <f>IF($B67&gt;2030,0,IF($B67&gt;J$55,0,IF($B67=J$55,VLOOKUP($B67,'הספק קיים ותחזית יצור'!$B$80:$E$100,2,FALSE)/'הנחות עבודה'!$D$33-SUM(J$55:J66)+J$55,I67*(1-'הנחות עבודה'!$D$38))))</f>
        <v>0</v>
      </c>
      <c r="K67" s="235">
        <f>IF($B67&gt;2030,0,IF($B67&gt;K$55,0,IF($B67=K$55,VLOOKUP($B67,'הספק קיים ותחזית יצור'!$B$80:$E$100,2,FALSE)/'הנחות עבודה'!$D$33-SUM(K$55:K66)+K$55,J67*(1-'הנחות עבודה'!$D$38))))</f>
        <v>0</v>
      </c>
      <c r="L67" s="235">
        <f>IF($B67&gt;2030,0,IF($B67&gt;L$55,0,IF($B67=L$55,VLOOKUP($B67,'הספק קיים ותחזית יצור'!$B$80:$E$100,2,FALSE)/'הנחות עבודה'!$D$33-SUM(L$55:L66)+L$55,K67*(1-'הנחות עבודה'!$D$38))))</f>
        <v>0</v>
      </c>
      <c r="M67" s="235">
        <f>IF($B67&gt;2030,0,IF($B67&gt;M$55,0,IF($B67=M$55,VLOOKUP($B67,'הספק קיים ותחזית יצור'!$B$80:$E$100,2,FALSE)/'הנחות עבודה'!$D$33-SUM(M$55:M66)+M$55,L67*(1-'הנחות עבודה'!$D$38))))</f>
        <v>0</v>
      </c>
      <c r="N67" s="235">
        <f>IF($B67&gt;2030,0,IF($B67&gt;N$55,0,IF($B67=N$55,VLOOKUP($B67,'הספק קיים ותחזית יצור'!$B$80:$E$100,2,FALSE)/'הנחות עבודה'!$D$33-SUM(N$55:N66)+N$55,M67*(1-'הנחות עבודה'!$D$38))))</f>
        <v>0</v>
      </c>
      <c r="O67" s="235">
        <f>IF($B67&gt;2030,0,IF($B67&gt;O$55,0,IF($B67=O$55,VLOOKUP($B67,'הספק קיים ותחזית יצור'!$B$80:$E$100,2,FALSE)/'הנחות עבודה'!$D$33-SUM(O$55:O66)+O$55,N67*(1-'הנחות עבודה'!$D$38))))</f>
        <v>0</v>
      </c>
      <c r="P67" s="235">
        <f>IF($B67&gt;2030,0,IF($B67&gt;P$55,0,IF($B67=P$55,VLOOKUP($B67,'הספק קיים ותחזית יצור'!$B$80:$E$100,2,FALSE)/'הנחות עבודה'!$D$33-SUM(P$55:P66)+P$55,O67*(1-'הנחות עבודה'!$D$38))))</f>
        <v>0</v>
      </c>
      <c r="Q67" s="235">
        <f>IF($B67&gt;2030,0,IF($B67&gt;Q$55,0,IF($B67=Q$55,VLOOKUP($B67,'הספק קיים ותחזית יצור'!$B$80:$E$100,2,FALSE)/'הנחות עבודה'!$D$33-SUM(Q$55:Q66)+Q$55,P67*(1-'הנחות עבודה'!$D$38))))</f>
        <v>0</v>
      </c>
      <c r="R67" s="235">
        <f>IF($B67&gt;2030,0,IF($B67&gt;R$55,0,IF($B67=R$55,VLOOKUP($B67,'הספק קיים ותחזית יצור'!$B$80:$E$100,2,FALSE)/'הנחות עבודה'!$D$33-SUM(R$55:R66)+R$55,Q67*(1-'הנחות עבודה'!$D$38))))</f>
        <v>0</v>
      </c>
      <c r="S67" s="235">
        <f>IF($B67&gt;2030,0,IF($B67&gt;S$55,0,IF($B67=S$55,VLOOKUP($B67,'הספק קיים ותחזית יצור'!$B$80:$E$100,2,FALSE)/'הנחות עבודה'!$D$33-SUM(S$55:S66)+S$55,R67*(1-'הנחות עבודה'!$D$38))))</f>
        <v>0</v>
      </c>
      <c r="T67" s="235">
        <f>IF($B67&gt;2030,0,IF($B67&gt;T$55,0,IF($B67=T$55,VLOOKUP($B67,'הספק קיים ותחזית יצור'!$B$80:$E$100,2,FALSE)/'הנחות עבודה'!$D$33-SUM(T$55:T66)+T$55,S67*(1-'הנחות עבודה'!$D$38))))</f>
        <v>0</v>
      </c>
      <c r="U67" s="235">
        <f>IF($B67&gt;2030,0,IF($B67&gt;U$55,0,IF($B67=U$55,VLOOKUP($B67,'הספק קיים ותחזית יצור'!$B$80:$E$100,2,FALSE)/'הנחות עבודה'!$D$33-SUM(U$55:U66)+U$55,T67*(1-'הנחות עבודה'!$D$38))))</f>
        <v>0</v>
      </c>
      <c r="V67" s="235">
        <f>IF($B67&gt;2030,0,IF($B67&gt;V$55,0,IF($B67=V$55,VLOOKUP($B67,'הספק קיים ותחזית יצור'!$B$80:$E$100,2,FALSE)/'הנחות עבודה'!$D$33-SUM(V$55:V66)+V$55,U67*(1-'הנחות עבודה'!$D$38))))</f>
        <v>0</v>
      </c>
      <c r="W67" s="236">
        <f>IF($B67&gt;2030,0,IF($B67&gt;W$55,0,IF($B67=W$55,VLOOKUP($B67,'הספק קיים ותחזית יצור'!$B$80:$E$100,2,FALSE)/'הנחות עבודה'!$D$33-SUM(W$55:W66)+W$55,V67*(1-'הנחות עבודה'!$D$38))))</f>
        <v>0</v>
      </c>
    </row>
    <row r="68" spans="2:23">
      <c r="B68" s="306">
        <f t="shared" si="7"/>
        <v>2032</v>
      </c>
      <c r="C68" s="234">
        <f>IF($B68&gt;2030,0,IF($B68&gt;C$55,0,IF($B68=C$55,VLOOKUP($B68,'הספק קיים ותחזית יצור'!$B$80:$E$100,2,FALSE)/'הנחות עבודה'!$D$33-SUM(C$55:C67)+C$55,B68*(1-'הנחות עבודה'!$D$38))))</f>
        <v>0</v>
      </c>
      <c r="D68" s="235">
        <f>IF($B68&gt;2030,0,IF($B68&gt;D$55,0,IF($B68=D$55,VLOOKUP($B68,'הספק קיים ותחזית יצור'!$B$80:$E$100,2,FALSE)/'הנחות עבודה'!$D$33-SUM(D$55:D67)+D$55,C68*(1-'הנחות עבודה'!$D$38))))</f>
        <v>0</v>
      </c>
      <c r="E68" s="235">
        <f>IF($B68&gt;2030,0,IF($B68&gt;E$55,0,IF($B68=E$55,VLOOKUP($B68,'הספק קיים ותחזית יצור'!$B$80:$E$100,2,FALSE)/'הנחות עבודה'!$D$33-SUM(E$55:E67)+E$55,D68*(1-'הנחות עבודה'!$D$38))))</f>
        <v>0</v>
      </c>
      <c r="F68" s="235">
        <f>IF($B68&gt;2030,0,IF($B68&gt;F$55,0,IF($B68=F$55,VLOOKUP($B68,'הספק קיים ותחזית יצור'!$B$80:$E$100,2,FALSE)/'הנחות עבודה'!$D$33-SUM(F$55:F67)+F$55,E68*(1-'הנחות עבודה'!$D$38))))</f>
        <v>0</v>
      </c>
      <c r="G68" s="235">
        <f>IF($B68&gt;2030,0,IF($B68&gt;G$55,0,IF($B68=G$55,VLOOKUP($B68,'הספק קיים ותחזית יצור'!$B$80:$E$100,2,FALSE)/'הנחות עבודה'!$D$33-SUM(G$55:G67)+G$55,F68*(1-'הנחות עבודה'!$D$38))))</f>
        <v>0</v>
      </c>
      <c r="H68" s="235">
        <f>IF($B68&gt;2030,0,IF($B68&gt;H$55,0,IF($B68=H$55,VLOOKUP($B68,'הספק קיים ותחזית יצור'!$B$80:$E$100,2,FALSE)/'הנחות עבודה'!$D$33-SUM(H$55:H67)+H$55,G68*(1-'הנחות עבודה'!$D$38))))</f>
        <v>0</v>
      </c>
      <c r="I68" s="235">
        <f>IF($B68&gt;2030,0,IF($B68&gt;I$55,0,IF($B68=I$55,VLOOKUP($B68,'הספק קיים ותחזית יצור'!$B$80:$E$100,2,FALSE)/'הנחות עבודה'!$D$33-SUM(I$55:I67)+I$55,H68*(1-'הנחות עבודה'!$D$38))))</f>
        <v>0</v>
      </c>
      <c r="J68" s="235">
        <f>IF($B68&gt;2030,0,IF($B68&gt;J$55,0,IF($B68=J$55,VLOOKUP($B68,'הספק קיים ותחזית יצור'!$B$80:$E$100,2,FALSE)/'הנחות עבודה'!$D$33-SUM(J$55:J67)+J$55,I68*(1-'הנחות עבודה'!$D$38))))</f>
        <v>0</v>
      </c>
      <c r="K68" s="235">
        <f>IF($B68&gt;2030,0,IF($B68&gt;K$55,0,IF($B68=K$55,VLOOKUP($B68,'הספק קיים ותחזית יצור'!$B$80:$E$100,2,FALSE)/'הנחות עבודה'!$D$33-SUM(K$55:K67)+K$55,J68*(1-'הנחות עבודה'!$D$38))))</f>
        <v>0</v>
      </c>
      <c r="L68" s="235">
        <f>IF($B68&gt;2030,0,IF($B68&gt;L$55,0,IF($B68=L$55,VLOOKUP($B68,'הספק קיים ותחזית יצור'!$B$80:$E$100,2,FALSE)/'הנחות עבודה'!$D$33-SUM(L$55:L67)+L$55,K68*(1-'הנחות עבודה'!$D$38))))</f>
        <v>0</v>
      </c>
      <c r="M68" s="235">
        <f>IF($B68&gt;2030,0,IF($B68&gt;M$55,0,IF($B68=M$55,VLOOKUP($B68,'הספק קיים ותחזית יצור'!$B$80:$E$100,2,FALSE)/'הנחות עבודה'!$D$33-SUM(M$55:M67)+M$55,L68*(1-'הנחות עבודה'!$D$38))))</f>
        <v>0</v>
      </c>
      <c r="N68" s="235">
        <f>IF($B68&gt;2030,0,IF($B68&gt;N$55,0,IF($B68=N$55,VLOOKUP($B68,'הספק קיים ותחזית יצור'!$B$80:$E$100,2,FALSE)/'הנחות עבודה'!$D$33-SUM(N$55:N67)+N$55,M68*(1-'הנחות עבודה'!$D$38))))</f>
        <v>0</v>
      </c>
      <c r="O68" s="235">
        <f>IF($B68&gt;2030,0,IF($B68&gt;O$55,0,IF($B68=O$55,VLOOKUP($B68,'הספק קיים ותחזית יצור'!$B$80:$E$100,2,FALSE)/'הנחות עבודה'!$D$33-SUM(O$55:O67)+O$55,N68*(1-'הנחות עבודה'!$D$38))))</f>
        <v>0</v>
      </c>
      <c r="P68" s="235">
        <f>IF($B68&gt;2030,0,IF($B68&gt;P$55,0,IF($B68=P$55,VLOOKUP($B68,'הספק קיים ותחזית יצור'!$B$80:$E$100,2,FALSE)/'הנחות עבודה'!$D$33-SUM(P$55:P67)+P$55,O68*(1-'הנחות עבודה'!$D$38))))</f>
        <v>0</v>
      </c>
      <c r="Q68" s="235">
        <f>IF($B68&gt;2030,0,IF($B68&gt;Q$55,0,IF($B68=Q$55,VLOOKUP($B68,'הספק קיים ותחזית יצור'!$B$80:$E$100,2,FALSE)/'הנחות עבודה'!$D$33-SUM(Q$55:Q67)+Q$55,P68*(1-'הנחות עבודה'!$D$38))))</f>
        <v>0</v>
      </c>
      <c r="R68" s="235">
        <f>IF($B68&gt;2030,0,IF($B68&gt;R$55,0,IF($B68=R$55,VLOOKUP($B68,'הספק קיים ותחזית יצור'!$B$80:$E$100,2,FALSE)/'הנחות עבודה'!$D$33-SUM(R$55:R67)+R$55,Q68*(1-'הנחות עבודה'!$D$38))))</f>
        <v>0</v>
      </c>
      <c r="S68" s="235">
        <f>IF($B68&gt;2030,0,IF($B68&gt;S$55,0,IF($B68=S$55,VLOOKUP($B68,'הספק קיים ותחזית יצור'!$B$80:$E$100,2,FALSE)/'הנחות עבודה'!$D$33-SUM(S$55:S67)+S$55,R68*(1-'הנחות עבודה'!$D$38))))</f>
        <v>0</v>
      </c>
      <c r="T68" s="235">
        <f>IF($B68&gt;2030,0,IF($B68&gt;T$55,0,IF($B68=T$55,VLOOKUP($B68,'הספק קיים ותחזית יצור'!$B$80:$E$100,2,FALSE)/'הנחות עבודה'!$D$33-SUM(T$55:T67)+T$55,S68*(1-'הנחות עבודה'!$D$38))))</f>
        <v>0</v>
      </c>
      <c r="U68" s="235">
        <f>IF($B68&gt;2030,0,IF($B68&gt;U$55,0,IF($B68=U$55,VLOOKUP($B68,'הספק קיים ותחזית יצור'!$B$80:$E$100,2,FALSE)/'הנחות עבודה'!$D$33-SUM(U$55:U67)+U$55,T68*(1-'הנחות עבודה'!$D$38))))</f>
        <v>0</v>
      </c>
      <c r="V68" s="235">
        <f>IF($B68&gt;2030,0,IF($B68&gt;V$55,0,IF($B68=V$55,VLOOKUP($B68,'הספק קיים ותחזית יצור'!$B$80:$E$100,2,FALSE)/'הנחות עבודה'!$D$33-SUM(V$55:V67)+V$55,U68*(1-'הנחות עבודה'!$D$38))))</f>
        <v>0</v>
      </c>
      <c r="W68" s="236">
        <f>IF($B68&gt;2030,0,IF($B68&gt;W$55,0,IF($B68=W$55,VLOOKUP($B68,'הספק קיים ותחזית יצור'!$B$80:$E$100,2,FALSE)/'הנחות עבודה'!$D$33-SUM(W$55:W67)+W$55,V68*(1-'הנחות עבודה'!$D$38))))</f>
        <v>0</v>
      </c>
    </row>
    <row r="69" spans="2:23">
      <c r="B69" s="306">
        <f t="shared" si="7"/>
        <v>2033</v>
      </c>
      <c r="C69" s="234">
        <f>IF($B69&gt;2030,0,IF($B69&gt;C$55,0,IF($B69=C$55,VLOOKUP($B69,'הספק קיים ותחזית יצור'!$B$80:$E$100,2,FALSE)/'הנחות עבודה'!$D$33-SUM(C$55:C68)+C$55,B69*(1-'הנחות עבודה'!$D$38))))</f>
        <v>0</v>
      </c>
      <c r="D69" s="235">
        <f>IF($B69&gt;2030,0,IF($B69&gt;D$55,0,IF($B69=D$55,VLOOKUP($B69,'הספק קיים ותחזית יצור'!$B$80:$E$100,2,FALSE)/'הנחות עבודה'!$D$33-SUM(D$55:D68)+D$55,C69*(1-'הנחות עבודה'!$D$38))))</f>
        <v>0</v>
      </c>
      <c r="E69" s="235">
        <f>IF($B69&gt;2030,0,IF($B69&gt;E$55,0,IF($B69=E$55,VLOOKUP($B69,'הספק קיים ותחזית יצור'!$B$80:$E$100,2,FALSE)/'הנחות עבודה'!$D$33-SUM(E$55:E68)+E$55,D69*(1-'הנחות עבודה'!$D$38))))</f>
        <v>0</v>
      </c>
      <c r="F69" s="235">
        <f>IF($B69&gt;2030,0,IF($B69&gt;F$55,0,IF($B69=F$55,VLOOKUP($B69,'הספק קיים ותחזית יצור'!$B$80:$E$100,2,FALSE)/'הנחות עבודה'!$D$33-SUM(F$55:F68)+F$55,E69*(1-'הנחות עבודה'!$D$38))))</f>
        <v>0</v>
      </c>
      <c r="G69" s="235">
        <f>IF($B69&gt;2030,0,IF($B69&gt;G$55,0,IF($B69=G$55,VLOOKUP($B69,'הספק קיים ותחזית יצור'!$B$80:$E$100,2,FALSE)/'הנחות עבודה'!$D$33-SUM(G$55:G68)+G$55,F69*(1-'הנחות עבודה'!$D$38))))</f>
        <v>0</v>
      </c>
      <c r="H69" s="235">
        <f>IF($B69&gt;2030,0,IF($B69&gt;H$55,0,IF($B69=H$55,VLOOKUP($B69,'הספק קיים ותחזית יצור'!$B$80:$E$100,2,FALSE)/'הנחות עבודה'!$D$33-SUM(H$55:H68)+H$55,G69*(1-'הנחות עבודה'!$D$38))))</f>
        <v>0</v>
      </c>
      <c r="I69" s="235">
        <f>IF($B69&gt;2030,0,IF($B69&gt;I$55,0,IF($B69=I$55,VLOOKUP($B69,'הספק קיים ותחזית יצור'!$B$80:$E$100,2,FALSE)/'הנחות עבודה'!$D$33-SUM(I$55:I68)+I$55,H69*(1-'הנחות עבודה'!$D$38))))</f>
        <v>0</v>
      </c>
      <c r="J69" s="235">
        <f>IF($B69&gt;2030,0,IF($B69&gt;J$55,0,IF($B69=J$55,VLOOKUP($B69,'הספק קיים ותחזית יצור'!$B$80:$E$100,2,FALSE)/'הנחות עבודה'!$D$33-SUM(J$55:J68)+J$55,I69*(1-'הנחות עבודה'!$D$38))))</f>
        <v>0</v>
      </c>
      <c r="K69" s="235">
        <f>IF($B69&gt;2030,0,IF($B69&gt;K$55,0,IF($B69=K$55,VLOOKUP($B69,'הספק קיים ותחזית יצור'!$B$80:$E$100,2,FALSE)/'הנחות עבודה'!$D$33-SUM(K$55:K68)+K$55,J69*(1-'הנחות עבודה'!$D$38))))</f>
        <v>0</v>
      </c>
      <c r="L69" s="235">
        <f>IF($B69&gt;2030,0,IF($B69&gt;L$55,0,IF($B69=L$55,VLOOKUP($B69,'הספק קיים ותחזית יצור'!$B$80:$E$100,2,FALSE)/'הנחות עבודה'!$D$33-SUM(L$55:L68)+L$55,K69*(1-'הנחות עבודה'!$D$38))))</f>
        <v>0</v>
      </c>
      <c r="M69" s="235">
        <f>IF($B69&gt;2030,0,IF($B69&gt;M$55,0,IF($B69=M$55,VLOOKUP($B69,'הספק קיים ותחזית יצור'!$B$80:$E$100,2,FALSE)/'הנחות עבודה'!$D$33-SUM(M$55:M68)+M$55,L69*(1-'הנחות עבודה'!$D$38))))</f>
        <v>0</v>
      </c>
      <c r="N69" s="235">
        <f>IF($B69&gt;2030,0,IF($B69&gt;N$55,0,IF($B69=N$55,VLOOKUP($B69,'הספק קיים ותחזית יצור'!$B$80:$E$100,2,FALSE)/'הנחות עבודה'!$D$33-SUM(N$55:N68)+N$55,M69*(1-'הנחות עבודה'!$D$38))))</f>
        <v>0</v>
      </c>
      <c r="O69" s="235">
        <f>IF($B69&gt;2030,0,IF($B69&gt;O$55,0,IF($B69=O$55,VLOOKUP($B69,'הספק קיים ותחזית יצור'!$B$80:$E$100,2,FALSE)/'הנחות עבודה'!$D$33-SUM(O$55:O68)+O$55,N69*(1-'הנחות עבודה'!$D$38))))</f>
        <v>0</v>
      </c>
      <c r="P69" s="235">
        <f>IF($B69&gt;2030,0,IF($B69&gt;P$55,0,IF($B69=P$55,VLOOKUP($B69,'הספק קיים ותחזית יצור'!$B$80:$E$100,2,FALSE)/'הנחות עבודה'!$D$33-SUM(P$55:P68)+P$55,O69*(1-'הנחות עבודה'!$D$38))))</f>
        <v>0</v>
      </c>
      <c r="Q69" s="235">
        <f>IF($B69&gt;2030,0,IF($B69&gt;Q$55,0,IF($B69=Q$55,VLOOKUP($B69,'הספק קיים ותחזית יצור'!$B$80:$E$100,2,FALSE)/'הנחות עבודה'!$D$33-SUM(Q$55:Q68)+Q$55,P69*(1-'הנחות עבודה'!$D$38))))</f>
        <v>0</v>
      </c>
      <c r="R69" s="235">
        <f>IF($B69&gt;2030,0,IF($B69&gt;R$55,0,IF($B69=R$55,VLOOKUP($B69,'הספק קיים ותחזית יצור'!$B$80:$E$100,2,FALSE)/'הנחות עבודה'!$D$33-SUM(R$55:R68)+R$55,Q69*(1-'הנחות עבודה'!$D$38))))</f>
        <v>0</v>
      </c>
      <c r="S69" s="235">
        <f>IF($B69&gt;2030,0,IF($B69&gt;S$55,0,IF($B69=S$55,VLOOKUP($B69,'הספק קיים ותחזית יצור'!$B$80:$E$100,2,FALSE)/'הנחות עבודה'!$D$33-SUM(S$55:S68)+S$55,R69*(1-'הנחות עבודה'!$D$38))))</f>
        <v>0</v>
      </c>
      <c r="T69" s="235">
        <f>IF($B69&gt;2030,0,IF($B69&gt;T$55,0,IF($B69=T$55,VLOOKUP($B69,'הספק קיים ותחזית יצור'!$B$80:$E$100,2,FALSE)/'הנחות עבודה'!$D$33-SUM(T$55:T68)+T$55,S69*(1-'הנחות עבודה'!$D$38))))</f>
        <v>0</v>
      </c>
      <c r="U69" s="235">
        <f>IF($B69&gt;2030,0,IF($B69&gt;U$55,0,IF($B69=U$55,VLOOKUP($B69,'הספק קיים ותחזית יצור'!$B$80:$E$100,2,FALSE)/'הנחות עבודה'!$D$33-SUM(U$55:U68)+U$55,T69*(1-'הנחות עבודה'!$D$38))))</f>
        <v>0</v>
      </c>
      <c r="V69" s="235">
        <f>IF($B69&gt;2030,0,IF($B69&gt;V$55,0,IF($B69=V$55,VLOOKUP($B69,'הספק קיים ותחזית יצור'!$B$80:$E$100,2,FALSE)/'הנחות עבודה'!$D$33-SUM(V$55:V68)+V$55,U69*(1-'הנחות עבודה'!$D$38))))</f>
        <v>0</v>
      </c>
      <c r="W69" s="236">
        <f>IF($B69&gt;2030,0,IF($B69&gt;W$55,0,IF($B69=W$55,VLOOKUP($B69,'הספק קיים ותחזית יצור'!$B$80:$E$100,2,FALSE)/'הנחות עבודה'!$D$33-SUM(W$55:W68)+W$55,V69*(1-'הנחות עבודה'!$D$38))))</f>
        <v>0</v>
      </c>
    </row>
    <row r="70" spans="2:23">
      <c r="B70" s="306">
        <f t="shared" si="7"/>
        <v>2034</v>
      </c>
      <c r="C70" s="234">
        <f>IF($B70&gt;2030,0,IF($B70&gt;C$55,0,IF($B70=C$55,VLOOKUP($B70,'הספק קיים ותחזית יצור'!$B$80:$E$100,2,FALSE)/'הנחות עבודה'!$D$33-SUM(C$55:C69)+C$55,B70*(1-'הנחות עבודה'!$D$38))))</f>
        <v>0</v>
      </c>
      <c r="D70" s="235">
        <f>IF($B70&gt;2030,0,IF($B70&gt;D$55,0,IF($B70=D$55,VLOOKUP($B70,'הספק קיים ותחזית יצור'!$B$80:$E$100,2,FALSE)/'הנחות עבודה'!$D$33-SUM(D$55:D69)+D$55,C70*(1-'הנחות עבודה'!$D$38))))</f>
        <v>0</v>
      </c>
      <c r="E70" s="235">
        <f>IF($B70&gt;2030,0,IF($B70&gt;E$55,0,IF($B70=E$55,VLOOKUP($B70,'הספק קיים ותחזית יצור'!$B$80:$E$100,2,FALSE)/'הנחות עבודה'!$D$33-SUM(E$55:E69)+E$55,D70*(1-'הנחות עבודה'!$D$38))))</f>
        <v>0</v>
      </c>
      <c r="F70" s="235">
        <f>IF($B70&gt;2030,0,IF($B70&gt;F$55,0,IF($B70=F$55,VLOOKUP($B70,'הספק קיים ותחזית יצור'!$B$80:$E$100,2,FALSE)/'הנחות עבודה'!$D$33-SUM(F$55:F69)+F$55,E70*(1-'הנחות עבודה'!$D$38))))</f>
        <v>0</v>
      </c>
      <c r="G70" s="235">
        <f>IF($B70&gt;2030,0,IF($B70&gt;G$55,0,IF($B70=G$55,VLOOKUP($B70,'הספק קיים ותחזית יצור'!$B$80:$E$100,2,FALSE)/'הנחות עבודה'!$D$33-SUM(G$55:G69)+G$55,F70*(1-'הנחות עבודה'!$D$38))))</f>
        <v>0</v>
      </c>
      <c r="H70" s="235">
        <f>IF($B70&gt;2030,0,IF($B70&gt;H$55,0,IF($B70=H$55,VLOOKUP($B70,'הספק קיים ותחזית יצור'!$B$80:$E$100,2,FALSE)/'הנחות עבודה'!$D$33-SUM(H$55:H69)+H$55,G70*(1-'הנחות עבודה'!$D$38))))</f>
        <v>0</v>
      </c>
      <c r="I70" s="235">
        <f>IF($B70&gt;2030,0,IF($B70&gt;I$55,0,IF($B70=I$55,VLOOKUP($B70,'הספק קיים ותחזית יצור'!$B$80:$E$100,2,FALSE)/'הנחות עבודה'!$D$33-SUM(I$55:I69)+I$55,H70*(1-'הנחות עבודה'!$D$38))))</f>
        <v>0</v>
      </c>
      <c r="J70" s="235">
        <f>IF($B70&gt;2030,0,IF($B70&gt;J$55,0,IF($B70=J$55,VLOOKUP($B70,'הספק קיים ותחזית יצור'!$B$80:$E$100,2,FALSE)/'הנחות עבודה'!$D$33-SUM(J$55:J69)+J$55,I70*(1-'הנחות עבודה'!$D$38))))</f>
        <v>0</v>
      </c>
      <c r="K70" s="235">
        <f>IF($B70&gt;2030,0,IF($B70&gt;K$55,0,IF($B70=K$55,VLOOKUP($B70,'הספק קיים ותחזית יצור'!$B$80:$E$100,2,FALSE)/'הנחות עבודה'!$D$33-SUM(K$55:K69)+K$55,J70*(1-'הנחות עבודה'!$D$38))))</f>
        <v>0</v>
      </c>
      <c r="L70" s="235">
        <f>IF($B70&gt;2030,0,IF($B70&gt;L$55,0,IF($B70=L$55,VLOOKUP($B70,'הספק קיים ותחזית יצור'!$B$80:$E$100,2,FALSE)/'הנחות עבודה'!$D$33-SUM(L$55:L69)+L$55,K70*(1-'הנחות עבודה'!$D$38))))</f>
        <v>0</v>
      </c>
      <c r="M70" s="235">
        <f>IF($B70&gt;2030,0,IF($B70&gt;M$55,0,IF($B70=M$55,VLOOKUP($B70,'הספק קיים ותחזית יצור'!$B$80:$E$100,2,FALSE)/'הנחות עבודה'!$D$33-SUM(M$55:M69)+M$55,L70*(1-'הנחות עבודה'!$D$38))))</f>
        <v>0</v>
      </c>
      <c r="N70" s="235">
        <f>IF($B70&gt;2030,0,IF($B70&gt;N$55,0,IF($B70=N$55,VLOOKUP($B70,'הספק קיים ותחזית יצור'!$B$80:$E$100,2,FALSE)/'הנחות עבודה'!$D$33-SUM(N$55:N69)+N$55,M70*(1-'הנחות עבודה'!$D$38))))</f>
        <v>0</v>
      </c>
      <c r="O70" s="235">
        <f>IF($B70&gt;2030,0,IF($B70&gt;O$55,0,IF($B70=O$55,VLOOKUP($B70,'הספק קיים ותחזית יצור'!$B$80:$E$100,2,FALSE)/'הנחות עבודה'!$D$33-SUM(O$55:O69)+O$55,N70*(1-'הנחות עבודה'!$D$38))))</f>
        <v>0</v>
      </c>
      <c r="P70" s="235">
        <f>IF($B70&gt;2030,0,IF($B70&gt;P$55,0,IF($B70=P$55,VLOOKUP($B70,'הספק קיים ותחזית יצור'!$B$80:$E$100,2,FALSE)/'הנחות עבודה'!$D$33-SUM(P$55:P69)+P$55,O70*(1-'הנחות עבודה'!$D$38))))</f>
        <v>0</v>
      </c>
      <c r="Q70" s="235">
        <f>IF($B70&gt;2030,0,IF($B70&gt;Q$55,0,IF($B70=Q$55,VLOOKUP($B70,'הספק קיים ותחזית יצור'!$B$80:$E$100,2,FALSE)/'הנחות עבודה'!$D$33-SUM(Q$55:Q69)+Q$55,P70*(1-'הנחות עבודה'!$D$38))))</f>
        <v>0</v>
      </c>
      <c r="R70" s="235">
        <f>IF($B70&gt;2030,0,IF($B70&gt;R$55,0,IF($B70=R$55,VLOOKUP($B70,'הספק קיים ותחזית יצור'!$B$80:$E$100,2,FALSE)/'הנחות עבודה'!$D$33-SUM(R$55:R69)+R$55,Q70*(1-'הנחות עבודה'!$D$38))))</f>
        <v>0</v>
      </c>
      <c r="S70" s="235">
        <f>IF($B70&gt;2030,0,IF($B70&gt;S$55,0,IF($B70=S$55,VLOOKUP($B70,'הספק קיים ותחזית יצור'!$B$80:$E$100,2,FALSE)/'הנחות עבודה'!$D$33-SUM(S$55:S69)+S$55,R70*(1-'הנחות עבודה'!$D$38))))</f>
        <v>0</v>
      </c>
      <c r="T70" s="235">
        <f>IF($B70&gt;2030,0,IF($B70&gt;T$55,0,IF($B70=T$55,VLOOKUP($B70,'הספק קיים ותחזית יצור'!$B$80:$E$100,2,FALSE)/'הנחות עבודה'!$D$33-SUM(T$55:T69)+T$55,S70*(1-'הנחות עבודה'!$D$38))))</f>
        <v>0</v>
      </c>
      <c r="U70" s="235">
        <f>IF($B70&gt;2030,0,IF($B70&gt;U$55,0,IF($B70=U$55,VLOOKUP($B70,'הספק קיים ותחזית יצור'!$B$80:$E$100,2,FALSE)/'הנחות עבודה'!$D$33-SUM(U$55:U69)+U$55,T70*(1-'הנחות עבודה'!$D$38))))</f>
        <v>0</v>
      </c>
      <c r="V70" s="235">
        <f>IF($B70&gt;2030,0,IF($B70&gt;V$55,0,IF($B70=V$55,VLOOKUP($B70,'הספק קיים ותחזית יצור'!$B$80:$E$100,2,FALSE)/'הנחות עבודה'!$D$33-SUM(V$55:V69)+V$55,U70*(1-'הנחות עבודה'!$D$38))))</f>
        <v>0</v>
      </c>
      <c r="W70" s="236">
        <f>IF($B70&gt;2030,0,IF($B70&gt;W$55,0,IF($B70=W$55,VLOOKUP($B70,'הספק קיים ותחזית יצור'!$B$80:$E$100,2,FALSE)/'הנחות עבודה'!$D$33-SUM(W$55:W69)+W$55,V70*(1-'הנחות עבודה'!$D$38))))</f>
        <v>0</v>
      </c>
    </row>
    <row r="71" spans="2:23">
      <c r="B71" s="306">
        <f t="shared" si="7"/>
        <v>2035</v>
      </c>
      <c r="C71" s="234">
        <f>IF($B71&gt;2030,0,IF($B71&gt;C$55,0,IF($B71=C$55,VLOOKUP($B71,'הספק קיים ותחזית יצור'!$B$80:$E$100,2,FALSE)/'הנחות עבודה'!$D$33-SUM(C$55:C70)+C$55,B71*(1-'הנחות עבודה'!$D$38))))</f>
        <v>0</v>
      </c>
      <c r="D71" s="235">
        <f>IF($B71&gt;2030,0,IF($B71&gt;D$55,0,IF($B71=D$55,VLOOKUP($B71,'הספק קיים ותחזית יצור'!$B$80:$E$100,2,FALSE)/'הנחות עבודה'!$D$33-SUM(D$55:D70)+D$55,C71*(1-'הנחות עבודה'!$D$38))))</f>
        <v>0</v>
      </c>
      <c r="E71" s="235">
        <f>IF($B71&gt;2030,0,IF($B71&gt;E$55,0,IF($B71=E$55,VLOOKUP($B71,'הספק קיים ותחזית יצור'!$B$80:$E$100,2,FALSE)/'הנחות עבודה'!$D$33-SUM(E$55:E70)+E$55,D71*(1-'הנחות עבודה'!$D$38))))</f>
        <v>0</v>
      </c>
      <c r="F71" s="235">
        <f>IF($B71&gt;2030,0,IF($B71&gt;F$55,0,IF($B71=F$55,VLOOKUP($B71,'הספק קיים ותחזית יצור'!$B$80:$E$100,2,FALSE)/'הנחות עבודה'!$D$33-SUM(F$55:F70)+F$55,E71*(1-'הנחות עבודה'!$D$38))))</f>
        <v>0</v>
      </c>
      <c r="G71" s="235">
        <f>IF($B71&gt;2030,0,IF($B71&gt;G$55,0,IF($B71=G$55,VLOOKUP($B71,'הספק קיים ותחזית יצור'!$B$80:$E$100,2,FALSE)/'הנחות עבודה'!$D$33-SUM(G$55:G70)+G$55,F71*(1-'הנחות עבודה'!$D$38))))</f>
        <v>0</v>
      </c>
      <c r="H71" s="235">
        <f>IF($B71&gt;2030,0,IF($B71&gt;H$55,0,IF($B71=H$55,VLOOKUP($B71,'הספק קיים ותחזית יצור'!$B$80:$E$100,2,FALSE)/'הנחות עבודה'!$D$33-SUM(H$55:H70)+H$55,G71*(1-'הנחות עבודה'!$D$38))))</f>
        <v>0</v>
      </c>
      <c r="I71" s="235">
        <f>IF($B71&gt;2030,0,IF($B71&gt;I$55,0,IF($B71=I$55,VLOOKUP($B71,'הספק קיים ותחזית יצור'!$B$80:$E$100,2,FALSE)/'הנחות עבודה'!$D$33-SUM(I$55:I70)+I$55,H71*(1-'הנחות עבודה'!$D$38))))</f>
        <v>0</v>
      </c>
      <c r="J71" s="235">
        <f>IF($B71&gt;2030,0,IF($B71&gt;J$55,0,IF($B71=J$55,VLOOKUP($B71,'הספק קיים ותחזית יצור'!$B$80:$E$100,2,FALSE)/'הנחות עבודה'!$D$33-SUM(J$55:J70)+J$55,I71*(1-'הנחות עבודה'!$D$38))))</f>
        <v>0</v>
      </c>
      <c r="K71" s="235">
        <f>IF($B71&gt;2030,0,IF($B71&gt;K$55,0,IF($B71=K$55,VLOOKUP($B71,'הספק קיים ותחזית יצור'!$B$80:$E$100,2,FALSE)/'הנחות עבודה'!$D$33-SUM(K$55:K70)+K$55,J71*(1-'הנחות עבודה'!$D$38))))</f>
        <v>0</v>
      </c>
      <c r="L71" s="235">
        <f>IF($B71&gt;2030,0,IF($B71&gt;L$55,0,IF($B71=L$55,VLOOKUP($B71,'הספק קיים ותחזית יצור'!$B$80:$E$100,2,FALSE)/'הנחות עבודה'!$D$33-SUM(L$55:L70)+L$55,K71*(1-'הנחות עבודה'!$D$38))))</f>
        <v>0</v>
      </c>
      <c r="M71" s="235">
        <f>IF($B71&gt;2030,0,IF($B71&gt;M$55,0,IF($B71=M$55,VLOOKUP($B71,'הספק קיים ותחזית יצור'!$B$80:$E$100,2,FALSE)/'הנחות עבודה'!$D$33-SUM(M$55:M70)+M$55,L71*(1-'הנחות עבודה'!$D$38))))</f>
        <v>0</v>
      </c>
      <c r="N71" s="235">
        <f>IF($B71&gt;2030,0,IF($B71&gt;N$55,0,IF($B71=N$55,VLOOKUP($B71,'הספק קיים ותחזית יצור'!$B$80:$E$100,2,FALSE)/'הנחות עבודה'!$D$33-SUM(N$55:N70)+N$55,M71*(1-'הנחות עבודה'!$D$38))))</f>
        <v>0</v>
      </c>
      <c r="O71" s="235">
        <f>IF($B71&gt;2030,0,IF($B71&gt;O$55,0,IF($B71=O$55,VLOOKUP($B71,'הספק קיים ותחזית יצור'!$B$80:$E$100,2,FALSE)/'הנחות עבודה'!$D$33-SUM(O$55:O70)+O$55,N71*(1-'הנחות עבודה'!$D$38))))</f>
        <v>0</v>
      </c>
      <c r="P71" s="235">
        <f>IF($B71&gt;2030,0,IF($B71&gt;P$55,0,IF($B71=P$55,VLOOKUP($B71,'הספק קיים ותחזית יצור'!$B$80:$E$100,2,FALSE)/'הנחות עבודה'!$D$33-SUM(P$55:P70)+P$55,O71*(1-'הנחות עבודה'!$D$38))))</f>
        <v>0</v>
      </c>
      <c r="Q71" s="235">
        <f>IF($B71&gt;2030,0,IF($B71&gt;Q$55,0,IF($B71=Q$55,VLOOKUP($B71,'הספק קיים ותחזית יצור'!$B$80:$E$100,2,FALSE)/'הנחות עבודה'!$D$33-SUM(Q$55:Q70)+Q$55,P71*(1-'הנחות עבודה'!$D$38))))</f>
        <v>0</v>
      </c>
      <c r="R71" s="235">
        <f>IF($B71&gt;2030,0,IF($B71&gt;R$55,0,IF($B71=R$55,VLOOKUP($B71,'הספק קיים ותחזית יצור'!$B$80:$E$100,2,FALSE)/'הנחות עבודה'!$D$33-SUM(R$55:R70)+R$55,Q71*(1-'הנחות עבודה'!$D$38))))</f>
        <v>0</v>
      </c>
      <c r="S71" s="235">
        <f>IF($B71&gt;2030,0,IF($B71&gt;S$55,0,IF($B71=S$55,VLOOKUP($B71,'הספק קיים ותחזית יצור'!$B$80:$E$100,2,FALSE)/'הנחות עבודה'!$D$33-SUM(S$55:S70)+S$55,R71*(1-'הנחות עבודה'!$D$38))))</f>
        <v>0</v>
      </c>
      <c r="T71" s="235">
        <f>IF($B71&gt;2030,0,IF($B71&gt;T$55,0,IF($B71=T$55,VLOOKUP($B71,'הספק קיים ותחזית יצור'!$B$80:$E$100,2,FALSE)/'הנחות עבודה'!$D$33-SUM(T$55:T70)+T$55,S71*(1-'הנחות עבודה'!$D$38))))</f>
        <v>0</v>
      </c>
      <c r="U71" s="235">
        <f>IF($B71&gt;2030,0,IF($B71&gt;U$55,0,IF($B71=U$55,VLOOKUP($B71,'הספק קיים ותחזית יצור'!$B$80:$E$100,2,FALSE)/'הנחות עבודה'!$D$33-SUM(U$55:U70)+U$55,T71*(1-'הנחות עבודה'!$D$38))))</f>
        <v>0</v>
      </c>
      <c r="V71" s="235">
        <f>IF($B71&gt;2030,0,IF($B71&gt;V$55,0,IF($B71=V$55,VLOOKUP($B71,'הספק קיים ותחזית יצור'!$B$80:$E$100,2,FALSE)/'הנחות עבודה'!$D$33-SUM(V$55:V70)+V$55,U71*(1-'הנחות עבודה'!$D$38))))</f>
        <v>0</v>
      </c>
      <c r="W71" s="236">
        <f>IF($B71&gt;2030,0,IF($B71&gt;W$55,0,IF($B71=W$55,VLOOKUP($B71,'הספק קיים ותחזית יצור'!$B$80:$E$100,2,FALSE)/'הנחות עבודה'!$D$33-SUM(W$55:W70)+W$55,V71*(1-'הנחות עבודה'!$D$38))))</f>
        <v>0</v>
      </c>
    </row>
    <row r="72" spans="2:23">
      <c r="B72" s="306">
        <f t="shared" si="7"/>
        <v>2036</v>
      </c>
      <c r="C72" s="234">
        <f>IF($B72&gt;2030,0,IF($B72&gt;C$55,0,IF($B72=C$55,VLOOKUP($B72,'הספק קיים ותחזית יצור'!$B$80:$E$100,2,FALSE)/'הנחות עבודה'!$D$33-SUM(C$55:C71)+C$55,B72*(1-'הנחות עבודה'!$D$38))))</f>
        <v>0</v>
      </c>
      <c r="D72" s="235">
        <f>IF($B72&gt;2030,0,IF($B72&gt;D$55,0,IF($B72=D$55,VLOOKUP($B72,'הספק קיים ותחזית יצור'!$B$80:$E$100,2,FALSE)/'הנחות עבודה'!$D$33-SUM(D$55:D71)+D$55,C72*(1-'הנחות עבודה'!$D$38))))</f>
        <v>0</v>
      </c>
      <c r="E72" s="235">
        <f>IF($B72&gt;2030,0,IF($B72&gt;E$55,0,IF($B72=E$55,VLOOKUP($B72,'הספק קיים ותחזית יצור'!$B$80:$E$100,2,FALSE)/'הנחות עבודה'!$D$33-SUM(E$55:E71)+E$55,D72*(1-'הנחות עבודה'!$D$38))))</f>
        <v>0</v>
      </c>
      <c r="F72" s="235">
        <f>IF($B72&gt;2030,0,IF($B72&gt;F$55,0,IF($B72=F$55,VLOOKUP($B72,'הספק קיים ותחזית יצור'!$B$80:$E$100,2,FALSE)/'הנחות עבודה'!$D$33-SUM(F$55:F71)+F$55,E72*(1-'הנחות עבודה'!$D$38))))</f>
        <v>0</v>
      </c>
      <c r="G72" s="235">
        <f>IF($B72&gt;2030,0,IF($B72&gt;G$55,0,IF($B72=G$55,VLOOKUP($B72,'הספק קיים ותחזית יצור'!$B$80:$E$100,2,FALSE)/'הנחות עבודה'!$D$33-SUM(G$55:G71)+G$55,F72*(1-'הנחות עבודה'!$D$38))))</f>
        <v>0</v>
      </c>
      <c r="H72" s="235">
        <f>IF($B72&gt;2030,0,IF($B72&gt;H$55,0,IF($B72=H$55,VLOOKUP($B72,'הספק קיים ותחזית יצור'!$B$80:$E$100,2,FALSE)/'הנחות עבודה'!$D$33-SUM(H$55:H71)+H$55,G72*(1-'הנחות עבודה'!$D$38))))</f>
        <v>0</v>
      </c>
      <c r="I72" s="235">
        <f>IF($B72&gt;2030,0,IF($B72&gt;I$55,0,IF($B72=I$55,VLOOKUP($B72,'הספק קיים ותחזית יצור'!$B$80:$E$100,2,FALSE)/'הנחות עבודה'!$D$33-SUM(I$55:I71)+I$55,H72*(1-'הנחות עבודה'!$D$38))))</f>
        <v>0</v>
      </c>
      <c r="J72" s="235">
        <f>IF($B72&gt;2030,0,IF($B72&gt;J$55,0,IF($B72=J$55,VLOOKUP($B72,'הספק קיים ותחזית יצור'!$B$80:$E$100,2,FALSE)/'הנחות עבודה'!$D$33-SUM(J$55:J71)+J$55,I72*(1-'הנחות עבודה'!$D$38))))</f>
        <v>0</v>
      </c>
      <c r="K72" s="235">
        <f>IF($B72&gt;2030,0,IF($B72&gt;K$55,0,IF($B72=K$55,VLOOKUP($B72,'הספק קיים ותחזית יצור'!$B$80:$E$100,2,FALSE)/'הנחות עבודה'!$D$33-SUM(K$55:K71)+K$55,J72*(1-'הנחות עבודה'!$D$38))))</f>
        <v>0</v>
      </c>
      <c r="L72" s="235">
        <f>IF($B72&gt;2030,0,IF($B72&gt;L$55,0,IF($B72=L$55,VLOOKUP($B72,'הספק קיים ותחזית יצור'!$B$80:$E$100,2,FALSE)/'הנחות עבודה'!$D$33-SUM(L$55:L71)+L$55,K72*(1-'הנחות עבודה'!$D$38))))</f>
        <v>0</v>
      </c>
      <c r="M72" s="235">
        <f>IF($B72&gt;2030,0,IF($B72&gt;M$55,0,IF($B72=M$55,VLOOKUP($B72,'הספק קיים ותחזית יצור'!$B$80:$E$100,2,FALSE)/'הנחות עבודה'!$D$33-SUM(M$55:M71)+M$55,L72*(1-'הנחות עבודה'!$D$38))))</f>
        <v>0</v>
      </c>
      <c r="N72" s="235">
        <f>IF($B72&gt;2030,0,IF($B72&gt;N$55,0,IF($B72=N$55,VLOOKUP($B72,'הספק קיים ותחזית יצור'!$B$80:$E$100,2,FALSE)/'הנחות עבודה'!$D$33-SUM(N$55:N71)+N$55,M72*(1-'הנחות עבודה'!$D$38))))</f>
        <v>0</v>
      </c>
      <c r="O72" s="235">
        <f>IF($B72&gt;2030,0,IF($B72&gt;O$55,0,IF($B72=O$55,VLOOKUP($B72,'הספק קיים ותחזית יצור'!$B$80:$E$100,2,FALSE)/'הנחות עבודה'!$D$33-SUM(O$55:O71)+O$55,N72*(1-'הנחות עבודה'!$D$38))))</f>
        <v>0</v>
      </c>
      <c r="P72" s="235">
        <f>IF($B72&gt;2030,0,IF($B72&gt;P$55,0,IF($B72=P$55,VLOOKUP($B72,'הספק קיים ותחזית יצור'!$B$80:$E$100,2,FALSE)/'הנחות עבודה'!$D$33-SUM(P$55:P71)+P$55,O72*(1-'הנחות עבודה'!$D$38))))</f>
        <v>0</v>
      </c>
      <c r="Q72" s="235">
        <f>IF($B72&gt;2030,0,IF($B72&gt;Q$55,0,IF($B72=Q$55,VLOOKUP($B72,'הספק קיים ותחזית יצור'!$B$80:$E$100,2,FALSE)/'הנחות עבודה'!$D$33-SUM(Q$55:Q71)+Q$55,P72*(1-'הנחות עבודה'!$D$38))))</f>
        <v>0</v>
      </c>
      <c r="R72" s="235">
        <f>IF($B72&gt;2030,0,IF($B72&gt;R$55,0,IF($B72=R$55,VLOOKUP($B72,'הספק קיים ותחזית יצור'!$B$80:$E$100,2,FALSE)/'הנחות עבודה'!$D$33-SUM(R$55:R71)+R$55,Q72*(1-'הנחות עבודה'!$D$38))))</f>
        <v>0</v>
      </c>
      <c r="S72" s="235">
        <f>IF($B72&gt;2030,0,IF($B72&gt;S$55,0,IF($B72=S$55,VLOOKUP($B72,'הספק קיים ותחזית יצור'!$B$80:$E$100,2,FALSE)/'הנחות עבודה'!$D$33-SUM(S$55:S71)+S$55,R72*(1-'הנחות עבודה'!$D$38))))</f>
        <v>0</v>
      </c>
      <c r="T72" s="235">
        <f>IF($B72&gt;2030,0,IF($B72&gt;T$55,0,IF($B72=T$55,VLOOKUP($B72,'הספק קיים ותחזית יצור'!$B$80:$E$100,2,FALSE)/'הנחות עבודה'!$D$33-SUM(T$55:T71)+T$55,S72*(1-'הנחות עבודה'!$D$38))))</f>
        <v>0</v>
      </c>
      <c r="U72" s="235">
        <f>IF($B72&gt;2030,0,IF($B72&gt;U$55,0,IF($B72=U$55,VLOOKUP($B72,'הספק קיים ותחזית יצור'!$B$80:$E$100,2,FALSE)/'הנחות עבודה'!$D$33-SUM(U$55:U71)+U$55,T72*(1-'הנחות עבודה'!$D$38))))</f>
        <v>0</v>
      </c>
      <c r="V72" s="235">
        <f>IF($B72&gt;2030,0,IF($B72&gt;V$55,0,IF($B72=V$55,VLOOKUP($B72,'הספק קיים ותחזית יצור'!$B$80:$E$100,2,FALSE)/'הנחות עבודה'!$D$33-SUM(V$55:V71)+V$55,U72*(1-'הנחות עבודה'!$D$38))))</f>
        <v>0</v>
      </c>
      <c r="W72" s="236">
        <f>IF($B72&gt;2030,0,IF($B72&gt;W$55,0,IF($B72=W$55,VLOOKUP($B72,'הספק קיים ותחזית יצור'!$B$80:$E$100,2,FALSE)/'הנחות עבודה'!$D$33-SUM(W$55:W71)+W$55,V72*(1-'הנחות עבודה'!$D$38))))</f>
        <v>0</v>
      </c>
    </row>
    <row r="73" spans="2:23">
      <c r="B73" s="306">
        <f t="shared" si="7"/>
        <v>2037</v>
      </c>
      <c r="C73" s="234">
        <f>IF($B73&gt;2030,0,IF($B73&gt;C$55,0,IF($B73=C$55,VLOOKUP($B73,'הספק קיים ותחזית יצור'!$B$80:$E$100,2,FALSE)/'הנחות עבודה'!$D$33-SUM(C$55:C72)+C$55,B73*(1-'הנחות עבודה'!$D$38))))</f>
        <v>0</v>
      </c>
      <c r="D73" s="235">
        <f>IF($B73&gt;2030,0,IF($B73&gt;D$55,0,IF($B73=D$55,VLOOKUP($B73,'הספק קיים ותחזית יצור'!$B$80:$E$100,2,FALSE)/'הנחות עבודה'!$D$33-SUM(D$55:D72)+D$55,C73*(1-'הנחות עבודה'!$D$38))))</f>
        <v>0</v>
      </c>
      <c r="E73" s="235">
        <f>IF($B73&gt;2030,0,IF($B73&gt;E$55,0,IF($B73=E$55,VLOOKUP($B73,'הספק קיים ותחזית יצור'!$B$80:$E$100,2,FALSE)/'הנחות עבודה'!$D$33-SUM(E$55:E72)+E$55,D73*(1-'הנחות עבודה'!$D$38))))</f>
        <v>0</v>
      </c>
      <c r="F73" s="235">
        <f>IF($B73&gt;2030,0,IF($B73&gt;F$55,0,IF($B73=F$55,VLOOKUP($B73,'הספק קיים ותחזית יצור'!$B$80:$E$100,2,FALSE)/'הנחות עבודה'!$D$33-SUM(F$55:F72)+F$55,E73*(1-'הנחות עבודה'!$D$38))))</f>
        <v>0</v>
      </c>
      <c r="G73" s="235">
        <f>IF($B73&gt;2030,0,IF($B73&gt;G$55,0,IF($B73=G$55,VLOOKUP($B73,'הספק קיים ותחזית יצור'!$B$80:$E$100,2,FALSE)/'הנחות עבודה'!$D$33-SUM(G$55:G72)+G$55,F73*(1-'הנחות עבודה'!$D$38))))</f>
        <v>0</v>
      </c>
      <c r="H73" s="235">
        <f>IF($B73&gt;2030,0,IF($B73&gt;H$55,0,IF($B73=H$55,VLOOKUP($B73,'הספק קיים ותחזית יצור'!$B$80:$E$100,2,FALSE)/'הנחות עבודה'!$D$33-SUM(H$55:H72)+H$55,G73*(1-'הנחות עבודה'!$D$38))))</f>
        <v>0</v>
      </c>
      <c r="I73" s="235">
        <f>IF($B73&gt;2030,0,IF($B73&gt;I$55,0,IF($B73=I$55,VLOOKUP($B73,'הספק קיים ותחזית יצור'!$B$80:$E$100,2,FALSE)/'הנחות עבודה'!$D$33-SUM(I$55:I72)+I$55,H73*(1-'הנחות עבודה'!$D$38))))</f>
        <v>0</v>
      </c>
      <c r="J73" s="235">
        <f>IF($B73&gt;2030,0,IF($B73&gt;J$55,0,IF($B73=J$55,VLOOKUP($B73,'הספק קיים ותחזית יצור'!$B$80:$E$100,2,FALSE)/'הנחות עבודה'!$D$33-SUM(J$55:J72)+J$55,I73*(1-'הנחות עבודה'!$D$38))))</f>
        <v>0</v>
      </c>
      <c r="K73" s="235">
        <f>IF($B73&gt;2030,0,IF($B73&gt;K$55,0,IF($B73=K$55,VLOOKUP($B73,'הספק קיים ותחזית יצור'!$B$80:$E$100,2,FALSE)/'הנחות עבודה'!$D$33-SUM(K$55:K72)+K$55,J73*(1-'הנחות עבודה'!$D$38))))</f>
        <v>0</v>
      </c>
      <c r="L73" s="235">
        <f>IF($B73&gt;2030,0,IF($B73&gt;L$55,0,IF($B73=L$55,VLOOKUP($B73,'הספק קיים ותחזית יצור'!$B$80:$E$100,2,FALSE)/'הנחות עבודה'!$D$33-SUM(L$55:L72)+L$55,K73*(1-'הנחות עבודה'!$D$38))))</f>
        <v>0</v>
      </c>
      <c r="M73" s="235">
        <f>IF($B73&gt;2030,0,IF($B73&gt;M$55,0,IF($B73=M$55,VLOOKUP($B73,'הספק קיים ותחזית יצור'!$B$80:$E$100,2,FALSE)/'הנחות עבודה'!$D$33-SUM(M$55:M72)+M$55,L73*(1-'הנחות עבודה'!$D$38))))</f>
        <v>0</v>
      </c>
      <c r="N73" s="235">
        <f>IF($B73&gt;2030,0,IF($B73&gt;N$55,0,IF($B73=N$55,VLOOKUP($B73,'הספק קיים ותחזית יצור'!$B$80:$E$100,2,FALSE)/'הנחות עבודה'!$D$33-SUM(N$55:N72)+N$55,M73*(1-'הנחות עבודה'!$D$38))))</f>
        <v>0</v>
      </c>
      <c r="O73" s="235">
        <f>IF($B73&gt;2030,0,IF($B73&gt;O$55,0,IF($B73=O$55,VLOOKUP($B73,'הספק קיים ותחזית יצור'!$B$80:$E$100,2,FALSE)/'הנחות עבודה'!$D$33-SUM(O$55:O72)+O$55,N73*(1-'הנחות עבודה'!$D$38))))</f>
        <v>0</v>
      </c>
      <c r="P73" s="235">
        <f>IF($B73&gt;2030,0,IF($B73&gt;P$55,0,IF($B73=P$55,VLOOKUP($B73,'הספק קיים ותחזית יצור'!$B$80:$E$100,2,FALSE)/'הנחות עבודה'!$D$33-SUM(P$55:P72)+P$55,O73*(1-'הנחות עבודה'!$D$38))))</f>
        <v>0</v>
      </c>
      <c r="Q73" s="235">
        <f>IF($B73&gt;2030,0,IF($B73&gt;Q$55,0,IF($B73=Q$55,VLOOKUP($B73,'הספק קיים ותחזית יצור'!$B$80:$E$100,2,FALSE)/'הנחות עבודה'!$D$33-SUM(Q$55:Q72)+Q$55,P73*(1-'הנחות עבודה'!$D$38))))</f>
        <v>0</v>
      </c>
      <c r="R73" s="235">
        <f>IF($B73&gt;2030,0,IF($B73&gt;R$55,0,IF($B73=R$55,VLOOKUP($B73,'הספק קיים ותחזית יצור'!$B$80:$E$100,2,FALSE)/'הנחות עבודה'!$D$33-SUM(R$55:R72)+R$55,Q73*(1-'הנחות עבודה'!$D$38))))</f>
        <v>0</v>
      </c>
      <c r="S73" s="235">
        <f>IF($B73&gt;2030,0,IF($B73&gt;S$55,0,IF($B73=S$55,VLOOKUP($B73,'הספק קיים ותחזית יצור'!$B$80:$E$100,2,FALSE)/'הנחות עבודה'!$D$33-SUM(S$55:S72)+S$55,R73*(1-'הנחות עבודה'!$D$38))))</f>
        <v>0</v>
      </c>
      <c r="T73" s="235">
        <f>IF($B73&gt;2030,0,IF($B73&gt;T$55,0,IF($B73=T$55,VLOOKUP($B73,'הספק קיים ותחזית יצור'!$B$80:$E$100,2,FALSE)/'הנחות עבודה'!$D$33-SUM(T$55:T72)+T$55,S73*(1-'הנחות עבודה'!$D$38))))</f>
        <v>0</v>
      </c>
      <c r="U73" s="235">
        <f>IF($B73&gt;2030,0,IF($B73&gt;U$55,0,IF($B73=U$55,VLOOKUP($B73,'הספק קיים ותחזית יצור'!$B$80:$E$100,2,FALSE)/'הנחות עבודה'!$D$33-SUM(U$55:U72)+U$55,T73*(1-'הנחות עבודה'!$D$38))))</f>
        <v>0</v>
      </c>
      <c r="V73" s="235">
        <f>IF($B73&gt;2030,0,IF($B73&gt;V$55,0,IF($B73=V$55,VLOOKUP($B73,'הספק קיים ותחזית יצור'!$B$80:$E$100,2,FALSE)/'הנחות עבודה'!$D$33-SUM(V$55:V72)+V$55,U73*(1-'הנחות עבודה'!$D$38))))</f>
        <v>0</v>
      </c>
      <c r="W73" s="236">
        <f>IF($B73&gt;2030,0,IF($B73&gt;W$55,0,IF($B73=W$55,VLOOKUP($B73,'הספק קיים ותחזית יצור'!$B$80:$E$100,2,FALSE)/'הנחות עבודה'!$D$33-SUM(W$55:W72)+W$55,V73*(1-'הנחות עבודה'!$D$38))))</f>
        <v>0</v>
      </c>
    </row>
    <row r="74" spans="2:23">
      <c r="B74" s="306">
        <f t="shared" si="7"/>
        <v>2038</v>
      </c>
      <c r="C74" s="234">
        <f>IF($B74&gt;2030,0,IF($B74&gt;C$55,0,IF($B74=C$55,VLOOKUP($B74,'הספק קיים ותחזית יצור'!$B$80:$E$100,2,FALSE)/'הנחות עבודה'!$D$33-SUM(C$55:C73)+C$55,B74*(1-'הנחות עבודה'!$D$38))))</f>
        <v>0</v>
      </c>
      <c r="D74" s="235">
        <f>IF($B74&gt;2030,0,IF($B74&gt;D$55,0,IF($B74=D$55,VLOOKUP($B74,'הספק קיים ותחזית יצור'!$B$80:$E$100,2,FALSE)/'הנחות עבודה'!$D$33-SUM(D$55:D73)+D$55,C74*(1-'הנחות עבודה'!$D$38))))</f>
        <v>0</v>
      </c>
      <c r="E74" s="235">
        <f>IF($B74&gt;2030,0,IF($B74&gt;E$55,0,IF($B74=E$55,VLOOKUP($B74,'הספק קיים ותחזית יצור'!$B$80:$E$100,2,FALSE)/'הנחות עבודה'!$D$33-SUM(E$55:E73)+E$55,D74*(1-'הנחות עבודה'!$D$38))))</f>
        <v>0</v>
      </c>
      <c r="F74" s="235">
        <f>IF($B74&gt;2030,0,IF($B74&gt;F$55,0,IF($B74=F$55,VLOOKUP($B74,'הספק קיים ותחזית יצור'!$B$80:$E$100,2,FALSE)/'הנחות עבודה'!$D$33-SUM(F$55:F73)+F$55,E74*(1-'הנחות עבודה'!$D$38))))</f>
        <v>0</v>
      </c>
      <c r="G74" s="235">
        <f>IF($B74&gt;2030,0,IF($B74&gt;G$55,0,IF($B74=G$55,VLOOKUP($B74,'הספק קיים ותחזית יצור'!$B$80:$E$100,2,FALSE)/'הנחות עבודה'!$D$33-SUM(G$55:G73)+G$55,F74*(1-'הנחות עבודה'!$D$38))))</f>
        <v>0</v>
      </c>
      <c r="H74" s="235">
        <f>IF($B74&gt;2030,0,IF($B74&gt;H$55,0,IF($B74=H$55,VLOOKUP($B74,'הספק קיים ותחזית יצור'!$B$80:$E$100,2,FALSE)/'הנחות עבודה'!$D$33-SUM(H$55:H73)+H$55,G74*(1-'הנחות עבודה'!$D$38))))</f>
        <v>0</v>
      </c>
      <c r="I74" s="235">
        <f>IF($B74&gt;2030,0,IF($B74&gt;I$55,0,IF($B74=I$55,VLOOKUP($B74,'הספק קיים ותחזית יצור'!$B$80:$E$100,2,FALSE)/'הנחות עבודה'!$D$33-SUM(I$55:I73)+I$55,H74*(1-'הנחות עבודה'!$D$38))))</f>
        <v>0</v>
      </c>
      <c r="J74" s="235">
        <f>IF($B74&gt;2030,0,IF($B74&gt;J$55,0,IF($B74=J$55,VLOOKUP($B74,'הספק קיים ותחזית יצור'!$B$80:$E$100,2,FALSE)/'הנחות עבודה'!$D$33-SUM(J$55:J73)+J$55,I74*(1-'הנחות עבודה'!$D$38))))</f>
        <v>0</v>
      </c>
      <c r="K74" s="235">
        <f>IF($B74&gt;2030,0,IF($B74&gt;K$55,0,IF($B74=K$55,VLOOKUP($B74,'הספק קיים ותחזית יצור'!$B$80:$E$100,2,FALSE)/'הנחות עבודה'!$D$33-SUM(K$55:K73)+K$55,J74*(1-'הנחות עבודה'!$D$38))))</f>
        <v>0</v>
      </c>
      <c r="L74" s="235">
        <f>IF($B74&gt;2030,0,IF($B74&gt;L$55,0,IF($B74=L$55,VLOOKUP($B74,'הספק קיים ותחזית יצור'!$B$80:$E$100,2,FALSE)/'הנחות עבודה'!$D$33-SUM(L$55:L73)+L$55,K74*(1-'הנחות עבודה'!$D$38))))</f>
        <v>0</v>
      </c>
      <c r="M74" s="235">
        <f>IF($B74&gt;2030,0,IF($B74&gt;M$55,0,IF($B74=M$55,VLOOKUP($B74,'הספק קיים ותחזית יצור'!$B$80:$E$100,2,FALSE)/'הנחות עבודה'!$D$33-SUM(M$55:M73)+M$55,L74*(1-'הנחות עבודה'!$D$38))))</f>
        <v>0</v>
      </c>
      <c r="N74" s="235">
        <f>IF($B74&gt;2030,0,IF($B74&gt;N$55,0,IF($B74=N$55,VLOOKUP($B74,'הספק קיים ותחזית יצור'!$B$80:$E$100,2,FALSE)/'הנחות עבודה'!$D$33-SUM(N$55:N73)+N$55,M74*(1-'הנחות עבודה'!$D$38))))</f>
        <v>0</v>
      </c>
      <c r="O74" s="235">
        <f>IF($B74&gt;2030,0,IF($B74&gt;O$55,0,IF($B74=O$55,VLOOKUP($B74,'הספק קיים ותחזית יצור'!$B$80:$E$100,2,FALSE)/'הנחות עבודה'!$D$33-SUM(O$55:O73)+O$55,N74*(1-'הנחות עבודה'!$D$38))))</f>
        <v>0</v>
      </c>
      <c r="P74" s="235">
        <f>IF($B74&gt;2030,0,IF($B74&gt;P$55,0,IF($B74=P$55,VLOOKUP($B74,'הספק קיים ותחזית יצור'!$B$80:$E$100,2,FALSE)/'הנחות עבודה'!$D$33-SUM(P$55:P73)+P$55,O74*(1-'הנחות עבודה'!$D$38))))</f>
        <v>0</v>
      </c>
      <c r="Q74" s="235">
        <f>IF($B74&gt;2030,0,IF($B74&gt;Q$55,0,IF($B74=Q$55,VLOOKUP($B74,'הספק קיים ותחזית יצור'!$B$80:$E$100,2,FALSE)/'הנחות עבודה'!$D$33-SUM(Q$55:Q73)+Q$55,P74*(1-'הנחות עבודה'!$D$38))))</f>
        <v>0</v>
      </c>
      <c r="R74" s="235">
        <f>IF($B74&gt;2030,0,IF($B74&gt;R$55,0,IF($B74=R$55,VLOOKUP($B74,'הספק קיים ותחזית יצור'!$B$80:$E$100,2,FALSE)/'הנחות עבודה'!$D$33-SUM(R$55:R73)+R$55,Q74*(1-'הנחות עבודה'!$D$38))))</f>
        <v>0</v>
      </c>
      <c r="S74" s="235">
        <f>IF($B74&gt;2030,0,IF($B74&gt;S$55,0,IF($B74=S$55,VLOOKUP($B74,'הספק קיים ותחזית יצור'!$B$80:$E$100,2,FALSE)/'הנחות עבודה'!$D$33-SUM(S$55:S73)+S$55,R74*(1-'הנחות עבודה'!$D$38))))</f>
        <v>0</v>
      </c>
      <c r="T74" s="235">
        <f>IF($B74&gt;2030,0,IF($B74&gt;T$55,0,IF($B74=T$55,VLOOKUP($B74,'הספק קיים ותחזית יצור'!$B$80:$E$100,2,FALSE)/'הנחות עבודה'!$D$33-SUM(T$55:T73)+T$55,S74*(1-'הנחות עבודה'!$D$38))))</f>
        <v>0</v>
      </c>
      <c r="U74" s="235">
        <f>IF($B74&gt;2030,0,IF($B74&gt;U$55,0,IF($B74=U$55,VLOOKUP($B74,'הספק קיים ותחזית יצור'!$B$80:$E$100,2,FALSE)/'הנחות עבודה'!$D$33-SUM(U$55:U73)+U$55,T74*(1-'הנחות עבודה'!$D$38))))</f>
        <v>0</v>
      </c>
      <c r="V74" s="235">
        <f>IF($B74&gt;2030,0,IF($B74&gt;V$55,0,IF($B74=V$55,VLOOKUP($B74,'הספק קיים ותחזית יצור'!$B$80:$E$100,2,FALSE)/'הנחות עבודה'!$D$33-SUM(V$55:V73)+V$55,U74*(1-'הנחות עבודה'!$D$38))))</f>
        <v>0</v>
      </c>
      <c r="W74" s="236">
        <f>IF($B74&gt;2030,0,IF($B74&gt;W$55,0,IF($B74=W$55,VLOOKUP($B74,'הספק קיים ותחזית יצור'!$B$80:$E$100,2,FALSE)/'הנחות עבודה'!$D$33-SUM(W$55:W73)+W$55,V74*(1-'הנחות עבודה'!$D$38))))</f>
        <v>0</v>
      </c>
    </row>
    <row r="75" spans="2:23">
      <c r="B75" s="306">
        <f t="shared" si="7"/>
        <v>2039</v>
      </c>
      <c r="C75" s="234">
        <f>IF($B75&gt;2030,0,IF($B75&gt;C$55,0,IF($B75=C$55,VLOOKUP($B75,'הספק קיים ותחזית יצור'!$B$80:$E$100,2,FALSE)/'הנחות עבודה'!$D$33-SUM(C$55:C74)+C$55,B75*(1-'הנחות עבודה'!$D$38))))</f>
        <v>0</v>
      </c>
      <c r="D75" s="235">
        <f>IF($B75&gt;2030,0,IF($B75&gt;D$55,0,IF($B75=D$55,VLOOKUP($B75,'הספק קיים ותחזית יצור'!$B$80:$E$100,2,FALSE)/'הנחות עבודה'!$D$33-SUM(D$55:D74)+D$55,C75*(1-'הנחות עבודה'!$D$38))))</f>
        <v>0</v>
      </c>
      <c r="E75" s="235">
        <f>IF($B75&gt;2030,0,IF($B75&gt;E$55,0,IF($B75=E$55,VLOOKUP($B75,'הספק קיים ותחזית יצור'!$B$80:$E$100,2,FALSE)/'הנחות עבודה'!$D$33-SUM(E$55:E74)+E$55,D75*(1-'הנחות עבודה'!$D$38))))</f>
        <v>0</v>
      </c>
      <c r="F75" s="235">
        <f>IF($B75&gt;2030,0,IF($B75&gt;F$55,0,IF($B75=F$55,VLOOKUP($B75,'הספק קיים ותחזית יצור'!$B$80:$E$100,2,FALSE)/'הנחות עבודה'!$D$33-SUM(F$55:F74)+F$55,E75*(1-'הנחות עבודה'!$D$38))))</f>
        <v>0</v>
      </c>
      <c r="G75" s="235">
        <f>IF($B75&gt;2030,0,IF($B75&gt;G$55,0,IF($B75=G$55,VLOOKUP($B75,'הספק קיים ותחזית יצור'!$B$80:$E$100,2,FALSE)/'הנחות עבודה'!$D$33-SUM(G$55:G74)+G$55,F75*(1-'הנחות עבודה'!$D$38))))</f>
        <v>0</v>
      </c>
      <c r="H75" s="235">
        <f>IF($B75&gt;2030,0,IF($B75&gt;H$55,0,IF($B75=H$55,VLOOKUP($B75,'הספק קיים ותחזית יצור'!$B$80:$E$100,2,FALSE)/'הנחות עבודה'!$D$33-SUM(H$55:H74)+H$55,G75*(1-'הנחות עבודה'!$D$38))))</f>
        <v>0</v>
      </c>
      <c r="I75" s="235">
        <f>IF($B75&gt;2030,0,IF($B75&gt;I$55,0,IF($B75=I$55,VLOOKUP($B75,'הספק קיים ותחזית יצור'!$B$80:$E$100,2,FALSE)/'הנחות עבודה'!$D$33-SUM(I$55:I74)+I$55,H75*(1-'הנחות עבודה'!$D$38))))</f>
        <v>0</v>
      </c>
      <c r="J75" s="235">
        <f>IF($B75&gt;2030,0,IF($B75&gt;J$55,0,IF($B75=J$55,VLOOKUP($B75,'הספק קיים ותחזית יצור'!$B$80:$E$100,2,FALSE)/'הנחות עבודה'!$D$33-SUM(J$55:J74)+J$55,I75*(1-'הנחות עבודה'!$D$38))))</f>
        <v>0</v>
      </c>
      <c r="K75" s="235">
        <f>IF($B75&gt;2030,0,IF($B75&gt;K$55,0,IF($B75=K$55,VLOOKUP($B75,'הספק קיים ותחזית יצור'!$B$80:$E$100,2,FALSE)/'הנחות עבודה'!$D$33-SUM(K$55:K74)+K$55,J75*(1-'הנחות עבודה'!$D$38))))</f>
        <v>0</v>
      </c>
      <c r="L75" s="235">
        <f>IF($B75&gt;2030,0,IF($B75&gt;L$55,0,IF($B75=L$55,VLOOKUP($B75,'הספק קיים ותחזית יצור'!$B$80:$E$100,2,FALSE)/'הנחות עבודה'!$D$33-SUM(L$55:L74)+L$55,K75*(1-'הנחות עבודה'!$D$38))))</f>
        <v>0</v>
      </c>
      <c r="M75" s="235">
        <f>IF($B75&gt;2030,0,IF($B75&gt;M$55,0,IF($B75=M$55,VLOOKUP($B75,'הספק קיים ותחזית יצור'!$B$80:$E$100,2,FALSE)/'הנחות עבודה'!$D$33-SUM(M$55:M74)+M$55,L75*(1-'הנחות עבודה'!$D$38))))</f>
        <v>0</v>
      </c>
      <c r="N75" s="235">
        <f>IF($B75&gt;2030,0,IF($B75&gt;N$55,0,IF($B75=N$55,VLOOKUP($B75,'הספק קיים ותחזית יצור'!$B$80:$E$100,2,FALSE)/'הנחות עבודה'!$D$33-SUM(N$55:N74)+N$55,M75*(1-'הנחות עבודה'!$D$38))))</f>
        <v>0</v>
      </c>
      <c r="O75" s="235">
        <f>IF($B75&gt;2030,0,IF($B75&gt;O$55,0,IF($B75=O$55,VLOOKUP($B75,'הספק קיים ותחזית יצור'!$B$80:$E$100,2,FALSE)/'הנחות עבודה'!$D$33-SUM(O$55:O74)+O$55,N75*(1-'הנחות עבודה'!$D$38))))</f>
        <v>0</v>
      </c>
      <c r="P75" s="235">
        <f>IF($B75&gt;2030,0,IF($B75&gt;P$55,0,IF($B75=P$55,VLOOKUP($B75,'הספק קיים ותחזית יצור'!$B$80:$E$100,2,FALSE)/'הנחות עבודה'!$D$33-SUM(P$55:P74)+P$55,O75*(1-'הנחות עבודה'!$D$38))))</f>
        <v>0</v>
      </c>
      <c r="Q75" s="235">
        <f>IF($B75&gt;2030,0,IF($B75&gt;Q$55,0,IF($B75=Q$55,VLOOKUP($B75,'הספק קיים ותחזית יצור'!$B$80:$E$100,2,FALSE)/'הנחות עבודה'!$D$33-SUM(Q$55:Q74)+Q$55,P75*(1-'הנחות עבודה'!$D$38))))</f>
        <v>0</v>
      </c>
      <c r="R75" s="235">
        <f>IF($B75&gt;2030,0,IF($B75&gt;R$55,0,IF($B75=R$55,VLOOKUP($B75,'הספק קיים ותחזית יצור'!$B$80:$E$100,2,FALSE)/'הנחות עבודה'!$D$33-SUM(R$55:R74)+R$55,Q75*(1-'הנחות עבודה'!$D$38))))</f>
        <v>0</v>
      </c>
      <c r="S75" s="235">
        <f>IF($B75&gt;2030,0,IF($B75&gt;S$55,0,IF($B75=S$55,VLOOKUP($B75,'הספק קיים ותחזית יצור'!$B$80:$E$100,2,FALSE)/'הנחות עבודה'!$D$33-SUM(S$55:S74)+S$55,R75*(1-'הנחות עבודה'!$D$38))))</f>
        <v>0</v>
      </c>
      <c r="T75" s="235">
        <f>IF($B75&gt;2030,0,IF($B75&gt;T$55,0,IF($B75=T$55,VLOOKUP($B75,'הספק קיים ותחזית יצור'!$B$80:$E$100,2,FALSE)/'הנחות עבודה'!$D$33-SUM(T$55:T74)+T$55,S75*(1-'הנחות עבודה'!$D$38))))</f>
        <v>0</v>
      </c>
      <c r="U75" s="235">
        <f>IF($B75&gt;2030,0,IF($B75&gt;U$55,0,IF($B75=U$55,VLOOKUP($B75,'הספק קיים ותחזית יצור'!$B$80:$E$100,2,FALSE)/'הנחות עבודה'!$D$33-SUM(U$55:U74)+U$55,T75*(1-'הנחות עבודה'!$D$38))))</f>
        <v>0</v>
      </c>
      <c r="V75" s="235">
        <f>IF($B75&gt;2030,0,IF($B75&gt;V$55,0,IF($B75=V$55,VLOOKUP($B75,'הספק קיים ותחזית יצור'!$B$80:$E$100,2,FALSE)/'הנחות עבודה'!$D$33-SUM(V$55:V74)+V$55,U75*(1-'הנחות עבודה'!$D$38))))</f>
        <v>0</v>
      </c>
      <c r="W75" s="236">
        <f>IF($B75&gt;2030,0,IF($B75&gt;W$55,0,IF($B75=W$55,VLOOKUP($B75,'הספק קיים ותחזית יצור'!$B$80:$E$100,2,FALSE)/'הנחות עבודה'!$D$33-SUM(W$55:W74)+W$55,V75*(1-'הנחות עבודה'!$D$38))))</f>
        <v>0</v>
      </c>
    </row>
    <row r="76" spans="2:23" ht="15.75" thickBot="1">
      <c r="B76" s="306">
        <f t="shared" si="7"/>
        <v>2040</v>
      </c>
      <c r="C76" s="237">
        <f>IF($B76&gt;2030,0,IF($B76&gt;C$55,0,IF($B76=C$55,VLOOKUP($B76,'הספק קיים ותחזית יצור'!$B$80:$E$100,2,FALSE)/'הנחות עבודה'!$D$33-SUM(C$55:C75)+C$55,B76*(1-'הנחות עבודה'!$D$38))))</f>
        <v>0</v>
      </c>
      <c r="D76" s="238">
        <f>IF($B76&gt;2030,0,IF($B76&gt;D$55,0,IF($B76=D$55,VLOOKUP($B76,'הספק קיים ותחזית יצור'!$B$80:$E$100,2,FALSE)/'הנחות עבודה'!$D$33-SUM(D$55:D75)+D$55,C76*(1-'הנחות עבודה'!$D$38))))</f>
        <v>0</v>
      </c>
      <c r="E76" s="238">
        <f>IF($B76&gt;2030,0,IF($B76&gt;E$55,0,IF($B76=E$55,VLOOKUP($B76,'הספק קיים ותחזית יצור'!$B$80:$E$100,2,FALSE)/'הנחות עבודה'!$D$33-SUM(E$55:E75)+E$55,D76*(1-'הנחות עבודה'!$D$38))))</f>
        <v>0</v>
      </c>
      <c r="F76" s="238">
        <f>IF($B76&gt;2030,0,IF($B76&gt;F$55,0,IF($B76=F$55,VLOOKUP($B76,'הספק קיים ותחזית יצור'!$B$80:$E$100,2,FALSE)/'הנחות עבודה'!$D$33-SUM(F$55:F75)+F$55,E76*(1-'הנחות עבודה'!$D$38))))</f>
        <v>0</v>
      </c>
      <c r="G76" s="238">
        <f>IF($B76&gt;2030,0,IF($B76&gt;G$55,0,IF($B76=G$55,VLOOKUP($B76,'הספק קיים ותחזית יצור'!$B$80:$E$100,2,FALSE)/'הנחות עבודה'!$D$33-SUM(G$55:G75)+G$55,F76*(1-'הנחות עבודה'!$D$38))))</f>
        <v>0</v>
      </c>
      <c r="H76" s="238">
        <f>IF($B76&gt;2030,0,IF($B76&gt;H$55,0,IF($B76=H$55,VLOOKUP($B76,'הספק קיים ותחזית יצור'!$B$80:$E$100,2,FALSE)/'הנחות עבודה'!$D$33-SUM(H$55:H75)+H$55,G76*(1-'הנחות עבודה'!$D$38))))</f>
        <v>0</v>
      </c>
      <c r="I76" s="238">
        <f>IF($B76&gt;2030,0,IF($B76&gt;I$55,0,IF($B76=I$55,VLOOKUP($B76,'הספק קיים ותחזית יצור'!$B$80:$E$100,2,FALSE)/'הנחות עבודה'!$D$33-SUM(I$55:I75)+I$55,H76*(1-'הנחות עבודה'!$D$38))))</f>
        <v>0</v>
      </c>
      <c r="J76" s="238">
        <f>IF($B76&gt;2030,0,IF($B76&gt;J$55,0,IF($B76=J$55,VLOOKUP($B76,'הספק קיים ותחזית יצור'!$B$80:$E$100,2,FALSE)/'הנחות עבודה'!$D$33-SUM(J$55:J75)+J$55,I76*(1-'הנחות עבודה'!$D$38))))</f>
        <v>0</v>
      </c>
      <c r="K76" s="238">
        <f>IF($B76&gt;2030,0,IF($B76&gt;K$55,0,IF($B76=K$55,VLOOKUP($B76,'הספק קיים ותחזית יצור'!$B$80:$E$100,2,FALSE)/'הנחות עבודה'!$D$33-SUM(K$55:K75)+K$55,J76*(1-'הנחות עבודה'!$D$38))))</f>
        <v>0</v>
      </c>
      <c r="L76" s="238">
        <f>IF($B76&gt;2030,0,IF($B76&gt;L$55,0,IF($B76=L$55,VLOOKUP($B76,'הספק קיים ותחזית יצור'!$B$80:$E$100,2,FALSE)/'הנחות עבודה'!$D$33-SUM(L$55:L75)+L$55,K76*(1-'הנחות עבודה'!$D$38))))</f>
        <v>0</v>
      </c>
      <c r="M76" s="238">
        <f>IF($B76&gt;2030,0,IF($B76&gt;M$55,0,IF($B76=M$55,VLOOKUP($B76,'הספק קיים ותחזית יצור'!$B$80:$E$100,2,FALSE)/'הנחות עבודה'!$D$33-SUM(M$55:M75)+M$55,L76*(1-'הנחות עבודה'!$D$38))))</f>
        <v>0</v>
      </c>
      <c r="N76" s="238">
        <f>IF($B76&gt;2030,0,IF($B76&gt;N$55,0,IF($B76=N$55,VLOOKUP($B76,'הספק קיים ותחזית יצור'!$B$80:$E$100,2,FALSE)/'הנחות עבודה'!$D$33-SUM(N$55:N75)+N$55,M76*(1-'הנחות עבודה'!$D$38))))</f>
        <v>0</v>
      </c>
      <c r="O76" s="238">
        <f>IF($B76&gt;2030,0,IF($B76&gt;O$55,0,IF($B76=O$55,VLOOKUP($B76,'הספק קיים ותחזית יצור'!$B$80:$E$100,2,FALSE)/'הנחות עבודה'!$D$33-SUM(O$55:O75)+O$55,N76*(1-'הנחות עבודה'!$D$38))))</f>
        <v>0</v>
      </c>
      <c r="P76" s="238">
        <f>IF($B76&gt;2030,0,IF($B76&gt;P$55,0,IF($B76=P$55,VLOOKUP($B76,'הספק קיים ותחזית יצור'!$B$80:$E$100,2,FALSE)/'הנחות עבודה'!$D$33-SUM(P$55:P75)+P$55,O76*(1-'הנחות עבודה'!$D$38))))</f>
        <v>0</v>
      </c>
      <c r="Q76" s="238">
        <f>IF($B76&gt;2030,0,IF($B76&gt;Q$55,0,IF($B76=Q$55,VLOOKUP($B76,'הספק קיים ותחזית יצור'!$B$80:$E$100,2,FALSE)/'הנחות עבודה'!$D$33-SUM(Q$55:Q75)+Q$55,P76*(1-'הנחות עבודה'!$D$38))))</f>
        <v>0</v>
      </c>
      <c r="R76" s="238">
        <f>IF($B76&gt;2030,0,IF($B76&gt;R$55,0,IF($B76=R$55,VLOOKUP($B76,'הספק קיים ותחזית יצור'!$B$80:$E$100,2,FALSE)/'הנחות עבודה'!$D$33-SUM(R$55:R75)+R$55,Q76*(1-'הנחות עבודה'!$D$38))))</f>
        <v>0</v>
      </c>
      <c r="S76" s="238">
        <f>IF($B76&gt;2030,0,IF($B76&gt;S$55,0,IF($B76=S$55,VLOOKUP($B76,'הספק קיים ותחזית יצור'!$B$80:$E$100,2,FALSE)/'הנחות עבודה'!$D$33-SUM(S$55:S75)+S$55,R76*(1-'הנחות עבודה'!$D$38))))</f>
        <v>0</v>
      </c>
      <c r="T76" s="238">
        <f>IF($B76&gt;2030,0,IF($B76&gt;T$55,0,IF($B76=T$55,VLOOKUP($B76,'הספק קיים ותחזית יצור'!$B$80:$E$100,2,FALSE)/'הנחות עבודה'!$D$33-SUM(T$55:T75)+T$55,S76*(1-'הנחות עבודה'!$D$38))))</f>
        <v>0</v>
      </c>
      <c r="U76" s="238">
        <f>IF($B76&gt;2030,0,IF($B76&gt;U$55,0,IF($B76=U$55,VLOOKUP($B76,'הספק קיים ותחזית יצור'!$B$80:$E$100,2,FALSE)/'הנחות עבודה'!$D$33-SUM(U$55:U75)+U$55,T76*(1-'הנחות עבודה'!$D$38))))</f>
        <v>0</v>
      </c>
      <c r="V76" s="238">
        <f>IF($B76&gt;2030,0,IF($B76&gt;V$55,0,IF($B76=V$55,VLOOKUP($B76,'הספק קיים ותחזית יצור'!$B$80:$E$100,2,FALSE)/'הנחות עבודה'!$D$33-SUM(V$55:V75)+V$55,U76*(1-'הנחות עבודה'!$D$38))))</f>
        <v>0</v>
      </c>
      <c r="W76" s="239">
        <f>IF($B76&gt;2030,0,IF($B76&gt;W$55,0,IF($B76=W$55,VLOOKUP($B76,'הספק קיים ותחזית יצור'!$B$80:$E$100,2,FALSE)/'הנחות עבודה'!$D$33-SUM(W$55:W75)+W$55,V76*(1-'הנחות עבודה'!$D$38))))</f>
        <v>0</v>
      </c>
    </row>
    <row r="77" spans="2:23" ht="15.75" thickBot="1">
      <c r="B77" s="249" t="s">
        <v>259</v>
      </c>
      <c r="C77" s="373">
        <f>IF(C55='הנחות עבודה'!$C$5,SUMIF($B$56:$B$76,C55,C56:C76),SUMIF($B$56:$B$76,C55,C56:C76)+B77)</f>
        <v>3904.6682808157962</v>
      </c>
      <c r="D77" s="373">
        <f>IF(D55='הנחות עבודה'!$C$5,SUMIF($B$56:$B$76,D55,D56:D76),SUMIF($B$56:$B$76,D55,D56:D76)+C77)</f>
        <v>4228.5825315409838</v>
      </c>
      <c r="E77" s="373">
        <f>IF(E55='הנחות עבודה'!$C$5,SUMIF($B$56:$B$76,E55,E56:E76),SUMIF($B$56:$B$76,E55,E56:E76)+D77)</f>
        <v>4343.3810111291587</v>
      </c>
      <c r="F77" s="373">
        <f>IF(F55='הנחות עבודה'!$C$5,SUMIF($B$56:$B$76,F55,F56:F76),SUMIF($B$56:$B$76,F55,F56:F76)+E77)</f>
        <v>4465.5404030156506</v>
      </c>
      <c r="G77" s="373">
        <f>IF(G55='הנחות עבודה'!$C$5,SUMIF($B$56:$B$76,G55,G56:G76),SUMIF($B$56:$B$76,G55,G56:G76)+F77)</f>
        <v>4590.6128363392845</v>
      </c>
      <c r="H77" s="373">
        <f>IF(H55='הנחות עבודה'!$C$5,SUMIF($B$56:$B$76,H55,H56:H76),SUMIF($B$56:$B$76,H55,H56:H76)+G77)</f>
        <v>4771.8117714195096</v>
      </c>
      <c r="I77" s="373">
        <f>IF(I55='הנחות עבודה'!$C$5,SUMIF($B$56:$B$76,I55,I56:I76),SUMIF($B$56:$B$76,I55,I56:I76)+H77)</f>
        <v>5390.8439840739293</v>
      </c>
      <c r="J77" s="373">
        <f>IF(J55='הנחות עבודה'!$C$5,SUMIF($B$56:$B$76,J55,J56:J76),SUMIF($B$56:$B$76,J55,J56:J76)+I77)</f>
        <v>6042.4054473618107</v>
      </c>
      <c r="K77" s="373">
        <f>IF(K55='הנחות עבודה'!$C$5,SUMIF($B$56:$B$76,K55,K56:K76),SUMIF($B$56:$B$76,K55,K56:K76)+J77)</f>
        <v>6704.8941339393969</v>
      </c>
      <c r="L77" s="373">
        <f>IF(L55='הנחות עבודה'!$C$5,SUMIF($B$56:$B$76,L55,L56:L76),SUMIF($B$56:$B$76,L55,L56:L76)+K77)</f>
        <v>7448.7143555847633</v>
      </c>
      <c r="M77" s="373">
        <f>IF(M55='הנחות עבודה'!$C$5,SUMIF($B$56:$B$76,M55,M56:M76),SUMIF($B$56:$B$76,M55,M56:M76)+L77)</f>
        <v>8206.7224464453247</v>
      </c>
      <c r="N77" s="373">
        <f>IF(N55='הנחות עבודה'!$C$5,SUMIF($B$56:$B$76,N55,N56:N76),SUMIF($B$56:$B$76,N55,N56:N76)+M77)</f>
        <v>8206.7224464453247</v>
      </c>
      <c r="O77" s="373">
        <f>IF(O55='הנחות עבודה'!$C$5,SUMIF($B$56:$B$76,O55,O56:O76),SUMIF($B$56:$B$76,O55,O56:O76)+N77)</f>
        <v>8206.7224464453247</v>
      </c>
      <c r="P77" s="373">
        <f>IF(P55='הנחות עבודה'!$C$5,SUMIF($B$56:$B$76,P55,P56:P76),SUMIF($B$56:$B$76,P55,P56:P76)+O77)</f>
        <v>8206.7224464453247</v>
      </c>
      <c r="Q77" s="373">
        <f>IF(Q55='הנחות עבודה'!$C$5,SUMIF($B$56:$B$76,Q55,Q56:Q76),SUMIF($B$56:$B$76,Q55,Q56:Q76)+P77)</f>
        <v>8206.7224464453247</v>
      </c>
      <c r="R77" s="373">
        <f>IF(R55='הנחות עבודה'!$C$5,SUMIF($B$56:$B$76,R55,R56:R76),SUMIF($B$56:$B$76,R55,R56:R76)+Q77)</f>
        <v>8206.7224464453247</v>
      </c>
      <c r="S77" s="373">
        <f>IF(S55='הנחות עבודה'!$C$5,SUMIF($B$56:$B$76,S55,S56:S76),SUMIF($B$56:$B$76,S55,S56:S76)+R77)</f>
        <v>8206.7224464453247</v>
      </c>
      <c r="T77" s="373">
        <f>IF(T55='הנחות עבודה'!$C$5,SUMIF($B$56:$B$76,T55,T56:T76),SUMIF($B$56:$B$76,T55,T56:T76)+S77)</f>
        <v>8206.7224464453247</v>
      </c>
      <c r="U77" s="373">
        <f>IF(U55='הנחות עבודה'!$C$5,SUMIF($B$56:$B$76,U55,U56:U76),SUMIF($B$56:$B$76,U55,U56:U76)+T77)</f>
        <v>8206.7224464453247</v>
      </c>
      <c r="V77" s="373">
        <f>IF(V55='הנחות עבודה'!$C$5,SUMIF($B$56:$B$76,V55,V56:V76),SUMIF($B$56:$B$76,V55,V56:V76)+U77)</f>
        <v>8206.7224464453247</v>
      </c>
      <c r="W77" s="373">
        <f>IF(W55='הנחות עבודה'!$C$5,SUMIF($B$56:$B$76,W55,W56:W76),SUMIF($B$56:$B$76,W55,W56:W76)+V77)</f>
        <v>8206.7224464453247</v>
      </c>
    </row>
    <row r="78" spans="2:23" ht="15.75" thickBot="1"/>
    <row r="79" spans="2:23" ht="16.5" thickBot="1">
      <c r="B79" s="1286" t="s">
        <v>231</v>
      </c>
      <c r="C79" s="1287"/>
      <c r="D79" s="1287"/>
      <c r="E79" s="1287"/>
      <c r="F79" s="1287"/>
      <c r="G79" s="1287"/>
      <c r="H79" s="1287"/>
      <c r="I79" s="1287"/>
      <c r="J79" s="1287"/>
      <c r="K79" s="1287"/>
      <c r="L79" s="1287"/>
      <c r="M79" s="1287"/>
      <c r="N79" s="1287"/>
      <c r="O79" s="1287"/>
      <c r="P79" s="1287"/>
      <c r="Q79" s="1287"/>
      <c r="R79" s="1287"/>
      <c r="S79" s="1287"/>
      <c r="T79" s="1287"/>
      <c r="U79" s="1287"/>
      <c r="V79" s="1287"/>
      <c r="W79" s="1288"/>
    </row>
    <row r="80" spans="2:23" ht="49.5" customHeight="1" thickBot="1">
      <c r="B80" s="310" t="s">
        <v>237</v>
      </c>
      <c r="C80" s="309">
        <f>C55</f>
        <v>2020</v>
      </c>
      <c r="D80" s="309">
        <f t="shared" ref="D80:W80" si="8">+C80+1</f>
        <v>2021</v>
      </c>
      <c r="E80" s="309">
        <f t="shared" si="8"/>
        <v>2022</v>
      </c>
      <c r="F80" s="309">
        <f t="shared" si="8"/>
        <v>2023</v>
      </c>
      <c r="G80" s="309">
        <f t="shared" si="8"/>
        <v>2024</v>
      </c>
      <c r="H80" s="309">
        <f t="shared" si="8"/>
        <v>2025</v>
      </c>
      <c r="I80" s="309">
        <f t="shared" si="8"/>
        <v>2026</v>
      </c>
      <c r="J80" s="309">
        <f t="shared" si="8"/>
        <v>2027</v>
      </c>
      <c r="K80" s="309">
        <f t="shared" si="8"/>
        <v>2028</v>
      </c>
      <c r="L80" s="309">
        <f t="shared" si="8"/>
        <v>2029</v>
      </c>
      <c r="M80" s="309">
        <f t="shared" si="8"/>
        <v>2030</v>
      </c>
      <c r="N80" s="309">
        <f t="shared" si="8"/>
        <v>2031</v>
      </c>
      <c r="O80" s="309">
        <f t="shared" si="8"/>
        <v>2032</v>
      </c>
      <c r="P80" s="309">
        <f t="shared" si="8"/>
        <v>2033</v>
      </c>
      <c r="Q80" s="309">
        <f t="shared" si="8"/>
        <v>2034</v>
      </c>
      <c r="R80" s="309">
        <f t="shared" si="8"/>
        <v>2035</v>
      </c>
      <c r="S80" s="309">
        <f t="shared" si="8"/>
        <v>2036</v>
      </c>
      <c r="T80" s="309">
        <f t="shared" si="8"/>
        <v>2037</v>
      </c>
      <c r="U80" s="309">
        <f t="shared" si="8"/>
        <v>2038</v>
      </c>
      <c r="V80" s="309">
        <f t="shared" si="8"/>
        <v>2039</v>
      </c>
      <c r="W80" s="307">
        <f t="shared" si="8"/>
        <v>2040</v>
      </c>
    </row>
    <row r="81" spans="2:23">
      <c r="B81" s="311">
        <f>B56</f>
        <v>2020</v>
      </c>
      <c r="C81" s="303">
        <f>C6*'הנחות עבודה'!$D$33/'הנחות עבודה'!$D$14</f>
        <v>6.4147628560000207</v>
      </c>
      <c r="D81" s="303">
        <f>D6*'הנחות עבודה'!$D$33/'הנחות עבודה'!$D$14</f>
        <v>6.3762742788640203</v>
      </c>
      <c r="E81" s="303">
        <f>E6*'הנחות עבודה'!$D$33/'הנחות עבודה'!$D$14</f>
        <v>6.3380166331908372</v>
      </c>
      <c r="F81" s="303">
        <f>F6*'הנחות עבודה'!$D$33/'הנחות עבודה'!$D$14</f>
        <v>6.2999885333916916</v>
      </c>
      <c r="G81" s="303">
        <f>G6*'הנחות עבודה'!$D$33/'הנחות עבודה'!$D$14</f>
        <v>6.2621886021913413</v>
      </c>
      <c r="H81" s="303">
        <f>H6*'הנחות עבודה'!$D$33/'הנחות עבודה'!$D$14</f>
        <v>6.2246154705781933</v>
      </c>
      <c r="I81" s="303">
        <f>I6*'הנחות עבודה'!$D$33/'הנחות עבודה'!$D$14</f>
        <v>6.187267777754724</v>
      </c>
      <c r="J81" s="303">
        <f>J6*'הנחות עבודה'!$D$33/'הנחות עבודה'!$D$14</f>
        <v>6.1501441710881961</v>
      </c>
      <c r="K81" s="303">
        <f>K6*'הנחות עבודה'!$D$33/'הנחות עבודה'!$D$14</f>
        <v>6.1132433060616664</v>
      </c>
      <c r="L81" s="303">
        <f>L6*'הנחות עבודה'!$D$33/'הנחות עבודה'!$D$14</f>
        <v>6.0765638462252971</v>
      </c>
      <c r="M81" s="303">
        <f>M6*'הנחות עבודה'!$D$33/'הנחות עבודה'!$D$14</f>
        <v>6.0401044631479444</v>
      </c>
      <c r="N81" s="303">
        <f>N6*'הנחות עבודה'!$D$33/'הנחות עבודה'!$D$14</f>
        <v>6.0038638363690575</v>
      </c>
      <c r="O81" s="303">
        <f>O6*'הנחות עבודה'!$D$33/'הנחות עבודה'!$D$14</f>
        <v>5.9678406533508435</v>
      </c>
      <c r="P81" s="303">
        <f>P6*'הנחות עבודה'!$D$33/'הנחות עבודה'!$D$14</f>
        <v>5.9320336094307375</v>
      </c>
      <c r="Q81" s="303">
        <f>Q6*'הנחות עבודה'!$D$33/'הנחות עבודה'!$D$14</f>
        <v>5.8964414077741543</v>
      </c>
      <c r="R81" s="303">
        <f>R6*'הנחות עבודה'!$D$33/'הנחות עבודה'!$D$14</f>
        <v>5.8610627593275098</v>
      </c>
      <c r="S81" s="303">
        <f>S6*'הנחות עבודה'!$D$33/'הנחות עבודה'!$D$14</f>
        <v>5.8258963827715444</v>
      </c>
      <c r="T81" s="303">
        <f>T6*'הנחות עבודה'!$D$33/'הנחות עבודה'!$D$14</f>
        <v>5.7909410044749148</v>
      </c>
      <c r="U81" s="303">
        <f>U6*'הנחות עבודה'!$D$33/'הנחות עבודה'!$D$14</f>
        <v>5.7561953584480658</v>
      </c>
      <c r="V81" s="303">
        <f>V6*'הנחות עבודה'!$D$33/'הנחות עבודה'!$D$14</f>
        <v>5.7216581862973763</v>
      </c>
      <c r="W81" s="304">
        <f>W6*'הנחות עבודה'!$D$33/'הנחות עבודה'!$D$14</f>
        <v>5.6873282371795923</v>
      </c>
    </row>
    <row r="82" spans="2:23">
      <c r="B82" s="306">
        <f>+B81+1</f>
        <v>2021</v>
      </c>
      <c r="C82" s="302">
        <f>C7*'הנחות עבודה'!$D$33/'הנחות עבודה'!$D$14</f>
        <v>0</v>
      </c>
      <c r="D82" s="302">
        <f>D7*'הנחות עבודה'!$D$33/'הנחות עבודה'!$D$14</f>
        <v>1.5977019171360325</v>
      </c>
      <c r="E82" s="302">
        <f>E7*'הנחות עבודה'!$D$33/'הנחות עבודה'!$D$14</f>
        <v>1.5881157056332162</v>
      </c>
      <c r="F82" s="302">
        <f>F7*'הנחות עבודה'!$D$33/'הנחות עבודה'!$D$14</f>
        <v>1.5785870113994169</v>
      </c>
      <c r="G82" s="302">
        <f>G7*'הנחות עבודה'!$D$33/'הנחות עבודה'!$D$14</f>
        <v>1.5691154893310204</v>
      </c>
      <c r="H82" s="302">
        <f>H7*'הנחות עבודה'!$D$33/'הנחות עבודה'!$D$14</f>
        <v>1.5597007963950342</v>
      </c>
      <c r="I82" s="302">
        <f>I7*'הנחות עבודה'!$D$33/'הנחות עבודה'!$D$14</f>
        <v>1.550342591616664</v>
      </c>
      <c r="J82" s="302">
        <f>J7*'הנחות עבודה'!$D$33/'הנחות עבודה'!$D$14</f>
        <v>1.5410405360669643</v>
      </c>
      <c r="K82" s="302">
        <f>K7*'הנחות עבודה'!$D$33/'הנחות עבודה'!$D$14</f>
        <v>1.5317942928505623</v>
      </c>
      <c r="L82" s="302">
        <f>L7*'הנחות עבודה'!$D$33/'הנחות עבודה'!$D$14</f>
        <v>1.522603527093459</v>
      </c>
      <c r="M82" s="302">
        <f>M7*'הנחות עבודה'!$D$33/'הנחות עבודה'!$D$14</f>
        <v>1.5134679059308982</v>
      </c>
      <c r="N82" s="302">
        <f>N7*'הנחות עבודה'!$D$33/'הנחות עבודה'!$D$14</f>
        <v>1.5043870984953127</v>
      </c>
      <c r="O82" s="302">
        <f>O7*'הנחות עבודה'!$D$33/'הנחות עבודה'!$D$14</f>
        <v>1.4953607759043408</v>
      </c>
      <c r="P82" s="302">
        <f>P7*'הנחות עבודה'!$D$33/'הנחות עבודה'!$D$14</f>
        <v>1.4863886112489149</v>
      </c>
      <c r="Q82" s="302">
        <f>Q7*'הנחות עבודה'!$D$33/'הנחות עבודה'!$D$14</f>
        <v>1.4774702795814212</v>
      </c>
      <c r="R82" s="302">
        <f>R7*'הנחות עבודה'!$D$33/'הנחות עבודה'!$D$14</f>
        <v>1.4686054579039327</v>
      </c>
      <c r="S82" s="302">
        <f>S7*'הנחות עבודה'!$D$33/'הנחות עבודה'!$D$14</f>
        <v>1.4597938251565092</v>
      </c>
      <c r="T82" s="302">
        <f>T7*'הנחות עבודה'!$D$33/'הנחות עבודה'!$D$14</f>
        <v>1.4510350622055701</v>
      </c>
      <c r="U82" s="302">
        <f>U7*'הנחות עבודה'!$D$33/'הנחות עבודה'!$D$14</f>
        <v>1.4423288518323365</v>
      </c>
      <c r="V82" s="302">
        <f>V7*'הנחות עבודה'!$D$33/'הנחות עבודה'!$D$14</f>
        <v>1.4336748787213425</v>
      </c>
      <c r="W82" s="305">
        <f>W7*'הנחות עבודה'!$D$33/'הנחות עבודה'!$D$14</f>
        <v>1.4250728294490145</v>
      </c>
    </row>
    <row r="83" spans="2:23">
      <c r="B83" s="306">
        <f t="shared" ref="B83:B101" si="9">+B82+1</f>
        <v>2022</v>
      </c>
      <c r="C83" s="302">
        <f>C8*'הנחות עבודה'!$D$33/'הנחות עבודה'!$D$14</f>
        <v>0</v>
      </c>
      <c r="D83" s="302">
        <f>D8*'הנחות עבודה'!$D$33/'הנחות עבודה'!$D$14</f>
        <v>0</v>
      </c>
      <c r="E83" s="302">
        <f>E8*'הנחות עבודה'!$D$33/'הנחות עבודה'!$D$14</f>
        <v>1.3189102871760015</v>
      </c>
      <c r="F83" s="302">
        <f>F8*'הנחות עבודה'!$D$33/'הנחות עבודה'!$D$14</f>
        <v>1.3109968254529454</v>
      </c>
      <c r="G83" s="302">
        <f>G8*'הנחות עבודה'!$D$33/'הנחות עבודה'!$D$14</f>
        <v>1.3031308445002276</v>
      </c>
      <c r="H83" s="302">
        <f>H8*'הנחות עבודה'!$D$33/'הנחות עבודה'!$D$14</f>
        <v>1.2953120594332261</v>
      </c>
      <c r="I83" s="302">
        <f>I8*'הנחות עבודה'!$D$33/'הנחות עבודה'!$D$14</f>
        <v>1.2875401870766268</v>
      </c>
      <c r="J83" s="302">
        <f>J8*'הנחות עבודה'!$D$33/'הנחות עבודה'!$D$14</f>
        <v>1.279814945954167</v>
      </c>
      <c r="K83" s="302">
        <f>K8*'הנחות עבודה'!$D$33/'הנחות עבודה'!$D$14</f>
        <v>1.2721360562784421</v>
      </c>
      <c r="L83" s="302">
        <f>L8*'הנחות עבודה'!$D$33/'הנחות עבודה'!$D$14</f>
        <v>1.2645032399407714</v>
      </c>
      <c r="M83" s="302">
        <f>M8*'הנחות עבודה'!$D$33/'הנחות עבודה'!$D$14</f>
        <v>1.2569162205011266</v>
      </c>
      <c r="N83" s="302">
        <f>N8*'הנחות עבודה'!$D$33/'הנחות עבודה'!$D$14</f>
        <v>1.24937472317812</v>
      </c>
      <c r="O83" s="302">
        <f>O8*'הנחות עבודה'!$D$33/'הנחות עבודה'!$D$14</f>
        <v>1.2418784748390514</v>
      </c>
      <c r="P83" s="302">
        <f>P8*'הנחות עבודה'!$D$33/'הנחות עבודה'!$D$14</f>
        <v>1.234427203990017</v>
      </c>
      <c r="Q83" s="302">
        <f>Q8*'הנחות עבודה'!$D$33/'הנחות עבודה'!$D$14</f>
        <v>1.2270206407660771</v>
      </c>
      <c r="R83" s="302">
        <f>R8*'הנחות עבודה'!$D$33/'הנחות עבודה'!$D$14</f>
        <v>1.2196585169214806</v>
      </c>
      <c r="S83" s="302">
        <f>S8*'הנחות עבודה'!$D$33/'הנחות עבודה'!$D$14</f>
        <v>1.2123405658199518</v>
      </c>
      <c r="T83" s="302">
        <f>T8*'הנחות עבודה'!$D$33/'הנחות עבודה'!$D$14</f>
        <v>1.2050665224250321</v>
      </c>
      <c r="U83" s="302">
        <f>U8*'הנחות עבודה'!$D$33/'הנחות עבודה'!$D$14</f>
        <v>1.1978361232904817</v>
      </c>
      <c r="V83" s="302">
        <f>V8*'הנחות עבודה'!$D$33/'הנחות עבודה'!$D$14</f>
        <v>1.190649106550739</v>
      </c>
      <c r="W83" s="305">
        <f>W8*'הנחות עבודה'!$D$33/'הנחות עבודה'!$D$14</f>
        <v>1.1835052119114347</v>
      </c>
    </row>
    <row r="84" spans="2:23">
      <c r="B84" s="306">
        <f t="shared" si="9"/>
        <v>2023</v>
      </c>
      <c r="C84" s="302">
        <f>C9*'הנחות עבודה'!$D$33/'הנחות עבודה'!$D$14</f>
        <v>0</v>
      </c>
      <c r="D84" s="302">
        <f>D9*'הנחות עבודה'!$D$33/'הנחות עבודה'!$D$14</f>
        <v>0</v>
      </c>
      <c r="E84" s="302">
        <f>E9*'הנחות עבודה'!$D$33/'הנחות עבודה'!$D$14</f>
        <v>0</v>
      </c>
      <c r="F84" s="302">
        <f>F9*'הנחות עבודה'!$D$33/'הנחות עבודה'!$D$14</f>
        <v>1.3987023247560098</v>
      </c>
      <c r="G84" s="302">
        <f>G9*'הנחות עבודה'!$D$33/'הנחות עבודה'!$D$14</f>
        <v>1.3903101108074736</v>
      </c>
      <c r="H84" s="302">
        <f>H9*'הנחות עבודה'!$D$33/'הנחות עבודה'!$D$14</f>
        <v>1.3819682501426287</v>
      </c>
      <c r="I84" s="302">
        <f>I9*'הנחות עבודה'!$D$33/'הנחות עבודה'!$D$14</f>
        <v>1.373676440641773</v>
      </c>
      <c r="J84" s="302">
        <f>J9*'הנחות עבודה'!$D$33/'הנחות עבודה'!$D$14</f>
        <v>1.3654343819979224</v>
      </c>
      <c r="K84" s="302">
        <f>K9*'הנחות עבודה'!$D$33/'הנחות עבודה'!$D$14</f>
        <v>1.3572417757059347</v>
      </c>
      <c r="L84" s="302">
        <f>L9*'הנחות עבודה'!$D$33/'הנחות עבודה'!$D$14</f>
        <v>1.3490983250516992</v>
      </c>
      <c r="M84" s="302">
        <f>M9*'הנחות עבודה'!$D$33/'הנחות עבודה'!$D$14</f>
        <v>1.341003735101389</v>
      </c>
      <c r="N84" s="302">
        <f>N9*'הנחות עבודה'!$D$33/'הנחות עבודה'!$D$14</f>
        <v>1.3329577126907806</v>
      </c>
      <c r="O84" s="302">
        <f>O9*'הנחות עבודה'!$D$33/'הנחות עבודה'!$D$14</f>
        <v>1.3249599664146359</v>
      </c>
      <c r="P84" s="302">
        <f>P9*'הנחות עבודה'!$D$33/'הנחות עבודה'!$D$14</f>
        <v>1.317010206616148</v>
      </c>
      <c r="Q84" s="302">
        <f>Q9*'הנחות עבודה'!$D$33/'הנחות עבודה'!$D$14</f>
        <v>1.309108145376451</v>
      </c>
      <c r="R84" s="302">
        <f>R9*'הנחות עבודה'!$D$33/'הנחות עבודה'!$D$14</f>
        <v>1.3012534965041924</v>
      </c>
      <c r="S84" s="302">
        <f>S9*'הנחות עבודה'!$D$33/'הנחות עבודה'!$D$14</f>
        <v>1.293445975525167</v>
      </c>
      <c r="T84" s="302">
        <f>T9*'הנחות עבודה'!$D$33/'הנחות עבודה'!$D$14</f>
        <v>1.2856852996720163</v>
      </c>
      <c r="U84" s="302">
        <f>U9*'הנחות עבודה'!$D$33/'הנחות עבודה'!$D$14</f>
        <v>1.2779711878739839</v>
      </c>
      <c r="V84" s="302">
        <f>V9*'הנחות עבודה'!$D$33/'הנחות עבודה'!$D$14</f>
        <v>1.2703033607467402</v>
      </c>
      <c r="W84" s="305">
        <f>W9*'הנחות עבודה'!$D$33/'הנחות עבודה'!$D$14</f>
        <v>1.2626815405822596</v>
      </c>
    </row>
    <row r="85" spans="2:23">
      <c r="B85" s="306">
        <f t="shared" si="9"/>
        <v>2024</v>
      </c>
      <c r="C85" s="302">
        <f>C10*'הנחות עבודה'!$D$33/'הנחות עבודה'!$D$14</f>
        <v>0</v>
      </c>
      <c r="D85" s="302">
        <f>D10*'הנחות עבודה'!$D$33/'הנחות עבודה'!$D$14</f>
        <v>0</v>
      </c>
      <c r="E85" s="302">
        <f>E10*'הנחות עבודה'!$D$33/'הנחות עבודה'!$D$14</f>
        <v>0</v>
      </c>
      <c r="F85" s="302">
        <f>F10*'הנחות עבודה'!$D$33/'הנחות עבודה'!$D$14</f>
        <v>0</v>
      </c>
      <c r="G85" s="302">
        <f>G10*'הנחות עבודה'!$D$33/'הנחות עבודה'!$D$14</f>
        <v>1.4621503541700105</v>
      </c>
      <c r="H85" s="302">
        <f>H10*'הנחות עבודה'!$D$33/'הנחות עבודה'!$D$14</f>
        <v>1.4533774520449905</v>
      </c>
      <c r="I85" s="302">
        <f>I10*'הנחות עבודה'!$D$33/'הנחות עבודה'!$D$14</f>
        <v>1.4446571873327203</v>
      </c>
      <c r="J85" s="302">
        <f>J10*'הנחות עבודה'!$D$33/'הנחות עבודה'!$D$14</f>
        <v>1.4359892442087241</v>
      </c>
      <c r="K85" s="302">
        <f>K10*'הנחות עבודה'!$D$33/'הנחות עבודה'!$D$14</f>
        <v>1.4273733087434715</v>
      </c>
      <c r="L85" s="302">
        <f>L10*'הנחות עבודה'!$D$33/'הנחות עבודה'!$D$14</f>
        <v>1.4188090688910107</v>
      </c>
      <c r="M85" s="302">
        <f>M10*'הנחות עבודה'!$D$33/'הנחות עבודה'!$D$14</f>
        <v>1.4102962144776645</v>
      </c>
      <c r="N85" s="302">
        <f>N10*'הנחות עבודה'!$D$33/'הנחות עבודה'!$D$14</f>
        <v>1.4018344371907985</v>
      </c>
      <c r="O85" s="302">
        <f>O10*'הנחות עבודה'!$D$33/'הנחות עבודה'!$D$14</f>
        <v>1.3934234305676538</v>
      </c>
      <c r="P85" s="302">
        <f>P10*'הנחות עבודה'!$D$33/'הנחות עבודה'!$D$14</f>
        <v>1.3850628899842479</v>
      </c>
      <c r="Q85" s="302">
        <f>Q10*'הנחות עבודה'!$D$33/'הנחות עבודה'!$D$14</f>
        <v>1.3767525126443423</v>
      </c>
      <c r="R85" s="302">
        <f>R10*'הנחות עבודה'!$D$33/'הנחות עבודה'!$D$14</f>
        <v>1.3684919975684762</v>
      </c>
      <c r="S85" s="302">
        <f>S10*'הנחות עבודה'!$D$33/'הנחות עבודה'!$D$14</f>
        <v>1.3602810455830654</v>
      </c>
      <c r="T85" s="302">
        <f>T10*'הנחות עבודה'!$D$33/'הנחות עבודה'!$D$14</f>
        <v>1.3521193593095671</v>
      </c>
      <c r="U85" s="302">
        <f>U10*'הנחות עבודה'!$D$33/'הנחות עבודה'!$D$14</f>
        <v>1.3440066431537099</v>
      </c>
      <c r="V85" s="302">
        <f>V10*'הנחות עבודה'!$D$33/'הנחות עבודה'!$D$14</f>
        <v>1.3359426032947874</v>
      </c>
      <c r="W85" s="305">
        <f>W10*'הנחות עבודה'!$D$33/'הנחות עבודה'!$D$14</f>
        <v>1.3279269476750188</v>
      </c>
    </row>
    <row r="86" spans="2:23">
      <c r="B86" s="306">
        <f t="shared" si="9"/>
        <v>2025</v>
      </c>
      <c r="C86" s="302">
        <f>C11*'הנחות עבודה'!$D$33/'הנחות עבודה'!$D$14</f>
        <v>0</v>
      </c>
      <c r="D86" s="302">
        <f>D11*'הנחות עבודה'!$D$33/'הנחות עבודה'!$D$14</f>
        <v>0</v>
      </c>
      <c r="E86" s="302">
        <f>E11*'הנחות עבודה'!$D$33/'הנחות עבודה'!$D$14</f>
        <v>0</v>
      </c>
      <c r="F86" s="302">
        <f>F11*'הנחות עבודה'!$D$33/'הנחות עבודה'!$D$14</f>
        <v>0</v>
      </c>
      <c r="G86" s="302">
        <f>G11*'הנחות עבודה'!$D$33/'הנחות עבודה'!$D$14</f>
        <v>0</v>
      </c>
      <c r="H86" s="302">
        <f>H11*'הנחות עבודה'!$D$33/'הנחות עבודה'!$D$14</f>
        <v>1.6522191414060063</v>
      </c>
      <c r="I86" s="302">
        <f>I11*'הנחות עבודה'!$D$33/'הנחות עבודה'!$D$14</f>
        <v>1.6423058265575701</v>
      </c>
      <c r="J86" s="302">
        <f>J11*'הנחות עבודה'!$D$33/'הנחות עבודה'!$D$14</f>
        <v>1.632451991598225</v>
      </c>
      <c r="K86" s="302">
        <f>K11*'הנחות עבודה'!$D$33/'הנחות עבודה'!$D$14</f>
        <v>1.6226572796486356</v>
      </c>
      <c r="L86" s="302">
        <f>L11*'הנחות עבודה'!$D$33/'הנחות עבודה'!$D$14</f>
        <v>1.6129213359707437</v>
      </c>
      <c r="M86" s="302">
        <f>M11*'הנחות עבודה'!$D$33/'הנחות עבודה'!$D$14</f>
        <v>1.6032438079549194</v>
      </c>
      <c r="N86" s="302">
        <f>N11*'הנחות עבודה'!$D$33/'הנחות עבודה'!$D$14</f>
        <v>1.5936243451071899</v>
      </c>
      <c r="O86" s="302">
        <f>O11*'הנחות עבודה'!$D$33/'הנחות עבודה'!$D$14</f>
        <v>1.5840625990365467</v>
      </c>
      <c r="P86" s="302">
        <f>P11*'הנחות עבודה'!$D$33/'הנחות עבודה'!$D$14</f>
        <v>1.5745582234423274</v>
      </c>
      <c r="Q86" s="302">
        <f>Q11*'הנחות עבודה'!$D$33/'הנחות עבודה'!$D$14</f>
        <v>1.5651108741016735</v>
      </c>
      <c r="R86" s="302">
        <f>R11*'הנחות עבודה'!$D$33/'הנחות עבודה'!$D$14</f>
        <v>1.5557202088570634</v>
      </c>
      <c r="S86" s="302">
        <f>S11*'הנחות עבודה'!$D$33/'הנחות עבודה'!$D$14</f>
        <v>1.5463858876039211</v>
      </c>
      <c r="T86" s="302">
        <f>T11*'הנחות עבודה'!$D$33/'הנחות עבודה'!$D$14</f>
        <v>1.5371075722782974</v>
      </c>
      <c r="U86" s="302">
        <f>U11*'הנחות עבודה'!$D$33/'הנחות עבודה'!$D$14</f>
        <v>1.5278849268446277</v>
      </c>
      <c r="V86" s="302">
        <f>V11*'הנחות עבודה'!$D$33/'הנחות עבודה'!$D$14</f>
        <v>1.5187176172835601</v>
      </c>
      <c r="W86" s="305">
        <f>W11*'הנחות עבודה'!$D$33/'הנחות עבודה'!$D$14</f>
        <v>1.5096053115798587</v>
      </c>
    </row>
    <row r="87" spans="2:23">
      <c r="B87" s="306">
        <f t="shared" si="9"/>
        <v>2026</v>
      </c>
      <c r="C87" s="302">
        <f>C12*'הנחות עבודה'!$D$33/'הנחות עבודה'!$D$14</f>
        <v>0</v>
      </c>
      <c r="D87" s="302">
        <f>D12*'הנחות עבודה'!$D$33/'הנחות עבודה'!$D$14</f>
        <v>0</v>
      </c>
      <c r="E87" s="302">
        <f>E12*'הנחות עבודה'!$D$33/'הנחות עבודה'!$D$14</f>
        <v>0</v>
      </c>
      <c r="F87" s="302">
        <f>F12*'הנחות עבודה'!$D$33/'הנחות עבודה'!$D$14</f>
        <v>0</v>
      </c>
      <c r="G87" s="302">
        <f>G12*'הנחות עבודה'!$D$33/'הנחות עבודה'!$D$14</f>
        <v>0</v>
      </c>
      <c r="H87" s="302">
        <f>H12*'הנחות עבודה'!$D$33/'הנחות עבודה'!$D$14</f>
        <v>0</v>
      </c>
      <c r="I87" s="302">
        <f>I12*'הנחות עבודה'!$D$33/'הנחות עבודה'!$D$14</f>
        <v>2.2625703590200055</v>
      </c>
      <c r="J87" s="302">
        <f>J12*'הנחות עבודה'!$D$33/'הנחות עבודה'!$D$14</f>
        <v>2.2489949368658855</v>
      </c>
      <c r="K87" s="302">
        <f>K12*'הנחות עבודה'!$D$33/'הנחות עבודה'!$D$14</f>
        <v>2.2355009672446897</v>
      </c>
      <c r="L87" s="302">
        <f>L12*'הנחות עבודה'!$D$33/'הנחות עבודה'!$D$14</f>
        <v>2.2220879614412219</v>
      </c>
      <c r="M87" s="302">
        <f>M12*'הנחות עבודה'!$D$33/'הנחות עבודה'!$D$14</f>
        <v>2.2087554336725748</v>
      </c>
      <c r="N87" s="302">
        <f>N12*'הנחות עבודה'!$D$33/'הנחות עבודה'!$D$14</f>
        <v>2.1955029010705394</v>
      </c>
      <c r="O87" s="302">
        <f>O12*'הנחות עבודה'!$D$33/'הנחות עבודה'!$D$14</f>
        <v>2.1823298836641163</v>
      </c>
      <c r="P87" s="302">
        <f>P12*'הנחות עבודה'!$D$33/'הנחות עבודה'!$D$14</f>
        <v>2.1692359043621314</v>
      </c>
      <c r="Q87" s="302">
        <f>Q12*'הנחות עבודה'!$D$33/'הנחות עבודה'!$D$14</f>
        <v>2.1562204889359586</v>
      </c>
      <c r="R87" s="302">
        <f>R12*'הנחות עבודה'!$D$33/'הנחות עבודה'!$D$14</f>
        <v>2.1432831660023428</v>
      </c>
      <c r="S87" s="302">
        <f>S12*'הנחות עבודה'!$D$33/'הנחות עבודה'!$D$14</f>
        <v>2.1304234670063291</v>
      </c>
      <c r="T87" s="302">
        <f>T12*'הנחות עבודה'!$D$33/'הנחות עבודה'!$D$14</f>
        <v>2.1176409262042908</v>
      </c>
      <c r="U87" s="302">
        <f>U12*'הנחות עבודה'!$D$33/'הנחות עבודה'!$D$14</f>
        <v>2.1049350806470652</v>
      </c>
      <c r="V87" s="302">
        <f>V12*'הנחות עבודה'!$D$33/'הנחות עבודה'!$D$14</f>
        <v>2.0923054701631827</v>
      </c>
      <c r="W87" s="305">
        <f>W12*'הנחות עבודה'!$D$33/'הנחות עבודה'!$D$14</f>
        <v>2.0797516373422034</v>
      </c>
    </row>
    <row r="88" spans="2:23">
      <c r="B88" s="306">
        <f t="shared" si="9"/>
        <v>2027</v>
      </c>
      <c r="C88" s="302">
        <f>C13*'הנחות עבודה'!$D$33/'הנחות עבודה'!$D$14</f>
        <v>0</v>
      </c>
      <c r="D88" s="302">
        <f>D13*'הנחות עבודה'!$D$33/'הנחות עבודה'!$D$14</f>
        <v>0</v>
      </c>
      <c r="E88" s="302">
        <f>E13*'הנחות עבודה'!$D$33/'הנחות עבודה'!$D$14</f>
        <v>0</v>
      </c>
      <c r="F88" s="302">
        <f>F13*'הנחות עבודה'!$D$33/'הנחות עבודה'!$D$14</f>
        <v>0</v>
      </c>
      <c r="G88" s="302">
        <f>G13*'הנחות עבודה'!$D$33/'הנחות עבודה'!$D$14</f>
        <v>0</v>
      </c>
      <c r="H88" s="302">
        <f>H13*'הנחות עבודה'!$D$33/'הנחות עבודה'!$D$14</f>
        <v>0</v>
      </c>
      <c r="I88" s="302">
        <f>I13*'הנחות עבודה'!$D$33/'הנחות עבודה'!$D$14</f>
        <v>0</v>
      </c>
      <c r="J88" s="302">
        <f>J13*'הנחות עבודה'!$D$33/'הנחות עבודה'!$D$14</f>
        <v>2.3860150422199973</v>
      </c>
      <c r="K88" s="302">
        <f>K13*'הנחות עבודה'!$D$33/'הנחות עבודה'!$D$14</f>
        <v>2.3716989519666773</v>
      </c>
      <c r="L88" s="302">
        <f>L13*'הנחות עבודה'!$D$33/'הנחות עבודה'!$D$14</f>
        <v>2.3574687582548775</v>
      </c>
      <c r="M88" s="302">
        <f>M13*'הנחות עבודה'!$D$33/'הנחות עבודה'!$D$14</f>
        <v>2.3433239457053481</v>
      </c>
      <c r="N88" s="302">
        <f>N13*'הנחות עבודה'!$D$33/'הנחות עבודה'!$D$14</f>
        <v>2.3292640020311159</v>
      </c>
      <c r="O88" s="302">
        <f>O13*'הנחות עבודה'!$D$33/'הנחות עבודה'!$D$14</f>
        <v>2.315288418018929</v>
      </c>
      <c r="P88" s="302">
        <f>P13*'הנחות עבודה'!$D$33/'הנחות עבודה'!$D$14</f>
        <v>2.3013966875108154</v>
      </c>
      <c r="Q88" s="302">
        <f>Q13*'הנחות עבודה'!$D$33/'הנחות עבודה'!$D$14</f>
        <v>2.2875883073857506</v>
      </c>
      <c r="R88" s="302">
        <f>R13*'הנחות עבודה'!$D$33/'הנחות עבודה'!$D$14</f>
        <v>2.2738627775414364</v>
      </c>
      <c r="S88" s="302">
        <f>S13*'הנחות עבודה'!$D$33/'הנחות עבודה'!$D$14</f>
        <v>2.2602196008761872</v>
      </c>
      <c r="T88" s="302">
        <f>T13*'הנחות עבודה'!$D$33/'הנחות עבודה'!$D$14</f>
        <v>2.2466582832709303</v>
      </c>
      <c r="U88" s="302">
        <f>U13*'הנחות עבודה'!$D$33/'הנחות עבודה'!$D$14</f>
        <v>2.2331783335713045</v>
      </c>
      <c r="V88" s="302">
        <f>V13*'הנחות עבודה'!$D$33/'הנחות עבודה'!$D$14</f>
        <v>2.219779263569877</v>
      </c>
      <c r="W88" s="305">
        <f>W13*'הנחות עבודה'!$D$33/'הנחות עבודה'!$D$14</f>
        <v>2.2064605879884578</v>
      </c>
    </row>
    <row r="89" spans="2:23">
      <c r="B89" s="306">
        <f t="shared" si="9"/>
        <v>2028</v>
      </c>
      <c r="C89" s="302">
        <f>C14*'הנחות עבודה'!$D$33/'הנחות עבודה'!$D$14</f>
        <v>0</v>
      </c>
      <c r="D89" s="302">
        <f>D14*'הנחות עבודה'!$D$33/'הנחות עבודה'!$D$14</f>
        <v>0</v>
      </c>
      <c r="E89" s="302">
        <f>E14*'הנחות עבודה'!$D$33/'הנחות עבודה'!$D$14</f>
        <v>0</v>
      </c>
      <c r="F89" s="302">
        <f>F14*'הנחות עבודה'!$D$33/'הנחות עבודה'!$D$14</f>
        <v>0</v>
      </c>
      <c r="G89" s="302">
        <f>G14*'הנחות עבודה'!$D$33/'הנחות עבודה'!$D$14</f>
        <v>0</v>
      </c>
      <c r="H89" s="302">
        <f>H14*'הנחות עבודה'!$D$33/'הנחות עבודה'!$D$14</f>
        <v>0</v>
      </c>
      <c r="I89" s="302">
        <f>I14*'הנחות עבודה'!$D$33/'הנחות עבודה'!$D$14</f>
        <v>0</v>
      </c>
      <c r="J89" s="302">
        <f>J14*'הנחות עבודה'!$D$33/'הנחות עבודה'!$D$14</f>
        <v>0</v>
      </c>
      <c r="K89" s="302">
        <f>K14*'הנחות עבודה'!$D$33/'הנחות עבודה'!$D$14</f>
        <v>2.4510754915000139</v>
      </c>
      <c r="L89" s="302">
        <f>L14*'הנחות עבודה'!$D$33/'הנחות עבודה'!$D$14</f>
        <v>2.4363690385510135</v>
      </c>
      <c r="M89" s="302">
        <f>M14*'הנחות עבודה'!$D$33/'הנחות עבודה'!$D$14</f>
        <v>2.4217508243197079</v>
      </c>
      <c r="N89" s="302">
        <f>N14*'הנחות עבודה'!$D$33/'הנחות עבודה'!$D$14</f>
        <v>2.4072203193737893</v>
      </c>
      <c r="O89" s="302">
        <f>O14*'הנחות עבודה'!$D$33/'הנחות עבודה'!$D$14</f>
        <v>2.3927769974575468</v>
      </c>
      <c r="P89" s="302">
        <f>P14*'הנחות עבודה'!$D$33/'הנחות עבודה'!$D$14</f>
        <v>2.3784203354728013</v>
      </c>
      <c r="Q89" s="302">
        <f>Q14*'הנחות עבודה'!$D$33/'הנחות עבודה'!$D$14</f>
        <v>2.3641498134599646</v>
      </c>
      <c r="R89" s="302">
        <f>R14*'הנחות עבודה'!$D$33/'הנחות עבודה'!$D$14</f>
        <v>2.3499649145792048</v>
      </c>
      <c r="S89" s="302">
        <f>S14*'הנחות עבודה'!$D$33/'הנחות עבודה'!$D$14</f>
        <v>2.3358651250917295</v>
      </c>
      <c r="T89" s="302">
        <f>T14*'הנחות עבודה'!$D$33/'הנחות עבודה'!$D$14</f>
        <v>2.3218499343411789</v>
      </c>
      <c r="U89" s="302">
        <f>U14*'הנחות עבודה'!$D$33/'הנחות עבודה'!$D$14</f>
        <v>2.307918834735132</v>
      </c>
      <c r="V89" s="302">
        <f>V14*'הנחות עבודה'!$D$33/'הנחות עבודה'!$D$14</f>
        <v>2.2940713217267215</v>
      </c>
      <c r="W89" s="305">
        <f>W14*'הנחות עבודה'!$D$33/'הנחות עבודה'!$D$14</f>
        <v>2.2803068937963609</v>
      </c>
    </row>
    <row r="90" spans="2:23">
      <c r="B90" s="306">
        <f t="shared" si="9"/>
        <v>2029</v>
      </c>
      <c r="C90" s="302">
        <f>C15*'הנחות עבודה'!$D$33/'הנחות עבודה'!$D$14</f>
        <v>0</v>
      </c>
      <c r="D90" s="302">
        <f>D15*'הנחות עבודה'!$D$33/'הנחות עבודה'!$D$14</f>
        <v>0</v>
      </c>
      <c r="E90" s="302">
        <f>E15*'הנחות עבודה'!$D$33/'הנחות עבודה'!$D$14</f>
        <v>0</v>
      </c>
      <c r="F90" s="302">
        <f>F15*'הנחות עבודה'!$D$33/'הנחות עבודה'!$D$14</f>
        <v>0</v>
      </c>
      <c r="G90" s="302">
        <f>G15*'הנחות עבודה'!$D$33/'הנחות עבודה'!$D$14</f>
        <v>0</v>
      </c>
      <c r="H90" s="302">
        <f>H15*'הנחות עבודה'!$D$33/'הנחות עבודה'!$D$14</f>
        <v>0</v>
      </c>
      <c r="I90" s="302">
        <f>I15*'הנחות עבודה'!$D$33/'הנחות עבודה'!$D$14</f>
        <v>0</v>
      </c>
      <c r="J90" s="302">
        <f>J15*'הנחות עבודה'!$D$33/'הנחות עבודה'!$D$14</f>
        <v>0</v>
      </c>
      <c r="K90" s="302">
        <f>K15*'הנחות עבודה'!$D$33/'הנחות עבודה'!$D$14</f>
        <v>0</v>
      </c>
      <c r="L90" s="302">
        <f>L15*'הנחות עבודה'!$D$33/'הנחות עבודה'!$D$14</f>
        <v>2.713016068580004</v>
      </c>
      <c r="M90" s="302">
        <f>M15*'הנחות עבודה'!$D$33/'הנחות עבודה'!$D$14</f>
        <v>2.6967379721685241</v>
      </c>
      <c r="N90" s="302">
        <f>N15*'הנחות עבודה'!$D$33/'הנחות עבודה'!$D$14</f>
        <v>2.680557544335513</v>
      </c>
      <c r="O90" s="302">
        <f>O15*'הנחות עבודה'!$D$33/'הנחות עבודה'!$D$14</f>
        <v>2.6644741990694998</v>
      </c>
      <c r="P90" s="302">
        <f>P15*'הנחות עבודה'!$D$33/'הנחות עבודה'!$D$14</f>
        <v>2.6484873538750828</v>
      </c>
      <c r="Q90" s="302">
        <f>Q15*'הנחות עבודה'!$D$33/'הנחות עבודה'!$D$14</f>
        <v>2.6325964297518327</v>
      </c>
      <c r="R90" s="302">
        <f>R15*'הנחות עבודה'!$D$33/'הנחות עבודה'!$D$14</f>
        <v>2.6168008511733212</v>
      </c>
      <c r="S90" s="302">
        <f>S15*'הנחות עבודה'!$D$33/'הנחות עבודה'!$D$14</f>
        <v>2.6011000460662812</v>
      </c>
      <c r="T90" s="302">
        <f>T15*'הנחות עבודה'!$D$33/'הנחות עבודה'!$D$14</f>
        <v>2.5854934457898837</v>
      </c>
      <c r="U90" s="302">
        <f>U15*'הנחות עבודה'!$D$33/'הנחות עבודה'!$D$14</f>
        <v>2.5699804851151442</v>
      </c>
      <c r="V90" s="302">
        <f>V15*'הנחות עבודה'!$D$33/'הנחות עבודה'!$D$14</f>
        <v>2.5545606022044538</v>
      </c>
      <c r="W90" s="305">
        <f>W15*'הנחות עבודה'!$D$33/'הנחות עבודה'!$D$14</f>
        <v>2.5392332385912266</v>
      </c>
    </row>
    <row r="91" spans="2:23">
      <c r="B91" s="306">
        <f t="shared" si="9"/>
        <v>2030</v>
      </c>
      <c r="C91" s="302">
        <f>C16*'הנחות עבודה'!$D$33/'הנחות עבודה'!$D$14</f>
        <v>0</v>
      </c>
      <c r="D91" s="302">
        <f>D16*'הנחות עבודה'!$D$33/'הנחות עבודה'!$D$14</f>
        <v>0</v>
      </c>
      <c r="E91" s="302">
        <f>E16*'הנחות עבודה'!$D$33/'הנחות עבודה'!$D$14</f>
        <v>0</v>
      </c>
      <c r="F91" s="302">
        <f>F16*'הנחות עבודה'!$D$33/'הנחות עבודה'!$D$14</f>
        <v>0</v>
      </c>
      <c r="G91" s="302">
        <f>G16*'הנחות עבודה'!$D$33/'הנחות עבודה'!$D$14</f>
        <v>0</v>
      </c>
      <c r="H91" s="302">
        <f>H16*'הנחות עבודה'!$D$33/'הנחות עבודה'!$D$14</f>
        <v>0</v>
      </c>
      <c r="I91" s="302">
        <f>I16*'הנחות עבודה'!$D$33/'הנחות עבודה'!$D$14</f>
        <v>0</v>
      </c>
      <c r="J91" s="302">
        <f>J16*'הנחות עבודה'!$D$33/'הנחות עבודה'!$D$14</f>
        <v>0</v>
      </c>
      <c r="K91" s="302">
        <f>K16*'הנחות עבודה'!$D$33/'הנחות עבודה'!$D$14</f>
        <v>0</v>
      </c>
      <c r="L91" s="302">
        <f>L16*'הנחות עבודה'!$D$33/'הנחות עבודה'!$D$14</f>
        <v>0</v>
      </c>
      <c r="M91" s="302">
        <f>M16*'הנחות עבודה'!$D$33/'הנחות עבודה'!$D$14</f>
        <v>2.7904163470200118</v>
      </c>
      <c r="N91" s="302">
        <f>N16*'הנחות עבודה'!$D$33/'הנחות עבודה'!$D$14</f>
        <v>2.773673848937892</v>
      </c>
      <c r="O91" s="302">
        <f>O16*'הנחות עבודה'!$D$33/'הנחות עבודה'!$D$14</f>
        <v>2.7570318058442647</v>
      </c>
      <c r="P91" s="302">
        <f>P16*'הנחות עבודה'!$D$33/'הנחות עבודה'!$D$14</f>
        <v>2.7404896150091989</v>
      </c>
      <c r="Q91" s="302">
        <f>Q16*'הנחות עבודה'!$D$33/'הנחות עבודה'!$D$14</f>
        <v>2.7240466773191438</v>
      </c>
      <c r="R91" s="302">
        <f>R16*'הנחות עבודה'!$D$33/'הנחות עבודה'!$D$14</f>
        <v>2.7077023972552294</v>
      </c>
      <c r="S91" s="302">
        <f>S16*'הנחות עבודה'!$D$33/'הנחות עבודה'!$D$14</f>
        <v>2.6914561828716979</v>
      </c>
      <c r="T91" s="302">
        <f>T16*'הנחות עבודה'!$D$33/'הנחות עבודה'!$D$14</f>
        <v>2.6753074457744672</v>
      </c>
      <c r="U91" s="302">
        <f>U16*'הנחות עבודה'!$D$33/'הנחות עבודה'!$D$14</f>
        <v>2.659255601099821</v>
      </c>
      <c r="V91" s="302">
        <f>V16*'הנחות עבודה'!$D$33/'הנחות עבודה'!$D$14</f>
        <v>2.6433000674932217</v>
      </c>
      <c r="W91" s="305">
        <f>W16*'הנחות עבודה'!$D$33/'הנחות עבודה'!$D$14</f>
        <v>2.6274402670882622</v>
      </c>
    </row>
    <row r="92" spans="2:23">
      <c r="B92" s="306">
        <f t="shared" si="9"/>
        <v>2031</v>
      </c>
      <c r="C92" s="302">
        <f>C17*'הנחות עבודה'!$D$33/'הנחות עבודה'!$D$14</f>
        <v>0</v>
      </c>
      <c r="D92" s="302">
        <f>D17*'הנחות עבודה'!$D$33/'הנחות עבודה'!$D$14</f>
        <v>0</v>
      </c>
      <c r="E92" s="302">
        <f>E17*'הנחות עבודה'!$D$33/'הנחות עבודה'!$D$14</f>
        <v>0</v>
      </c>
      <c r="F92" s="302">
        <f>F17*'הנחות עבודה'!$D$33/'הנחות עבודה'!$D$14</f>
        <v>0</v>
      </c>
      <c r="G92" s="302">
        <f>G17*'הנחות עבודה'!$D$33/'הנחות עבודה'!$D$14</f>
        <v>0</v>
      </c>
      <c r="H92" s="302">
        <f>H17*'הנחות עבודה'!$D$33/'הנחות עבודה'!$D$14</f>
        <v>0</v>
      </c>
      <c r="I92" s="302">
        <f>I17*'הנחות עבודה'!$D$33/'הנחות עבודה'!$D$14</f>
        <v>0</v>
      </c>
      <c r="J92" s="302">
        <f>J17*'הנחות עבודה'!$D$33/'הנחות עבודה'!$D$14</f>
        <v>0</v>
      </c>
      <c r="K92" s="302">
        <f>K17*'הנחות עבודה'!$D$33/'הנחות עבודה'!$D$14</f>
        <v>0</v>
      </c>
      <c r="L92" s="302">
        <f>L17*'הנחות עבודה'!$D$33/'הנחות עבודה'!$D$14</f>
        <v>0</v>
      </c>
      <c r="M92" s="302">
        <f>M17*'הנחות עבודה'!$D$33/'הנחות עבודה'!$D$14</f>
        <v>0</v>
      </c>
      <c r="N92" s="302">
        <f>N17*'הנחות עבודה'!$D$33/'הנחות עבודה'!$D$14</f>
        <v>0</v>
      </c>
      <c r="O92" s="302">
        <f>O17*'הנחות עבודה'!$D$33/'הנחות עבודה'!$D$14</f>
        <v>0</v>
      </c>
      <c r="P92" s="302">
        <f>P17*'הנחות עבודה'!$D$33/'הנחות עבודה'!$D$14</f>
        <v>0</v>
      </c>
      <c r="Q92" s="302">
        <f>Q17*'הנחות עבודה'!$D$33/'הנחות עבודה'!$D$14</f>
        <v>0</v>
      </c>
      <c r="R92" s="302">
        <f>R17*'הנחות עבודה'!$D$33/'הנחות עבודה'!$D$14</f>
        <v>0</v>
      </c>
      <c r="S92" s="302">
        <f>S17*'הנחות עבודה'!$D$33/'הנחות עבודה'!$D$14</f>
        <v>0</v>
      </c>
      <c r="T92" s="302">
        <f>T17*'הנחות עבודה'!$D$33/'הנחות עבודה'!$D$14</f>
        <v>0</v>
      </c>
      <c r="U92" s="302">
        <f>U17*'הנחות עבודה'!$D$33/'הנחות עבודה'!$D$14</f>
        <v>0</v>
      </c>
      <c r="V92" s="302">
        <f>V17*'הנחות עבודה'!$D$33/'הנחות עבודה'!$D$14</f>
        <v>0</v>
      </c>
      <c r="W92" s="305">
        <f>W17*'הנחות עבודה'!$D$33/'הנחות עבודה'!$D$14</f>
        <v>0</v>
      </c>
    </row>
    <row r="93" spans="2:23">
      <c r="B93" s="306">
        <f t="shared" si="9"/>
        <v>2032</v>
      </c>
      <c r="C93" s="302">
        <f>C18*'הנחות עבודה'!$D$33/'הנחות עבודה'!$D$14</f>
        <v>0</v>
      </c>
      <c r="D93" s="302">
        <f>D18*'הנחות עבודה'!$D$33/'הנחות עבודה'!$D$14</f>
        <v>0</v>
      </c>
      <c r="E93" s="302">
        <f>E18*'הנחות עבודה'!$D$33/'הנחות עבודה'!$D$14</f>
        <v>0</v>
      </c>
      <c r="F93" s="302">
        <f>F18*'הנחות עבודה'!$D$33/'הנחות עבודה'!$D$14</f>
        <v>0</v>
      </c>
      <c r="G93" s="302">
        <f>G18*'הנחות עבודה'!$D$33/'הנחות עבודה'!$D$14</f>
        <v>0</v>
      </c>
      <c r="H93" s="302">
        <f>H18*'הנחות עבודה'!$D$33/'הנחות עבודה'!$D$14</f>
        <v>0</v>
      </c>
      <c r="I93" s="302">
        <f>I18*'הנחות עבודה'!$D$33/'הנחות עבודה'!$D$14</f>
        <v>0</v>
      </c>
      <c r="J93" s="302">
        <f>J18*'הנחות עבודה'!$D$33/'הנחות עבודה'!$D$14</f>
        <v>0</v>
      </c>
      <c r="K93" s="302">
        <f>K18*'הנחות עבודה'!$D$33/'הנחות עבודה'!$D$14</f>
        <v>0</v>
      </c>
      <c r="L93" s="302">
        <f>L18*'הנחות עבודה'!$D$33/'הנחות עבודה'!$D$14</f>
        <v>0</v>
      </c>
      <c r="M93" s="302">
        <f>M18*'הנחות עבודה'!$D$33/'הנחות עבודה'!$D$14</f>
        <v>0</v>
      </c>
      <c r="N93" s="302">
        <f>N18*'הנחות עבודה'!$D$33/'הנחות עבודה'!$D$14</f>
        <v>0</v>
      </c>
      <c r="O93" s="302">
        <f>O18*'הנחות עבודה'!$D$33/'הנחות עבודה'!$D$14</f>
        <v>0</v>
      </c>
      <c r="P93" s="302">
        <f>P18*'הנחות עבודה'!$D$33/'הנחות עבודה'!$D$14</f>
        <v>0</v>
      </c>
      <c r="Q93" s="302">
        <f>Q18*'הנחות עבודה'!$D$33/'הנחות עבודה'!$D$14</f>
        <v>0</v>
      </c>
      <c r="R93" s="302">
        <f>R18*'הנחות עבודה'!$D$33/'הנחות עבודה'!$D$14</f>
        <v>0</v>
      </c>
      <c r="S93" s="302">
        <f>S18*'הנחות עבודה'!$D$33/'הנחות עבודה'!$D$14</f>
        <v>0</v>
      </c>
      <c r="T93" s="302">
        <f>T18*'הנחות עבודה'!$D$33/'הנחות עבודה'!$D$14</f>
        <v>0</v>
      </c>
      <c r="U93" s="302">
        <f>U18*'הנחות עבודה'!$D$33/'הנחות עבודה'!$D$14</f>
        <v>0</v>
      </c>
      <c r="V93" s="302">
        <f>V18*'הנחות עבודה'!$D$33/'הנחות עבודה'!$D$14</f>
        <v>0</v>
      </c>
      <c r="W93" s="305">
        <f>W18*'הנחות עבודה'!$D$33/'הנחות עבודה'!$D$14</f>
        <v>0</v>
      </c>
    </row>
    <row r="94" spans="2:23">
      <c r="B94" s="306">
        <f t="shared" si="9"/>
        <v>2033</v>
      </c>
      <c r="C94" s="302">
        <f>C19*'הנחות עבודה'!$D$33/'הנחות עבודה'!$D$14</f>
        <v>0</v>
      </c>
      <c r="D94" s="302">
        <f>D19*'הנחות עבודה'!$D$33/'הנחות עבודה'!$D$14</f>
        <v>0</v>
      </c>
      <c r="E94" s="302">
        <f>E19*'הנחות עבודה'!$D$33/'הנחות עבודה'!$D$14</f>
        <v>0</v>
      </c>
      <c r="F94" s="302">
        <f>F19*'הנחות עבודה'!$D$33/'הנחות עבודה'!$D$14</f>
        <v>0</v>
      </c>
      <c r="G94" s="302">
        <f>G19*'הנחות עבודה'!$D$33/'הנחות עבודה'!$D$14</f>
        <v>0</v>
      </c>
      <c r="H94" s="302">
        <f>H19*'הנחות עבודה'!$D$33/'הנחות עבודה'!$D$14</f>
        <v>0</v>
      </c>
      <c r="I94" s="302">
        <f>I19*'הנחות עבודה'!$D$33/'הנחות עבודה'!$D$14</f>
        <v>0</v>
      </c>
      <c r="J94" s="302">
        <f>J19*'הנחות עבודה'!$D$33/'הנחות עבודה'!$D$14</f>
        <v>0</v>
      </c>
      <c r="K94" s="302">
        <f>K19*'הנחות עבודה'!$D$33/'הנחות עבודה'!$D$14</f>
        <v>0</v>
      </c>
      <c r="L94" s="302">
        <f>L19*'הנחות עבודה'!$D$33/'הנחות עבודה'!$D$14</f>
        <v>0</v>
      </c>
      <c r="M94" s="302">
        <f>M19*'הנחות עבודה'!$D$33/'הנחות עבודה'!$D$14</f>
        <v>0</v>
      </c>
      <c r="N94" s="302">
        <f>N19*'הנחות עבודה'!$D$33/'הנחות עבודה'!$D$14</f>
        <v>0</v>
      </c>
      <c r="O94" s="302">
        <f>O19*'הנחות עבודה'!$D$33/'הנחות עבודה'!$D$14</f>
        <v>0</v>
      </c>
      <c r="P94" s="302">
        <f>P19*'הנחות עבודה'!$D$33/'הנחות עבודה'!$D$14</f>
        <v>0</v>
      </c>
      <c r="Q94" s="302">
        <f>Q19*'הנחות עבודה'!$D$33/'הנחות עבודה'!$D$14</f>
        <v>0</v>
      </c>
      <c r="R94" s="302">
        <f>R19*'הנחות עבודה'!$D$33/'הנחות עבודה'!$D$14</f>
        <v>0</v>
      </c>
      <c r="S94" s="302">
        <f>S19*'הנחות עבודה'!$D$33/'הנחות עבודה'!$D$14</f>
        <v>0</v>
      </c>
      <c r="T94" s="302">
        <f>T19*'הנחות עבודה'!$D$33/'הנחות עבודה'!$D$14</f>
        <v>0</v>
      </c>
      <c r="U94" s="302">
        <f>U19*'הנחות עבודה'!$D$33/'הנחות עבודה'!$D$14</f>
        <v>0</v>
      </c>
      <c r="V94" s="302">
        <f>V19*'הנחות עבודה'!$D$33/'הנחות עבודה'!$D$14</f>
        <v>0</v>
      </c>
      <c r="W94" s="305">
        <f>W19*'הנחות עבודה'!$D$33/'הנחות עבודה'!$D$14</f>
        <v>0</v>
      </c>
    </row>
    <row r="95" spans="2:23">
      <c r="B95" s="306">
        <f t="shared" si="9"/>
        <v>2034</v>
      </c>
      <c r="C95" s="302">
        <f>C20*'הנחות עבודה'!$D$33/'הנחות עבודה'!$D$14</f>
        <v>0</v>
      </c>
      <c r="D95" s="302">
        <f>D20*'הנחות עבודה'!$D$33/'הנחות עבודה'!$D$14</f>
        <v>0</v>
      </c>
      <c r="E95" s="302">
        <f>E20*'הנחות עבודה'!$D$33/'הנחות עבודה'!$D$14</f>
        <v>0</v>
      </c>
      <c r="F95" s="302">
        <f>F20*'הנחות עבודה'!$D$33/'הנחות עבודה'!$D$14</f>
        <v>0</v>
      </c>
      <c r="G95" s="302">
        <f>G20*'הנחות עבודה'!$D$33/'הנחות עבודה'!$D$14</f>
        <v>0</v>
      </c>
      <c r="H95" s="302">
        <f>H20*'הנחות עבודה'!$D$33/'הנחות עבודה'!$D$14</f>
        <v>0</v>
      </c>
      <c r="I95" s="302">
        <f>I20*'הנחות עבודה'!$D$33/'הנחות עבודה'!$D$14</f>
        <v>0</v>
      </c>
      <c r="J95" s="302">
        <f>J20*'הנחות עבודה'!$D$33/'הנחות עבודה'!$D$14</f>
        <v>0</v>
      </c>
      <c r="K95" s="302">
        <f>K20*'הנחות עבודה'!$D$33/'הנחות עבודה'!$D$14</f>
        <v>0</v>
      </c>
      <c r="L95" s="302">
        <f>L20*'הנחות עבודה'!$D$33/'הנחות עבודה'!$D$14</f>
        <v>0</v>
      </c>
      <c r="M95" s="302">
        <f>M20*'הנחות עבודה'!$D$33/'הנחות עבודה'!$D$14</f>
        <v>0</v>
      </c>
      <c r="N95" s="302">
        <f>N20*'הנחות עבודה'!$D$33/'הנחות עבודה'!$D$14</f>
        <v>0</v>
      </c>
      <c r="O95" s="302">
        <f>O20*'הנחות עבודה'!$D$33/'הנחות עבודה'!$D$14</f>
        <v>0</v>
      </c>
      <c r="P95" s="302">
        <f>P20*'הנחות עבודה'!$D$33/'הנחות עבודה'!$D$14</f>
        <v>0</v>
      </c>
      <c r="Q95" s="302">
        <f>Q20*'הנחות עבודה'!$D$33/'הנחות עבודה'!$D$14</f>
        <v>0</v>
      </c>
      <c r="R95" s="302">
        <f>R20*'הנחות עבודה'!$D$33/'הנחות עבודה'!$D$14</f>
        <v>0</v>
      </c>
      <c r="S95" s="302">
        <f>S20*'הנחות עבודה'!$D$33/'הנחות עבודה'!$D$14</f>
        <v>0</v>
      </c>
      <c r="T95" s="302">
        <f>T20*'הנחות עבודה'!$D$33/'הנחות עבודה'!$D$14</f>
        <v>0</v>
      </c>
      <c r="U95" s="302">
        <f>U20*'הנחות עבודה'!$D$33/'הנחות עבודה'!$D$14</f>
        <v>0</v>
      </c>
      <c r="V95" s="302">
        <f>V20*'הנחות עבודה'!$D$33/'הנחות עבודה'!$D$14</f>
        <v>0</v>
      </c>
      <c r="W95" s="305">
        <f>W20*'הנחות עבודה'!$D$33/'הנחות עבודה'!$D$14</f>
        <v>0</v>
      </c>
    </row>
    <row r="96" spans="2:23">
      <c r="B96" s="306">
        <f t="shared" si="9"/>
        <v>2035</v>
      </c>
      <c r="C96" s="302">
        <f>C21*'הנחות עבודה'!$D$33/'הנחות עבודה'!$D$14</f>
        <v>0</v>
      </c>
      <c r="D96" s="302">
        <f>D21*'הנחות עבודה'!$D$33/'הנחות עבודה'!$D$14</f>
        <v>0</v>
      </c>
      <c r="E96" s="302">
        <f>E21*'הנחות עבודה'!$D$33/'הנחות עבודה'!$D$14</f>
        <v>0</v>
      </c>
      <c r="F96" s="302">
        <f>F21*'הנחות עבודה'!$D$33/'הנחות עבודה'!$D$14</f>
        <v>0</v>
      </c>
      <c r="G96" s="302">
        <f>G21*'הנחות עבודה'!$D$33/'הנחות עבודה'!$D$14</f>
        <v>0</v>
      </c>
      <c r="H96" s="302">
        <f>H21*'הנחות עבודה'!$D$33/'הנחות עבודה'!$D$14</f>
        <v>0</v>
      </c>
      <c r="I96" s="302">
        <f>I21*'הנחות עבודה'!$D$33/'הנחות עבודה'!$D$14</f>
        <v>0</v>
      </c>
      <c r="J96" s="302">
        <f>J21*'הנחות עבודה'!$D$33/'הנחות עבודה'!$D$14</f>
        <v>0</v>
      </c>
      <c r="K96" s="302">
        <f>K21*'הנחות עבודה'!$D$33/'הנחות עבודה'!$D$14</f>
        <v>0</v>
      </c>
      <c r="L96" s="302">
        <f>L21*'הנחות עבודה'!$D$33/'הנחות עבודה'!$D$14</f>
        <v>0</v>
      </c>
      <c r="M96" s="302">
        <f>M21*'הנחות עבודה'!$D$33/'הנחות עבודה'!$D$14</f>
        <v>0</v>
      </c>
      <c r="N96" s="302">
        <f>N21*'הנחות עבודה'!$D$33/'הנחות עבודה'!$D$14</f>
        <v>0</v>
      </c>
      <c r="O96" s="302">
        <f>O21*'הנחות עבודה'!$D$33/'הנחות עבודה'!$D$14</f>
        <v>0</v>
      </c>
      <c r="P96" s="302">
        <f>P21*'הנחות עבודה'!$D$33/'הנחות עבודה'!$D$14</f>
        <v>0</v>
      </c>
      <c r="Q96" s="302">
        <f>Q21*'הנחות עבודה'!$D$33/'הנחות עבודה'!$D$14</f>
        <v>0</v>
      </c>
      <c r="R96" s="302">
        <f>R21*'הנחות עבודה'!$D$33/'הנחות עבודה'!$D$14</f>
        <v>0</v>
      </c>
      <c r="S96" s="302">
        <f>S21*'הנחות עבודה'!$D$33/'הנחות עבודה'!$D$14</f>
        <v>0</v>
      </c>
      <c r="T96" s="302">
        <f>T21*'הנחות עבודה'!$D$33/'הנחות עבודה'!$D$14</f>
        <v>0</v>
      </c>
      <c r="U96" s="302">
        <f>U21*'הנחות עבודה'!$D$33/'הנחות עבודה'!$D$14</f>
        <v>0</v>
      </c>
      <c r="V96" s="302">
        <f>V21*'הנחות עבודה'!$D$33/'הנחות עבודה'!$D$14</f>
        <v>0</v>
      </c>
      <c r="W96" s="305">
        <f>W21*'הנחות עבודה'!$D$33/'הנחות עבודה'!$D$14</f>
        <v>0</v>
      </c>
    </row>
    <row r="97" spans="2:23">
      <c r="B97" s="306">
        <f t="shared" si="9"/>
        <v>2036</v>
      </c>
      <c r="C97" s="302">
        <f>C22*'הנחות עבודה'!$D$33/'הנחות עבודה'!$D$14</f>
        <v>0</v>
      </c>
      <c r="D97" s="302">
        <f>D22*'הנחות עבודה'!$D$33/'הנחות עבודה'!$D$14</f>
        <v>0</v>
      </c>
      <c r="E97" s="302">
        <f>E22*'הנחות עבודה'!$D$33/'הנחות עבודה'!$D$14</f>
        <v>0</v>
      </c>
      <c r="F97" s="302">
        <f>F22*'הנחות עבודה'!$D$33/'הנחות עבודה'!$D$14</f>
        <v>0</v>
      </c>
      <c r="G97" s="302">
        <f>G22*'הנחות עבודה'!$D$33/'הנחות עבודה'!$D$14</f>
        <v>0</v>
      </c>
      <c r="H97" s="302">
        <f>H22*'הנחות עבודה'!$D$33/'הנחות עבודה'!$D$14</f>
        <v>0</v>
      </c>
      <c r="I97" s="302">
        <f>I22*'הנחות עבודה'!$D$33/'הנחות עבודה'!$D$14</f>
        <v>0</v>
      </c>
      <c r="J97" s="302">
        <f>J22*'הנחות עבודה'!$D$33/'הנחות עבודה'!$D$14</f>
        <v>0</v>
      </c>
      <c r="K97" s="302">
        <f>K22*'הנחות עבודה'!$D$33/'הנחות עבודה'!$D$14</f>
        <v>0</v>
      </c>
      <c r="L97" s="302">
        <f>L22*'הנחות עבודה'!$D$33/'הנחות עבודה'!$D$14</f>
        <v>0</v>
      </c>
      <c r="M97" s="302">
        <f>M22*'הנחות עבודה'!$D$33/'הנחות עבודה'!$D$14</f>
        <v>0</v>
      </c>
      <c r="N97" s="302">
        <f>N22*'הנחות עבודה'!$D$33/'הנחות עבודה'!$D$14</f>
        <v>0</v>
      </c>
      <c r="O97" s="302">
        <f>O22*'הנחות עבודה'!$D$33/'הנחות עבודה'!$D$14</f>
        <v>0</v>
      </c>
      <c r="P97" s="302">
        <f>P22*'הנחות עבודה'!$D$33/'הנחות עבודה'!$D$14</f>
        <v>0</v>
      </c>
      <c r="Q97" s="302">
        <f>Q22*'הנחות עבודה'!$D$33/'הנחות עבודה'!$D$14</f>
        <v>0</v>
      </c>
      <c r="R97" s="302">
        <f>R22*'הנחות עבודה'!$D$33/'הנחות עבודה'!$D$14</f>
        <v>0</v>
      </c>
      <c r="S97" s="302">
        <f>S22*'הנחות עבודה'!$D$33/'הנחות עבודה'!$D$14</f>
        <v>0</v>
      </c>
      <c r="T97" s="302">
        <f>T22*'הנחות עבודה'!$D$33/'הנחות עבודה'!$D$14</f>
        <v>0</v>
      </c>
      <c r="U97" s="302">
        <f>U22*'הנחות עבודה'!$D$33/'הנחות עבודה'!$D$14</f>
        <v>0</v>
      </c>
      <c r="V97" s="302">
        <f>V22*'הנחות עבודה'!$D$33/'הנחות עבודה'!$D$14</f>
        <v>0</v>
      </c>
      <c r="W97" s="305">
        <f>W22*'הנחות עבודה'!$D$33/'הנחות עבודה'!$D$14</f>
        <v>0</v>
      </c>
    </row>
    <row r="98" spans="2:23">
      <c r="B98" s="306">
        <f t="shared" si="9"/>
        <v>2037</v>
      </c>
      <c r="C98" s="302">
        <f>C23*'הנחות עבודה'!$D$33/'הנחות עבודה'!$D$14</f>
        <v>0</v>
      </c>
      <c r="D98" s="302">
        <f>D23*'הנחות עבודה'!$D$33/'הנחות עבודה'!$D$14</f>
        <v>0</v>
      </c>
      <c r="E98" s="302">
        <f>E23*'הנחות עבודה'!$D$33/'הנחות עבודה'!$D$14</f>
        <v>0</v>
      </c>
      <c r="F98" s="302">
        <f>F23*'הנחות עבודה'!$D$33/'הנחות עבודה'!$D$14</f>
        <v>0</v>
      </c>
      <c r="G98" s="302">
        <f>G23*'הנחות עבודה'!$D$33/'הנחות עבודה'!$D$14</f>
        <v>0</v>
      </c>
      <c r="H98" s="302">
        <f>H23*'הנחות עבודה'!$D$33/'הנחות עבודה'!$D$14</f>
        <v>0</v>
      </c>
      <c r="I98" s="302">
        <f>I23*'הנחות עבודה'!$D$33/'הנחות עבודה'!$D$14</f>
        <v>0</v>
      </c>
      <c r="J98" s="302">
        <f>J23*'הנחות עבודה'!$D$33/'הנחות עבודה'!$D$14</f>
        <v>0</v>
      </c>
      <c r="K98" s="302">
        <f>K23*'הנחות עבודה'!$D$33/'הנחות עבודה'!$D$14</f>
        <v>0</v>
      </c>
      <c r="L98" s="302">
        <f>L23*'הנחות עבודה'!$D$33/'הנחות עבודה'!$D$14</f>
        <v>0</v>
      </c>
      <c r="M98" s="302">
        <f>M23*'הנחות עבודה'!$D$33/'הנחות עבודה'!$D$14</f>
        <v>0</v>
      </c>
      <c r="N98" s="302">
        <f>N23*'הנחות עבודה'!$D$33/'הנחות עבודה'!$D$14</f>
        <v>0</v>
      </c>
      <c r="O98" s="302">
        <f>O23*'הנחות עבודה'!$D$33/'הנחות עבודה'!$D$14</f>
        <v>0</v>
      </c>
      <c r="P98" s="302">
        <f>P23*'הנחות עבודה'!$D$33/'הנחות עבודה'!$D$14</f>
        <v>0</v>
      </c>
      <c r="Q98" s="302">
        <f>Q23*'הנחות עבודה'!$D$33/'הנחות עבודה'!$D$14</f>
        <v>0</v>
      </c>
      <c r="R98" s="302">
        <f>R23*'הנחות עבודה'!$D$33/'הנחות עבודה'!$D$14</f>
        <v>0</v>
      </c>
      <c r="S98" s="302">
        <f>S23*'הנחות עבודה'!$D$33/'הנחות עבודה'!$D$14</f>
        <v>0</v>
      </c>
      <c r="T98" s="302">
        <f>T23*'הנחות עבודה'!$D$33/'הנחות עבודה'!$D$14</f>
        <v>0</v>
      </c>
      <c r="U98" s="302">
        <f>U23*'הנחות עבודה'!$D$33/'הנחות עבודה'!$D$14</f>
        <v>0</v>
      </c>
      <c r="V98" s="302">
        <f>V23*'הנחות עבודה'!$D$33/'הנחות עבודה'!$D$14</f>
        <v>0</v>
      </c>
      <c r="W98" s="305">
        <f>W23*'הנחות עבודה'!$D$33/'הנחות עבודה'!$D$14</f>
        <v>0</v>
      </c>
    </row>
    <row r="99" spans="2:23">
      <c r="B99" s="306">
        <f t="shared" si="9"/>
        <v>2038</v>
      </c>
      <c r="C99" s="302">
        <f>C24*'הנחות עבודה'!$D$33/'הנחות עבודה'!$D$14</f>
        <v>0</v>
      </c>
      <c r="D99" s="302">
        <f>D24*'הנחות עבודה'!$D$33/'הנחות עבודה'!$D$14</f>
        <v>0</v>
      </c>
      <c r="E99" s="302">
        <f>E24*'הנחות עבודה'!$D$33/'הנחות עבודה'!$D$14</f>
        <v>0</v>
      </c>
      <c r="F99" s="302">
        <f>F24*'הנחות עבודה'!$D$33/'הנחות עבודה'!$D$14</f>
        <v>0</v>
      </c>
      <c r="G99" s="302">
        <f>G24*'הנחות עבודה'!$D$33/'הנחות עבודה'!$D$14</f>
        <v>0</v>
      </c>
      <c r="H99" s="302">
        <f>H24*'הנחות עבודה'!$D$33/'הנחות עבודה'!$D$14</f>
        <v>0</v>
      </c>
      <c r="I99" s="302">
        <f>I24*'הנחות עבודה'!$D$33/'הנחות עבודה'!$D$14</f>
        <v>0</v>
      </c>
      <c r="J99" s="302">
        <f>J24*'הנחות עבודה'!$D$33/'הנחות עבודה'!$D$14</f>
        <v>0</v>
      </c>
      <c r="K99" s="302">
        <f>K24*'הנחות עבודה'!$D$33/'הנחות עבודה'!$D$14</f>
        <v>0</v>
      </c>
      <c r="L99" s="302">
        <f>L24*'הנחות עבודה'!$D$33/'הנחות עבודה'!$D$14</f>
        <v>0</v>
      </c>
      <c r="M99" s="302">
        <f>M24*'הנחות עבודה'!$D$33/'הנחות עבודה'!$D$14</f>
        <v>0</v>
      </c>
      <c r="N99" s="302">
        <f>N24*'הנחות עבודה'!$D$33/'הנחות עבודה'!$D$14</f>
        <v>0</v>
      </c>
      <c r="O99" s="302">
        <f>O24*'הנחות עבודה'!$D$33/'הנחות עבודה'!$D$14</f>
        <v>0</v>
      </c>
      <c r="P99" s="302">
        <f>P24*'הנחות עבודה'!$D$33/'הנחות עבודה'!$D$14</f>
        <v>0</v>
      </c>
      <c r="Q99" s="302">
        <f>Q24*'הנחות עבודה'!$D$33/'הנחות עבודה'!$D$14</f>
        <v>0</v>
      </c>
      <c r="R99" s="302">
        <f>R24*'הנחות עבודה'!$D$33/'הנחות עבודה'!$D$14</f>
        <v>0</v>
      </c>
      <c r="S99" s="302">
        <f>S24*'הנחות עבודה'!$D$33/'הנחות עבודה'!$D$14</f>
        <v>0</v>
      </c>
      <c r="T99" s="302">
        <f>T24*'הנחות עבודה'!$D$33/'הנחות עבודה'!$D$14</f>
        <v>0</v>
      </c>
      <c r="U99" s="302">
        <f>U24*'הנחות עבודה'!$D$33/'הנחות עבודה'!$D$14</f>
        <v>0</v>
      </c>
      <c r="V99" s="302">
        <f>V24*'הנחות עבודה'!$D$33/'הנחות עבודה'!$D$14</f>
        <v>0</v>
      </c>
      <c r="W99" s="305">
        <f>W24*'הנחות עבודה'!$D$33/'הנחות עבודה'!$D$14</f>
        <v>0</v>
      </c>
    </row>
    <row r="100" spans="2:23">
      <c r="B100" s="306">
        <f t="shared" si="9"/>
        <v>2039</v>
      </c>
      <c r="C100" s="302">
        <f>C25*'הנחות עבודה'!$D$33/'הנחות עבודה'!$D$14</f>
        <v>0</v>
      </c>
      <c r="D100" s="302">
        <f>D25*'הנחות עבודה'!$D$33/'הנחות עבודה'!$D$14</f>
        <v>0</v>
      </c>
      <c r="E100" s="302">
        <f>E25*'הנחות עבודה'!$D$33/'הנחות עבודה'!$D$14</f>
        <v>0</v>
      </c>
      <c r="F100" s="302">
        <f>F25*'הנחות עבודה'!$D$33/'הנחות עבודה'!$D$14</f>
        <v>0</v>
      </c>
      <c r="G100" s="302">
        <f>G25*'הנחות עבודה'!$D$33/'הנחות עבודה'!$D$14</f>
        <v>0</v>
      </c>
      <c r="H100" s="302">
        <f>H25*'הנחות עבודה'!$D$33/'הנחות עבודה'!$D$14</f>
        <v>0</v>
      </c>
      <c r="I100" s="302">
        <f>I25*'הנחות עבודה'!$D$33/'הנחות עבודה'!$D$14</f>
        <v>0</v>
      </c>
      <c r="J100" s="302">
        <f>J25*'הנחות עבודה'!$D$33/'הנחות עבודה'!$D$14</f>
        <v>0</v>
      </c>
      <c r="K100" s="302">
        <f>K25*'הנחות עבודה'!$D$33/'הנחות עבודה'!$D$14</f>
        <v>0</v>
      </c>
      <c r="L100" s="302">
        <f>L25*'הנחות עבודה'!$D$33/'הנחות עבודה'!$D$14</f>
        <v>0</v>
      </c>
      <c r="M100" s="302">
        <f>M25*'הנחות עבודה'!$D$33/'הנחות עבודה'!$D$14</f>
        <v>0</v>
      </c>
      <c r="N100" s="302">
        <f>N25*'הנחות עבודה'!$D$33/'הנחות עבודה'!$D$14</f>
        <v>0</v>
      </c>
      <c r="O100" s="302">
        <f>O25*'הנחות עבודה'!$D$33/'הנחות עבודה'!$D$14</f>
        <v>0</v>
      </c>
      <c r="P100" s="302">
        <f>P25*'הנחות עבודה'!$D$33/'הנחות עבודה'!$D$14</f>
        <v>0</v>
      </c>
      <c r="Q100" s="302">
        <f>Q25*'הנחות עבודה'!$D$33/'הנחות עבודה'!$D$14</f>
        <v>0</v>
      </c>
      <c r="R100" s="302">
        <f>R25*'הנחות עבודה'!$D$33/'הנחות עבודה'!$D$14</f>
        <v>0</v>
      </c>
      <c r="S100" s="302">
        <f>S25*'הנחות עבודה'!$D$33/'הנחות עבודה'!$D$14</f>
        <v>0</v>
      </c>
      <c r="T100" s="302">
        <f>T25*'הנחות עבודה'!$D$33/'הנחות עבודה'!$D$14</f>
        <v>0</v>
      </c>
      <c r="U100" s="302">
        <f>U25*'הנחות עבודה'!$D$33/'הנחות עבודה'!$D$14</f>
        <v>0</v>
      </c>
      <c r="V100" s="302">
        <f>V25*'הנחות עבודה'!$D$33/'הנחות עבודה'!$D$14</f>
        <v>0</v>
      </c>
      <c r="W100" s="305">
        <f>W25*'הנחות עבודה'!$D$33/'הנחות עבודה'!$D$14</f>
        <v>0</v>
      </c>
    </row>
    <row r="101" spans="2:23" ht="15.75" thickBot="1">
      <c r="B101" s="306">
        <f t="shared" si="9"/>
        <v>2040</v>
      </c>
      <c r="C101" s="370">
        <f>C26*'הנחות עבודה'!$D$33/'הנחות עבודה'!$D$14</f>
        <v>0</v>
      </c>
      <c r="D101" s="370">
        <f>D26*'הנחות עבודה'!$D$33/'הנחות עבודה'!$D$14</f>
        <v>0</v>
      </c>
      <c r="E101" s="370">
        <f>E26*'הנחות עבודה'!$D$33/'הנחות עבודה'!$D$14</f>
        <v>0</v>
      </c>
      <c r="F101" s="370">
        <f>F26*'הנחות עבודה'!$D$33/'הנחות עבודה'!$D$14</f>
        <v>0</v>
      </c>
      <c r="G101" s="370">
        <f>G26*'הנחות עבודה'!$D$33/'הנחות עבודה'!$D$14</f>
        <v>0</v>
      </c>
      <c r="H101" s="370">
        <f>H26*'הנחות עבודה'!$D$33/'הנחות עבודה'!$D$14</f>
        <v>0</v>
      </c>
      <c r="I101" s="370">
        <f>I26*'הנחות עבודה'!$D$33/'הנחות עבודה'!$D$14</f>
        <v>0</v>
      </c>
      <c r="J101" s="370">
        <f>J26*'הנחות עבודה'!$D$33/'הנחות עבודה'!$D$14</f>
        <v>0</v>
      </c>
      <c r="K101" s="370">
        <f>K26*'הנחות עבודה'!$D$33/'הנחות עבודה'!$D$14</f>
        <v>0</v>
      </c>
      <c r="L101" s="370">
        <f>L26*'הנחות עבודה'!$D$33/'הנחות עבודה'!$D$14</f>
        <v>0</v>
      </c>
      <c r="M101" s="370">
        <f>M26*'הנחות עבודה'!$D$33/'הנחות עבודה'!$D$14</f>
        <v>0</v>
      </c>
      <c r="N101" s="370">
        <f>N26*'הנחות עבודה'!$D$33/'הנחות עבודה'!$D$14</f>
        <v>0</v>
      </c>
      <c r="O101" s="370">
        <f>O26*'הנחות עבודה'!$D$33/'הנחות עבודה'!$D$14</f>
        <v>0</v>
      </c>
      <c r="P101" s="370">
        <f>P26*'הנחות עבודה'!$D$33/'הנחות עבודה'!$D$14</f>
        <v>0</v>
      </c>
      <c r="Q101" s="370">
        <f>Q26*'הנחות עבודה'!$D$33/'הנחות עבודה'!$D$14</f>
        <v>0</v>
      </c>
      <c r="R101" s="370">
        <f>R26*'הנחות עבודה'!$D$33/'הנחות עבודה'!$D$14</f>
        <v>0</v>
      </c>
      <c r="S101" s="370">
        <f>S26*'הנחות עבודה'!$D$33/'הנחות עבודה'!$D$14</f>
        <v>0</v>
      </c>
      <c r="T101" s="370">
        <f>T26*'הנחות עבודה'!$D$33/'הנחות עבודה'!$D$14</f>
        <v>0</v>
      </c>
      <c r="U101" s="370">
        <f>U26*'הנחות עבודה'!$D$33/'הנחות עבודה'!$D$14</f>
        <v>0</v>
      </c>
      <c r="V101" s="370">
        <f>V26*'הנחות עבודה'!$D$33/'הנחות עבודה'!$D$14</f>
        <v>0</v>
      </c>
      <c r="W101" s="371">
        <f>W26*'הנחות עבודה'!$D$33/'הנחות עבודה'!$D$14</f>
        <v>0</v>
      </c>
    </row>
    <row r="102" spans="2:23" ht="15.75" thickBot="1">
      <c r="B102" s="249" t="s">
        <v>230</v>
      </c>
      <c r="C102" s="308">
        <f t="shared" ref="C102:W102" si="10">SUM(C81:C101)</f>
        <v>6.4147628560000207</v>
      </c>
      <c r="D102" s="308">
        <f t="shared" si="10"/>
        <v>7.973976196000053</v>
      </c>
      <c r="E102" s="308">
        <f t="shared" si="10"/>
        <v>9.2450426260000551</v>
      </c>
      <c r="F102" s="308">
        <f t="shared" si="10"/>
        <v>10.588274695000063</v>
      </c>
      <c r="G102" s="308">
        <f t="shared" si="10"/>
        <v>11.986895401000073</v>
      </c>
      <c r="H102" s="308">
        <f t="shared" si="10"/>
        <v>13.567193170000079</v>
      </c>
      <c r="I102" s="308">
        <f t="shared" si="10"/>
        <v>15.748360370000082</v>
      </c>
      <c r="J102" s="308">
        <f t="shared" si="10"/>
        <v>18.039885250000083</v>
      </c>
      <c r="K102" s="308">
        <f t="shared" si="10"/>
        <v>20.382721430000093</v>
      </c>
      <c r="L102" s="308">
        <f t="shared" si="10"/>
        <v>22.973441170000097</v>
      </c>
      <c r="M102" s="308">
        <f t="shared" si="10"/>
        <v>25.626016870000111</v>
      </c>
      <c r="N102" s="308">
        <f t="shared" si="10"/>
        <v>25.47226076878011</v>
      </c>
      <c r="O102" s="308">
        <f t="shared" si="10"/>
        <v>25.319427204167425</v>
      </c>
      <c r="P102" s="308">
        <f t="shared" si="10"/>
        <v>25.167510640942421</v>
      </c>
      <c r="Q102" s="308">
        <f t="shared" si="10"/>
        <v>25.016505577096769</v>
      </c>
      <c r="R102" s="308">
        <f t="shared" si="10"/>
        <v>24.866406543634188</v>
      </c>
      <c r="S102" s="308">
        <f t="shared" si="10"/>
        <v>24.717208104372386</v>
      </c>
      <c r="T102" s="308">
        <f t="shared" si="10"/>
        <v>24.568904855746148</v>
      </c>
      <c r="U102" s="308">
        <f t="shared" si="10"/>
        <v>24.421491426611677</v>
      </c>
      <c r="V102" s="308">
        <f t="shared" si="10"/>
        <v>24.274962478052004</v>
      </c>
      <c r="W102" s="308">
        <f t="shared" si="10"/>
        <v>24.12931270318369</v>
      </c>
    </row>
    <row r="103" spans="2:23" ht="15.75" thickBot="1"/>
    <row r="104" spans="2:23" ht="16.5" thickBot="1">
      <c r="B104" s="1286" t="s">
        <v>341</v>
      </c>
      <c r="C104" s="1287"/>
      <c r="D104" s="1287"/>
      <c r="E104" s="1287"/>
      <c r="F104" s="1287"/>
      <c r="G104" s="1287"/>
      <c r="H104" s="1287"/>
      <c r="I104" s="1287"/>
      <c r="J104" s="1287"/>
      <c r="K104" s="1287"/>
      <c r="L104" s="1287"/>
      <c r="M104" s="1287"/>
      <c r="N104" s="1287"/>
      <c r="O104" s="1287"/>
      <c r="P104" s="1287"/>
      <c r="Q104" s="1287"/>
      <c r="R104" s="1287"/>
      <c r="S104" s="1287"/>
      <c r="T104" s="1287"/>
      <c r="U104" s="1287"/>
      <c r="V104" s="1287"/>
      <c r="W104" s="1288"/>
    </row>
    <row r="105" spans="2:23" ht="16.5" thickBot="1">
      <c r="B105" s="310" t="s">
        <v>237</v>
      </c>
      <c r="C105" s="309">
        <f>C80</f>
        <v>2020</v>
      </c>
      <c r="D105" s="309">
        <f t="shared" ref="D105" si="11">+C105+1</f>
        <v>2021</v>
      </c>
      <c r="E105" s="309">
        <f t="shared" ref="E105" si="12">+D105+1</f>
        <v>2022</v>
      </c>
      <c r="F105" s="309">
        <f t="shared" ref="F105" si="13">+E105+1</f>
        <v>2023</v>
      </c>
      <c r="G105" s="309">
        <f t="shared" ref="G105" si="14">+F105+1</f>
        <v>2024</v>
      </c>
      <c r="H105" s="309">
        <f t="shared" ref="H105" si="15">+G105+1</f>
        <v>2025</v>
      </c>
      <c r="I105" s="309">
        <f t="shared" ref="I105" si="16">+H105+1</f>
        <v>2026</v>
      </c>
      <c r="J105" s="309">
        <f t="shared" ref="J105" si="17">+I105+1</f>
        <v>2027</v>
      </c>
      <c r="K105" s="309">
        <f t="shared" ref="K105" si="18">+J105+1</f>
        <v>2028</v>
      </c>
      <c r="L105" s="309">
        <f t="shared" ref="L105" si="19">+K105+1</f>
        <v>2029</v>
      </c>
      <c r="M105" s="309">
        <f t="shared" ref="M105" si="20">+L105+1</f>
        <v>2030</v>
      </c>
      <c r="N105" s="309">
        <f t="shared" ref="N105" si="21">+M105+1</f>
        <v>2031</v>
      </c>
      <c r="O105" s="309">
        <f t="shared" ref="O105" si="22">+N105+1</f>
        <v>2032</v>
      </c>
      <c r="P105" s="309">
        <f t="shared" ref="P105" si="23">+O105+1</f>
        <v>2033</v>
      </c>
      <c r="Q105" s="309">
        <f t="shared" ref="Q105" si="24">+P105+1</f>
        <v>2034</v>
      </c>
      <c r="R105" s="309">
        <f t="shared" ref="R105" si="25">+Q105+1</f>
        <v>2035</v>
      </c>
      <c r="S105" s="309">
        <f t="shared" ref="S105" si="26">+R105+1</f>
        <v>2036</v>
      </c>
      <c r="T105" s="309">
        <f t="shared" ref="T105" si="27">+S105+1</f>
        <v>2037</v>
      </c>
      <c r="U105" s="309">
        <f t="shared" ref="U105" si="28">+T105+1</f>
        <v>2038</v>
      </c>
      <c r="V105" s="309">
        <f t="shared" ref="V105" si="29">+U105+1</f>
        <v>2039</v>
      </c>
      <c r="W105" s="307">
        <f t="shared" ref="W105" si="30">+V105+1</f>
        <v>2040</v>
      </c>
    </row>
    <row r="106" spans="2:23">
      <c r="B106" s="311">
        <f>B81</f>
        <v>2020</v>
      </c>
      <c r="C106" s="582">
        <f>C31*'הנחות עבודה'!$D$33/'הנחות עבודה'!$D$14</f>
        <v>6.4147628560000207</v>
      </c>
      <c r="D106" s="303">
        <f>D31*'הנחות עבודה'!$D$33/'הנחות עבודה'!$D$14</f>
        <v>6.3762742788640203</v>
      </c>
      <c r="E106" s="303">
        <f>E31*'הנחות עבודה'!$D$33/'הנחות עבודה'!$D$14</f>
        <v>6.3380166331908372</v>
      </c>
      <c r="F106" s="303">
        <f>F31*'הנחות עבודה'!$D$33/'הנחות עבודה'!$D$14</f>
        <v>6.2999885333916916</v>
      </c>
      <c r="G106" s="303">
        <f>G31*'הנחות עבודה'!$D$33/'הנחות עבודה'!$D$14</f>
        <v>6.2621886021913413</v>
      </c>
      <c r="H106" s="303">
        <f>H31*'הנחות עבודה'!$D$33/'הנחות עבודה'!$D$14</f>
        <v>6.2246154705781933</v>
      </c>
      <c r="I106" s="303">
        <f>I31*'הנחות עבודה'!$D$33/'הנחות עבודה'!$D$14</f>
        <v>6.187267777754724</v>
      </c>
      <c r="J106" s="303">
        <f>J31*'הנחות עבודה'!$D$33/'הנחות עבודה'!$D$14</f>
        <v>6.1501441710881961</v>
      </c>
      <c r="K106" s="303">
        <f>K31*'הנחות עבודה'!$D$33/'הנחות עבודה'!$D$14</f>
        <v>6.1132433060616664</v>
      </c>
      <c r="L106" s="303">
        <f>L31*'הנחות עבודה'!$D$33/'הנחות עבודה'!$D$14</f>
        <v>6.0765638462252971</v>
      </c>
      <c r="M106" s="303">
        <f>M31*'הנחות עבודה'!$D$33/'הנחות עבודה'!$D$14</f>
        <v>6.0401044631479444</v>
      </c>
      <c r="N106" s="303">
        <f>N31*'הנחות עבודה'!$D$33/'הנחות עבודה'!$D$14</f>
        <v>6.0038638363690575</v>
      </c>
      <c r="O106" s="303">
        <f>O31*'הנחות עבודה'!$D$33/'הנחות עבודה'!$D$14</f>
        <v>5.9678406533508435</v>
      </c>
      <c r="P106" s="303">
        <f>P31*'הנחות עבודה'!$D$33/'הנחות עבודה'!$D$14</f>
        <v>5.9320336094307375</v>
      </c>
      <c r="Q106" s="303">
        <f>Q31*'הנחות עבודה'!$D$33/'הנחות עבודה'!$D$14</f>
        <v>5.8964414077741543</v>
      </c>
      <c r="R106" s="303">
        <f>R31*'הנחות עבודה'!$D$33/'הנחות עבודה'!$D$14</f>
        <v>5.8610627593275098</v>
      </c>
      <c r="S106" s="303">
        <f>S31*'הנחות עבודה'!$D$33/'הנחות עבודה'!$D$14</f>
        <v>5.8258963827715444</v>
      </c>
      <c r="T106" s="303">
        <f>T31*'הנחות עבודה'!$D$33/'הנחות עבודה'!$D$14</f>
        <v>5.7909410044749148</v>
      </c>
      <c r="U106" s="303">
        <f>U31*'הנחות עבודה'!$D$33/'הנחות עבודה'!$D$14</f>
        <v>5.7561953584480658</v>
      </c>
      <c r="V106" s="303">
        <f>V31*'הנחות עבודה'!$D$33/'הנחות עבודה'!$D$14</f>
        <v>5.7216581862973763</v>
      </c>
      <c r="W106" s="304">
        <f>W31*'הנחות עבודה'!$D$33/'הנחות עבודה'!$D$14</f>
        <v>5.6873282371795923</v>
      </c>
    </row>
    <row r="107" spans="2:23">
      <c r="B107" s="306">
        <f>+B106+1</f>
        <v>2021</v>
      </c>
      <c r="C107" s="583">
        <f>C32*'הנחות עבודה'!$D$33/'הנחות עבודה'!$D$14</f>
        <v>0</v>
      </c>
      <c r="D107" s="302">
        <f>D32*'הנחות עבודה'!$D$33/'הנחות עבודה'!$D$14</f>
        <v>1.2171443571360319</v>
      </c>
      <c r="E107" s="302">
        <f>E32*'הנחות עבודה'!$D$33/'הנחות עבודה'!$D$14</f>
        <v>1.2098414909932158</v>
      </c>
      <c r="F107" s="302">
        <f>F32*'הנחות עבודה'!$D$33/'הנחות עבודה'!$D$14</f>
        <v>1.2025824420472562</v>
      </c>
      <c r="G107" s="302">
        <f>G32*'הנחות עבודה'!$D$33/'הנחות עבודה'!$D$14</f>
        <v>1.1953669473949728</v>
      </c>
      <c r="H107" s="302">
        <f>H32*'הנחות עבודה'!$D$33/'הנחות עבודה'!$D$14</f>
        <v>1.188194745710603</v>
      </c>
      <c r="I107" s="302">
        <f>I32*'הנחות עבודה'!$D$33/'הנחות עבודה'!$D$14</f>
        <v>1.1810655772363394</v>
      </c>
      <c r="J107" s="302">
        <f>J32*'הנחות עבודה'!$D$33/'הנחות עבודה'!$D$14</f>
        <v>1.1739791837729214</v>
      </c>
      <c r="K107" s="302">
        <f>K32*'הנחות עבודה'!$D$33/'הנחות עבודה'!$D$14</f>
        <v>1.1669353086702838</v>
      </c>
      <c r="L107" s="302">
        <f>L32*'הנחות עבודה'!$D$33/'הנחות עבודה'!$D$14</f>
        <v>1.1599336968182621</v>
      </c>
      <c r="M107" s="302">
        <f>M32*'הנחות עבודה'!$D$33/'הנחות עבודה'!$D$14</f>
        <v>1.1529740946373526</v>
      </c>
      <c r="N107" s="302">
        <f>N32*'הנחות עבודה'!$D$33/'הנחות עבודה'!$D$14</f>
        <v>1.1460562500695286</v>
      </c>
      <c r="O107" s="302">
        <f>O32*'הנחות עבודה'!$D$33/'הנחות עבודה'!$D$14</f>
        <v>1.1391799125691111</v>
      </c>
      <c r="P107" s="302">
        <f>P32*'הנחות עבודה'!$D$33/'הנחות עבודה'!$D$14</f>
        <v>1.1323448330936967</v>
      </c>
      <c r="Q107" s="302">
        <f>Q32*'הנחות עבודה'!$D$33/'הנחות עבודה'!$D$14</f>
        <v>1.1255507640951345</v>
      </c>
      <c r="R107" s="302">
        <f>R32*'הנחות עבודה'!$D$33/'הנחות עבודה'!$D$14</f>
        <v>1.1187974595105639</v>
      </c>
      <c r="S107" s="302">
        <f>S32*'הנחות עבודה'!$D$33/'הנחות עבודה'!$D$14</f>
        <v>1.1120846747535005</v>
      </c>
      <c r="T107" s="302">
        <f>T32*'הנחות עבודה'!$D$33/'הנחות עבודה'!$D$14</f>
        <v>1.1054121667049792</v>
      </c>
      <c r="U107" s="302">
        <f>U32*'הנחות עבודה'!$D$33/'הנחות עבודה'!$D$14</f>
        <v>1.0987796937047494</v>
      </c>
      <c r="V107" s="302">
        <f>V32*'הנחות עבודה'!$D$33/'הנחות עבודה'!$D$14</f>
        <v>1.0921870155425208</v>
      </c>
      <c r="W107" s="305">
        <f>W32*'הנחות עבודה'!$D$33/'הנחות עבודה'!$D$14</f>
        <v>1.0856338934492658</v>
      </c>
    </row>
    <row r="108" spans="2:23">
      <c r="B108" s="306">
        <f t="shared" ref="B108:B126" si="31">+B107+1</f>
        <v>2022</v>
      </c>
      <c r="C108" s="583">
        <f>C33*'הנחות עבודה'!$D$33/'הנחות עבודה'!$D$14</f>
        <v>0</v>
      </c>
      <c r="D108" s="302">
        <f>D33*'הנחות עבודה'!$D$33/'הנחות עבודה'!$D$14</f>
        <v>0</v>
      </c>
      <c r="E108" s="302">
        <f>E33*'הנחות עבודה'!$D$33/'הנחות עבודה'!$D$14</f>
        <v>0.91522663181600483</v>
      </c>
      <c r="F108" s="302">
        <f>F33*'הנחות עבודה'!$D$33/'הנחות עבודה'!$D$14</f>
        <v>0.90973527202510873</v>
      </c>
      <c r="G108" s="302">
        <f>G33*'הנחות עבודה'!$D$33/'הנחות עבודה'!$D$14</f>
        <v>0.90427686039295807</v>
      </c>
      <c r="H108" s="302">
        <f>H33*'הנחות עבודה'!$D$33/'הנחות עבודה'!$D$14</f>
        <v>0.89885119923060031</v>
      </c>
      <c r="I108" s="302">
        <f>I33*'הנחות עבודה'!$D$33/'הנחות עבודה'!$D$14</f>
        <v>0.89345809203521664</v>
      </c>
      <c r="J108" s="302">
        <f>J33*'הנחות עבודה'!$D$33/'הנחות עבודה'!$D$14</f>
        <v>0.8880973434830054</v>
      </c>
      <c r="K108" s="302">
        <f>K33*'הנחות עבודה'!$D$33/'הנחות עבודה'!$D$14</f>
        <v>0.8827687594221072</v>
      </c>
      <c r="L108" s="302">
        <f>L33*'הנחות עבודה'!$D$33/'הנחות עבודה'!$D$14</f>
        <v>0.87747214686557462</v>
      </c>
      <c r="M108" s="302">
        <f>M33*'הנחות עבודה'!$D$33/'הנחות עבודה'!$D$14</f>
        <v>0.87220731398438112</v>
      </c>
      <c r="N108" s="302">
        <f>N33*'הנחות עבודה'!$D$33/'הנחות עבודה'!$D$14</f>
        <v>0.86697407010047478</v>
      </c>
      <c r="O108" s="302">
        <f>O33*'הנחות עבודה'!$D$33/'הנחות עבודה'!$D$14</f>
        <v>0.86177222567987188</v>
      </c>
      <c r="P108" s="302">
        <f>P33*'הנחות עבודה'!$D$33/'הנחות עבודה'!$D$14</f>
        <v>0.85660159232579269</v>
      </c>
      <c r="Q108" s="302">
        <f>Q33*'הנחות עבודה'!$D$33/'הנחות עבודה'!$D$14</f>
        <v>0.85146198277183793</v>
      </c>
      <c r="R108" s="302">
        <f>R33*'הנחות עבודה'!$D$33/'הנחות עבודה'!$D$14</f>
        <v>0.84635321087520687</v>
      </c>
      <c r="S108" s="302">
        <f>S33*'הנחות עבודה'!$D$33/'הנחות עבודה'!$D$14</f>
        <v>0.84127509160995551</v>
      </c>
      <c r="T108" s="302">
        <f>T33*'הנחות עבודה'!$D$33/'הנחות עבודה'!$D$14</f>
        <v>0.83622744106029578</v>
      </c>
      <c r="U108" s="302">
        <f>U33*'הנחות עבודה'!$D$33/'הנחות עבודה'!$D$14</f>
        <v>0.83121007641393396</v>
      </c>
      <c r="V108" s="302">
        <f>V33*'הנחות עבודה'!$D$33/'הנחות עבודה'!$D$14</f>
        <v>0.82622281595545044</v>
      </c>
      <c r="W108" s="305">
        <f>W33*'הנחות עבודה'!$D$33/'הנחות עבודה'!$D$14</f>
        <v>0.8212654790597177</v>
      </c>
    </row>
    <row r="109" spans="2:23">
      <c r="B109" s="306">
        <f t="shared" si="31"/>
        <v>2023</v>
      </c>
      <c r="C109" s="583">
        <f>C34*'הנחות עבודה'!$D$33/'הנחות עבודה'!$D$14</f>
        <v>0</v>
      </c>
      <c r="D109" s="302">
        <f>D34*'הנחות עבודה'!$D$33/'הנחות עבודה'!$D$14</f>
        <v>0</v>
      </c>
      <c r="E109" s="302">
        <f>E34*'הנחות עבודה'!$D$33/'הנחות עבודה'!$D$14</f>
        <v>0</v>
      </c>
      <c r="F109" s="302">
        <f>F34*'הנחות עבודה'!$D$33/'הנחות עבודה'!$D$14</f>
        <v>0.97084038253600957</v>
      </c>
      <c r="G109" s="302">
        <f>G34*'הנחות עבודה'!$D$33/'הנחות עבודה'!$D$14</f>
        <v>0.9650153402407935</v>
      </c>
      <c r="H109" s="302">
        <f>H34*'הנחות עבודה'!$D$33/'הנחות עבודה'!$D$14</f>
        <v>0.95922524819934885</v>
      </c>
      <c r="I109" s="302">
        <f>I34*'הנחות עבודה'!$D$33/'הנחות עבודה'!$D$14</f>
        <v>0.9534698967101527</v>
      </c>
      <c r="J109" s="302">
        <f>J34*'הנחות עבודה'!$D$33/'הנחות עבודה'!$D$14</f>
        <v>0.94774907732989189</v>
      </c>
      <c r="K109" s="302">
        <f>K34*'הנחות עבודה'!$D$33/'הנחות עבודה'!$D$14</f>
        <v>0.94206258286591249</v>
      </c>
      <c r="L109" s="302">
        <f>L34*'הנחות עבודה'!$D$33/'הנחות עבודה'!$D$14</f>
        <v>0.93641020736871694</v>
      </c>
      <c r="M109" s="302">
        <f>M34*'הנחות עבודה'!$D$33/'הנחות עבודה'!$D$14</f>
        <v>0.93079174612450455</v>
      </c>
      <c r="N109" s="302">
        <f>N34*'הנחות עבודה'!$D$33/'הנחות עבודה'!$D$14</f>
        <v>0.92520699564775766</v>
      </c>
      <c r="O109" s="302">
        <f>O34*'הנחות עבודה'!$D$33/'הנחות עבודה'!$D$14</f>
        <v>0.9196557536738712</v>
      </c>
      <c r="P109" s="302">
        <f>P34*'הנחות עבודה'!$D$33/'הנחות עבודה'!$D$14</f>
        <v>0.9141378191518279</v>
      </c>
      <c r="Q109" s="302">
        <f>Q34*'הנחות עבודה'!$D$33/'הנחות עבודה'!$D$14</f>
        <v>0.90865299223691698</v>
      </c>
      <c r="R109" s="302">
        <f>R34*'הנחות עבודה'!$D$33/'הנחות עבודה'!$D$14</f>
        <v>0.90320107428349539</v>
      </c>
      <c r="S109" s="302">
        <f>S34*'הנחות עבודה'!$D$33/'הנחות עבודה'!$D$14</f>
        <v>0.89778186783779435</v>
      </c>
      <c r="T109" s="302">
        <f>T34*'הנחות עבודה'!$D$33/'הנחות עבודה'!$D$14</f>
        <v>0.89239517663076762</v>
      </c>
      <c r="U109" s="302">
        <f>U34*'הנחות עבודה'!$D$33/'הנחות עבודה'!$D$14</f>
        <v>0.88704080557098308</v>
      </c>
      <c r="V109" s="302">
        <f>V34*'הנחות עבודה'!$D$33/'הנחות עבודה'!$D$14</f>
        <v>0.88171856073755717</v>
      </c>
      <c r="W109" s="305">
        <f>W34*'הנחות עבודה'!$D$33/'הנחות עבודה'!$D$14</f>
        <v>0.8764282493731318</v>
      </c>
    </row>
    <row r="110" spans="2:23">
      <c r="B110" s="306">
        <f t="shared" si="31"/>
        <v>2024</v>
      </c>
      <c r="C110" s="583">
        <f>C35*'הנחות עבודה'!$D$33/'הנחות עבודה'!$D$14</f>
        <v>0</v>
      </c>
      <c r="D110" s="302">
        <f>D35*'הנחות עבודה'!$D$33/'הנחות עבודה'!$D$14</f>
        <v>0</v>
      </c>
      <c r="E110" s="302">
        <f>E35*'הנחות עבודה'!$D$33/'הנחות עבודה'!$D$14</f>
        <v>0</v>
      </c>
      <c r="F110" s="302">
        <f>F35*'הנחות עבודה'!$D$33/'הנחות עבודה'!$D$14</f>
        <v>0</v>
      </c>
      <c r="G110" s="302">
        <f>G35*'הנחות עבודה'!$D$33/'הנחות עבודה'!$D$14</f>
        <v>1.0133375707800087</v>
      </c>
      <c r="H110" s="302">
        <f>H35*'הנחות עבודה'!$D$33/'הנחות עבודה'!$D$14</f>
        <v>1.0072575453553285</v>
      </c>
      <c r="I110" s="302">
        <f>I35*'הנחות עבודה'!$D$33/'הנחות עבודה'!$D$14</f>
        <v>1.0012140000831966</v>
      </c>
      <c r="J110" s="302">
        <f>J35*'הנחות עבודה'!$D$33/'הנחות עבודה'!$D$14</f>
        <v>0.99520671608269751</v>
      </c>
      <c r="K110" s="302">
        <f>K35*'הנחות עבודה'!$D$33/'הנחות עבודה'!$D$14</f>
        <v>0.9892354757862013</v>
      </c>
      <c r="L110" s="302">
        <f>L35*'הנחות עבודה'!$D$33/'הנחות עבודה'!$D$14</f>
        <v>0.98330006293148409</v>
      </c>
      <c r="M110" s="302">
        <f>M35*'הנחות עבודה'!$D$33/'הנחות עבודה'!$D$14</f>
        <v>0.97740026255389512</v>
      </c>
      <c r="N110" s="302">
        <f>N35*'הנחות עבודה'!$D$33/'הנחות עבודה'!$D$14</f>
        <v>0.9715358609785717</v>
      </c>
      <c r="O110" s="302">
        <f>O35*'הנחות עבודה'!$D$33/'הנחות עבודה'!$D$14</f>
        <v>0.96570664581270027</v>
      </c>
      <c r="P110" s="302">
        <f>P35*'הנחות עבודה'!$D$33/'הנחות עבודה'!$D$14</f>
        <v>0.95991240593782401</v>
      </c>
      <c r="Q110" s="302">
        <f>Q35*'הנחות עבודה'!$D$33/'הנחות עבודה'!$D$14</f>
        <v>0.95415293150219704</v>
      </c>
      <c r="R110" s="302">
        <f>R35*'הנחות עבודה'!$D$33/'הנחות עבודה'!$D$14</f>
        <v>0.94842801391318399</v>
      </c>
      <c r="S110" s="302">
        <f>S35*'הנחות עבודה'!$D$33/'הנחות עבודה'!$D$14</f>
        <v>0.94273744582970476</v>
      </c>
      <c r="T110" s="302">
        <f>T35*'הנחות עבודה'!$D$33/'הנחות עבודה'!$D$14</f>
        <v>0.93708102115472647</v>
      </c>
      <c r="U110" s="302">
        <f>U35*'הנחות עבודה'!$D$33/'הנחות עבודה'!$D$14</f>
        <v>0.93145853502779818</v>
      </c>
      <c r="V110" s="302">
        <f>V35*'הנחות עבודה'!$D$33/'הנחות עבודה'!$D$14</f>
        <v>0.9258697838176313</v>
      </c>
      <c r="W110" s="305">
        <f>W35*'הנחות עבודה'!$D$33/'הנחות עבודה'!$D$14</f>
        <v>0.92031456511472554</v>
      </c>
    </row>
    <row r="111" spans="2:23">
      <c r="B111" s="306">
        <f t="shared" si="31"/>
        <v>2025</v>
      </c>
      <c r="C111" s="583">
        <f>C36*'הנחות עבודה'!$D$33/'הנחות עבודה'!$D$14</f>
        <v>0</v>
      </c>
      <c r="D111" s="302">
        <f>D36*'הנחות עבודה'!$D$33/'הנחות עבודה'!$D$14</f>
        <v>0</v>
      </c>
      <c r="E111" s="302">
        <f>E36*'הנחות עבודה'!$D$33/'הנחות עבודה'!$D$14</f>
        <v>0</v>
      </c>
      <c r="F111" s="302">
        <f>F36*'הנחות עבודה'!$D$33/'הנחות עבודה'!$D$14</f>
        <v>0</v>
      </c>
      <c r="G111" s="302">
        <f>G36*'הנחות עבודה'!$D$33/'הנחות עבודה'!$D$14</f>
        <v>0</v>
      </c>
      <c r="H111" s="302">
        <f>H36*'הנחות עבודה'!$D$33/'הנחות עבודה'!$D$14</f>
        <v>1.1684557609260051</v>
      </c>
      <c r="I111" s="302">
        <f>I36*'הנחות עבודה'!$D$33/'הנחות עבודה'!$D$14</f>
        <v>1.1614450263604494</v>
      </c>
      <c r="J111" s="302">
        <f>J36*'הנחות עבודה'!$D$33/'הנחות עבודה'!$D$14</f>
        <v>1.1544763562022866</v>
      </c>
      <c r="K111" s="302">
        <f>K36*'הנחות עבודה'!$D$33/'הנחות עבודה'!$D$14</f>
        <v>1.1475494980650729</v>
      </c>
      <c r="L111" s="302">
        <f>L36*'הנחות עבודה'!$D$33/'הנחות עבודה'!$D$14</f>
        <v>1.1406642010766823</v>
      </c>
      <c r="M111" s="302">
        <f>M36*'הנחות עבודה'!$D$33/'הנחות עבודה'!$D$14</f>
        <v>1.1338202158702224</v>
      </c>
      <c r="N111" s="302">
        <f>N36*'הנחות עבודה'!$D$33/'הנחות עבודה'!$D$14</f>
        <v>1.1270172945750008</v>
      </c>
      <c r="O111" s="302">
        <f>O36*'הנחות עבודה'!$D$33/'הנחות עבודה'!$D$14</f>
        <v>1.1202551908075509</v>
      </c>
      <c r="P111" s="302">
        <f>P36*'הנחות עבודה'!$D$33/'הנחות עבודה'!$D$14</f>
        <v>1.1135336596627057</v>
      </c>
      <c r="Q111" s="302">
        <f>Q36*'הנחות עבודה'!$D$33/'הנחות עבודה'!$D$14</f>
        <v>1.1068524577047294</v>
      </c>
      <c r="R111" s="302">
        <f>R36*'הנחות עבודה'!$D$33/'הנחות עבודה'!$D$14</f>
        <v>1.100211342958501</v>
      </c>
      <c r="S111" s="302">
        <f>S36*'הנחות עבודה'!$D$33/'הנחות עבודה'!$D$14</f>
        <v>1.09361007490075</v>
      </c>
      <c r="T111" s="302">
        <f>T36*'הנחות עבודה'!$D$33/'הנחות עבודה'!$D$14</f>
        <v>1.0870484144513455</v>
      </c>
      <c r="U111" s="302">
        <f>U36*'הנחות עבודה'!$D$33/'הנחות עבודה'!$D$14</f>
        <v>1.0805261239646373</v>
      </c>
      <c r="V111" s="302">
        <f>V36*'הנחות עבודה'!$D$33/'הנחות עבודה'!$D$14</f>
        <v>1.0740429672208496</v>
      </c>
      <c r="W111" s="305">
        <f>W36*'הנחות עבודה'!$D$33/'הנחות עבודה'!$D$14</f>
        <v>1.0675987094175245</v>
      </c>
    </row>
    <row r="112" spans="2:23">
      <c r="B112" s="306">
        <f t="shared" si="31"/>
        <v>2026</v>
      </c>
      <c r="C112" s="583">
        <f>C37*'הנחות עבודה'!$D$33/'הנחות עבודה'!$D$14</f>
        <v>0</v>
      </c>
      <c r="D112" s="302">
        <f>D37*'הנחות עבודה'!$D$33/'הנחות עבודה'!$D$14</f>
        <v>0</v>
      </c>
      <c r="E112" s="302">
        <f>E37*'הנחות עבודה'!$D$33/'הנחות עבודה'!$D$14</f>
        <v>0</v>
      </c>
      <c r="F112" s="302">
        <f>F37*'הנחות עבודה'!$D$33/'הנחות עבודה'!$D$14</f>
        <v>0</v>
      </c>
      <c r="G112" s="302">
        <f>G37*'הנחות עבודה'!$D$33/'הנחות עבודה'!$D$14</f>
        <v>0</v>
      </c>
      <c r="H112" s="302">
        <f>H37*'הנחות עבודה'!$D$33/'הנחות עבודה'!$D$14</f>
        <v>0</v>
      </c>
      <c r="I112" s="302">
        <f>I37*'הנחות עבודה'!$D$33/'הנחות עבודה'!$D$14</f>
        <v>1.755452799820006</v>
      </c>
      <c r="J112" s="302">
        <f>J37*'הנחות עבודה'!$D$33/'הנחות עבודה'!$D$14</f>
        <v>1.7449200830210863</v>
      </c>
      <c r="K112" s="302">
        <f>K37*'הנחות עבודה'!$D$33/'הנחות עבודה'!$D$14</f>
        <v>1.7344505625229598</v>
      </c>
      <c r="L112" s="302">
        <f>L37*'הנחות עבודה'!$D$33/'הנחות עבודה'!$D$14</f>
        <v>1.724043859147822</v>
      </c>
      <c r="M112" s="302">
        <f>M37*'הנחות עבודה'!$D$33/'הנחות עבודה'!$D$14</f>
        <v>1.7136995959929351</v>
      </c>
      <c r="N112" s="302">
        <f>N37*'הנחות עבודה'!$D$33/'הנחות עבודה'!$D$14</f>
        <v>1.7034173984169774</v>
      </c>
      <c r="O112" s="302">
        <f>O37*'הנחות עבודה'!$D$33/'הנחות עבודה'!$D$14</f>
        <v>1.6931968940264752</v>
      </c>
      <c r="P112" s="302">
        <f>P37*'הנחות עבודה'!$D$33/'הנחות עבודה'!$D$14</f>
        <v>1.6830377126623164</v>
      </c>
      <c r="Q112" s="302">
        <f>Q37*'הנחות עבודה'!$D$33/'הנחות עבודה'!$D$14</f>
        <v>1.6729394863863425</v>
      </c>
      <c r="R112" s="302">
        <f>R37*'הנחות עבודה'!$D$33/'הנחות עבודה'!$D$14</f>
        <v>1.6629018494680246</v>
      </c>
      <c r="S112" s="302">
        <f>S37*'הנחות עבודה'!$D$33/'הנחות עבודה'!$D$14</f>
        <v>1.6529244383712163</v>
      </c>
      <c r="T112" s="302">
        <f>T37*'הנחות עבודה'!$D$33/'הנחות עבודה'!$D$14</f>
        <v>1.6430068917409888</v>
      </c>
      <c r="U112" s="302">
        <f>U37*'הנחות עבודה'!$D$33/'הנחות עבודה'!$D$14</f>
        <v>1.6331488503905429</v>
      </c>
      <c r="V112" s="302">
        <f>V37*'הנחות עבודה'!$D$33/'הנחות עבודה'!$D$14</f>
        <v>1.6233499572881998</v>
      </c>
      <c r="W112" s="305">
        <f>W37*'הנחות עבודה'!$D$33/'הנחות עבודה'!$D$14</f>
        <v>1.6136098575444706</v>
      </c>
    </row>
    <row r="113" spans="2:23">
      <c r="B113" s="306">
        <f t="shared" si="31"/>
        <v>2027</v>
      </c>
      <c r="C113" s="583">
        <f>C38*'הנחות עבודה'!$D$33/'הנחות עבודה'!$D$14</f>
        <v>0</v>
      </c>
      <c r="D113" s="302">
        <f>D38*'הנחות עבודה'!$D$33/'הנחות עבודה'!$D$14</f>
        <v>0</v>
      </c>
      <c r="E113" s="302">
        <f>E38*'הנחות עבודה'!$D$33/'הנחות עבודה'!$D$14</f>
        <v>0</v>
      </c>
      <c r="F113" s="302">
        <f>F38*'הנחות עבודה'!$D$33/'הנחות עבודה'!$D$14</f>
        <v>0</v>
      </c>
      <c r="G113" s="302">
        <f>G38*'הנחות עבודה'!$D$33/'הנחות עבודה'!$D$14</f>
        <v>0</v>
      </c>
      <c r="H113" s="302">
        <f>H38*'הנחות עבודה'!$D$33/'הנחות עבודה'!$D$14</f>
        <v>0</v>
      </c>
      <c r="I113" s="302">
        <f>I38*'הנחות עבודה'!$D$33/'הנחות עבודה'!$D$14</f>
        <v>0</v>
      </c>
      <c r="J113" s="302">
        <f>J38*'הנחות עבודה'!$D$33/'הנחות עבודה'!$D$14</f>
        <v>1.8500768240200087</v>
      </c>
      <c r="K113" s="302">
        <f>K38*'הנחות עבודה'!$D$33/'הנחות עבודה'!$D$14</f>
        <v>1.8389763630758886</v>
      </c>
      <c r="L113" s="302">
        <f>L38*'הנחות עבודה'!$D$33/'הנחות עבודה'!$D$14</f>
        <v>1.8279425048974336</v>
      </c>
      <c r="M113" s="302">
        <f>M38*'הנחות עבודה'!$D$33/'הנחות עבודה'!$D$14</f>
        <v>1.8169748498680491</v>
      </c>
      <c r="N113" s="302">
        <f>N38*'הנחות עבודה'!$D$33/'הנחות עבודה'!$D$14</f>
        <v>1.806073000768841</v>
      </c>
      <c r="O113" s="302">
        <f>O38*'הנחות עבודה'!$D$33/'הנחות עבודה'!$D$14</f>
        <v>1.7952365627642277</v>
      </c>
      <c r="P113" s="302">
        <f>P38*'הנחות עבודה'!$D$33/'הנחות עבודה'!$D$14</f>
        <v>1.7844651433876424</v>
      </c>
      <c r="Q113" s="302">
        <f>Q38*'הנחות עבודה'!$D$33/'הנחות עבודה'!$D$14</f>
        <v>1.7737583525273166</v>
      </c>
      <c r="R113" s="302">
        <f>R38*'הנחות עבודה'!$D$33/'הנחות עבודה'!$D$14</f>
        <v>1.7631158024121527</v>
      </c>
      <c r="S113" s="302">
        <f>S38*'הנחות עבודה'!$D$33/'הנחות עבודה'!$D$14</f>
        <v>1.7525371075976797</v>
      </c>
      <c r="T113" s="302">
        <f>T38*'הנחות עבודה'!$D$33/'הנחות עבודה'!$D$14</f>
        <v>1.7420218849520934</v>
      </c>
      <c r="U113" s="302">
        <f>U38*'הנחות עבודה'!$D$33/'הנחות עבודה'!$D$14</f>
        <v>1.7315697536423809</v>
      </c>
      <c r="V113" s="302">
        <f>V38*'הנחות עבודה'!$D$33/'הנחות עבודה'!$D$14</f>
        <v>1.7211803351205268</v>
      </c>
      <c r="W113" s="305">
        <f>W38*'הנחות עבודה'!$D$33/'הנחות עבודה'!$D$14</f>
        <v>1.710853253109804</v>
      </c>
    </row>
    <row r="114" spans="2:23">
      <c r="B114" s="306">
        <f t="shared" si="31"/>
        <v>2028</v>
      </c>
      <c r="C114" s="583">
        <f>C39*'הנחות עבודה'!$D$33/'הנחות עבודה'!$D$14</f>
        <v>0</v>
      </c>
      <c r="D114" s="302">
        <f>D39*'הנחות עבודה'!$D$33/'הנחות עבודה'!$D$14</f>
        <v>0</v>
      </c>
      <c r="E114" s="302">
        <f>E39*'הנחות עבודה'!$D$33/'הנחות עבודה'!$D$14</f>
        <v>0</v>
      </c>
      <c r="F114" s="302">
        <f>F39*'הנחות עבודה'!$D$33/'הנחות עבודה'!$D$14</f>
        <v>0</v>
      </c>
      <c r="G114" s="302">
        <f>G39*'הנחות עבודה'!$D$33/'הנחות עבודה'!$D$14</f>
        <v>0</v>
      </c>
      <c r="H114" s="302">
        <f>H39*'הנחות עבודה'!$D$33/'הנחות עבודה'!$D$14</f>
        <v>0</v>
      </c>
      <c r="I114" s="302">
        <f>I39*'הנחות עבודה'!$D$33/'הנחות עבודה'!$D$14</f>
        <v>0</v>
      </c>
      <c r="J114" s="302">
        <f>J39*'הנחות עבודה'!$D$33/'הנחות עבודה'!$D$14</f>
        <v>0</v>
      </c>
      <c r="K114" s="302">
        <f>K39*'הנחות עבודה'!$D$33/'הנחות עבודה'!$D$14</f>
        <v>1.8948451335300074</v>
      </c>
      <c r="L114" s="302">
        <f>L39*'הנחות עבודה'!$D$33/'הנחות עבודה'!$D$14</f>
        <v>1.8834760627288276</v>
      </c>
      <c r="M114" s="302">
        <f>M39*'הנחות עבודה'!$D$33/'הנחות עבודה'!$D$14</f>
        <v>1.8721752063524544</v>
      </c>
      <c r="N114" s="302">
        <f>N39*'הנחות עבודה'!$D$33/'הנחות עבודה'!$D$14</f>
        <v>1.8609421551143397</v>
      </c>
      <c r="O114" s="302">
        <f>O39*'הנחות עבודה'!$D$33/'הנחות עבודה'!$D$14</f>
        <v>1.8497765021836536</v>
      </c>
      <c r="P114" s="302">
        <f>P39*'הנחות עבודה'!$D$33/'הנחות עבודה'!$D$14</f>
        <v>1.8386778431705515</v>
      </c>
      <c r="Q114" s="302">
        <f>Q39*'הנחות עבודה'!$D$33/'הנחות עבודה'!$D$14</f>
        <v>1.8276457761115281</v>
      </c>
      <c r="R114" s="302">
        <f>R39*'הנחות עבודה'!$D$33/'הנחות עבודה'!$D$14</f>
        <v>1.8166799014548587</v>
      </c>
      <c r="S114" s="302">
        <f>S39*'הנחות עבודה'!$D$33/'הנחות עבודה'!$D$14</f>
        <v>1.8057798220461296</v>
      </c>
      <c r="T114" s="302">
        <f>T39*'הנחות עבודה'!$D$33/'הנחות עבודה'!$D$14</f>
        <v>1.794945143113853</v>
      </c>
      <c r="U114" s="302">
        <f>U39*'הנחות עבודה'!$D$33/'הנחות עבודה'!$D$14</f>
        <v>1.7841754722551699</v>
      </c>
      <c r="V114" s="302">
        <f>V39*'הנחות עבודה'!$D$33/'הנחות עבודה'!$D$14</f>
        <v>1.7734704194216389</v>
      </c>
      <c r="W114" s="305">
        <f>W39*'הנחות עבודה'!$D$33/'הנחות עבודה'!$D$14</f>
        <v>1.7628295969051089</v>
      </c>
    </row>
    <row r="115" spans="2:23">
      <c r="B115" s="306">
        <f t="shared" si="31"/>
        <v>2029</v>
      </c>
      <c r="C115" s="583">
        <f>C40*'הנחות עבודה'!$D$33/'הנחות עבודה'!$D$14</f>
        <v>0</v>
      </c>
      <c r="D115" s="302">
        <f>D40*'הנחות עבודה'!$D$33/'הנחות עבודה'!$D$14</f>
        <v>0</v>
      </c>
      <c r="E115" s="302">
        <f>E40*'הנחות עבודה'!$D$33/'הנחות עבודה'!$D$14</f>
        <v>0</v>
      </c>
      <c r="F115" s="302">
        <f>F40*'הנחות עבודה'!$D$33/'הנחות עבודה'!$D$14</f>
        <v>0</v>
      </c>
      <c r="G115" s="302">
        <f>G40*'הנחות עבודה'!$D$33/'הנחות עבודה'!$D$14</f>
        <v>0</v>
      </c>
      <c r="H115" s="302">
        <f>H40*'הנחות עבודה'!$D$33/'הנחות עבודה'!$D$14</f>
        <v>0</v>
      </c>
      <c r="I115" s="302">
        <f>I40*'הנחות עבודה'!$D$33/'הנחות עבודה'!$D$14</f>
        <v>0</v>
      </c>
      <c r="J115" s="302">
        <f>J40*'הנחות עבודה'!$D$33/'הנחות עבודה'!$D$14</f>
        <v>0</v>
      </c>
      <c r="K115" s="302">
        <f>K40*'הנחות עבודה'!$D$33/'הנחות עבודה'!$D$14</f>
        <v>0</v>
      </c>
      <c r="L115" s="302">
        <f>L40*'הנחות עבודה'!$D$33/'הנחות עבודה'!$D$14</f>
        <v>2.1057291819400024</v>
      </c>
      <c r="M115" s="302">
        <f>M40*'הנחות עבודה'!$D$33/'הנחות עבודה'!$D$14</f>
        <v>2.0930948068483621</v>
      </c>
      <c r="N115" s="302">
        <f>N40*'הנחות עבודה'!$D$33/'הנחות עבודה'!$D$14</f>
        <v>2.0805362380072721</v>
      </c>
      <c r="O115" s="302">
        <f>O40*'הנחות עבודה'!$D$33/'הנחות עבודה'!$D$14</f>
        <v>2.0680530205792285</v>
      </c>
      <c r="P115" s="302">
        <f>P40*'הנחות עבודה'!$D$33/'הנחות עבודה'!$D$14</f>
        <v>2.0556447024557531</v>
      </c>
      <c r="Q115" s="302">
        <f>Q40*'הנחות עבודה'!$D$33/'הנחות עבודה'!$D$14</f>
        <v>2.0433108342410184</v>
      </c>
      <c r="R115" s="302">
        <f>R40*'הנחות עבודה'!$D$33/'הנחות עבודה'!$D$14</f>
        <v>2.0310509692355727</v>
      </c>
      <c r="S115" s="302">
        <f>S40*'הנחות עבודה'!$D$33/'הנחות עבודה'!$D$14</f>
        <v>2.018864663420159</v>
      </c>
      <c r="T115" s="302">
        <f>T40*'הנחות עבודה'!$D$33/'הנחות עבודה'!$D$14</f>
        <v>2.0067514754396383</v>
      </c>
      <c r="U115" s="302">
        <f>U40*'הנחות עבודה'!$D$33/'הנחות עבודה'!$D$14</f>
        <v>1.994710966587</v>
      </c>
      <c r="V115" s="302">
        <f>V40*'הנחות עבודה'!$D$33/'הנחות עבודה'!$D$14</f>
        <v>1.9827427007874781</v>
      </c>
      <c r="W115" s="305">
        <f>W40*'הנחות עבודה'!$D$33/'הנחות עבודה'!$D$14</f>
        <v>1.9708462445827533</v>
      </c>
    </row>
    <row r="116" spans="2:23">
      <c r="B116" s="306">
        <f t="shared" si="31"/>
        <v>2030</v>
      </c>
      <c r="C116" s="583">
        <f>C41*'הנחות עבודה'!$D$33/'הנחות עבודה'!$D$14</f>
        <v>0</v>
      </c>
      <c r="D116" s="302">
        <f>D41*'הנחות עבודה'!$D$33/'הנחות עבודה'!$D$14</f>
        <v>0</v>
      </c>
      <c r="E116" s="302">
        <f>E41*'הנחות עבודה'!$D$33/'הנחות עבודה'!$D$14</f>
        <v>0</v>
      </c>
      <c r="F116" s="302">
        <f>F41*'הנחות עבודה'!$D$33/'הנחות עבודה'!$D$14</f>
        <v>0</v>
      </c>
      <c r="G116" s="302">
        <f>G41*'הנחות עבודה'!$D$33/'הנחות עבודה'!$D$14</f>
        <v>0</v>
      </c>
      <c r="H116" s="302">
        <f>H41*'הנחות עבודה'!$D$33/'הנחות עבודה'!$D$14</f>
        <v>0</v>
      </c>
      <c r="I116" s="302">
        <f>I41*'הנחות עבודה'!$D$33/'הנחות עבודה'!$D$14</f>
        <v>0</v>
      </c>
      <c r="J116" s="302">
        <f>J41*'הנחות עבודה'!$D$33/'הנחות עבודה'!$D$14</f>
        <v>0</v>
      </c>
      <c r="K116" s="302">
        <f>K41*'הנחות עבודה'!$D$33/'הנחות עבודה'!$D$14</f>
        <v>0</v>
      </c>
      <c r="L116" s="302">
        <f>L41*'הנחות עבודה'!$D$33/'הנחות עבודה'!$D$14</f>
        <v>0</v>
      </c>
      <c r="M116" s="302">
        <f>M41*'הנחות עבודה'!$D$33/'הנחות עבודה'!$D$14</f>
        <v>2.1599627646200075</v>
      </c>
      <c r="N116" s="302">
        <f>N41*'הנחות עבודה'!$D$33/'הנחות עבודה'!$D$14</f>
        <v>2.1470029880322876</v>
      </c>
      <c r="O116" s="302">
        <f>O41*'הנחות עבודה'!$D$33/'הנחות עבודה'!$D$14</f>
        <v>2.1341209701040937</v>
      </c>
      <c r="P116" s="302">
        <f>P41*'הנחות עבודה'!$D$33/'הנחות עבודה'!$D$14</f>
        <v>2.1213162442834688</v>
      </c>
      <c r="Q116" s="302">
        <f>Q41*'הנחות עבודה'!$D$33/'הנחות עבודה'!$D$14</f>
        <v>2.108588346817768</v>
      </c>
      <c r="R116" s="302">
        <f>R41*'הנחות עבודה'!$D$33/'הנחות עבודה'!$D$14</f>
        <v>2.0959368167368613</v>
      </c>
      <c r="S116" s="302">
        <f>S41*'הנחות עבודה'!$D$33/'הנחות עבודה'!$D$14</f>
        <v>2.0833611958364404</v>
      </c>
      <c r="T116" s="302">
        <f>T41*'הנחות עבודה'!$D$33/'הנחות עבודה'!$D$14</f>
        <v>2.0708610286614215</v>
      </c>
      <c r="U116" s="302">
        <f>U41*'הנחות עבודה'!$D$33/'הנחות עבודה'!$D$14</f>
        <v>2.058435862489453</v>
      </c>
      <c r="V116" s="302">
        <f>V41*'הנחות עבודה'!$D$33/'הנחות עבודה'!$D$14</f>
        <v>2.0460852473145161</v>
      </c>
      <c r="W116" s="305">
        <f>W41*'הנחות עבודה'!$D$33/'הנחות עבודה'!$D$14</f>
        <v>2.0338087358306294</v>
      </c>
    </row>
    <row r="117" spans="2:23">
      <c r="B117" s="306">
        <f t="shared" si="31"/>
        <v>2031</v>
      </c>
      <c r="C117" s="583">
        <f>C42*'הנחות עבודה'!$D$33/'הנחות עבודה'!$D$14</f>
        <v>0</v>
      </c>
      <c r="D117" s="302">
        <f>D42*'הנחות עבודה'!$D$33/'הנחות עבודה'!$D$14</f>
        <v>0</v>
      </c>
      <c r="E117" s="302">
        <f>E42*'הנחות עבודה'!$D$33/'הנחות עבודה'!$D$14</f>
        <v>0</v>
      </c>
      <c r="F117" s="302">
        <f>F42*'הנחות עבודה'!$D$33/'הנחות עבודה'!$D$14</f>
        <v>0</v>
      </c>
      <c r="G117" s="302">
        <f>G42*'הנחות עבודה'!$D$33/'הנחות עבודה'!$D$14</f>
        <v>0</v>
      </c>
      <c r="H117" s="302">
        <f>H42*'הנחות עבודה'!$D$33/'הנחות עבודה'!$D$14</f>
        <v>0</v>
      </c>
      <c r="I117" s="302">
        <f>I42*'הנחות עבודה'!$D$33/'הנחות עבודה'!$D$14</f>
        <v>0</v>
      </c>
      <c r="J117" s="302">
        <f>J42*'הנחות עבודה'!$D$33/'הנחות עבודה'!$D$14</f>
        <v>0</v>
      </c>
      <c r="K117" s="302">
        <f>K42*'הנחות עבודה'!$D$33/'הנחות עבודה'!$D$14</f>
        <v>0</v>
      </c>
      <c r="L117" s="302">
        <f>L42*'הנחות עבודה'!$D$33/'הנחות עבודה'!$D$14</f>
        <v>0</v>
      </c>
      <c r="M117" s="302">
        <f>M42*'הנחות עבודה'!$D$33/'הנחות עבודה'!$D$14</f>
        <v>0</v>
      </c>
      <c r="N117" s="302">
        <f>N42*'הנחות עבודה'!$D$33/'הנחות עבודה'!$D$14</f>
        <v>0</v>
      </c>
      <c r="O117" s="302">
        <f>O42*'הנחות עבודה'!$D$33/'הנחות עבודה'!$D$14</f>
        <v>0</v>
      </c>
      <c r="P117" s="302">
        <f>P42*'הנחות עבודה'!$D$33/'הנחות עבודה'!$D$14</f>
        <v>0</v>
      </c>
      <c r="Q117" s="302">
        <f>Q42*'הנחות עבודה'!$D$33/'הנחות עבודה'!$D$14</f>
        <v>0</v>
      </c>
      <c r="R117" s="302">
        <f>R42*'הנחות עבודה'!$D$33/'הנחות עבודה'!$D$14</f>
        <v>0</v>
      </c>
      <c r="S117" s="302">
        <f>S42*'הנחות עבודה'!$D$33/'הנחות עבודה'!$D$14</f>
        <v>0</v>
      </c>
      <c r="T117" s="302">
        <f>T42*'הנחות עבודה'!$D$33/'הנחות עבודה'!$D$14</f>
        <v>0</v>
      </c>
      <c r="U117" s="302">
        <f>U42*'הנחות עבודה'!$D$33/'הנחות עבודה'!$D$14</f>
        <v>0</v>
      </c>
      <c r="V117" s="302">
        <f>V42*'הנחות עבודה'!$D$33/'הנחות עבודה'!$D$14</f>
        <v>0</v>
      </c>
      <c r="W117" s="305">
        <f>W42*'הנחות עבודה'!$D$33/'הנחות עבודה'!$D$14</f>
        <v>0</v>
      </c>
    </row>
    <row r="118" spans="2:23">
      <c r="B118" s="306">
        <f t="shared" si="31"/>
        <v>2032</v>
      </c>
      <c r="C118" s="583">
        <f>C43*'הנחות עבודה'!$D$33/'הנחות עבודה'!$D$14</f>
        <v>0</v>
      </c>
      <c r="D118" s="302">
        <f>D43*'הנחות עבודה'!$D$33/'הנחות עבודה'!$D$14</f>
        <v>0</v>
      </c>
      <c r="E118" s="302">
        <f>E43*'הנחות עבודה'!$D$33/'הנחות עבודה'!$D$14</f>
        <v>0</v>
      </c>
      <c r="F118" s="302">
        <f>F43*'הנחות עבודה'!$D$33/'הנחות עבודה'!$D$14</f>
        <v>0</v>
      </c>
      <c r="G118" s="302">
        <f>G43*'הנחות עבודה'!$D$33/'הנחות עבודה'!$D$14</f>
        <v>0</v>
      </c>
      <c r="H118" s="302">
        <f>H43*'הנחות עבודה'!$D$33/'הנחות עבודה'!$D$14</f>
        <v>0</v>
      </c>
      <c r="I118" s="302">
        <f>I43*'הנחות עבודה'!$D$33/'הנחות עבודה'!$D$14</f>
        <v>0</v>
      </c>
      <c r="J118" s="302">
        <f>J43*'הנחות עבודה'!$D$33/'הנחות עבודה'!$D$14</f>
        <v>0</v>
      </c>
      <c r="K118" s="302">
        <f>K43*'הנחות עבודה'!$D$33/'הנחות עבודה'!$D$14</f>
        <v>0</v>
      </c>
      <c r="L118" s="302">
        <f>L43*'הנחות עבודה'!$D$33/'הנחות עבודה'!$D$14</f>
        <v>0</v>
      </c>
      <c r="M118" s="302">
        <f>M43*'הנחות עבודה'!$D$33/'הנחות עבודה'!$D$14</f>
        <v>0</v>
      </c>
      <c r="N118" s="302">
        <f>N43*'הנחות עבודה'!$D$33/'הנחות עבודה'!$D$14</f>
        <v>0</v>
      </c>
      <c r="O118" s="302">
        <f>O43*'הנחות עבודה'!$D$33/'הנחות עבודה'!$D$14</f>
        <v>0</v>
      </c>
      <c r="P118" s="302">
        <f>P43*'הנחות עבודה'!$D$33/'הנחות עבודה'!$D$14</f>
        <v>0</v>
      </c>
      <c r="Q118" s="302">
        <f>Q43*'הנחות עבודה'!$D$33/'הנחות עבודה'!$D$14</f>
        <v>0</v>
      </c>
      <c r="R118" s="302">
        <f>R43*'הנחות עבודה'!$D$33/'הנחות עבודה'!$D$14</f>
        <v>0</v>
      </c>
      <c r="S118" s="302">
        <f>S43*'הנחות עבודה'!$D$33/'הנחות עבודה'!$D$14</f>
        <v>0</v>
      </c>
      <c r="T118" s="302">
        <f>T43*'הנחות עבודה'!$D$33/'הנחות עבודה'!$D$14</f>
        <v>0</v>
      </c>
      <c r="U118" s="302">
        <f>U43*'הנחות עבודה'!$D$33/'הנחות עבודה'!$D$14</f>
        <v>0</v>
      </c>
      <c r="V118" s="302">
        <f>V43*'הנחות עבודה'!$D$33/'הנחות עבודה'!$D$14</f>
        <v>0</v>
      </c>
      <c r="W118" s="305">
        <f>W43*'הנחות עבודה'!$D$33/'הנחות עבודה'!$D$14</f>
        <v>0</v>
      </c>
    </row>
    <row r="119" spans="2:23">
      <c r="B119" s="306">
        <f t="shared" si="31"/>
        <v>2033</v>
      </c>
      <c r="C119" s="583">
        <f>C44*'הנחות עבודה'!$D$33/'הנחות עבודה'!$D$14</f>
        <v>0</v>
      </c>
      <c r="D119" s="302">
        <f>D44*'הנחות עבודה'!$D$33/'הנחות עבודה'!$D$14</f>
        <v>0</v>
      </c>
      <c r="E119" s="302">
        <f>E44*'הנחות עבודה'!$D$33/'הנחות עבודה'!$D$14</f>
        <v>0</v>
      </c>
      <c r="F119" s="302">
        <f>F44*'הנחות עבודה'!$D$33/'הנחות עבודה'!$D$14</f>
        <v>0</v>
      </c>
      <c r="G119" s="302">
        <f>G44*'הנחות עבודה'!$D$33/'הנחות עבודה'!$D$14</f>
        <v>0</v>
      </c>
      <c r="H119" s="302">
        <f>H44*'הנחות עבודה'!$D$33/'הנחות עבודה'!$D$14</f>
        <v>0</v>
      </c>
      <c r="I119" s="302">
        <f>I44*'הנחות עבודה'!$D$33/'הנחות עבודה'!$D$14</f>
        <v>0</v>
      </c>
      <c r="J119" s="302">
        <f>J44*'הנחות עבודה'!$D$33/'הנחות עבודה'!$D$14</f>
        <v>0</v>
      </c>
      <c r="K119" s="302">
        <f>K44*'הנחות עבודה'!$D$33/'הנחות עבודה'!$D$14</f>
        <v>0</v>
      </c>
      <c r="L119" s="302">
        <f>L44*'הנחות עבודה'!$D$33/'הנחות עבודה'!$D$14</f>
        <v>0</v>
      </c>
      <c r="M119" s="302">
        <f>M44*'הנחות עבודה'!$D$33/'הנחות עבודה'!$D$14</f>
        <v>0</v>
      </c>
      <c r="N119" s="302">
        <f>N44*'הנחות עבודה'!$D$33/'הנחות עבודה'!$D$14</f>
        <v>0</v>
      </c>
      <c r="O119" s="302">
        <f>O44*'הנחות עבודה'!$D$33/'הנחות עבודה'!$D$14</f>
        <v>0</v>
      </c>
      <c r="P119" s="302">
        <f>P44*'הנחות עבודה'!$D$33/'הנחות עבודה'!$D$14</f>
        <v>0</v>
      </c>
      <c r="Q119" s="302">
        <f>Q44*'הנחות עבודה'!$D$33/'הנחות עבודה'!$D$14</f>
        <v>0</v>
      </c>
      <c r="R119" s="302">
        <f>R44*'הנחות עבודה'!$D$33/'הנחות עבודה'!$D$14</f>
        <v>0</v>
      </c>
      <c r="S119" s="302">
        <f>S44*'הנחות עבודה'!$D$33/'הנחות עבודה'!$D$14</f>
        <v>0</v>
      </c>
      <c r="T119" s="302">
        <f>T44*'הנחות עבודה'!$D$33/'הנחות עבודה'!$D$14</f>
        <v>0</v>
      </c>
      <c r="U119" s="302">
        <f>U44*'הנחות עבודה'!$D$33/'הנחות עבודה'!$D$14</f>
        <v>0</v>
      </c>
      <c r="V119" s="302">
        <f>V44*'הנחות עבודה'!$D$33/'הנחות עבודה'!$D$14</f>
        <v>0</v>
      </c>
      <c r="W119" s="305">
        <f>W44*'הנחות עבודה'!$D$33/'הנחות עבודה'!$D$14</f>
        <v>0</v>
      </c>
    </row>
    <row r="120" spans="2:23">
      <c r="B120" s="306">
        <f t="shared" si="31"/>
        <v>2034</v>
      </c>
      <c r="C120" s="583">
        <f>C45*'הנחות עבודה'!$D$33/'הנחות עבודה'!$D$14</f>
        <v>0</v>
      </c>
      <c r="D120" s="302">
        <f>D45*'הנחות עבודה'!$D$33/'הנחות עבודה'!$D$14</f>
        <v>0</v>
      </c>
      <c r="E120" s="302">
        <f>E45*'הנחות עבודה'!$D$33/'הנחות עבודה'!$D$14</f>
        <v>0</v>
      </c>
      <c r="F120" s="302">
        <f>F45*'הנחות עבודה'!$D$33/'הנחות עבודה'!$D$14</f>
        <v>0</v>
      </c>
      <c r="G120" s="302">
        <f>G45*'הנחות עבודה'!$D$33/'הנחות עבודה'!$D$14</f>
        <v>0</v>
      </c>
      <c r="H120" s="302">
        <f>H45*'הנחות עבודה'!$D$33/'הנחות עבודה'!$D$14</f>
        <v>0</v>
      </c>
      <c r="I120" s="302">
        <f>I45*'הנחות עבודה'!$D$33/'הנחות עבודה'!$D$14</f>
        <v>0</v>
      </c>
      <c r="J120" s="302">
        <f>J45*'הנחות עבודה'!$D$33/'הנחות עבודה'!$D$14</f>
        <v>0</v>
      </c>
      <c r="K120" s="302">
        <f>K45*'הנחות עבודה'!$D$33/'הנחות עבודה'!$D$14</f>
        <v>0</v>
      </c>
      <c r="L120" s="302">
        <f>L45*'הנחות עבודה'!$D$33/'הנחות עבודה'!$D$14</f>
        <v>0</v>
      </c>
      <c r="M120" s="302">
        <f>M45*'הנחות עבודה'!$D$33/'הנחות עבודה'!$D$14</f>
        <v>0</v>
      </c>
      <c r="N120" s="302">
        <f>N45*'הנחות עבודה'!$D$33/'הנחות עבודה'!$D$14</f>
        <v>0</v>
      </c>
      <c r="O120" s="302">
        <f>O45*'הנחות עבודה'!$D$33/'הנחות עבודה'!$D$14</f>
        <v>0</v>
      </c>
      <c r="P120" s="302">
        <f>P45*'הנחות עבודה'!$D$33/'הנחות עבודה'!$D$14</f>
        <v>0</v>
      </c>
      <c r="Q120" s="302">
        <f>Q45*'הנחות עבודה'!$D$33/'הנחות עבודה'!$D$14</f>
        <v>0</v>
      </c>
      <c r="R120" s="302">
        <f>R45*'הנחות עבודה'!$D$33/'הנחות עבודה'!$D$14</f>
        <v>0</v>
      </c>
      <c r="S120" s="302">
        <f>S45*'הנחות עבודה'!$D$33/'הנחות עבודה'!$D$14</f>
        <v>0</v>
      </c>
      <c r="T120" s="302">
        <f>T45*'הנחות עבודה'!$D$33/'הנחות עבודה'!$D$14</f>
        <v>0</v>
      </c>
      <c r="U120" s="302">
        <f>U45*'הנחות עבודה'!$D$33/'הנחות עבודה'!$D$14</f>
        <v>0</v>
      </c>
      <c r="V120" s="302">
        <f>V45*'הנחות עבודה'!$D$33/'הנחות עבודה'!$D$14</f>
        <v>0</v>
      </c>
      <c r="W120" s="305">
        <f>W45*'הנחות עבודה'!$D$33/'הנחות עבודה'!$D$14</f>
        <v>0</v>
      </c>
    </row>
    <row r="121" spans="2:23">
      <c r="B121" s="306">
        <f t="shared" si="31"/>
        <v>2035</v>
      </c>
      <c r="C121" s="583">
        <f>C46*'הנחות עבודה'!$D$33/'הנחות עבודה'!$D$14</f>
        <v>0</v>
      </c>
      <c r="D121" s="302">
        <f>D46*'הנחות עבודה'!$D$33/'הנחות עבודה'!$D$14</f>
        <v>0</v>
      </c>
      <c r="E121" s="302">
        <f>E46*'הנחות עבודה'!$D$33/'הנחות עבודה'!$D$14</f>
        <v>0</v>
      </c>
      <c r="F121" s="302">
        <f>F46*'הנחות עבודה'!$D$33/'הנחות עבודה'!$D$14</f>
        <v>0</v>
      </c>
      <c r="G121" s="302">
        <f>G46*'הנחות עבודה'!$D$33/'הנחות עבודה'!$D$14</f>
        <v>0</v>
      </c>
      <c r="H121" s="302">
        <f>H46*'הנחות עבודה'!$D$33/'הנחות עבודה'!$D$14</f>
        <v>0</v>
      </c>
      <c r="I121" s="302">
        <f>I46*'הנחות עבודה'!$D$33/'הנחות עבודה'!$D$14</f>
        <v>0</v>
      </c>
      <c r="J121" s="302">
        <f>J46*'הנחות עבודה'!$D$33/'הנחות עבודה'!$D$14</f>
        <v>0</v>
      </c>
      <c r="K121" s="302">
        <f>K46*'הנחות עבודה'!$D$33/'הנחות עבודה'!$D$14</f>
        <v>0</v>
      </c>
      <c r="L121" s="302">
        <f>L46*'הנחות עבודה'!$D$33/'הנחות עבודה'!$D$14</f>
        <v>0</v>
      </c>
      <c r="M121" s="302">
        <f>M46*'הנחות עבודה'!$D$33/'הנחות עבודה'!$D$14</f>
        <v>0</v>
      </c>
      <c r="N121" s="302">
        <f>N46*'הנחות עבודה'!$D$33/'הנחות עבודה'!$D$14</f>
        <v>0</v>
      </c>
      <c r="O121" s="302">
        <f>O46*'הנחות עבודה'!$D$33/'הנחות עבודה'!$D$14</f>
        <v>0</v>
      </c>
      <c r="P121" s="302">
        <f>P46*'הנחות עבודה'!$D$33/'הנחות עבודה'!$D$14</f>
        <v>0</v>
      </c>
      <c r="Q121" s="302">
        <f>Q46*'הנחות עבודה'!$D$33/'הנחות עבודה'!$D$14</f>
        <v>0</v>
      </c>
      <c r="R121" s="302">
        <f>R46*'הנחות עבודה'!$D$33/'הנחות עבודה'!$D$14</f>
        <v>0</v>
      </c>
      <c r="S121" s="302">
        <f>S46*'הנחות עבודה'!$D$33/'הנחות עבודה'!$D$14</f>
        <v>0</v>
      </c>
      <c r="T121" s="302">
        <f>T46*'הנחות עבודה'!$D$33/'הנחות עבודה'!$D$14</f>
        <v>0</v>
      </c>
      <c r="U121" s="302">
        <f>U46*'הנחות עבודה'!$D$33/'הנחות עבודה'!$D$14</f>
        <v>0</v>
      </c>
      <c r="V121" s="302">
        <f>V46*'הנחות עבודה'!$D$33/'הנחות עבודה'!$D$14</f>
        <v>0</v>
      </c>
      <c r="W121" s="305">
        <f>W46*'הנחות עבודה'!$D$33/'הנחות עבודה'!$D$14</f>
        <v>0</v>
      </c>
    </row>
    <row r="122" spans="2:23">
      <c r="B122" s="306">
        <f t="shared" si="31"/>
        <v>2036</v>
      </c>
      <c r="C122" s="583">
        <f>C47*'הנחות עבודה'!$D$33/'הנחות עבודה'!$D$14</f>
        <v>0</v>
      </c>
      <c r="D122" s="302">
        <f>D47*'הנחות עבודה'!$D$33/'הנחות עבודה'!$D$14</f>
        <v>0</v>
      </c>
      <c r="E122" s="302">
        <f>E47*'הנחות עבודה'!$D$33/'הנחות עבודה'!$D$14</f>
        <v>0</v>
      </c>
      <c r="F122" s="302">
        <f>F47*'הנחות עבודה'!$D$33/'הנחות עבודה'!$D$14</f>
        <v>0</v>
      </c>
      <c r="G122" s="302">
        <f>G47*'הנחות עבודה'!$D$33/'הנחות עבודה'!$D$14</f>
        <v>0</v>
      </c>
      <c r="H122" s="302">
        <f>H47*'הנחות עבודה'!$D$33/'הנחות עבודה'!$D$14</f>
        <v>0</v>
      </c>
      <c r="I122" s="302">
        <f>I47*'הנחות עבודה'!$D$33/'הנחות עבודה'!$D$14</f>
        <v>0</v>
      </c>
      <c r="J122" s="302">
        <f>J47*'הנחות עבודה'!$D$33/'הנחות עבודה'!$D$14</f>
        <v>0</v>
      </c>
      <c r="K122" s="302">
        <f>K47*'הנחות עבודה'!$D$33/'הנחות עבודה'!$D$14</f>
        <v>0</v>
      </c>
      <c r="L122" s="302">
        <f>L47*'הנחות עבודה'!$D$33/'הנחות עבודה'!$D$14</f>
        <v>0</v>
      </c>
      <c r="M122" s="302">
        <f>M47*'הנחות עבודה'!$D$33/'הנחות עבודה'!$D$14</f>
        <v>0</v>
      </c>
      <c r="N122" s="302">
        <f>N47*'הנחות עבודה'!$D$33/'הנחות עבודה'!$D$14</f>
        <v>0</v>
      </c>
      <c r="O122" s="302">
        <f>O47*'הנחות עבודה'!$D$33/'הנחות עבודה'!$D$14</f>
        <v>0</v>
      </c>
      <c r="P122" s="302">
        <f>P47*'הנחות עבודה'!$D$33/'הנחות עבודה'!$D$14</f>
        <v>0</v>
      </c>
      <c r="Q122" s="302">
        <f>Q47*'הנחות עבודה'!$D$33/'הנחות עבודה'!$D$14</f>
        <v>0</v>
      </c>
      <c r="R122" s="302">
        <f>R47*'הנחות עבודה'!$D$33/'הנחות עבודה'!$D$14</f>
        <v>0</v>
      </c>
      <c r="S122" s="302">
        <f>S47*'הנחות עבודה'!$D$33/'הנחות עבודה'!$D$14</f>
        <v>0</v>
      </c>
      <c r="T122" s="302">
        <f>T47*'הנחות עבודה'!$D$33/'הנחות עבודה'!$D$14</f>
        <v>0</v>
      </c>
      <c r="U122" s="302">
        <f>U47*'הנחות עבודה'!$D$33/'הנחות עבודה'!$D$14</f>
        <v>0</v>
      </c>
      <c r="V122" s="302">
        <f>V47*'הנחות עבודה'!$D$33/'הנחות עבודה'!$D$14</f>
        <v>0</v>
      </c>
      <c r="W122" s="305">
        <f>W47*'הנחות עבודה'!$D$33/'הנחות עבודה'!$D$14</f>
        <v>0</v>
      </c>
    </row>
    <row r="123" spans="2:23">
      <c r="B123" s="306">
        <f t="shared" si="31"/>
        <v>2037</v>
      </c>
      <c r="C123" s="583">
        <f>C48*'הנחות עבודה'!$D$33/'הנחות עבודה'!$D$14</f>
        <v>0</v>
      </c>
      <c r="D123" s="302">
        <f>D48*'הנחות עבודה'!$D$33/'הנחות עבודה'!$D$14</f>
        <v>0</v>
      </c>
      <c r="E123" s="302">
        <f>E48*'הנחות עבודה'!$D$33/'הנחות עבודה'!$D$14</f>
        <v>0</v>
      </c>
      <c r="F123" s="302">
        <f>F48*'הנחות עבודה'!$D$33/'הנחות עבודה'!$D$14</f>
        <v>0</v>
      </c>
      <c r="G123" s="302">
        <f>G48*'הנחות עבודה'!$D$33/'הנחות עבודה'!$D$14</f>
        <v>0</v>
      </c>
      <c r="H123" s="302">
        <f>H48*'הנחות עבודה'!$D$33/'הנחות עבודה'!$D$14</f>
        <v>0</v>
      </c>
      <c r="I123" s="302">
        <f>I48*'הנחות עבודה'!$D$33/'הנחות עבודה'!$D$14</f>
        <v>0</v>
      </c>
      <c r="J123" s="302">
        <f>J48*'הנחות עבודה'!$D$33/'הנחות עבודה'!$D$14</f>
        <v>0</v>
      </c>
      <c r="K123" s="302">
        <f>K48*'הנחות עבודה'!$D$33/'הנחות עבודה'!$D$14</f>
        <v>0</v>
      </c>
      <c r="L123" s="302">
        <f>L48*'הנחות עבודה'!$D$33/'הנחות עבודה'!$D$14</f>
        <v>0</v>
      </c>
      <c r="M123" s="302">
        <f>M48*'הנחות עבודה'!$D$33/'הנחות עבודה'!$D$14</f>
        <v>0</v>
      </c>
      <c r="N123" s="302">
        <f>N48*'הנחות עבודה'!$D$33/'הנחות עבודה'!$D$14</f>
        <v>0</v>
      </c>
      <c r="O123" s="302">
        <f>O48*'הנחות עבודה'!$D$33/'הנחות עבודה'!$D$14</f>
        <v>0</v>
      </c>
      <c r="P123" s="302">
        <f>P48*'הנחות עבודה'!$D$33/'הנחות עבודה'!$D$14</f>
        <v>0</v>
      </c>
      <c r="Q123" s="302">
        <f>Q48*'הנחות עבודה'!$D$33/'הנחות עבודה'!$D$14</f>
        <v>0</v>
      </c>
      <c r="R123" s="302">
        <f>R48*'הנחות עבודה'!$D$33/'הנחות עבודה'!$D$14</f>
        <v>0</v>
      </c>
      <c r="S123" s="302">
        <f>S48*'הנחות עבודה'!$D$33/'הנחות עבודה'!$D$14</f>
        <v>0</v>
      </c>
      <c r="T123" s="302">
        <f>T48*'הנחות עבודה'!$D$33/'הנחות עבודה'!$D$14</f>
        <v>0</v>
      </c>
      <c r="U123" s="302">
        <f>U48*'הנחות עבודה'!$D$33/'הנחות עבודה'!$D$14</f>
        <v>0</v>
      </c>
      <c r="V123" s="302">
        <f>V48*'הנחות עבודה'!$D$33/'הנחות עבודה'!$D$14</f>
        <v>0</v>
      </c>
      <c r="W123" s="305">
        <f>W48*'הנחות עבודה'!$D$33/'הנחות עבודה'!$D$14</f>
        <v>0</v>
      </c>
    </row>
    <row r="124" spans="2:23">
      <c r="B124" s="306">
        <f t="shared" si="31"/>
        <v>2038</v>
      </c>
      <c r="C124" s="583">
        <f>C49*'הנחות עבודה'!$D$33/'הנחות עבודה'!$D$14</f>
        <v>0</v>
      </c>
      <c r="D124" s="302">
        <f>D49*'הנחות עבודה'!$D$33/'הנחות עבודה'!$D$14</f>
        <v>0</v>
      </c>
      <c r="E124" s="302">
        <f>E49*'הנחות עבודה'!$D$33/'הנחות עבודה'!$D$14</f>
        <v>0</v>
      </c>
      <c r="F124" s="302">
        <f>F49*'הנחות עבודה'!$D$33/'הנחות עבודה'!$D$14</f>
        <v>0</v>
      </c>
      <c r="G124" s="302">
        <f>G49*'הנחות עבודה'!$D$33/'הנחות עבודה'!$D$14</f>
        <v>0</v>
      </c>
      <c r="H124" s="302">
        <f>H49*'הנחות עבודה'!$D$33/'הנחות עבודה'!$D$14</f>
        <v>0</v>
      </c>
      <c r="I124" s="302">
        <f>I49*'הנחות עבודה'!$D$33/'הנחות עבודה'!$D$14</f>
        <v>0</v>
      </c>
      <c r="J124" s="302">
        <f>J49*'הנחות עבודה'!$D$33/'הנחות עבודה'!$D$14</f>
        <v>0</v>
      </c>
      <c r="K124" s="302">
        <f>K49*'הנחות עבודה'!$D$33/'הנחות עבודה'!$D$14</f>
        <v>0</v>
      </c>
      <c r="L124" s="302">
        <f>L49*'הנחות עבודה'!$D$33/'הנחות עבודה'!$D$14</f>
        <v>0</v>
      </c>
      <c r="M124" s="302">
        <f>M49*'הנחות עבודה'!$D$33/'הנחות עבודה'!$D$14</f>
        <v>0</v>
      </c>
      <c r="N124" s="302">
        <f>N49*'הנחות עבודה'!$D$33/'הנחות עבודה'!$D$14</f>
        <v>0</v>
      </c>
      <c r="O124" s="302">
        <f>O49*'הנחות עבודה'!$D$33/'הנחות עבודה'!$D$14</f>
        <v>0</v>
      </c>
      <c r="P124" s="302">
        <f>P49*'הנחות עבודה'!$D$33/'הנחות עבודה'!$D$14</f>
        <v>0</v>
      </c>
      <c r="Q124" s="302">
        <f>Q49*'הנחות עבודה'!$D$33/'הנחות עבודה'!$D$14</f>
        <v>0</v>
      </c>
      <c r="R124" s="302">
        <f>R49*'הנחות עבודה'!$D$33/'הנחות עבודה'!$D$14</f>
        <v>0</v>
      </c>
      <c r="S124" s="302">
        <f>S49*'הנחות עבודה'!$D$33/'הנחות עבודה'!$D$14</f>
        <v>0</v>
      </c>
      <c r="T124" s="302">
        <f>T49*'הנחות עבודה'!$D$33/'הנחות עבודה'!$D$14</f>
        <v>0</v>
      </c>
      <c r="U124" s="302">
        <f>U49*'הנחות עבודה'!$D$33/'הנחות עבודה'!$D$14</f>
        <v>0</v>
      </c>
      <c r="V124" s="302">
        <f>V49*'הנחות עבודה'!$D$33/'הנחות עבודה'!$D$14</f>
        <v>0</v>
      </c>
      <c r="W124" s="305">
        <f>W49*'הנחות עבודה'!$D$33/'הנחות עבודה'!$D$14</f>
        <v>0</v>
      </c>
    </row>
    <row r="125" spans="2:23">
      <c r="B125" s="306">
        <f t="shared" si="31"/>
        <v>2039</v>
      </c>
      <c r="C125" s="583">
        <f>C50*'הנחות עבודה'!$D$33/'הנחות עבודה'!$D$14</f>
        <v>0</v>
      </c>
      <c r="D125" s="302">
        <f>D50*'הנחות עבודה'!$D$33/'הנחות עבודה'!$D$14</f>
        <v>0</v>
      </c>
      <c r="E125" s="302">
        <f>E50*'הנחות עבודה'!$D$33/'הנחות עבודה'!$D$14</f>
        <v>0</v>
      </c>
      <c r="F125" s="302">
        <f>F50*'הנחות עבודה'!$D$33/'הנחות עבודה'!$D$14</f>
        <v>0</v>
      </c>
      <c r="G125" s="302">
        <f>G50*'הנחות עבודה'!$D$33/'הנחות עבודה'!$D$14</f>
        <v>0</v>
      </c>
      <c r="H125" s="302">
        <f>H50*'הנחות עבודה'!$D$33/'הנחות עבודה'!$D$14</f>
        <v>0</v>
      </c>
      <c r="I125" s="302">
        <f>I50*'הנחות עבודה'!$D$33/'הנחות עבודה'!$D$14</f>
        <v>0</v>
      </c>
      <c r="J125" s="302">
        <f>J50*'הנחות עבודה'!$D$33/'הנחות עבודה'!$D$14</f>
        <v>0</v>
      </c>
      <c r="K125" s="302">
        <f>K50*'הנחות עבודה'!$D$33/'הנחות עבודה'!$D$14</f>
        <v>0</v>
      </c>
      <c r="L125" s="302">
        <f>L50*'הנחות עבודה'!$D$33/'הנחות עבודה'!$D$14</f>
        <v>0</v>
      </c>
      <c r="M125" s="302">
        <f>M50*'הנחות עבודה'!$D$33/'הנחות עבודה'!$D$14</f>
        <v>0</v>
      </c>
      <c r="N125" s="302">
        <f>N50*'הנחות עבודה'!$D$33/'הנחות עבודה'!$D$14</f>
        <v>0</v>
      </c>
      <c r="O125" s="302">
        <f>O50*'הנחות עבודה'!$D$33/'הנחות עבודה'!$D$14</f>
        <v>0</v>
      </c>
      <c r="P125" s="302">
        <f>P50*'הנחות עבודה'!$D$33/'הנחות עבודה'!$D$14</f>
        <v>0</v>
      </c>
      <c r="Q125" s="302">
        <f>Q50*'הנחות עבודה'!$D$33/'הנחות עבודה'!$D$14</f>
        <v>0</v>
      </c>
      <c r="R125" s="302">
        <f>R50*'הנחות עבודה'!$D$33/'הנחות עבודה'!$D$14</f>
        <v>0</v>
      </c>
      <c r="S125" s="302">
        <f>S50*'הנחות עבודה'!$D$33/'הנחות עבודה'!$D$14</f>
        <v>0</v>
      </c>
      <c r="T125" s="302">
        <f>T50*'הנחות עבודה'!$D$33/'הנחות עבודה'!$D$14</f>
        <v>0</v>
      </c>
      <c r="U125" s="302">
        <f>U50*'הנחות עבודה'!$D$33/'הנחות עבודה'!$D$14</f>
        <v>0</v>
      </c>
      <c r="V125" s="302">
        <f>V50*'הנחות עבודה'!$D$33/'הנחות עבודה'!$D$14</f>
        <v>0</v>
      </c>
      <c r="W125" s="305">
        <f>W50*'הנחות עבודה'!$D$33/'הנחות עבודה'!$D$14</f>
        <v>0</v>
      </c>
    </row>
    <row r="126" spans="2:23" ht="15.75" thickBot="1">
      <c r="B126" s="306">
        <f t="shared" si="31"/>
        <v>2040</v>
      </c>
      <c r="C126" s="584">
        <f>C51*'הנחות עבודה'!$D$33/'הנחות עבודה'!$D$14</f>
        <v>0</v>
      </c>
      <c r="D126" s="585">
        <f>D51*'הנחות עבודה'!$D$33/'הנחות עבודה'!$D$14</f>
        <v>0</v>
      </c>
      <c r="E126" s="585">
        <f>E51*'הנחות עבודה'!$D$33/'הנחות עבודה'!$D$14</f>
        <v>0</v>
      </c>
      <c r="F126" s="585">
        <f>F51*'הנחות עבודה'!$D$33/'הנחות עבודה'!$D$14</f>
        <v>0</v>
      </c>
      <c r="G126" s="585">
        <f>G51*'הנחות עבודה'!$D$33/'הנחות עבודה'!$D$14</f>
        <v>0</v>
      </c>
      <c r="H126" s="585">
        <f>H51*'הנחות עבודה'!$D$33/'הנחות עבודה'!$D$14</f>
        <v>0</v>
      </c>
      <c r="I126" s="585">
        <f>I51*'הנחות עבודה'!$D$33/'הנחות עבודה'!$D$14</f>
        <v>0</v>
      </c>
      <c r="J126" s="585">
        <f>J51*'הנחות עבודה'!$D$33/'הנחות עבודה'!$D$14</f>
        <v>0</v>
      </c>
      <c r="K126" s="585">
        <f>K51*'הנחות עבודה'!$D$33/'הנחות עבודה'!$D$14</f>
        <v>0</v>
      </c>
      <c r="L126" s="585">
        <f>L51*'הנחות עבודה'!$D$33/'הנחות עבודה'!$D$14</f>
        <v>0</v>
      </c>
      <c r="M126" s="585">
        <f>M51*'הנחות עבודה'!$D$33/'הנחות עבודה'!$D$14</f>
        <v>0</v>
      </c>
      <c r="N126" s="585">
        <f>N51*'הנחות עבודה'!$D$33/'הנחות עבודה'!$D$14</f>
        <v>0</v>
      </c>
      <c r="O126" s="585">
        <f>O51*'הנחות עבודה'!$D$33/'הנחות עבודה'!$D$14</f>
        <v>0</v>
      </c>
      <c r="P126" s="585">
        <f>P51*'הנחות עבודה'!$D$33/'הנחות עבודה'!$D$14</f>
        <v>0</v>
      </c>
      <c r="Q126" s="585">
        <f>Q51*'הנחות עבודה'!$D$33/'הנחות עבודה'!$D$14</f>
        <v>0</v>
      </c>
      <c r="R126" s="585">
        <f>R51*'הנחות עבודה'!$D$33/'הנחות עבודה'!$D$14</f>
        <v>0</v>
      </c>
      <c r="S126" s="585">
        <f>S51*'הנחות עבודה'!$D$33/'הנחות עבודה'!$D$14</f>
        <v>0</v>
      </c>
      <c r="T126" s="585">
        <f>T51*'הנחות עבודה'!$D$33/'הנחות עבודה'!$D$14</f>
        <v>0</v>
      </c>
      <c r="U126" s="585">
        <f>U51*'הנחות עבודה'!$D$33/'הנחות עבודה'!$D$14</f>
        <v>0</v>
      </c>
      <c r="V126" s="585">
        <f>V51*'הנחות עבודה'!$D$33/'הנחות עבודה'!$D$14</f>
        <v>0</v>
      </c>
      <c r="W126" s="586">
        <f>W51*'הנחות עבודה'!$D$33/'הנחות עבודה'!$D$14</f>
        <v>0</v>
      </c>
    </row>
    <row r="127" spans="2:23" ht="15.75" thickBot="1">
      <c r="B127" s="249" t="s">
        <v>230</v>
      </c>
      <c r="C127" s="581">
        <f t="shared" ref="C127:W127" si="32">SUM(C106:C126)</f>
        <v>6.4147628560000207</v>
      </c>
      <c r="D127" s="581">
        <f t="shared" si="32"/>
        <v>7.5934186360000524</v>
      </c>
      <c r="E127" s="581">
        <f t="shared" si="32"/>
        <v>8.4630847560000575</v>
      </c>
      <c r="F127" s="581">
        <f t="shared" si="32"/>
        <v>9.3831466300000663</v>
      </c>
      <c r="G127" s="581">
        <f t="shared" si="32"/>
        <v>10.340185321000073</v>
      </c>
      <c r="H127" s="581">
        <f t="shared" si="32"/>
        <v>11.446599970000078</v>
      </c>
      <c r="I127" s="581">
        <f t="shared" si="32"/>
        <v>13.133373170000084</v>
      </c>
      <c r="J127" s="581">
        <f t="shared" si="32"/>
        <v>14.904649755000092</v>
      </c>
      <c r="K127" s="581">
        <f t="shared" si="32"/>
        <v>16.710066990000101</v>
      </c>
      <c r="L127" s="581">
        <f t="shared" si="32"/>
        <v>18.715535770000102</v>
      </c>
      <c r="M127" s="581">
        <f t="shared" si="32"/>
        <v>20.763205320000111</v>
      </c>
      <c r="N127" s="581">
        <f t="shared" si="32"/>
        <v>20.638626088080109</v>
      </c>
      <c r="O127" s="581">
        <f t="shared" si="32"/>
        <v>20.514794331551624</v>
      </c>
      <c r="P127" s="581">
        <f t="shared" si="32"/>
        <v>20.391705565562319</v>
      </c>
      <c r="Q127" s="581">
        <f t="shared" si="32"/>
        <v>20.269355332168946</v>
      </c>
      <c r="R127" s="581">
        <f t="shared" si="32"/>
        <v>20.147739200175927</v>
      </c>
      <c r="S127" s="581">
        <f t="shared" si="32"/>
        <v>20.026852764974876</v>
      </c>
      <c r="T127" s="581">
        <f t="shared" si="32"/>
        <v>19.906691648385024</v>
      </c>
      <c r="U127" s="581">
        <f t="shared" si="32"/>
        <v>19.787251498494712</v>
      </c>
      <c r="V127" s="581">
        <f t="shared" si="32"/>
        <v>19.668527989503747</v>
      </c>
      <c r="W127" s="581">
        <f t="shared" si="32"/>
        <v>19.550516821566724</v>
      </c>
    </row>
    <row r="128" spans="2:23" ht="15.75" thickBot="1"/>
    <row r="129" spans="2:23" ht="16.5" thickBot="1">
      <c r="B129" s="1286" t="s">
        <v>232</v>
      </c>
      <c r="C129" s="1287"/>
      <c r="D129" s="1287"/>
      <c r="E129" s="1287"/>
      <c r="F129" s="1287"/>
      <c r="G129" s="1287"/>
      <c r="H129" s="1287"/>
      <c r="I129" s="1287"/>
      <c r="J129" s="1287"/>
      <c r="K129" s="1287"/>
      <c r="L129" s="1287"/>
      <c r="M129" s="1287"/>
      <c r="N129" s="1287"/>
      <c r="O129" s="1287"/>
      <c r="P129" s="1287"/>
      <c r="Q129" s="1287"/>
      <c r="R129" s="1287"/>
      <c r="S129" s="1287"/>
      <c r="T129" s="1287"/>
      <c r="U129" s="1287"/>
      <c r="V129" s="1287"/>
      <c r="W129" s="1288"/>
    </row>
    <row r="130" spans="2:23" ht="16.5" thickBot="1">
      <c r="B130" s="310" t="s">
        <v>237</v>
      </c>
      <c r="C130" s="309">
        <f>C105</f>
        <v>2020</v>
      </c>
      <c r="D130" s="309">
        <f t="shared" ref="D130:W130" si="33">+C130+1</f>
        <v>2021</v>
      </c>
      <c r="E130" s="309">
        <f t="shared" si="33"/>
        <v>2022</v>
      </c>
      <c r="F130" s="309">
        <f t="shared" si="33"/>
        <v>2023</v>
      </c>
      <c r="G130" s="309">
        <f t="shared" si="33"/>
        <v>2024</v>
      </c>
      <c r="H130" s="309">
        <f t="shared" si="33"/>
        <v>2025</v>
      </c>
      <c r="I130" s="309">
        <f t="shared" si="33"/>
        <v>2026</v>
      </c>
      <c r="J130" s="309">
        <f t="shared" si="33"/>
        <v>2027</v>
      </c>
      <c r="K130" s="309">
        <f t="shared" si="33"/>
        <v>2028</v>
      </c>
      <c r="L130" s="309">
        <f t="shared" si="33"/>
        <v>2029</v>
      </c>
      <c r="M130" s="309">
        <f t="shared" si="33"/>
        <v>2030</v>
      </c>
      <c r="N130" s="309">
        <f t="shared" si="33"/>
        <v>2031</v>
      </c>
      <c r="O130" s="309">
        <f t="shared" si="33"/>
        <v>2032</v>
      </c>
      <c r="P130" s="309">
        <f t="shared" si="33"/>
        <v>2033</v>
      </c>
      <c r="Q130" s="309">
        <f t="shared" si="33"/>
        <v>2034</v>
      </c>
      <c r="R130" s="309">
        <f t="shared" si="33"/>
        <v>2035</v>
      </c>
      <c r="S130" s="309">
        <f t="shared" si="33"/>
        <v>2036</v>
      </c>
      <c r="T130" s="309">
        <f t="shared" si="33"/>
        <v>2037</v>
      </c>
      <c r="U130" s="309">
        <f t="shared" si="33"/>
        <v>2038</v>
      </c>
      <c r="V130" s="309">
        <f t="shared" si="33"/>
        <v>2039</v>
      </c>
      <c r="W130" s="307">
        <f t="shared" si="33"/>
        <v>2040</v>
      </c>
    </row>
    <row r="131" spans="2:23">
      <c r="B131" s="311">
        <f>B81</f>
        <v>2020</v>
      </c>
      <c r="C131" s="303">
        <f>C56*'הנחות עבודה'!$D$33/'הנחות עבודה'!$D$14</f>
        <v>6.4147628560000207</v>
      </c>
      <c r="D131" s="303">
        <f>D56*'הנחות עבודה'!$D$33/'הנחות עבודה'!$D$14</f>
        <v>6.3762742788640203</v>
      </c>
      <c r="E131" s="303">
        <f>E56*'הנחות עבודה'!$D$33/'הנחות עבודה'!$D$14</f>
        <v>6.3380166331908372</v>
      </c>
      <c r="F131" s="303">
        <f>F56*'הנחות עבודה'!$D$33/'הנחות עבודה'!$D$14</f>
        <v>6.2999885333916916</v>
      </c>
      <c r="G131" s="303">
        <f>G56*'הנחות עבודה'!$D$33/'הנחות עבודה'!$D$14</f>
        <v>6.2621886021913413</v>
      </c>
      <c r="H131" s="303">
        <f>H56*'הנחות עבודה'!$D$33/'הנחות עבודה'!$D$14</f>
        <v>6.2246154705781933</v>
      </c>
      <c r="I131" s="303">
        <f>I56*'הנחות עבודה'!$D$33/'הנחות עבודה'!$D$14</f>
        <v>6.187267777754724</v>
      </c>
      <c r="J131" s="303">
        <f>J56*'הנחות עבודה'!$D$33/'הנחות עבודה'!$D$14</f>
        <v>6.1501441710881961</v>
      </c>
      <c r="K131" s="303">
        <f>K56*'הנחות עבודה'!$D$33/'הנחות עבודה'!$D$14</f>
        <v>6.1132433060616664</v>
      </c>
      <c r="L131" s="303">
        <f>L56*'הנחות עבודה'!$D$33/'הנחות עבודה'!$D$14</f>
        <v>6.0765638462252971</v>
      </c>
      <c r="M131" s="303">
        <f>M56*'הנחות עבודה'!$D$33/'הנחות עבודה'!$D$14</f>
        <v>6.0401044631479444</v>
      </c>
      <c r="N131" s="303">
        <f>N56*'הנחות עבודה'!$D$33/'הנחות עבודה'!$D$14</f>
        <v>6.0038638363690575</v>
      </c>
      <c r="O131" s="303">
        <f>O56*'הנחות עבודה'!$D$33/'הנחות עבודה'!$D$14</f>
        <v>5.9678406533508435</v>
      </c>
      <c r="P131" s="303">
        <f>P56*'הנחות עבודה'!$D$33/'הנחות עבודה'!$D$14</f>
        <v>5.9320336094307375</v>
      </c>
      <c r="Q131" s="303">
        <f>Q56*'הנחות עבודה'!$D$33/'הנחות עבודה'!$D$14</f>
        <v>5.8964414077741543</v>
      </c>
      <c r="R131" s="303">
        <f>R56*'הנחות עבודה'!$D$33/'הנחות עבודה'!$D$14</f>
        <v>5.8610627593275098</v>
      </c>
      <c r="S131" s="303">
        <f>S56*'הנחות עבודה'!$D$33/'הנחות עבודה'!$D$14</f>
        <v>5.8258963827715444</v>
      </c>
      <c r="T131" s="303">
        <f>T56*'הנחות עבודה'!$D$33/'הנחות עבודה'!$D$14</f>
        <v>5.7909410044749148</v>
      </c>
      <c r="U131" s="303">
        <f>U56*'הנחות עבודה'!$D$33/'הנחות עבודה'!$D$14</f>
        <v>5.7561953584480658</v>
      </c>
      <c r="V131" s="303">
        <f>V56*'הנחות עבודה'!$D$33/'הנחות עבודה'!$D$14</f>
        <v>5.7216581862973763</v>
      </c>
      <c r="W131" s="304">
        <f>W56*'הנחות עבודה'!$D$33/'הנחות עבודה'!$D$14</f>
        <v>5.6873282371795923</v>
      </c>
    </row>
    <row r="132" spans="2:23">
      <c r="B132" s="306">
        <f>+B131+1</f>
        <v>2021</v>
      </c>
      <c r="C132" s="302">
        <f>C57*'הנחות עבודה'!$D$33/'הנחות עבודה'!$D$14</f>
        <v>0</v>
      </c>
      <c r="D132" s="302">
        <f>D57*'הנחות עבודה'!$D$33/'הנחות עבודה'!$D$14</f>
        <v>0.53214074913603071</v>
      </c>
      <c r="E132" s="302">
        <f>E57*'הנחות עבודה'!$D$33/'הנחות עבודה'!$D$14</f>
        <v>0.52894790464121444</v>
      </c>
      <c r="F132" s="302">
        <f>F57*'הנחות עבודה'!$D$33/'הנחות עבודה'!$D$14</f>
        <v>0.52577421721336715</v>
      </c>
      <c r="G132" s="302">
        <f>G57*'הנחות עבודה'!$D$33/'הנחות עבודה'!$D$14</f>
        <v>0.52261957191008701</v>
      </c>
      <c r="H132" s="302">
        <f>H57*'הנחות עבודה'!$D$33/'הנחות עבודה'!$D$14</f>
        <v>0.51948385447862644</v>
      </c>
      <c r="I132" s="302">
        <f>I57*'הנחות עבודה'!$D$33/'הנחות עבודה'!$D$14</f>
        <v>0.51636695135175459</v>
      </c>
      <c r="J132" s="302">
        <f>J57*'הנחות עבודה'!$D$33/'הנחות עבודה'!$D$14</f>
        <v>0.513268749643644</v>
      </c>
      <c r="K132" s="302">
        <f>K57*'הנחות עבודה'!$D$33/'הנחות עבודה'!$D$14</f>
        <v>0.51018913714578218</v>
      </c>
      <c r="L132" s="302">
        <f>L57*'הנחות עבודה'!$D$33/'הנחות עבודה'!$D$14</f>
        <v>0.50712800232290756</v>
      </c>
      <c r="M132" s="302">
        <f>M57*'הנחות עבודה'!$D$33/'הנחות עבודה'!$D$14</f>
        <v>0.50408523430897001</v>
      </c>
      <c r="N132" s="302">
        <f>N57*'הנחות עבודה'!$D$33/'הנחות עבודה'!$D$14</f>
        <v>0.5010607229031161</v>
      </c>
      <c r="O132" s="302">
        <f>O57*'הנחות עבודה'!$D$33/'הנחות עבודה'!$D$14</f>
        <v>0.49805435856569746</v>
      </c>
      <c r="P132" s="302">
        <f>P57*'הנחות עבודה'!$D$33/'הנחות עבודה'!$D$14</f>
        <v>0.49506603241430336</v>
      </c>
      <c r="Q132" s="302">
        <f>Q57*'הנחות עבודה'!$D$33/'הנחות עבודה'!$D$14</f>
        <v>0.49209563621981744</v>
      </c>
      <c r="R132" s="302">
        <f>R57*'הנחות עבודה'!$D$33/'הנחות עבודה'!$D$14</f>
        <v>0.4891430624024985</v>
      </c>
      <c r="S132" s="302">
        <f>S57*'הנחות עבודה'!$D$33/'הנחות עבודה'!$D$14</f>
        <v>0.48620820402808346</v>
      </c>
      <c r="T132" s="302">
        <f>T57*'הנחות עבודה'!$D$33/'הנחות עבודה'!$D$14</f>
        <v>0.48329095480391504</v>
      </c>
      <c r="U132" s="302">
        <f>U57*'הנחות עבודה'!$D$33/'הנחות עבודה'!$D$14</f>
        <v>0.48039120907509159</v>
      </c>
      <c r="V132" s="302">
        <f>V57*'הנחות עבודה'!$D$33/'הנחות עבודה'!$D$14</f>
        <v>0.47750886182064101</v>
      </c>
      <c r="W132" s="305">
        <f>W57*'הנחות עבודה'!$D$33/'הנחות עבודה'!$D$14</f>
        <v>0.47464380864971722</v>
      </c>
    </row>
    <row r="133" spans="2:23">
      <c r="B133" s="306">
        <f t="shared" ref="B133:B151" si="34">+B132+1</f>
        <v>2022</v>
      </c>
      <c r="C133" s="302">
        <f>C58*'הנחות עבודה'!$D$33/'הנחות עבודה'!$D$14</f>
        <v>0</v>
      </c>
      <c r="D133" s="302">
        <f>D58*'הנחות עבודה'!$D$33/'הנחות עבודה'!$D$14</f>
        <v>0</v>
      </c>
      <c r="E133" s="302">
        <f>E58*'הנחות עבודה'!$D$33/'הנחות עבודה'!$D$14</f>
        <v>0.18859605216800759</v>
      </c>
      <c r="F133" s="302">
        <f>F58*'הנחות עבודה'!$D$33/'הנחות עבודה'!$D$14</f>
        <v>0.18746447585499953</v>
      </c>
      <c r="G133" s="302">
        <f>G58*'הנחות עבודה'!$D$33/'הנחות עבודה'!$D$14</f>
        <v>0.18633968899986955</v>
      </c>
      <c r="H133" s="302">
        <f>H58*'הנחות עבודה'!$D$33/'הנחות עבודה'!$D$14</f>
        <v>0.18522165086587034</v>
      </c>
      <c r="I133" s="302">
        <f>I58*'הנחות עבודה'!$D$33/'הנחות עבודה'!$D$14</f>
        <v>0.18411032096067512</v>
      </c>
      <c r="J133" s="302">
        <f>J58*'הנחות עבודה'!$D$33/'הנחות עבודה'!$D$14</f>
        <v>0.18300565903491109</v>
      </c>
      <c r="K133" s="302">
        <f>K58*'הנחות עבודה'!$D$33/'הנחות עבודה'!$D$14</f>
        <v>0.1819076250807016</v>
      </c>
      <c r="L133" s="302">
        <f>L58*'הנחות עבודה'!$D$33/'הנחות עבודה'!$D$14</f>
        <v>0.1808161793302174</v>
      </c>
      <c r="M133" s="302">
        <f>M58*'הנחות עבודה'!$D$33/'הנחות עבודה'!$D$14</f>
        <v>0.17973128225423607</v>
      </c>
      <c r="N133" s="302">
        <f>N58*'הנחות עבודה'!$D$33/'הנחות עבודה'!$D$14</f>
        <v>0.17865289456071068</v>
      </c>
      <c r="O133" s="302">
        <f>O58*'הנחות עבודה'!$D$33/'הנחות עבודה'!$D$14</f>
        <v>0.1775809771933464</v>
      </c>
      <c r="P133" s="302">
        <f>P58*'הנחות עבודה'!$D$33/'הנחות עבודה'!$D$14</f>
        <v>0.17651549133018635</v>
      </c>
      <c r="Q133" s="302">
        <f>Q58*'הנחות עבודה'!$D$33/'הנחות עבודה'!$D$14</f>
        <v>0.1754563983822052</v>
      </c>
      <c r="R133" s="302">
        <f>R58*'הנחות עבודה'!$D$33/'הנחות עבודה'!$D$14</f>
        <v>0.17440365999191199</v>
      </c>
      <c r="S133" s="302">
        <f>S58*'הנחות עבודה'!$D$33/'הנחות עבודה'!$D$14</f>
        <v>0.17335723803196049</v>
      </c>
      <c r="T133" s="302">
        <f>T58*'הנחות עבודה'!$D$33/'הנחות עבודה'!$D$14</f>
        <v>0.17231709460376876</v>
      </c>
      <c r="U133" s="302">
        <f>U58*'הנחות עבודה'!$D$33/'הנחות עבודה'!$D$14</f>
        <v>0.17128319203614614</v>
      </c>
      <c r="V133" s="302">
        <f>V58*'הנחות עבודה'!$D$33/'הנחות עבודה'!$D$14</f>
        <v>0.17025549288392924</v>
      </c>
      <c r="W133" s="305">
        <f>W58*'הנחות עבודה'!$D$33/'הנחות עבודה'!$D$14</f>
        <v>0.16923395992662568</v>
      </c>
    </row>
    <row r="134" spans="2:23">
      <c r="B134" s="306">
        <f t="shared" si="34"/>
        <v>2023</v>
      </c>
      <c r="C134" s="302">
        <f>C59*'הנחות עבודה'!$D$33/'הנחות עבודה'!$D$14</f>
        <v>0</v>
      </c>
      <c r="D134" s="302">
        <f>D59*'הנחות עבודה'!$D$33/'הנחות עבודה'!$D$14</f>
        <v>0</v>
      </c>
      <c r="E134" s="302">
        <f>E59*'הנחות עבודה'!$D$33/'הנחות עבודה'!$D$14</f>
        <v>0</v>
      </c>
      <c r="F134" s="302">
        <f>F59*'הנחות עבודה'!$D$33/'הנחות עבודה'!$D$14</f>
        <v>0.20068888654001033</v>
      </c>
      <c r="G134" s="302">
        <f>G59*'הנחות עבודה'!$D$33/'הנחות עבודה'!$D$14</f>
        <v>0.19948475322077031</v>
      </c>
      <c r="H134" s="302">
        <f>H59*'הנחות עבודה'!$D$33/'הנחות עבודה'!$D$14</f>
        <v>0.19828784470144567</v>
      </c>
      <c r="I134" s="302">
        <f>I59*'הנחות עבודה'!$D$33/'הנחות עבודה'!$D$14</f>
        <v>0.19709811763323701</v>
      </c>
      <c r="J134" s="302">
        <f>J59*'הנחות עבודה'!$D$33/'הנחות עבודה'!$D$14</f>
        <v>0.19591552892743758</v>
      </c>
      <c r="K134" s="302">
        <f>K59*'הנחות עבודה'!$D$33/'הנחות עבודה'!$D$14</f>
        <v>0.19474003575387294</v>
      </c>
      <c r="L134" s="302">
        <f>L59*'הנחות עבודה'!$D$33/'הנחות עבודה'!$D$14</f>
        <v>0.19357159553934972</v>
      </c>
      <c r="M134" s="302">
        <f>M59*'הנחות עבודה'!$D$33/'הנחות עבודה'!$D$14</f>
        <v>0.1924101659661136</v>
      </c>
      <c r="N134" s="302">
        <f>N59*'הנחות עבודה'!$D$33/'הנחות עבודה'!$D$14</f>
        <v>0.19125570497031691</v>
      </c>
      <c r="O134" s="302">
        <f>O59*'הנחות עבודה'!$D$33/'הנחות עבודה'!$D$14</f>
        <v>0.19010817074049499</v>
      </c>
      <c r="P134" s="302">
        <f>P59*'הנחות עבודה'!$D$33/'הנחות עבודה'!$D$14</f>
        <v>0.18896752171605202</v>
      </c>
      <c r="Q134" s="302">
        <f>Q59*'הנחות עבודה'!$D$33/'הנחות עבודה'!$D$14</f>
        <v>0.18783371658575573</v>
      </c>
      <c r="R134" s="302">
        <f>R59*'הנחות עבודה'!$D$33/'הנחות עבודה'!$D$14</f>
        <v>0.18670671428624119</v>
      </c>
      <c r="S134" s="302">
        <f>S59*'הנחות עבודה'!$D$33/'הנחות עבודה'!$D$14</f>
        <v>0.18558647400052375</v>
      </c>
      <c r="T134" s="302">
        <f>T59*'הנחות עבודה'!$D$33/'הנחות עבודה'!$D$14</f>
        <v>0.1844729551565206</v>
      </c>
      <c r="U134" s="302">
        <f>U59*'הנחות עבודה'!$D$33/'הנחות עבודה'!$D$14</f>
        <v>0.18336611742558148</v>
      </c>
      <c r="V134" s="302">
        <f>V59*'הנחות עבודה'!$D$33/'הנחות עבודה'!$D$14</f>
        <v>0.18226592072102796</v>
      </c>
      <c r="W134" s="305">
        <f>W59*'הנחות עבודה'!$D$33/'הנחות עבודה'!$D$14</f>
        <v>0.18117232519670182</v>
      </c>
    </row>
    <row r="135" spans="2:23">
      <c r="B135" s="306">
        <f t="shared" si="34"/>
        <v>2024</v>
      </c>
      <c r="C135" s="302">
        <f>C60*'הנחות עבודה'!$D$33/'הנחות עבודה'!$D$14</f>
        <v>0</v>
      </c>
      <c r="D135" s="302">
        <f>D60*'הנחות עבודה'!$D$33/'הנחות עבודה'!$D$14</f>
        <v>0</v>
      </c>
      <c r="E135" s="302">
        <f>E60*'הנחות עבודה'!$D$33/'הנחות עבודה'!$D$14</f>
        <v>0</v>
      </c>
      <c r="F135" s="302">
        <f>F60*'הנחות עבודה'!$D$33/'הנחות עבודה'!$D$14</f>
        <v>0</v>
      </c>
      <c r="G135" s="302">
        <f>G60*'הנחות עבודה'!$D$33/'הנחות עבודה'!$D$14</f>
        <v>0.20547456067801001</v>
      </c>
      <c r="H135" s="302">
        <f>H60*'הנחות עבודה'!$D$33/'הנחות עבודה'!$D$14</f>
        <v>0.20424171331394195</v>
      </c>
      <c r="I135" s="302">
        <f>I60*'הנחות עבודה'!$D$33/'הנחות עבודה'!$D$14</f>
        <v>0.20301626303405831</v>
      </c>
      <c r="J135" s="302">
        <f>J60*'הנחות עבודה'!$D$33/'הנחות עבודה'!$D$14</f>
        <v>0.20179816545585397</v>
      </c>
      <c r="K135" s="302">
        <f>K60*'הנחות עבודה'!$D$33/'הנחות עבודה'!$D$14</f>
        <v>0.20058737646311886</v>
      </c>
      <c r="L135" s="302">
        <f>L60*'הנחות עבודה'!$D$33/'הנחות עבודה'!$D$14</f>
        <v>0.1993838522043401</v>
      </c>
      <c r="M135" s="302">
        <f>M60*'הנחות עבודה'!$D$33/'הנחות עבודה'!$D$14</f>
        <v>0.19818754909111408</v>
      </c>
      <c r="N135" s="302">
        <f>N60*'הנחות עבודה'!$D$33/'הנחות עבודה'!$D$14</f>
        <v>0.1969984237965674</v>
      </c>
      <c r="O135" s="302">
        <f>O60*'הנחות עבודה'!$D$33/'הנחות עבודה'!$D$14</f>
        <v>0.19581643325378797</v>
      </c>
      <c r="P135" s="302">
        <f>P60*'הנחות עבודה'!$D$33/'הנחות עבודה'!$D$14</f>
        <v>0.19464153465426526</v>
      </c>
      <c r="Q135" s="302">
        <f>Q60*'הנחות עבודה'!$D$33/'הנחות עבודה'!$D$14</f>
        <v>0.19347368544633967</v>
      </c>
      <c r="R135" s="302">
        <f>R60*'הנחות עבודה'!$D$33/'הנחות עבודה'!$D$14</f>
        <v>0.19231284333366164</v>
      </c>
      <c r="S135" s="302">
        <f>S60*'הנחות עבודה'!$D$33/'הנחות עבודה'!$D$14</f>
        <v>0.19115896627365966</v>
      </c>
      <c r="T135" s="302">
        <f>T60*'הנחות עבודה'!$D$33/'הנחות עבודה'!$D$14</f>
        <v>0.19001201247601773</v>
      </c>
      <c r="U135" s="302">
        <f>U60*'הנחות עבודה'!$D$33/'הנחות עבודה'!$D$14</f>
        <v>0.18887194040116162</v>
      </c>
      <c r="V135" s="302">
        <f>V60*'הנחות עבודה'!$D$33/'הנחות עבודה'!$D$14</f>
        <v>0.18773870875875465</v>
      </c>
      <c r="W135" s="305">
        <f>W60*'הנחות עבודה'!$D$33/'הנחות עבודה'!$D$14</f>
        <v>0.18661227650620213</v>
      </c>
    </row>
    <row r="136" spans="2:23">
      <c r="B136" s="306">
        <f t="shared" si="34"/>
        <v>2025</v>
      </c>
      <c r="C136" s="302">
        <f>C61*'הנחות עבודה'!$D$33/'הנחות עבודה'!$D$14</f>
        <v>0</v>
      </c>
      <c r="D136" s="302">
        <f>D61*'הנחות עבודה'!$D$33/'הנחות עבודה'!$D$14</f>
        <v>0</v>
      </c>
      <c r="E136" s="302">
        <f>E61*'הנחות עבודה'!$D$33/'הנחות עבודה'!$D$14</f>
        <v>0</v>
      </c>
      <c r="F136" s="302">
        <f>F61*'הנחות עבודה'!$D$33/'הנחות עבודה'!$D$14</f>
        <v>0</v>
      </c>
      <c r="G136" s="302">
        <f>G61*'הנחות עבודה'!$D$33/'הנחות עבודה'!$D$14</f>
        <v>0</v>
      </c>
      <c r="H136" s="302">
        <f>H61*'הנחות עבודה'!$D$33/'הנחות עבודה'!$D$14</f>
        <v>0.29768167606200324</v>
      </c>
      <c r="I136" s="302">
        <f>I61*'הנחות עבודה'!$D$33/'הנחות עבודה'!$D$14</f>
        <v>0.29589558600563121</v>
      </c>
      <c r="J136" s="302">
        <f>J61*'הנחות עבודה'!$D$33/'הנחות עבודה'!$D$14</f>
        <v>0.29412021248959741</v>
      </c>
      <c r="K136" s="302">
        <f>K61*'הנחות עבודה'!$D$33/'הנחות עבודה'!$D$14</f>
        <v>0.29235549121465981</v>
      </c>
      <c r="L136" s="302">
        <f>L61*'הנחות עבודה'!$D$33/'הנחות עבודה'!$D$14</f>
        <v>0.29060135826737182</v>
      </c>
      <c r="M136" s="302">
        <f>M61*'הנחות עבודה'!$D$33/'הנחות עבודה'!$D$14</f>
        <v>0.2888577501177676</v>
      </c>
      <c r="N136" s="302">
        <f>N61*'הנחות עבודה'!$D$33/'הנחות עבודה'!$D$14</f>
        <v>0.28712460361706099</v>
      </c>
      <c r="O136" s="302">
        <f>O61*'הנחות עבודה'!$D$33/'הנחות עבודה'!$D$14</f>
        <v>0.28540185599535861</v>
      </c>
      <c r="P136" s="302">
        <f>P61*'הנחות עבודה'!$D$33/'הנחות עבודה'!$D$14</f>
        <v>0.28368944485938646</v>
      </c>
      <c r="Q136" s="302">
        <f>Q61*'הנחות עבודה'!$D$33/'הנחות עבודה'!$D$14</f>
        <v>0.28198730819023016</v>
      </c>
      <c r="R136" s="302">
        <f>R61*'הנחות עבודה'!$D$33/'הנחות עבודה'!$D$14</f>
        <v>0.28029538434108875</v>
      </c>
      <c r="S136" s="302">
        <f>S61*'הנחות עבודה'!$D$33/'הנחות עבודה'!$D$14</f>
        <v>0.2786136120350422</v>
      </c>
      <c r="T136" s="302">
        <f>T61*'הנחות עבודה'!$D$33/'הנחות עבודה'!$D$14</f>
        <v>0.27694193036283193</v>
      </c>
      <c r="U136" s="302">
        <f>U61*'הנחות עבודה'!$D$33/'הנחות עבודה'!$D$14</f>
        <v>0.27528027878065492</v>
      </c>
      <c r="V136" s="302">
        <f>V61*'הנחות עבודה'!$D$33/'הנחות עבודה'!$D$14</f>
        <v>0.27362859710797099</v>
      </c>
      <c r="W136" s="305">
        <f>W61*'הנחות עבודה'!$D$33/'הנחות עבודה'!$D$14</f>
        <v>0.27198682552532316</v>
      </c>
    </row>
    <row r="137" spans="2:23">
      <c r="B137" s="306">
        <f t="shared" si="34"/>
        <v>2026</v>
      </c>
      <c r="C137" s="302">
        <f>C62*'הנחות עבודה'!$D$33/'הנחות עבודה'!$D$14</f>
        <v>0</v>
      </c>
      <c r="D137" s="302">
        <f>D62*'הנחות עבודה'!$D$33/'הנחות עבודה'!$D$14</f>
        <v>0</v>
      </c>
      <c r="E137" s="302">
        <f>E62*'הנחות עבודה'!$D$33/'הנחות עבודה'!$D$14</f>
        <v>0</v>
      </c>
      <c r="F137" s="302">
        <f>F62*'הנחות עבודה'!$D$33/'הנחות עבודה'!$D$14</f>
        <v>0</v>
      </c>
      <c r="G137" s="302">
        <f>G62*'הנחות עבודה'!$D$33/'הנחות עבודה'!$D$14</f>
        <v>0</v>
      </c>
      <c r="H137" s="302">
        <f>H62*'הנחות עבודה'!$D$33/'הנחות עבודה'!$D$14</f>
        <v>0</v>
      </c>
      <c r="I137" s="302">
        <f>I62*'הנחות עבודה'!$D$33/'הנחות עבודה'!$D$14</f>
        <v>1.0169736732600072</v>
      </c>
      <c r="J137" s="302">
        <f>J62*'הנחות עבודה'!$D$33/'הנחות עבודה'!$D$14</f>
        <v>1.0108718312204472</v>
      </c>
      <c r="K137" s="302">
        <f>K62*'הנחות עבודה'!$D$33/'הנחות עבודה'!$D$14</f>
        <v>1.0048066002331246</v>
      </c>
      <c r="L137" s="302">
        <f>L62*'הנחות עבודה'!$D$33/'הנחות עבודה'!$D$14</f>
        <v>0.99877776063172574</v>
      </c>
      <c r="M137" s="302">
        <f>M62*'הנחות עבודה'!$D$33/'הנחות עבודה'!$D$14</f>
        <v>0.99278509406793547</v>
      </c>
      <c r="N137" s="302">
        <f>N62*'הנחות עבודה'!$D$33/'הנחות עבודה'!$D$14</f>
        <v>0.98682838350352775</v>
      </c>
      <c r="O137" s="302">
        <f>O62*'הנחות עבודה'!$D$33/'הנחות עבודה'!$D$14</f>
        <v>0.98090741320250663</v>
      </c>
      <c r="P137" s="302">
        <f>P62*'הנחות עבודה'!$D$33/'הנחות עבודה'!$D$14</f>
        <v>0.9750219687232915</v>
      </c>
      <c r="Q137" s="302">
        <f>Q62*'הנחות עבודה'!$D$33/'הנחות עבודה'!$D$14</f>
        <v>0.96917183691095177</v>
      </c>
      <c r="R137" s="302">
        <f>R62*'הנחות עבודה'!$D$33/'הנחות עבודה'!$D$14</f>
        <v>0.96335680588948613</v>
      </c>
      <c r="S137" s="302">
        <f>S62*'הנחות עבודה'!$D$33/'הנחות עבודה'!$D$14</f>
        <v>0.95757666505414907</v>
      </c>
      <c r="T137" s="302">
        <f>T62*'הנחות עבודה'!$D$33/'הנחות עבודה'!$D$14</f>
        <v>0.95183120506382435</v>
      </c>
      <c r="U137" s="302">
        <f>U62*'הנחות עבודה'!$D$33/'הנחות עבודה'!$D$14</f>
        <v>0.94612021783344147</v>
      </c>
      <c r="V137" s="302">
        <f>V62*'הנחות עבודה'!$D$33/'הנחות עבודה'!$D$14</f>
        <v>0.94044349652644088</v>
      </c>
      <c r="W137" s="305">
        <f>W62*'הנחות עבודה'!$D$33/'הנחות עבודה'!$D$14</f>
        <v>0.93480083554728211</v>
      </c>
    </row>
    <row r="138" spans="2:23">
      <c r="B138" s="306">
        <f t="shared" si="34"/>
        <v>2027</v>
      </c>
      <c r="C138" s="302">
        <f>C63*'הנחות עבודה'!$D$33/'הנחות עבודה'!$D$14</f>
        <v>0</v>
      </c>
      <c r="D138" s="302">
        <f>D63*'הנחות עבודה'!$D$33/'הנחות עבודה'!$D$14</f>
        <v>0</v>
      </c>
      <c r="E138" s="302">
        <f>E63*'הנחות עבודה'!$D$33/'הנחות עבודה'!$D$14</f>
        <v>0</v>
      </c>
      <c r="F138" s="302">
        <f>F63*'הנחות עבודה'!$D$33/'הנחות עבודה'!$D$14</f>
        <v>0</v>
      </c>
      <c r="G138" s="302">
        <f>G63*'הנחות עבודה'!$D$33/'הנחות עבודה'!$D$14</f>
        <v>0</v>
      </c>
      <c r="H138" s="302">
        <f>H63*'הנחות עבודה'!$D$33/'הנחות עבודה'!$D$14</f>
        <v>0</v>
      </c>
      <c r="I138" s="302">
        <f>I63*'הנחות עבודה'!$D$33/'הנחות עבודה'!$D$14</f>
        <v>0</v>
      </c>
      <c r="J138" s="302">
        <f>J63*'הנחות עבודה'!$D$33/'הנחות עבודה'!$D$14</f>
        <v>1.0704141741400075</v>
      </c>
      <c r="K138" s="302">
        <f>K63*'הנחות עבודה'!$D$33/'הנחות עבודה'!$D$14</f>
        <v>1.0639916890951675</v>
      </c>
      <c r="L138" s="302">
        <f>L63*'הנחות עבודה'!$D$33/'הנחות עבודה'!$D$14</f>
        <v>1.0576077389605965</v>
      </c>
      <c r="M138" s="302">
        <f>M63*'הנחות עבודה'!$D$33/'הנחות עבודה'!$D$14</f>
        <v>1.0512620925268328</v>
      </c>
      <c r="N138" s="302">
        <f>N63*'הנחות עבודה'!$D$33/'הנחות עבודה'!$D$14</f>
        <v>1.0449545199716719</v>
      </c>
      <c r="O138" s="302">
        <f>O63*'הנחות עבודה'!$D$33/'הנחות עבודה'!$D$14</f>
        <v>1.0386847928518419</v>
      </c>
      <c r="P138" s="302">
        <f>P63*'הנחות עבודה'!$D$33/'הנחות עבודה'!$D$14</f>
        <v>1.032452684094731</v>
      </c>
      <c r="Q138" s="302">
        <f>Q63*'הנחות עבודה'!$D$33/'הנחות עבודה'!$D$14</f>
        <v>1.0262579679901624</v>
      </c>
      <c r="R138" s="302">
        <f>R63*'הנחות עבודה'!$D$33/'הנחות עבודה'!$D$14</f>
        <v>1.0201004201822215</v>
      </c>
      <c r="S138" s="302">
        <f>S63*'הנחות עבודה'!$D$33/'הנחות עבודה'!$D$14</f>
        <v>1.0139798176611281</v>
      </c>
      <c r="T138" s="302">
        <f>T63*'הנחות עבודה'!$D$33/'הנחות עבודה'!$D$14</f>
        <v>1.0078959387551614</v>
      </c>
      <c r="U138" s="302">
        <f>U63*'הנחות עבודה'!$D$33/'הנחות עבודה'!$D$14</f>
        <v>1.0018485631226302</v>
      </c>
      <c r="V138" s="302">
        <f>V63*'הנחות עבודה'!$D$33/'הנחות עבודה'!$D$14</f>
        <v>0.99583747174389436</v>
      </c>
      <c r="W138" s="305">
        <f>W63*'הנחות עבודה'!$D$33/'הנחות עבודה'!$D$14</f>
        <v>0.98986244691343106</v>
      </c>
    </row>
    <row r="139" spans="2:23">
      <c r="B139" s="306">
        <f t="shared" si="34"/>
        <v>2028</v>
      </c>
      <c r="C139" s="302">
        <f>C64*'הנחות עבודה'!$D$33/'הנחות עבודה'!$D$14</f>
        <v>0</v>
      </c>
      <c r="D139" s="302">
        <f>D64*'הנחות עבודה'!$D$33/'הנחות עבודה'!$D$14</f>
        <v>0</v>
      </c>
      <c r="E139" s="302">
        <f>E64*'הנחות עבודה'!$D$33/'הנחות עבודה'!$D$14</f>
        <v>0</v>
      </c>
      <c r="F139" s="302">
        <f>F64*'הנחות עבודה'!$D$33/'הנחות עבודה'!$D$14</f>
        <v>0</v>
      </c>
      <c r="G139" s="302">
        <f>G64*'הנחות עבודה'!$D$33/'הנחות עבודה'!$D$14</f>
        <v>0</v>
      </c>
      <c r="H139" s="302">
        <f>H64*'הנחות עבודה'!$D$33/'הנחות עבודה'!$D$14</f>
        <v>0</v>
      </c>
      <c r="I139" s="302">
        <f>I64*'הנחות עבודה'!$D$33/'הנחות עבודה'!$D$14</f>
        <v>0</v>
      </c>
      <c r="J139" s="302">
        <f>J64*'הנחות עבודה'!$D$33/'הנחות עבודה'!$D$14</f>
        <v>0</v>
      </c>
      <c r="K139" s="302">
        <f>K64*'הנחות עבודה'!$D$33/'הנחות עבודה'!$D$14</f>
        <v>1.0883659029520056</v>
      </c>
      <c r="L139" s="302">
        <f>L64*'הנחות עבודה'!$D$33/'הנחות עבודה'!$D$14</f>
        <v>1.0818357075342935</v>
      </c>
      <c r="M139" s="302">
        <f>M64*'הנחות עבודה'!$D$33/'הנחות עבודה'!$D$14</f>
        <v>1.0753446932890878</v>
      </c>
      <c r="N139" s="302">
        <f>N64*'הנחות עבודה'!$D$33/'הנחות עבודה'!$D$14</f>
        <v>1.0688926251293533</v>
      </c>
      <c r="O139" s="302">
        <f>O64*'הנחות עבודה'!$D$33/'הנחות עבודה'!$D$14</f>
        <v>1.0624792693785772</v>
      </c>
      <c r="P139" s="302">
        <f>P64*'הנחות עבודה'!$D$33/'הנחות עבודה'!$D$14</f>
        <v>1.0561043937623058</v>
      </c>
      <c r="Q139" s="302">
        <f>Q64*'הנחות עבודה'!$D$33/'הנחות עבודה'!$D$14</f>
        <v>1.0497677673997321</v>
      </c>
      <c r="R139" s="302">
        <f>R64*'הנחות עבודה'!$D$33/'הנחות עבודה'!$D$14</f>
        <v>1.0434691607953337</v>
      </c>
      <c r="S139" s="302">
        <f>S64*'הנחות עבודה'!$D$33/'הנחות עבודה'!$D$14</f>
        <v>1.0372083458305617</v>
      </c>
      <c r="T139" s="302">
        <f>T64*'הנחות עבודה'!$D$33/'הנחות עבודה'!$D$14</f>
        <v>1.0309850957555782</v>
      </c>
      <c r="U139" s="302">
        <f>U64*'הנחות עבודה'!$D$33/'הנחות עבודה'!$D$14</f>
        <v>1.0247991851810447</v>
      </c>
      <c r="V139" s="302">
        <f>V64*'הנחות עבודה'!$D$33/'הנחות עבודה'!$D$14</f>
        <v>1.0186503900699584</v>
      </c>
      <c r="W139" s="305">
        <f>W64*'הנחות עבודה'!$D$33/'הנחות עבודה'!$D$14</f>
        <v>1.0125384877295385</v>
      </c>
    </row>
    <row r="140" spans="2:23">
      <c r="B140" s="306">
        <f t="shared" si="34"/>
        <v>2029</v>
      </c>
      <c r="C140" s="302">
        <f>C65*'הנחות עבודה'!$D$33/'הנחות עבודה'!$D$14</f>
        <v>0</v>
      </c>
      <c r="D140" s="302">
        <f>D65*'הנחות עבודה'!$D$33/'הנחות עבודה'!$D$14</f>
        <v>0</v>
      </c>
      <c r="E140" s="302">
        <f>E65*'הנחות עבודה'!$D$33/'הנחות עבודה'!$D$14</f>
        <v>0</v>
      </c>
      <c r="F140" s="302">
        <f>F65*'הנחות עבודה'!$D$33/'הנחות עבודה'!$D$14</f>
        <v>0</v>
      </c>
      <c r="G140" s="302">
        <f>G65*'הנחות עבודה'!$D$33/'הנחות עבודה'!$D$14</f>
        <v>0</v>
      </c>
      <c r="H140" s="302">
        <f>H65*'הנחות עבודה'!$D$33/'הנחות עבודה'!$D$14</f>
        <v>0</v>
      </c>
      <c r="I140" s="302">
        <f>I65*'הנחות עבודה'!$D$33/'הנחות עבודה'!$D$14</f>
        <v>0</v>
      </c>
      <c r="J140" s="302">
        <f>J65*'הנחות עבודה'!$D$33/'הנחות עבודה'!$D$14</f>
        <v>0</v>
      </c>
      <c r="K140" s="302">
        <f>K65*'הנחות עבודה'!$D$33/'הנחות עבודה'!$D$14</f>
        <v>0</v>
      </c>
      <c r="L140" s="302">
        <f>L65*'הנחות עבודה'!$D$33/'הנחות עבודה'!$D$14</f>
        <v>1.221980968984006</v>
      </c>
      <c r="M140" s="302">
        <f>M65*'הנחות עבודה'!$D$33/'הנחות עבודה'!$D$14</f>
        <v>1.214649083170102</v>
      </c>
      <c r="N140" s="302">
        <f>N65*'הנחות עבודה'!$D$33/'הנחות עבודה'!$D$14</f>
        <v>1.2073611886710813</v>
      </c>
      <c r="O140" s="302">
        <f>O65*'הנחות עבודה'!$D$33/'הנחות עבודה'!$D$14</f>
        <v>1.2001170215390549</v>
      </c>
      <c r="P140" s="302">
        <f>P65*'הנחות עבודה'!$D$33/'הנחות עבודה'!$D$14</f>
        <v>1.1929163194098207</v>
      </c>
      <c r="Q140" s="302">
        <f>Q65*'הנחות עבודה'!$D$33/'הנחות עבודה'!$D$14</f>
        <v>1.1857588214933616</v>
      </c>
      <c r="R140" s="302">
        <f>R65*'הנחות עבודה'!$D$33/'הנחות עבודה'!$D$14</f>
        <v>1.1786442685644014</v>
      </c>
      <c r="S140" s="302">
        <f>S65*'הנחות עבודה'!$D$33/'הנחות עבודה'!$D$14</f>
        <v>1.1715724029530152</v>
      </c>
      <c r="T140" s="302">
        <f>T65*'הנחות עבודה'!$D$33/'הנחות עבודה'!$D$14</f>
        <v>1.164542968535297</v>
      </c>
      <c r="U140" s="302">
        <f>U65*'הנחות עבודה'!$D$33/'הנחות עבודה'!$D$14</f>
        <v>1.157555710724085</v>
      </c>
      <c r="V140" s="302">
        <f>V65*'הנחות עבודה'!$D$33/'הנחות עבודה'!$D$14</f>
        <v>1.1506103764597408</v>
      </c>
      <c r="W140" s="305">
        <f>W65*'הנחות עבודה'!$D$33/'הנחות עבודה'!$D$14</f>
        <v>1.1437067142009825</v>
      </c>
    </row>
    <row r="141" spans="2:23">
      <c r="B141" s="306">
        <f t="shared" si="34"/>
        <v>2030</v>
      </c>
      <c r="C141" s="302">
        <f>C66*'הנחות עבודה'!$D$33/'הנחות עבודה'!$D$14</f>
        <v>0</v>
      </c>
      <c r="D141" s="302">
        <f>D66*'הנחות עבודה'!$D$33/'הנחות עבודה'!$D$14</f>
        <v>0</v>
      </c>
      <c r="E141" s="302">
        <f>E66*'הנחות עבודה'!$D$33/'הנחות עבודה'!$D$14</f>
        <v>0</v>
      </c>
      <c r="F141" s="302">
        <f>F66*'הנחות עבודה'!$D$33/'הנחות עבודה'!$D$14</f>
        <v>0</v>
      </c>
      <c r="G141" s="302">
        <f>G66*'הנחות עבודה'!$D$33/'הנחות עבודה'!$D$14</f>
        <v>0</v>
      </c>
      <c r="H141" s="302">
        <f>H66*'הנחות עבודה'!$D$33/'הנחות עבודה'!$D$14</f>
        <v>0</v>
      </c>
      <c r="I141" s="302">
        <f>I66*'הנחות עבודה'!$D$33/'הנחות עבודה'!$D$14</f>
        <v>0</v>
      </c>
      <c r="J141" s="302">
        <f>J66*'הנחות עבודה'!$D$33/'הנחות עבודה'!$D$14</f>
        <v>0</v>
      </c>
      <c r="K141" s="302">
        <f>K66*'הנחות עבודה'!$D$33/'הנחות עבודה'!$D$14</f>
        <v>0</v>
      </c>
      <c r="L141" s="302">
        <f>L66*'הנחות עבודה'!$D$33/'הנחות עבודה'!$D$14</f>
        <v>0</v>
      </c>
      <c r="M141" s="302">
        <f>M66*'הנחות עבודה'!$D$33/'הנחות עבודה'!$D$14</f>
        <v>1.2452894320600032</v>
      </c>
      <c r="N141" s="302">
        <f>N66*'הנחות עבודה'!$D$33/'הנחות עבודה'!$D$14</f>
        <v>1.2378176954676432</v>
      </c>
      <c r="O141" s="302">
        <f>O66*'הנחות עבודה'!$D$33/'הנחות עבודה'!$D$14</f>
        <v>1.2303907892948376</v>
      </c>
      <c r="P141" s="302">
        <f>P66*'הנחות עבודה'!$D$33/'הנחות עבודה'!$D$14</f>
        <v>1.2230084445590683</v>
      </c>
      <c r="Q141" s="302">
        <f>Q66*'הנחות עבודה'!$D$33/'הנחות עבודה'!$D$14</f>
        <v>1.2156703938917139</v>
      </c>
      <c r="R141" s="302">
        <f>R66*'הנחות עבודה'!$D$33/'הנחות עבודה'!$D$14</f>
        <v>1.2083763715283637</v>
      </c>
      <c r="S141" s="302">
        <f>S66*'הנחות עבודה'!$D$33/'הנחות עבודה'!$D$14</f>
        <v>1.2011261132991935</v>
      </c>
      <c r="T141" s="302">
        <f>T66*'הנחות עבודה'!$D$33/'הנחות עבודה'!$D$14</f>
        <v>1.1939193566193984</v>
      </c>
      <c r="U141" s="302">
        <f>U66*'הנחות עבודה'!$D$33/'הנחות עבודה'!$D$14</f>
        <v>1.1867558404796819</v>
      </c>
      <c r="V141" s="302">
        <f>V66*'הנחות עבודה'!$D$33/'הנחות עבודה'!$D$14</f>
        <v>1.1796353054368041</v>
      </c>
      <c r="W141" s="305">
        <f>W66*'הנחות עבודה'!$D$33/'הנחות עבודה'!$D$14</f>
        <v>1.1725574936041829</v>
      </c>
    </row>
    <row r="142" spans="2:23">
      <c r="B142" s="306">
        <f t="shared" si="34"/>
        <v>2031</v>
      </c>
      <c r="C142" s="302">
        <f>C67*'הנחות עבודה'!$D$33/'הנחות עבודה'!$D$14</f>
        <v>0</v>
      </c>
      <c r="D142" s="302">
        <f>D67*'הנחות עבודה'!$D$33/'הנחות עבודה'!$D$14</f>
        <v>0</v>
      </c>
      <c r="E142" s="302">
        <f>E67*'הנחות עבודה'!$D$33/'הנחות עבודה'!$D$14</f>
        <v>0</v>
      </c>
      <c r="F142" s="302">
        <f>F67*'הנחות עבודה'!$D$33/'הנחות עבודה'!$D$14</f>
        <v>0</v>
      </c>
      <c r="G142" s="302">
        <f>G67*'הנחות עבודה'!$D$33/'הנחות עבודה'!$D$14</f>
        <v>0</v>
      </c>
      <c r="H142" s="302">
        <f>H67*'הנחות עבודה'!$D$33/'הנחות עבודה'!$D$14</f>
        <v>0</v>
      </c>
      <c r="I142" s="302">
        <f>I67*'הנחות עבודה'!$D$33/'הנחות עבודה'!$D$14</f>
        <v>0</v>
      </c>
      <c r="J142" s="302">
        <f>J67*'הנחות עבודה'!$D$33/'הנחות עבודה'!$D$14</f>
        <v>0</v>
      </c>
      <c r="K142" s="302">
        <f>K67*'הנחות עבודה'!$D$33/'הנחות עבודה'!$D$14</f>
        <v>0</v>
      </c>
      <c r="L142" s="302">
        <f>L67*'הנחות עבודה'!$D$33/'הנחות עבודה'!$D$14</f>
        <v>0</v>
      </c>
      <c r="M142" s="302">
        <f>M67*'הנחות עבודה'!$D$33/'הנחות עבודה'!$D$14</f>
        <v>0</v>
      </c>
      <c r="N142" s="302">
        <f>N67*'הנחות עבודה'!$D$33/'הנחות עבודה'!$D$14</f>
        <v>0</v>
      </c>
      <c r="O142" s="302">
        <f>O67*'הנחות עבודה'!$D$33/'הנחות עבודה'!$D$14</f>
        <v>0</v>
      </c>
      <c r="P142" s="302">
        <f>P67*'הנחות עבודה'!$D$33/'הנחות עבודה'!$D$14</f>
        <v>0</v>
      </c>
      <c r="Q142" s="302">
        <f>Q67*'הנחות עבודה'!$D$33/'הנחות עבודה'!$D$14</f>
        <v>0</v>
      </c>
      <c r="R142" s="302">
        <f>R67*'הנחות עבודה'!$D$33/'הנחות עבודה'!$D$14</f>
        <v>0</v>
      </c>
      <c r="S142" s="302">
        <f>S67*'הנחות עבודה'!$D$33/'הנחות עבודה'!$D$14</f>
        <v>0</v>
      </c>
      <c r="T142" s="302">
        <f>T67*'הנחות עבודה'!$D$33/'הנחות עבודה'!$D$14</f>
        <v>0</v>
      </c>
      <c r="U142" s="302">
        <f>U67*'הנחות עבודה'!$D$33/'הנחות עבודה'!$D$14</f>
        <v>0</v>
      </c>
      <c r="V142" s="302">
        <f>V67*'הנחות עבודה'!$D$33/'הנחות עבודה'!$D$14</f>
        <v>0</v>
      </c>
      <c r="W142" s="305">
        <f>W67*'הנחות עבודה'!$D$33/'הנחות עבודה'!$D$14</f>
        <v>0</v>
      </c>
    </row>
    <row r="143" spans="2:23">
      <c r="B143" s="306">
        <f t="shared" si="34"/>
        <v>2032</v>
      </c>
      <c r="C143" s="302">
        <f>C68*'הנחות עבודה'!$D$33/'הנחות עבודה'!$D$14</f>
        <v>0</v>
      </c>
      <c r="D143" s="302">
        <f>D68*'הנחות עבודה'!$D$33/'הנחות עבודה'!$D$14</f>
        <v>0</v>
      </c>
      <c r="E143" s="302">
        <f>E68*'הנחות עבודה'!$D$33/'הנחות עבודה'!$D$14</f>
        <v>0</v>
      </c>
      <c r="F143" s="302">
        <f>F68*'הנחות עבודה'!$D$33/'הנחות עבודה'!$D$14</f>
        <v>0</v>
      </c>
      <c r="G143" s="302">
        <f>G68*'הנחות עבודה'!$D$33/'הנחות עבודה'!$D$14</f>
        <v>0</v>
      </c>
      <c r="H143" s="302">
        <f>H68*'הנחות עבודה'!$D$33/'הנחות עבודה'!$D$14</f>
        <v>0</v>
      </c>
      <c r="I143" s="302">
        <f>I68*'הנחות עבודה'!$D$33/'הנחות עבודה'!$D$14</f>
        <v>0</v>
      </c>
      <c r="J143" s="302">
        <f>J68*'הנחות עבודה'!$D$33/'הנחות עבודה'!$D$14</f>
        <v>0</v>
      </c>
      <c r="K143" s="302">
        <f>K68*'הנחות עבודה'!$D$33/'הנחות עבודה'!$D$14</f>
        <v>0</v>
      </c>
      <c r="L143" s="302">
        <f>L68*'הנחות עבודה'!$D$33/'הנחות עבודה'!$D$14</f>
        <v>0</v>
      </c>
      <c r="M143" s="302">
        <f>M68*'הנחות עבודה'!$D$33/'הנחות עבודה'!$D$14</f>
        <v>0</v>
      </c>
      <c r="N143" s="302">
        <f>N68*'הנחות עבודה'!$D$33/'הנחות עבודה'!$D$14</f>
        <v>0</v>
      </c>
      <c r="O143" s="302">
        <f>O68*'הנחות עבודה'!$D$33/'הנחות עבודה'!$D$14</f>
        <v>0</v>
      </c>
      <c r="P143" s="302">
        <f>P68*'הנחות עבודה'!$D$33/'הנחות עבודה'!$D$14</f>
        <v>0</v>
      </c>
      <c r="Q143" s="302">
        <f>Q68*'הנחות עבודה'!$D$33/'הנחות עבודה'!$D$14</f>
        <v>0</v>
      </c>
      <c r="R143" s="302">
        <f>R68*'הנחות עבודה'!$D$33/'הנחות עבודה'!$D$14</f>
        <v>0</v>
      </c>
      <c r="S143" s="302">
        <f>S68*'הנחות עבודה'!$D$33/'הנחות עבודה'!$D$14</f>
        <v>0</v>
      </c>
      <c r="T143" s="302">
        <f>T68*'הנחות עבודה'!$D$33/'הנחות עבודה'!$D$14</f>
        <v>0</v>
      </c>
      <c r="U143" s="302">
        <f>U68*'הנחות עבודה'!$D$33/'הנחות עבודה'!$D$14</f>
        <v>0</v>
      </c>
      <c r="V143" s="302">
        <f>V68*'הנחות עבודה'!$D$33/'הנחות עבודה'!$D$14</f>
        <v>0</v>
      </c>
      <c r="W143" s="305">
        <f>W68*'הנחות עבודה'!$D$33/'הנחות עבודה'!$D$14</f>
        <v>0</v>
      </c>
    </row>
    <row r="144" spans="2:23">
      <c r="B144" s="306">
        <f t="shared" si="34"/>
        <v>2033</v>
      </c>
      <c r="C144" s="302">
        <f>C69*'הנחות עבודה'!$D$33/'הנחות עבודה'!$D$14</f>
        <v>0</v>
      </c>
      <c r="D144" s="302">
        <f>D69*'הנחות עבודה'!$D$33/'הנחות עבודה'!$D$14</f>
        <v>0</v>
      </c>
      <c r="E144" s="302">
        <f>E69*'הנחות עבודה'!$D$33/'הנחות עבודה'!$D$14</f>
        <v>0</v>
      </c>
      <c r="F144" s="302">
        <f>F69*'הנחות עבודה'!$D$33/'הנחות עבודה'!$D$14</f>
        <v>0</v>
      </c>
      <c r="G144" s="302">
        <f>G69*'הנחות עבודה'!$D$33/'הנחות עבודה'!$D$14</f>
        <v>0</v>
      </c>
      <c r="H144" s="302">
        <f>H69*'הנחות עבודה'!$D$33/'הנחות עבודה'!$D$14</f>
        <v>0</v>
      </c>
      <c r="I144" s="302">
        <f>I69*'הנחות עבודה'!$D$33/'הנחות עבודה'!$D$14</f>
        <v>0</v>
      </c>
      <c r="J144" s="302">
        <f>J69*'הנחות עבודה'!$D$33/'הנחות עבודה'!$D$14</f>
        <v>0</v>
      </c>
      <c r="K144" s="302">
        <f>K69*'הנחות עבודה'!$D$33/'הנחות עבודה'!$D$14</f>
        <v>0</v>
      </c>
      <c r="L144" s="302">
        <f>L69*'הנחות עבודה'!$D$33/'הנחות עבודה'!$D$14</f>
        <v>0</v>
      </c>
      <c r="M144" s="302">
        <f>M69*'הנחות עבודה'!$D$33/'הנחות עבודה'!$D$14</f>
        <v>0</v>
      </c>
      <c r="N144" s="302">
        <f>N69*'הנחות עבודה'!$D$33/'הנחות עבודה'!$D$14</f>
        <v>0</v>
      </c>
      <c r="O144" s="302">
        <f>O69*'הנחות עבודה'!$D$33/'הנחות עבודה'!$D$14</f>
        <v>0</v>
      </c>
      <c r="P144" s="302">
        <f>P69*'הנחות עבודה'!$D$33/'הנחות עבודה'!$D$14</f>
        <v>0</v>
      </c>
      <c r="Q144" s="302">
        <f>Q69*'הנחות עבודה'!$D$33/'הנחות עבודה'!$D$14</f>
        <v>0</v>
      </c>
      <c r="R144" s="302">
        <f>R69*'הנחות עבודה'!$D$33/'הנחות עבודה'!$D$14</f>
        <v>0</v>
      </c>
      <c r="S144" s="302">
        <f>S69*'הנחות עבודה'!$D$33/'הנחות עבודה'!$D$14</f>
        <v>0</v>
      </c>
      <c r="T144" s="302">
        <f>T69*'הנחות עבודה'!$D$33/'הנחות עבודה'!$D$14</f>
        <v>0</v>
      </c>
      <c r="U144" s="302">
        <f>U69*'הנחות עבודה'!$D$33/'הנחות עבודה'!$D$14</f>
        <v>0</v>
      </c>
      <c r="V144" s="302">
        <f>V69*'הנחות עבודה'!$D$33/'הנחות עבודה'!$D$14</f>
        <v>0</v>
      </c>
      <c r="W144" s="305">
        <f>W69*'הנחות עבודה'!$D$33/'הנחות עבודה'!$D$14</f>
        <v>0</v>
      </c>
    </row>
    <row r="145" spans="2:23">
      <c r="B145" s="306">
        <f t="shared" si="34"/>
        <v>2034</v>
      </c>
      <c r="C145" s="302">
        <f>C70*'הנחות עבודה'!$D$33/'הנחות עבודה'!$D$14</f>
        <v>0</v>
      </c>
      <c r="D145" s="302">
        <f>D70*'הנחות עבודה'!$D$33/'הנחות עבודה'!$D$14</f>
        <v>0</v>
      </c>
      <c r="E145" s="302">
        <f>E70*'הנחות עבודה'!$D$33/'הנחות עבודה'!$D$14</f>
        <v>0</v>
      </c>
      <c r="F145" s="302">
        <f>F70*'הנחות עבודה'!$D$33/'הנחות עבודה'!$D$14</f>
        <v>0</v>
      </c>
      <c r="G145" s="302">
        <f>G70*'הנחות עבודה'!$D$33/'הנחות עבודה'!$D$14</f>
        <v>0</v>
      </c>
      <c r="H145" s="302">
        <f>H70*'הנחות עבודה'!$D$33/'הנחות עבודה'!$D$14</f>
        <v>0</v>
      </c>
      <c r="I145" s="302">
        <f>I70*'הנחות עבודה'!$D$33/'הנחות עבודה'!$D$14</f>
        <v>0</v>
      </c>
      <c r="J145" s="302">
        <f>J70*'הנחות עבודה'!$D$33/'הנחות עבודה'!$D$14</f>
        <v>0</v>
      </c>
      <c r="K145" s="302">
        <f>K70*'הנחות עבודה'!$D$33/'הנחות עבודה'!$D$14</f>
        <v>0</v>
      </c>
      <c r="L145" s="302">
        <f>L70*'הנחות עבודה'!$D$33/'הנחות עבודה'!$D$14</f>
        <v>0</v>
      </c>
      <c r="M145" s="302">
        <f>M70*'הנחות עבודה'!$D$33/'הנחות עבודה'!$D$14</f>
        <v>0</v>
      </c>
      <c r="N145" s="302">
        <f>N70*'הנחות עבודה'!$D$33/'הנחות עבודה'!$D$14</f>
        <v>0</v>
      </c>
      <c r="O145" s="302">
        <f>O70*'הנחות עבודה'!$D$33/'הנחות עבודה'!$D$14</f>
        <v>0</v>
      </c>
      <c r="P145" s="302">
        <f>P70*'הנחות עבודה'!$D$33/'הנחות עבודה'!$D$14</f>
        <v>0</v>
      </c>
      <c r="Q145" s="302">
        <f>Q70*'הנחות עבודה'!$D$33/'הנחות עבודה'!$D$14</f>
        <v>0</v>
      </c>
      <c r="R145" s="302">
        <f>R70*'הנחות עבודה'!$D$33/'הנחות עבודה'!$D$14</f>
        <v>0</v>
      </c>
      <c r="S145" s="302">
        <f>S70*'הנחות עבודה'!$D$33/'הנחות עבודה'!$D$14</f>
        <v>0</v>
      </c>
      <c r="T145" s="302">
        <f>T70*'הנחות עבודה'!$D$33/'הנחות עבודה'!$D$14</f>
        <v>0</v>
      </c>
      <c r="U145" s="302">
        <f>U70*'הנחות עבודה'!$D$33/'הנחות עבודה'!$D$14</f>
        <v>0</v>
      </c>
      <c r="V145" s="302">
        <f>V70*'הנחות עבודה'!$D$33/'הנחות עבודה'!$D$14</f>
        <v>0</v>
      </c>
      <c r="W145" s="305">
        <f>W70*'הנחות עבודה'!$D$33/'הנחות עבודה'!$D$14</f>
        <v>0</v>
      </c>
    </row>
    <row r="146" spans="2:23">
      <c r="B146" s="306">
        <f t="shared" si="34"/>
        <v>2035</v>
      </c>
      <c r="C146" s="302">
        <f>C71*'הנחות עבודה'!$D$33/'הנחות עבודה'!$D$14</f>
        <v>0</v>
      </c>
      <c r="D146" s="302">
        <f>D71*'הנחות עבודה'!$D$33/'הנחות עבודה'!$D$14</f>
        <v>0</v>
      </c>
      <c r="E146" s="302">
        <f>E71*'הנחות עבודה'!$D$33/'הנחות עבודה'!$D$14</f>
        <v>0</v>
      </c>
      <c r="F146" s="302">
        <f>F71*'הנחות עבודה'!$D$33/'הנחות עבודה'!$D$14</f>
        <v>0</v>
      </c>
      <c r="G146" s="302">
        <f>G71*'הנחות עבודה'!$D$33/'הנחות עבודה'!$D$14</f>
        <v>0</v>
      </c>
      <c r="H146" s="302">
        <f>H71*'הנחות עבודה'!$D$33/'הנחות עבודה'!$D$14</f>
        <v>0</v>
      </c>
      <c r="I146" s="302">
        <f>I71*'הנחות עבודה'!$D$33/'הנחות עבודה'!$D$14</f>
        <v>0</v>
      </c>
      <c r="J146" s="302">
        <f>J71*'הנחות עבודה'!$D$33/'הנחות עבודה'!$D$14</f>
        <v>0</v>
      </c>
      <c r="K146" s="302">
        <f>K71*'הנחות עבודה'!$D$33/'הנחות עבודה'!$D$14</f>
        <v>0</v>
      </c>
      <c r="L146" s="302">
        <f>L71*'הנחות עבודה'!$D$33/'הנחות עבודה'!$D$14</f>
        <v>0</v>
      </c>
      <c r="M146" s="302">
        <f>M71*'הנחות עבודה'!$D$33/'הנחות עבודה'!$D$14</f>
        <v>0</v>
      </c>
      <c r="N146" s="302">
        <f>N71*'הנחות עבודה'!$D$33/'הנחות עבודה'!$D$14</f>
        <v>0</v>
      </c>
      <c r="O146" s="302">
        <f>O71*'הנחות עבודה'!$D$33/'הנחות עבודה'!$D$14</f>
        <v>0</v>
      </c>
      <c r="P146" s="302">
        <f>P71*'הנחות עבודה'!$D$33/'הנחות עבודה'!$D$14</f>
        <v>0</v>
      </c>
      <c r="Q146" s="302">
        <f>Q71*'הנחות עבודה'!$D$33/'הנחות עבודה'!$D$14</f>
        <v>0</v>
      </c>
      <c r="R146" s="302">
        <f>R71*'הנחות עבודה'!$D$33/'הנחות עבודה'!$D$14</f>
        <v>0</v>
      </c>
      <c r="S146" s="302">
        <f>S71*'הנחות עבודה'!$D$33/'הנחות עבודה'!$D$14</f>
        <v>0</v>
      </c>
      <c r="T146" s="302">
        <f>T71*'הנחות עבודה'!$D$33/'הנחות עבודה'!$D$14</f>
        <v>0</v>
      </c>
      <c r="U146" s="302">
        <f>U71*'הנחות עבודה'!$D$33/'הנחות עבודה'!$D$14</f>
        <v>0</v>
      </c>
      <c r="V146" s="302">
        <f>V71*'הנחות עבודה'!$D$33/'הנחות עבודה'!$D$14</f>
        <v>0</v>
      </c>
      <c r="W146" s="305">
        <f>W71*'הנחות עבודה'!$D$33/'הנחות עבודה'!$D$14</f>
        <v>0</v>
      </c>
    </row>
    <row r="147" spans="2:23">
      <c r="B147" s="306">
        <f t="shared" si="34"/>
        <v>2036</v>
      </c>
      <c r="C147" s="302">
        <f>C72*'הנחות עבודה'!$D$33/'הנחות עבודה'!$D$14</f>
        <v>0</v>
      </c>
      <c r="D147" s="302">
        <f>D72*'הנחות עבודה'!$D$33/'הנחות עבודה'!$D$14</f>
        <v>0</v>
      </c>
      <c r="E147" s="302">
        <f>E72*'הנחות עבודה'!$D$33/'הנחות עבודה'!$D$14</f>
        <v>0</v>
      </c>
      <c r="F147" s="302">
        <f>F72*'הנחות עבודה'!$D$33/'הנחות עבודה'!$D$14</f>
        <v>0</v>
      </c>
      <c r="G147" s="302">
        <f>G72*'הנחות עבודה'!$D$33/'הנחות עבודה'!$D$14</f>
        <v>0</v>
      </c>
      <c r="H147" s="302">
        <f>H72*'הנחות עבודה'!$D$33/'הנחות עבודה'!$D$14</f>
        <v>0</v>
      </c>
      <c r="I147" s="302">
        <f>I72*'הנחות עבודה'!$D$33/'הנחות עבודה'!$D$14</f>
        <v>0</v>
      </c>
      <c r="J147" s="302">
        <f>J72*'הנחות עבודה'!$D$33/'הנחות עבודה'!$D$14</f>
        <v>0</v>
      </c>
      <c r="K147" s="302">
        <f>K72*'הנחות עבודה'!$D$33/'הנחות עבודה'!$D$14</f>
        <v>0</v>
      </c>
      <c r="L147" s="302">
        <f>L72*'הנחות עבודה'!$D$33/'הנחות עבודה'!$D$14</f>
        <v>0</v>
      </c>
      <c r="M147" s="302">
        <f>M72*'הנחות עבודה'!$D$33/'הנחות עבודה'!$D$14</f>
        <v>0</v>
      </c>
      <c r="N147" s="302">
        <f>N72*'הנחות עבודה'!$D$33/'הנחות עבודה'!$D$14</f>
        <v>0</v>
      </c>
      <c r="O147" s="302">
        <f>O72*'הנחות עבודה'!$D$33/'הנחות עבודה'!$D$14</f>
        <v>0</v>
      </c>
      <c r="P147" s="302">
        <f>P72*'הנחות עבודה'!$D$33/'הנחות עבודה'!$D$14</f>
        <v>0</v>
      </c>
      <c r="Q147" s="302">
        <f>Q72*'הנחות עבודה'!$D$33/'הנחות עבודה'!$D$14</f>
        <v>0</v>
      </c>
      <c r="R147" s="302">
        <f>R72*'הנחות עבודה'!$D$33/'הנחות עבודה'!$D$14</f>
        <v>0</v>
      </c>
      <c r="S147" s="302">
        <f>S72*'הנחות עבודה'!$D$33/'הנחות עבודה'!$D$14</f>
        <v>0</v>
      </c>
      <c r="T147" s="302">
        <f>T72*'הנחות עבודה'!$D$33/'הנחות עבודה'!$D$14</f>
        <v>0</v>
      </c>
      <c r="U147" s="302">
        <f>U72*'הנחות עבודה'!$D$33/'הנחות עבודה'!$D$14</f>
        <v>0</v>
      </c>
      <c r="V147" s="302">
        <f>V72*'הנחות עבודה'!$D$33/'הנחות עבודה'!$D$14</f>
        <v>0</v>
      </c>
      <c r="W147" s="305">
        <f>W72*'הנחות עבודה'!$D$33/'הנחות עבודה'!$D$14</f>
        <v>0</v>
      </c>
    </row>
    <row r="148" spans="2:23">
      <c r="B148" s="306">
        <f t="shared" si="34"/>
        <v>2037</v>
      </c>
      <c r="C148" s="302">
        <f>C73*'הנחות עבודה'!$D$33/'הנחות עבודה'!$D$14</f>
        <v>0</v>
      </c>
      <c r="D148" s="302">
        <f>D73*'הנחות עבודה'!$D$33/'הנחות עבודה'!$D$14</f>
        <v>0</v>
      </c>
      <c r="E148" s="302">
        <f>E73*'הנחות עבודה'!$D$33/'הנחות עבודה'!$D$14</f>
        <v>0</v>
      </c>
      <c r="F148" s="302">
        <f>F73*'הנחות עבודה'!$D$33/'הנחות עבודה'!$D$14</f>
        <v>0</v>
      </c>
      <c r="G148" s="302">
        <f>G73*'הנחות עבודה'!$D$33/'הנחות עבודה'!$D$14</f>
        <v>0</v>
      </c>
      <c r="H148" s="302">
        <f>H73*'הנחות עבודה'!$D$33/'הנחות עבודה'!$D$14</f>
        <v>0</v>
      </c>
      <c r="I148" s="302">
        <f>I73*'הנחות עבודה'!$D$33/'הנחות עבודה'!$D$14</f>
        <v>0</v>
      </c>
      <c r="J148" s="302">
        <f>J73*'הנחות עבודה'!$D$33/'הנחות עבודה'!$D$14</f>
        <v>0</v>
      </c>
      <c r="K148" s="302">
        <f>K73*'הנחות עבודה'!$D$33/'הנחות עבודה'!$D$14</f>
        <v>0</v>
      </c>
      <c r="L148" s="302">
        <f>L73*'הנחות עבודה'!$D$33/'הנחות עבודה'!$D$14</f>
        <v>0</v>
      </c>
      <c r="M148" s="302">
        <f>M73*'הנחות עבודה'!$D$33/'הנחות עבודה'!$D$14</f>
        <v>0</v>
      </c>
      <c r="N148" s="302">
        <f>N73*'הנחות עבודה'!$D$33/'הנחות עבודה'!$D$14</f>
        <v>0</v>
      </c>
      <c r="O148" s="302">
        <f>O73*'הנחות עבודה'!$D$33/'הנחות עבודה'!$D$14</f>
        <v>0</v>
      </c>
      <c r="P148" s="302">
        <f>P73*'הנחות עבודה'!$D$33/'הנחות עבודה'!$D$14</f>
        <v>0</v>
      </c>
      <c r="Q148" s="302">
        <f>Q73*'הנחות עבודה'!$D$33/'הנחות עבודה'!$D$14</f>
        <v>0</v>
      </c>
      <c r="R148" s="302">
        <f>R73*'הנחות עבודה'!$D$33/'הנחות עבודה'!$D$14</f>
        <v>0</v>
      </c>
      <c r="S148" s="302">
        <f>S73*'הנחות עבודה'!$D$33/'הנחות עבודה'!$D$14</f>
        <v>0</v>
      </c>
      <c r="T148" s="302">
        <f>T73*'הנחות עבודה'!$D$33/'הנחות עבודה'!$D$14</f>
        <v>0</v>
      </c>
      <c r="U148" s="302">
        <f>U73*'הנחות עבודה'!$D$33/'הנחות עבודה'!$D$14</f>
        <v>0</v>
      </c>
      <c r="V148" s="302">
        <f>V73*'הנחות עבודה'!$D$33/'הנחות עבודה'!$D$14</f>
        <v>0</v>
      </c>
      <c r="W148" s="305">
        <f>W73*'הנחות עבודה'!$D$33/'הנחות עבודה'!$D$14</f>
        <v>0</v>
      </c>
    </row>
    <row r="149" spans="2:23">
      <c r="B149" s="306">
        <f t="shared" si="34"/>
        <v>2038</v>
      </c>
      <c r="C149" s="302">
        <f>C74*'הנחות עבודה'!$D$33/'הנחות עבודה'!$D$14</f>
        <v>0</v>
      </c>
      <c r="D149" s="302">
        <f>D74*'הנחות עבודה'!$D$33/'הנחות עבודה'!$D$14</f>
        <v>0</v>
      </c>
      <c r="E149" s="302">
        <f>E74*'הנחות עבודה'!$D$33/'הנחות עבודה'!$D$14</f>
        <v>0</v>
      </c>
      <c r="F149" s="302">
        <f>F74*'הנחות עבודה'!$D$33/'הנחות עבודה'!$D$14</f>
        <v>0</v>
      </c>
      <c r="G149" s="302">
        <f>G74*'הנחות עבודה'!$D$33/'הנחות עבודה'!$D$14</f>
        <v>0</v>
      </c>
      <c r="H149" s="302">
        <f>H74*'הנחות עבודה'!$D$33/'הנחות עבודה'!$D$14</f>
        <v>0</v>
      </c>
      <c r="I149" s="302">
        <f>I74*'הנחות עבודה'!$D$33/'הנחות עבודה'!$D$14</f>
        <v>0</v>
      </c>
      <c r="J149" s="302">
        <f>J74*'הנחות עבודה'!$D$33/'הנחות עבודה'!$D$14</f>
        <v>0</v>
      </c>
      <c r="K149" s="302">
        <f>K74*'הנחות עבודה'!$D$33/'הנחות עבודה'!$D$14</f>
        <v>0</v>
      </c>
      <c r="L149" s="302">
        <f>L74*'הנחות עבודה'!$D$33/'הנחות עבודה'!$D$14</f>
        <v>0</v>
      </c>
      <c r="M149" s="302">
        <f>M74*'הנחות עבודה'!$D$33/'הנחות עבודה'!$D$14</f>
        <v>0</v>
      </c>
      <c r="N149" s="302">
        <f>N74*'הנחות עבודה'!$D$33/'הנחות עבודה'!$D$14</f>
        <v>0</v>
      </c>
      <c r="O149" s="302">
        <f>O74*'הנחות עבודה'!$D$33/'הנחות עבודה'!$D$14</f>
        <v>0</v>
      </c>
      <c r="P149" s="302">
        <f>P74*'הנחות עבודה'!$D$33/'הנחות עבודה'!$D$14</f>
        <v>0</v>
      </c>
      <c r="Q149" s="302">
        <f>Q74*'הנחות עבודה'!$D$33/'הנחות עבודה'!$D$14</f>
        <v>0</v>
      </c>
      <c r="R149" s="302">
        <f>R74*'הנחות עבודה'!$D$33/'הנחות עבודה'!$D$14</f>
        <v>0</v>
      </c>
      <c r="S149" s="302">
        <f>S74*'הנחות עבודה'!$D$33/'הנחות עבודה'!$D$14</f>
        <v>0</v>
      </c>
      <c r="T149" s="302">
        <f>T74*'הנחות עבודה'!$D$33/'הנחות עבודה'!$D$14</f>
        <v>0</v>
      </c>
      <c r="U149" s="302">
        <f>U74*'הנחות עבודה'!$D$33/'הנחות עבודה'!$D$14</f>
        <v>0</v>
      </c>
      <c r="V149" s="302">
        <f>V74*'הנחות עבודה'!$D$33/'הנחות עבודה'!$D$14</f>
        <v>0</v>
      </c>
      <c r="W149" s="305">
        <f>W74*'הנחות עבודה'!$D$33/'הנחות עבודה'!$D$14</f>
        <v>0</v>
      </c>
    </row>
    <row r="150" spans="2:23">
      <c r="B150" s="306">
        <f t="shared" si="34"/>
        <v>2039</v>
      </c>
      <c r="C150" s="302">
        <f>C75*'הנחות עבודה'!$D$33/'הנחות עבודה'!$D$14</f>
        <v>0</v>
      </c>
      <c r="D150" s="302">
        <f>D75*'הנחות עבודה'!$D$33/'הנחות עבודה'!$D$14</f>
        <v>0</v>
      </c>
      <c r="E150" s="302">
        <f>E75*'הנחות עבודה'!$D$33/'הנחות עבודה'!$D$14</f>
        <v>0</v>
      </c>
      <c r="F150" s="302">
        <f>F75*'הנחות עבודה'!$D$33/'הנחות עבודה'!$D$14</f>
        <v>0</v>
      </c>
      <c r="G150" s="302">
        <f>G75*'הנחות עבודה'!$D$33/'הנחות עבודה'!$D$14</f>
        <v>0</v>
      </c>
      <c r="H150" s="302">
        <f>H75*'הנחות עבודה'!$D$33/'הנחות עבודה'!$D$14</f>
        <v>0</v>
      </c>
      <c r="I150" s="302">
        <f>I75*'הנחות עבודה'!$D$33/'הנחות עבודה'!$D$14</f>
        <v>0</v>
      </c>
      <c r="J150" s="302">
        <f>J75*'הנחות עבודה'!$D$33/'הנחות עבודה'!$D$14</f>
        <v>0</v>
      </c>
      <c r="K150" s="302">
        <f>K75*'הנחות עבודה'!$D$33/'הנחות עבודה'!$D$14</f>
        <v>0</v>
      </c>
      <c r="L150" s="302">
        <f>L75*'הנחות עבודה'!$D$33/'הנחות עבודה'!$D$14</f>
        <v>0</v>
      </c>
      <c r="M150" s="302">
        <f>M75*'הנחות עבודה'!$D$33/'הנחות עבודה'!$D$14</f>
        <v>0</v>
      </c>
      <c r="N150" s="302">
        <f>N75*'הנחות עבודה'!$D$33/'הנחות עבודה'!$D$14</f>
        <v>0</v>
      </c>
      <c r="O150" s="302">
        <f>O75*'הנחות עבודה'!$D$33/'הנחות עבודה'!$D$14</f>
        <v>0</v>
      </c>
      <c r="P150" s="302">
        <f>P75*'הנחות עבודה'!$D$33/'הנחות עבודה'!$D$14</f>
        <v>0</v>
      </c>
      <c r="Q150" s="302">
        <f>Q75*'הנחות עבודה'!$D$33/'הנחות עבודה'!$D$14</f>
        <v>0</v>
      </c>
      <c r="R150" s="302">
        <f>R75*'הנחות עבודה'!$D$33/'הנחות עבודה'!$D$14</f>
        <v>0</v>
      </c>
      <c r="S150" s="302">
        <f>S75*'הנחות עבודה'!$D$33/'הנחות עבודה'!$D$14</f>
        <v>0</v>
      </c>
      <c r="T150" s="302">
        <f>T75*'הנחות עבודה'!$D$33/'הנחות עבודה'!$D$14</f>
        <v>0</v>
      </c>
      <c r="U150" s="302">
        <f>U75*'הנחות עבודה'!$D$33/'הנחות עבודה'!$D$14</f>
        <v>0</v>
      </c>
      <c r="V150" s="302">
        <f>V75*'הנחות עבודה'!$D$33/'הנחות עבודה'!$D$14</f>
        <v>0</v>
      </c>
      <c r="W150" s="305">
        <f>W75*'הנחות עבודה'!$D$33/'הנחות עבודה'!$D$14</f>
        <v>0</v>
      </c>
    </row>
    <row r="151" spans="2:23" ht="15.75" thickBot="1">
      <c r="B151" s="306">
        <f t="shared" si="34"/>
        <v>2040</v>
      </c>
      <c r="C151" s="302">
        <f>C76*'הנחות עבודה'!$D$33/'הנחות עבודה'!$D$14</f>
        <v>0</v>
      </c>
      <c r="D151" s="302">
        <f>D76*'הנחות עבודה'!$D$33/'הנחות עבודה'!$D$14</f>
        <v>0</v>
      </c>
      <c r="E151" s="302">
        <f>E76*'הנחות עבודה'!$D$33/'הנחות עבודה'!$D$14</f>
        <v>0</v>
      </c>
      <c r="F151" s="302">
        <f>F76*'הנחות עבודה'!$D$33/'הנחות עבודה'!$D$14</f>
        <v>0</v>
      </c>
      <c r="G151" s="302">
        <f>G76*'הנחות עבודה'!$D$33/'הנחות עבודה'!$D$14</f>
        <v>0</v>
      </c>
      <c r="H151" s="302">
        <f>H76*'הנחות עבודה'!$D$33/'הנחות עבודה'!$D$14</f>
        <v>0</v>
      </c>
      <c r="I151" s="302">
        <f>I76*'הנחות עבודה'!$D$33/'הנחות עבודה'!$D$14</f>
        <v>0</v>
      </c>
      <c r="J151" s="302">
        <f>J76*'הנחות עבודה'!$D$33/'הנחות עבודה'!$D$14</f>
        <v>0</v>
      </c>
      <c r="K151" s="302">
        <f>K76*'הנחות עבודה'!$D$33/'הנחות עבודה'!$D$14</f>
        <v>0</v>
      </c>
      <c r="L151" s="302">
        <f>L76*'הנחות עבודה'!$D$33/'הנחות עבודה'!$D$14</f>
        <v>0</v>
      </c>
      <c r="M151" s="302">
        <f>M76*'הנחות עבודה'!$D$33/'הנחות עבודה'!$D$14</f>
        <v>0</v>
      </c>
      <c r="N151" s="302">
        <f>N76*'הנחות עבודה'!$D$33/'הנחות עבודה'!$D$14</f>
        <v>0</v>
      </c>
      <c r="O151" s="302">
        <f>O76*'הנחות עבודה'!$D$33/'הנחות עבודה'!$D$14</f>
        <v>0</v>
      </c>
      <c r="P151" s="302">
        <f>P76*'הנחות עבודה'!$D$33/'הנחות עבודה'!$D$14</f>
        <v>0</v>
      </c>
      <c r="Q151" s="302">
        <f>Q76*'הנחות עבודה'!$D$33/'הנחות עבודה'!$D$14</f>
        <v>0</v>
      </c>
      <c r="R151" s="302">
        <f>R76*'הנחות עבודה'!$D$33/'הנחות עבודה'!$D$14</f>
        <v>0</v>
      </c>
      <c r="S151" s="302">
        <f>S76*'הנחות עבודה'!$D$33/'הנחות עבודה'!$D$14</f>
        <v>0</v>
      </c>
      <c r="T151" s="302">
        <f>T76*'הנחות עבודה'!$D$33/'הנחות עבודה'!$D$14</f>
        <v>0</v>
      </c>
      <c r="U151" s="302">
        <f>U76*'הנחות עבודה'!$D$33/'הנחות עבודה'!$D$14</f>
        <v>0</v>
      </c>
      <c r="V151" s="302">
        <f>V76*'הנחות עבודה'!$D$33/'הנחות עבודה'!$D$14</f>
        <v>0</v>
      </c>
      <c r="W151" s="305">
        <f>W76*'הנחות עבודה'!$D$33/'הנחות עבודה'!$D$14</f>
        <v>0</v>
      </c>
    </row>
    <row r="152" spans="2:23" ht="15.75" thickBot="1">
      <c r="B152" s="249" t="s">
        <v>230</v>
      </c>
      <c r="C152" s="374">
        <f t="shared" ref="C152:W152" si="35">SUM(C131:C151)</f>
        <v>6.4147628560000207</v>
      </c>
      <c r="D152" s="374">
        <f t="shared" si="35"/>
        <v>6.9084150280000509</v>
      </c>
      <c r="E152" s="374">
        <f t="shared" si="35"/>
        <v>7.0555605900000593</v>
      </c>
      <c r="F152" s="374">
        <f t="shared" si="35"/>
        <v>7.2139161130000691</v>
      </c>
      <c r="G152" s="374">
        <f t="shared" si="35"/>
        <v>7.3761071770000788</v>
      </c>
      <c r="H152" s="374">
        <f t="shared" si="35"/>
        <v>7.6295322100000806</v>
      </c>
      <c r="I152" s="374">
        <f t="shared" si="35"/>
        <v>8.6007286900000874</v>
      </c>
      <c r="J152" s="374">
        <f t="shared" si="35"/>
        <v>9.6195384920000926</v>
      </c>
      <c r="K152" s="374">
        <f t="shared" si="35"/>
        <v>10.650187164000101</v>
      </c>
      <c r="L152" s="374">
        <f t="shared" si="35"/>
        <v>11.808267010000106</v>
      </c>
      <c r="M152" s="374">
        <f t="shared" si="35"/>
        <v>12.982706840000105</v>
      </c>
      <c r="N152" s="374">
        <f t="shared" si="35"/>
        <v>12.904810598960104</v>
      </c>
      <c r="O152" s="374">
        <f t="shared" si="35"/>
        <v>12.82738173536635</v>
      </c>
      <c r="P152" s="374">
        <f t="shared" si="35"/>
        <v>12.750417444954151</v>
      </c>
      <c r="Q152" s="374">
        <f t="shared" si="35"/>
        <v>12.673914940284423</v>
      </c>
      <c r="R152" s="374">
        <f t="shared" si="35"/>
        <v>12.597871450642717</v>
      </c>
      <c r="S152" s="374">
        <f t="shared" si="35"/>
        <v>12.522284221938861</v>
      </c>
      <c r="T152" s="374">
        <f t="shared" si="35"/>
        <v>12.44715051660723</v>
      </c>
      <c r="U152" s="374">
        <f t="shared" si="35"/>
        <v>12.372467613507585</v>
      </c>
      <c r="V152" s="374">
        <f t="shared" si="35"/>
        <v>12.298232807826535</v>
      </c>
      <c r="W152" s="374">
        <f t="shared" si="35"/>
        <v>12.224443410979578</v>
      </c>
    </row>
    <row r="159" spans="2:23">
      <c r="C159" s="375"/>
      <c r="D159" s="375"/>
      <c r="E159" s="375"/>
      <c r="F159" s="375"/>
      <c r="G159" s="375"/>
      <c r="H159" s="375"/>
      <c r="I159" s="375"/>
      <c r="J159" s="375"/>
      <c r="K159" s="375"/>
      <c r="L159" s="375"/>
      <c r="M159" s="375"/>
      <c r="N159" s="375"/>
      <c r="O159" s="375"/>
      <c r="P159" s="375"/>
      <c r="Q159" s="375"/>
      <c r="R159" s="375"/>
      <c r="S159" s="375"/>
      <c r="T159" s="375"/>
      <c r="U159" s="375"/>
      <c r="V159" s="375"/>
      <c r="W159" s="375"/>
    </row>
    <row r="160" spans="2:23">
      <c r="C160" s="375"/>
      <c r="D160" s="375"/>
      <c r="E160" s="375"/>
      <c r="F160" s="375"/>
      <c r="G160" s="375"/>
      <c r="H160" s="375"/>
      <c r="I160" s="375"/>
      <c r="J160" s="375"/>
      <c r="K160" s="375"/>
      <c r="L160" s="375"/>
      <c r="M160" s="375"/>
      <c r="N160" s="375"/>
      <c r="O160" s="375"/>
      <c r="P160" s="375"/>
      <c r="Q160" s="375"/>
      <c r="R160" s="375"/>
      <c r="S160" s="375"/>
      <c r="T160" s="375"/>
      <c r="U160" s="375"/>
      <c r="V160" s="375"/>
      <c r="W160" s="375"/>
    </row>
  </sheetData>
  <mergeCells count="6">
    <mergeCell ref="B79:W79"/>
    <mergeCell ref="B129:W129"/>
    <mergeCell ref="B4:W4"/>
    <mergeCell ref="B54:W54"/>
    <mergeCell ref="B29:W29"/>
    <mergeCell ref="B104:W10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H112"/>
  <sheetViews>
    <sheetView rightToLeft="1" topLeftCell="A16" zoomScaleNormal="100" workbookViewId="0">
      <selection activeCell="E36" sqref="E36"/>
    </sheetView>
  </sheetViews>
  <sheetFormatPr defaultColWidth="14" defaultRowHeight="15" outlineLevelRow="1"/>
  <cols>
    <col min="1" max="1" width="2.28515625" bestFit="1" customWidth="1"/>
    <col min="2" max="2" width="22.28515625" bestFit="1" customWidth="1"/>
    <col min="3" max="3" width="14.140625" bestFit="1" customWidth="1"/>
    <col min="4" max="4" width="11.5703125" bestFit="1" customWidth="1"/>
    <col min="5" max="5" width="14.28515625" bestFit="1" customWidth="1"/>
    <col min="6" max="6" width="15.5703125" bestFit="1" customWidth="1"/>
    <col min="7" max="7" width="14.5703125" bestFit="1" customWidth="1"/>
    <col min="8" max="8" width="15.42578125" customWidth="1"/>
    <col min="9" max="9" width="11.7109375" customWidth="1"/>
    <col min="10" max="10" width="15.7109375" customWidth="1"/>
    <col min="11" max="11" width="14.5703125" bestFit="1" customWidth="1"/>
    <col min="12" max="12" width="11.5703125" bestFit="1" customWidth="1"/>
    <col min="13" max="14" width="14.28515625" bestFit="1" customWidth="1"/>
    <col min="15" max="16" width="11" bestFit="1" customWidth="1"/>
    <col min="17" max="17" width="15.5703125" bestFit="1" customWidth="1"/>
    <col min="18" max="18" width="14.5703125" bestFit="1" customWidth="1"/>
    <col min="19" max="34" width="14.5703125" customWidth="1"/>
    <col min="35" max="35" width="13.140625" bestFit="1" customWidth="1"/>
    <col min="36" max="36" width="11.5703125" bestFit="1" customWidth="1"/>
    <col min="37" max="37" width="15.5703125" bestFit="1" customWidth="1"/>
    <col min="38" max="38" width="14.5703125" bestFit="1" customWidth="1"/>
    <col min="39" max="41" width="7.42578125" bestFit="1" customWidth="1"/>
    <col min="42" max="42" width="12.42578125" bestFit="1" customWidth="1"/>
    <col min="43" max="43" width="13.140625" bestFit="1" customWidth="1"/>
    <col min="44" max="44" width="11.5703125" bestFit="1" customWidth="1"/>
    <col min="45" max="46" width="14.28515625" bestFit="1" customWidth="1"/>
    <col min="47" max="49" width="7.42578125" bestFit="1" customWidth="1"/>
    <col min="50" max="50" width="12.42578125" bestFit="1" customWidth="1"/>
    <col min="51" max="60" width="3.28515625" bestFit="1" customWidth="1"/>
  </cols>
  <sheetData>
    <row r="1" spans="1:60" ht="15.75" thickBot="1"/>
    <row r="2" spans="1:60" s="3" customFormat="1" ht="16.5" thickBot="1">
      <c r="A2" s="2">
        <v>1</v>
      </c>
      <c r="B2" s="2">
        <f>+A2+1</f>
        <v>2</v>
      </c>
      <c r="C2" s="2">
        <f t="shared" ref="C2:G2" si="0">+B2+1</f>
        <v>3</v>
      </c>
      <c r="D2" s="2">
        <f t="shared" si="0"/>
        <v>4</v>
      </c>
      <c r="E2" s="2">
        <f t="shared" si="0"/>
        <v>5</v>
      </c>
      <c r="F2" s="2">
        <f t="shared" si="0"/>
        <v>6</v>
      </c>
      <c r="G2" s="2">
        <f t="shared" si="0"/>
        <v>7</v>
      </c>
      <c r="H2" s="2">
        <f t="shared" ref="H2" si="1">+G2+1</f>
        <v>8</v>
      </c>
      <c r="I2" s="2">
        <f t="shared" ref="I2" si="2">+H2+1</f>
        <v>9</v>
      </c>
      <c r="J2" s="2">
        <f t="shared" ref="J2" si="3">+I2+1</f>
        <v>10</v>
      </c>
      <c r="K2" s="2">
        <f t="shared" ref="K2" si="4">+J2+1</f>
        <v>11</v>
      </c>
      <c r="L2" s="2">
        <f t="shared" ref="L2" si="5">+K2+1</f>
        <v>12</v>
      </c>
      <c r="M2" s="2">
        <f t="shared" ref="M2" si="6">+L2+1</f>
        <v>13</v>
      </c>
      <c r="N2" s="2">
        <f t="shared" ref="N2" si="7">+M2+1</f>
        <v>14</v>
      </c>
      <c r="O2" s="2">
        <f t="shared" ref="O2" si="8">+N2+1</f>
        <v>15</v>
      </c>
      <c r="P2" s="2">
        <f t="shared" ref="P2" si="9">+O2+1</f>
        <v>16</v>
      </c>
      <c r="Q2" s="2">
        <f t="shared" ref="Q2" si="10">+P2+1</f>
        <v>17</v>
      </c>
      <c r="R2" s="2">
        <f t="shared" ref="R2" si="11">+Q2+1</f>
        <v>18</v>
      </c>
      <c r="S2" s="2">
        <f t="shared" ref="S2" si="12">+R2+1</f>
        <v>19</v>
      </c>
      <c r="T2" s="2">
        <f t="shared" ref="T2" si="13">+S2+1</f>
        <v>20</v>
      </c>
      <c r="U2" s="2">
        <f t="shared" ref="U2" si="14">+T2+1</f>
        <v>21</v>
      </c>
      <c r="V2" s="2">
        <f t="shared" ref="V2" si="15">+U2+1</f>
        <v>22</v>
      </c>
      <c r="W2" s="2">
        <f t="shared" ref="W2" si="16">+V2+1</f>
        <v>23</v>
      </c>
      <c r="X2" s="2">
        <f t="shared" ref="X2" si="17">+W2+1</f>
        <v>24</v>
      </c>
      <c r="Y2" s="2">
        <f t="shared" ref="Y2" si="18">+X2+1</f>
        <v>25</v>
      </c>
      <c r="Z2" s="2">
        <f t="shared" ref="Z2" si="19">+Y2+1</f>
        <v>26</v>
      </c>
      <c r="AA2" s="2">
        <f t="shared" ref="AA2" si="20">+Z2+1</f>
        <v>27</v>
      </c>
      <c r="AB2" s="2">
        <f t="shared" ref="AB2" si="21">+AA2+1</f>
        <v>28</v>
      </c>
      <c r="AC2" s="2">
        <f t="shared" ref="AC2" si="22">+AB2+1</f>
        <v>29</v>
      </c>
      <c r="AD2" s="2">
        <f t="shared" ref="AD2" si="23">+AC2+1</f>
        <v>30</v>
      </c>
      <c r="AE2" s="2">
        <f t="shared" ref="AE2" si="24">+AD2+1</f>
        <v>31</v>
      </c>
      <c r="AF2" s="2">
        <f t="shared" ref="AF2" si="25">+AE2+1</f>
        <v>32</v>
      </c>
      <c r="AG2" s="2">
        <f t="shared" ref="AG2" si="26">+AF2+1</f>
        <v>33</v>
      </c>
      <c r="AH2" s="2">
        <f t="shared" ref="AH2" si="27">+AG2+1</f>
        <v>34</v>
      </c>
      <c r="AI2" s="2">
        <f t="shared" ref="AI2" si="28">+AH2+1</f>
        <v>35</v>
      </c>
      <c r="AJ2" s="2">
        <f t="shared" ref="AJ2" si="29">+AI2+1</f>
        <v>36</v>
      </c>
      <c r="AK2" s="2">
        <f t="shared" ref="AK2" si="30">+AJ2+1</f>
        <v>37</v>
      </c>
      <c r="AL2" s="2">
        <f t="shared" ref="AL2" si="31">+AK2+1</f>
        <v>38</v>
      </c>
      <c r="AM2" s="2">
        <f t="shared" ref="AM2" si="32">+AL2+1</f>
        <v>39</v>
      </c>
      <c r="AN2" s="2">
        <f t="shared" ref="AN2" si="33">+AM2+1</f>
        <v>40</v>
      </c>
      <c r="AO2" s="2">
        <f t="shared" ref="AO2" si="34">+AN2+1</f>
        <v>41</v>
      </c>
      <c r="AP2" s="2">
        <f t="shared" ref="AP2" si="35">+AO2+1</f>
        <v>42</v>
      </c>
      <c r="AQ2" s="2">
        <f t="shared" ref="AQ2" si="36">+AP2+1</f>
        <v>43</v>
      </c>
      <c r="AR2" s="2">
        <f t="shared" ref="AR2" si="37">+AQ2+1</f>
        <v>44</v>
      </c>
      <c r="AS2" s="2">
        <f t="shared" ref="AS2" si="38">+AR2+1</f>
        <v>45</v>
      </c>
      <c r="AT2" s="2">
        <f t="shared" ref="AT2" si="39">+AS2+1</f>
        <v>46</v>
      </c>
      <c r="AU2" s="2">
        <f t="shared" ref="AU2" si="40">+AT2+1</f>
        <v>47</v>
      </c>
      <c r="AV2" s="2">
        <f t="shared" ref="AV2" si="41">+AU2+1</f>
        <v>48</v>
      </c>
      <c r="AW2" s="2">
        <f t="shared" ref="AW2" si="42">+AV2+1</f>
        <v>49</v>
      </c>
      <c r="AX2" s="2">
        <f t="shared" ref="AX2" si="43">+AW2+1</f>
        <v>50</v>
      </c>
      <c r="AY2" s="2">
        <f t="shared" ref="AY2" si="44">+AX2+1</f>
        <v>51</v>
      </c>
      <c r="AZ2" s="2">
        <f t="shared" ref="AZ2" si="45">+AY2+1</f>
        <v>52</v>
      </c>
      <c r="BA2" s="2">
        <f t="shared" ref="BA2" si="46">+AZ2+1</f>
        <v>53</v>
      </c>
      <c r="BB2" s="2">
        <f t="shared" ref="BB2" si="47">+BA2+1</f>
        <v>54</v>
      </c>
      <c r="BC2" s="2">
        <f t="shared" ref="BC2" si="48">+BB2+1</f>
        <v>55</v>
      </c>
      <c r="BD2" s="2">
        <f t="shared" ref="BD2" si="49">+BC2+1</f>
        <v>56</v>
      </c>
      <c r="BE2" s="2">
        <f t="shared" ref="BE2" si="50">+BD2+1</f>
        <v>57</v>
      </c>
      <c r="BF2" s="2">
        <f t="shared" ref="BF2" si="51">+BE2+1</f>
        <v>58</v>
      </c>
      <c r="BG2" s="2">
        <f t="shared" ref="BG2" si="52">+BF2+1</f>
        <v>59</v>
      </c>
      <c r="BH2" s="2">
        <f t="shared" ref="BH2" si="53">+BG2+1</f>
        <v>60</v>
      </c>
    </row>
    <row r="3" spans="1:60" ht="15.75" thickBot="1"/>
    <row r="4" spans="1:60" ht="16.5" thickBot="1">
      <c r="B4" s="3"/>
      <c r="C4" s="1243" t="s">
        <v>17</v>
      </c>
      <c r="D4" s="1244"/>
      <c r="E4" s="1244"/>
      <c r="F4" s="1244"/>
      <c r="G4" s="1244"/>
      <c r="H4" s="1244"/>
      <c r="I4" s="1244"/>
      <c r="J4" s="1244"/>
      <c r="K4" s="1244"/>
      <c r="L4" s="1244"/>
      <c r="M4" s="1244"/>
      <c r="N4" s="1244"/>
      <c r="O4" s="1244"/>
      <c r="P4" s="1244"/>
      <c r="Q4" s="1244"/>
      <c r="R4" s="1244"/>
      <c r="S4" s="1244"/>
      <c r="T4" s="1244"/>
      <c r="U4" s="1244"/>
      <c r="V4" s="1244"/>
      <c r="W4" s="1244"/>
      <c r="X4" s="1244"/>
      <c r="Y4" s="1244"/>
      <c r="Z4" s="1244"/>
      <c r="AA4" s="1244"/>
      <c r="AB4" s="1244"/>
      <c r="AC4" s="1244"/>
      <c r="AD4" s="1244"/>
      <c r="AE4" s="1244"/>
      <c r="AF4" s="1244"/>
      <c r="AG4" s="1244"/>
      <c r="AH4" s="1244"/>
      <c r="AI4" s="1244"/>
      <c r="AJ4" s="1244"/>
      <c r="AK4" s="1244"/>
      <c r="AL4" s="1244"/>
      <c r="AM4" s="1244"/>
      <c r="AN4" s="1244"/>
      <c r="AO4" s="1244"/>
      <c r="AP4" s="1244"/>
      <c r="AQ4" s="1244"/>
      <c r="AR4" s="1244"/>
      <c r="AS4" s="1244"/>
      <c r="AT4" s="1244"/>
      <c r="AU4" s="1244"/>
      <c r="AV4" s="1244"/>
      <c r="AW4" s="1244"/>
      <c r="AX4" s="1244"/>
    </row>
    <row r="5" spans="1:60" ht="16.5" thickBot="1">
      <c r="B5" s="3"/>
      <c r="C5" s="1289" t="s">
        <v>46</v>
      </c>
      <c r="D5" s="1290"/>
      <c r="E5" s="1290"/>
      <c r="F5" s="1290"/>
      <c r="G5" s="1290"/>
      <c r="H5" s="1290"/>
      <c r="I5" s="1290"/>
      <c r="J5" s="1290"/>
      <c r="K5" s="1291" t="s">
        <v>47</v>
      </c>
      <c r="L5" s="1292"/>
      <c r="M5" s="1292"/>
      <c r="N5" s="1292"/>
      <c r="O5" s="1292"/>
      <c r="P5" s="1292"/>
      <c r="Q5" s="1292"/>
      <c r="R5" s="1292"/>
      <c r="S5" s="1289" t="s">
        <v>342</v>
      </c>
      <c r="T5" s="1290"/>
      <c r="U5" s="1290"/>
      <c r="V5" s="1290"/>
      <c r="W5" s="1290"/>
      <c r="X5" s="1290"/>
      <c r="Y5" s="1290"/>
      <c r="Z5" s="1290"/>
      <c r="AA5" s="1291" t="s">
        <v>343</v>
      </c>
      <c r="AB5" s="1292"/>
      <c r="AC5" s="1292"/>
      <c r="AD5" s="1292"/>
      <c r="AE5" s="1292"/>
      <c r="AF5" s="1292"/>
      <c r="AG5" s="1292"/>
      <c r="AH5" s="1292"/>
      <c r="AI5" s="1289" t="s">
        <v>344</v>
      </c>
      <c r="AJ5" s="1290"/>
      <c r="AK5" s="1290"/>
      <c r="AL5" s="1290"/>
      <c r="AM5" s="1290"/>
      <c r="AN5" s="1290"/>
      <c r="AO5" s="1290"/>
      <c r="AP5" s="1290"/>
      <c r="AQ5" s="1291" t="s">
        <v>345</v>
      </c>
      <c r="AR5" s="1292"/>
      <c r="AS5" s="1292"/>
      <c r="AT5" s="1292"/>
      <c r="AU5" s="1292"/>
      <c r="AV5" s="1292"/>
      <c r="AW5" s="1292"/>
      <c r="AX5" s="1293"/>
    </row>
    <row r="6" spans="1:60" ht="32.25" thickBot="1">
      <c r="B6" s="4" t="s">
        <v>0</v>
      </c>
      <c r="C6" s="38" t="str">
        <f ca="1">'הנחות עבודה'!C68</f>
        <v>גז במחזמים חדשים</v>
      </c>
      <c r="D6" s="38" t="str">
        <f ca="1">'הנחות עבודה'!D68</f>
        <v>גז בפיקרים חדשים</v>
      </c>
      <c r="E6" s="38" t="str">
        <f ca="1">'הנחות עבודה'!E68</f>
        <v>מוטה קרקע PV</v>
      </c>
      <c r="F6" s="38" t="str">
        <f ca="1">'הנחות עבודה'!F68</f>
        <v>מוטה דואלי PV</v>
      </c>
      <c r="G6" s="38" t="str">
        <f ca="1">'הנחות עבודה'!G68</f>
        <v>רוח</v>
      </c>
      <c r="H6" s="38" t="str">
        <f ca="1">'הנחות עבודה'!H68</f>
        <v>ביומסה/ביוגז</v>
      </c>
      <c r="I6" s="38" t="str">
        <f ca="1">'הנחות עבודה'!I68</f>
        <v>תרמו סולארי</v>
      </c>
      <c r="J6" s="38" t="str">
        <f ca="1">'הנחות עבודה'!J68</f>
        <v>סוללות לית'יום-יון</v>
      </c>
      <c r="K6" s="48" t="str">
        <f t="shared" ref="K6:AX6" ca="1" si="54">C6</f>
        <v>גז במחזמים חדשים</v>
      </c>
      <c r="L6" s="48" t="str">
        <f t="shared" ca="1" si="54"/>
        <v>גז בפיקרים חדשים</v>
      </c>
      <c r="M6" s="48" t="str">
        <f t="shared" ca="1" si="54"/>
        <v>מוטה קרקע PV</v>
      </c>
      <c r="N6" s="48" t="str">
        <f t="shared" ca="1" si="54"/>
        <v>מוטה דואלי PV</v>
      </c>
      <c r="O6" s="48" t="str">
        <f t="shared" ca="1" si="54"/>
        <v>רוח</v>
      </c>
      <c r="P6" s="48" t="str">
        <f t="shared" ca="1" si="54"/>
        <v>ביומסה/ביוגז</v>
      </c>
      <c r="Q6" s="48" t="str">
        <f t="shared" ca="1" si="54"/>
        <v>תרמו סולארי</v>
      </c>
      <c r="R6" s="48" t="str">
        <f t="shared" ca="1" si="54"/>
        <v>סוללות לית'יום-יון</v>
      </c>
      <c r="S6" s="38" t="str">
        <f t="shared" ca="1" si="54"/>
        <v>גז במחזמים חדשים</v>
      </c>
      <c r="T6" s="38" t="str">
        <f t="shared" ref="T6" ca="1" si="55">L6</f>
        <v>גז בפיקרים חדשים</v>
      </c>
      <c r="U6" s="38" t="str">
        <f t="shared" ref="U6" ca="1" si="56">M6</f>
        <v>מוטה קרקע PV</v>
      </c>
      <c r="V6" s="38" t="str">
        <f t="shared" ref="V6" ca="1" si="57">N6</f>
        <v>מוטה דואלי PV</v>
      </c>
      <c r="W6" s="38" t="str">
        <f t="shared" ref="W6" ca="1" si="58">O6</f>
        <v>רוח</v>
      </c>
      <c r="X6" s="38" t="str">
        <f t="shared" ref="X6" ca="1" si="59">P6</f>
        <v>ביומסה/ביוגז</v>
      </c>
      <c r="Y6" s="38" t="str">
        <f t="shared" ref="Y6" ca="1" si="60">Q6</f>
        <v>תרמו סולארי</v>
      </c>
      <c r="Z6" s="38" t="str">
        <f t="shared" ref="Z6" ca="1" si="61">R6</f>
        <v>סוללות לית'יום-יון</v>
      </c>
      <c r="AA6" s="48" t="str">
        <f t="shared" ref="AA6" ca="1" si="62">S6</f>
        <v>גז במחזמים חדשים</v>
      </c>
      <c r="AB6" s="48" t="str">
        <f t="shared" ref="AB6" ca="1" si="63">T6</f>
        <v>גז בפיקרים חדשים</v>
      </c>
      <c r="AC6" s="48" t="str">
        <f t="shared" ref="AC6" ca="1" si="64">U6</f>
        <v>מוטה קרקע PV</v>
      </c>
      <c r="AD6" s="48" t="str">
        <f t="shared" ref="AD6" ca="1" si="65">V6</f>
        <v>מוטה דואלי PV</v>
      </c>
      <c r="AE6" s="48" t="str">
        <f t="shared" ref="AE6" ca="1" si="66">W6</f>
        <v>רוח</v>
      </c>
      <c r="AF6" s="48" t="str">
        <f t="shared" ref="AF6" ca="1" si="67">X6</f>
        <v>ביומסה/ביוגז</v>
      </c>
      <c r="AG6" s="48" t="str">
        <f t="shared" ref="AG6" ca="1" si="68">Y6</f>
        <v>תרמו סולארי</v>
      </c>
      <c r="AH6" s="48" t="str">
        <f t="shared" ref="AH6" ca="1" si="69">Z6</f>
        <v>סוללות לית'יום-יון</v>
      </c>
      <c r="AI6" s="38" t="str">
        <f t="shared" ref="AI6:AP6" ca="1" si="70">K6</f>
        <v>גז במחזמים חדשים</v>
      </c>
      <c r="AJ6" s="38" t="str">
        <f t="shared" ca="1" si="70"/>
        <v>גז בפיקרים חדשים</v>
      </c>
      <c r="AK6" s="38" t="str">
        <f t="shared" ca="1" si="70"/>
        <v>מוטה קרקע PV</v>
      </c>
      <c r="AL6" s="38" t="str">
        <f t="shared" ca="1" si="70"/>
        <v>מוטה דואלי PV</v>
      </c>
      <c r="AM6" s="38" t="str">
        <f t="shared" ca="1" si="70"/>
        <v>רוח</v>
      </c>
      <c r="AN6" s="38" t="str">
        <f t="shared" ca="1" si="70"/>
        <v>ביומסה/ביוגז</v>
      </c>
      <c r="AO6" s="38" t="str">
        <f t="shared" ca="1" si="70"/>
        <v>תרמו סולארי</v>
      </c>
      <c r="AP6" s="38" t="str">
        <f t="shared" ca="1" si="70"/>
        <v>סוללות לית'יום-יון</v>
      </c>
      <c r="AQ6" s="48" t="str">
        <f t="shared" ca="1" si="54"/>
        <v>גז במחזמים חדשים</v>
      </c>
      <c r="AR6" s="48" t="str">
        <f t="shared" ca="1" si="54"/>
        <v>גז בפיקרים חדשים</v>
      </c>
      <c r="AS6" s="48" t="str">
        <f t="shared" ca="1" si="54"/>
        <v>מוטה קרקע PV</v>
      </c>
      <c r="AT6" s="48" t="str">
        <f t="shared" ca="1" si="54"/>
        <v>מוטה דואלי PV</v>
      </c>
      <c r="AU6" s="48" t="str">
        <f t="shared" ca="1" si="54"/>
        <v>רוח</v>
      </c>
      <c r="AV6" s="48" t="str">
        <f t="shared" ca="1" si="54"/>
        <v>ביומסה/ביוגז</v>
      </c>
      <c r="AW6" s="48" t="str">
        <f t="shared" ca="1" si="54"/>
        <v>תרמו סולארי</v>
      </c>
      <c r="AX6" s="48" t="str">
        <f t="shared" ca="1" si="54"/>
        <v>סוללות לית'יום-יון</v>
      </c>
    </row>
    <row r="7" spans="1:60" ht="16.5" thickBot="1">
      <c r="B7" s="62" t="s">
        <v>28</v>
      </c>
      <c r="C7" s="38" t="s">
        <v>29</v>
      </c>
      <c r="D7" s="38" t="s">
        <v>29</v>
      </c>
      <c r="E7" s="38" t="s">
        <v>29</v>
      </c>
      <c r="F7" s="38" t="s">
        <v>29</v>
      </c>
      <c r="G7" s="38" t="s">
        <v>29</v>
      </c>
      <c r="H7" s="38" t="s">
        <v>29</v>
      </c>
      <c r="I7" s="38" t="s">
        <v>29</v>
      </c>
      <c r="J7" s="38" t="s">
        <v>29</v>
      </c>
      <c r="K7" s="48" t="s">
        <v>29</v>
      </c>
      <c r="L7" s="48" t="s">
        <v>29</v>
      </c>
      <c r="M7" s="48" t="s">
        <v>29</v>
      </c>
      <c r="N7" s="48" t="s">
        <v>29</v>
      </c>
      <c r="O7" s="48" t="s">
        <v>29</v>
      </c>
      <c r="P7" s="48" t="s">
        <v>29</v>
      </c>
      <c r="Q7" s="48" t="s">
        <v>29</v>
      </c>
      <c r="R7" s="48" t="s">
        <v>29</v>
      </c>
      <c r="S7" s="38" t="s">
        <v>29</v>
      </c>
      <c r="T7" s="38" t="s">
        <v>29</v>
      </c>
      <c r="U7" s="38" t="s">
        <v>29</v>
      </c>
      <c r="V7" s="38" t="s">
        <v>29</v>
      </c>
      <c r="W7" s="38" t="s">
        <v>29</v>
      </c>
      <c r="X7" s="38" t="s">
        <v>29</v>
      </c>
      <c r="Y7" s="38" t="s">
        <v>29</v>
      </c>
      <c r="Z7" s="38" t="s">
        <v>29</v>
      </c>
      <c r="AA7" s="48" t="s">
        <v>29</v>
      </c>
      <c r="AB7" s="48" t="s">
        <v>29</v>
      </c>
      <c r="AC7" s="48" t="s">
        <v>29</v>
      </c>
      <c r="AD7" s="48" t="s">
        <v>29</v>
      </c>
      <c r="AE7" s="48" t="s">
        <v>29</v>
      </c>
      <c r="AF7" s="48" t="s">
        <v>29</v>
      </c>
      <c r="AG7" s="48" t="s">
        <v>29</v>
      </c>
      <c r="AH7" s="48" t="s">
        <v>29</v>
      </c>
      <c r="AI7" s="38" t="s">
        <v>29</v>
      </c>
      <c r="AJ7" s="38" t="s">
        <v>29</v>
      </c>
      <c r="AK7" s="287" t="s">
        <v>29</v>
      </c>
      <c r="AL7" s="38" t="s">
        <v>29</v>
      </c>
      <c r="AM7" s="38" t="s">
        <v>29</v>
      </c>
      <c r="AN7" s="38" t="s">
        <v>29</v>
      </c>
      <c r="AO7" s="38" t="s">
        <v>29</v>
      </c>
      <c r="AP7" s="38" t="s">
        <v>29</v>
      </c>
      <c r="AQ7" s="48" t="s">
        <v>29</v>
      </c>
      <c r="AR7" s="48" t="s">
        <v>29</v>
      </c>
      <c r="AS7" s="48" t="s">
        <v>29</v>
      </c>
      <c r="AT7" s="48" t="s">
        <v>29</v>
      </c>
      <c r="AU7" s="48" t="s">
        <v>29</v>
      </c>
      <c r="AV7" s="48" t="s">
        <v>29</v>
      </c>
      <c r="AW7" s="48" t="s">
        <v>29</v>
      </c>
      <c r="AX7" s="48" t="s">
        <v>29</v>
      </c>
    </row>
    <row r="8" spans="1:60" ht="15.75">
      <c r="B8" s="24">
        <v>2020</v>
      </c>
      <c r="C8" s="39">
        <f>IF('הנחות עבודה'!$C$4=$B$31,C35,IF('הנחות עבודה'!$C$4=$B$58,C62,C88))</f>
        <v>0</v>
      </c>
      <c r="D8" s="63">
        <f>IF('הנחות עבודה'!$C$4=$B$31,D35,IF('הנחות עבודה'!$C$4=$B$58,D62,D88))</f>
        <v>0</v>
      </c>
      <c r="E8" s="178">
        <f>IF('הנחות עבודה'!$C$4=$B$31,E35,IF('הנחות עבודה'!$C$4=$B$58,E62,E88))</f>
        <v>1938.6682808157962</v>
      </c>
      <c r="F8" s="41">
        <f>IF('הנחות עבודה'!$C$4=$B$31,F35,IF('הנחות עבודה'!$C$4=$B$58,F62,F88))</f>
        <v>0</v>
      </c>
      <c r="G8" s="400">
        <f>IF('הנחות עבודה'!$C$4=$B$31,G35,IF('הנחות עבודה'!$C$4=$B$58,G62,G88))</f>
        <v>8</v>
      </c>
      <c r="H8" s="382">
        <f>IF('הנחות עבודה'!$C$4=$B$31,H35,IF('הנחות עבודה'!$C$4=$B$58,H62,H88))</f>
        <v>0</v>
      </c>
      <c r="I8" s="382">
        <f>IF('הנחות עבודה'!$C$4=$B$31,I35,IF('הנחות עבודה'!$C$4=$B$58,I62,I88))</f>
        <v>0</v>
      </c>
      <c r="J8" s="41">
        <f>IF('הנחות עבודה'!$C$4=$B$31,J35,IF('הנחות עבודה'!$C$4=$B$58,J62,J88))</f>
        <v>0</v>
      </c>
      <c r="K8" s="49">
        <f>IF('הנחות עבודה'!$C$4=$B$31,K35,IF('הנחות עבודה'!$C$4=$B$58,K62,K88))</f>
        <v>0</v>
      </c>
      <c r="L8" s="50">
        <f>IF('הנחות עבודה'!$C$4=$B$31,L35,IF('הנחות עבודה'!$C$4=$B$58,L62,L88))</f>
        <v>0</v>
      </c>
      <c r="M8" s="49">
        <f>IF('הנחות עבודה'!$C$4=$B$31,M35,IF('הנחות עבודה'!$C$4=$B$58,M62,M88))</f>
        <v>0</v>
      </c>
      <c r="N8" s="51">
        <f>IF('הנחות עבודה'!$C$4=$B$31,N35,IF('הנחות עבודה'!$C$4=$B$58,N62,N88))</f>
        <v>1938.6682808157962</v>
      </c>
      <c r="O8" s="51">
        <f>IF('הנחות עבודה'!$C$4=$B$31,O35,IF('הנחות עבודה'!$C$4=$B$58,O62,O88))</f>
        <v>8</v>
      </c>
      <c r="P8" s="51">
        <f>IF('הנחות עבודה'!$C$4=$B$31,P35,IF('הנחות עבודה'!$C$4=$B$58,P62,P88))</f>
        <v>0</v>
      </c>
      <c r="Q8" s="51">
        <f>IF('הנחות עבודה'!$C$4=$B$31,Q35,IF('הנחות עבודה'!$C$4=$B$58,Q62,Q88))</f>
        <v>0</v>
      </c>
      <c r="R8" s="50">
        <f>IF('הנחות עבודה'!$C$4=$B$31,R35,IF('הנחות עבודה'!$C$4=$B$58,R62,R88))</f>
        <v>0</v>
      </c>
      <c r="S8" s="271">
        <f>IF('הנחות עבודה'!$C$4=$B$31,S35,IF('הנחות עבודה'!$C$4=$B$58,S62,S88))</f>
        <v>0</v>
      </c>
      <c r="T8" s="63">
        <f>IF('הנחות עבודה'!$C$4=$B$31,T35,IF('הנחות עבודה'!$C$4=$B$58,T62,T88))</f>
        <v>0</v>
      </c>
      <c r="U8" s="178">
        <f>IF('הנחות עבודה'!$C$4=$B$31,U35,IF('הנחות עבודה'!$C$4=$B$58,U62,U88))</f>
        <v>1938.6682808157962</v>
      </c>
      <c r="V8" s="41">
        <f>IF('הנחות עבודה'!$C$4=$B$31,V35,IF('הנחות עבודה'!$C$4=$B$58,V62,V88))</f>
        <v>0</v>
      </c>
      <c r="W8" s="400">
        <f>IF('הנחות עבודה'!$C$4=$B$31,W35,IF('הנחות עבודה'!$C$4=$B$58,W62,W88))</f>
        <v>8</v>
      </c>
      <c r="X8" s="382">
        <f>IF('הנחות עבודה'!$C$4=$B$31,X35,IF('הנחות עבודה'!$C$4=$B$58,X62,X88))</f>
        <v>0</v>
      </c>
      <c r="Y8" s="382">
        <f>IF('הנחות עבודה'!$C$4=$B$31,Y35,IF('הנחות עבודה'!$C$4=$B$58,Y62,Y88))</f>
        <v>0</v>
      </c>
      <c r="Z8" s="41">
        <f>IF('הנחות עבודה'!$C$4=$B$31,Z35,IF('הנחות עבודה'!$C$4=$B$58,Z62,Z88))</f>
        <v>0</v>
      </c>
      <c r="AA8" s="49">
        <f>IF('הנחות עבודה'!$C$4=$B$31,AA35,IF('הנחות עבודה'!$C$4=$B$58,AA62,AA88))</f>
        <v>0</v>
      </c>
      <c r="AB8" s="50">
        <f>IF('הנחות עבודה'!$C$4=$B$31,AB35,IF('הנחות עבודה'!$C$4=$B$58,AB62,AB88))</f>
        <v>0</v>
      </c>
      <c r="AC8" s="126">
        <f>IF('הנחות עבודה'!$C$4=$B$31,AC35,IF('הנחות עבודה'!$C$4=$B$58,AC62,AC88))</f>
        <v>0</v>
      </c>
      <c r="AD8" s="51">
        <f>IF('הנחות עבודה'!$C$4=$B$31,AD35,IF('הנחות עבודה'!$C$4=$B$58,AD62,AD88))</f>
        <v>1938.6682808157962</v>
      </c>
      <c r="AE8" s="51">
        <f>IF('הנחות עבודה'!$C$4=$B$31,AE35,IF('הנחות עבודה'!$C$4=$B$58,AE62,AE88))</f>
        <v>8</v>
      </c>
      <c r="AF8" s="51">
        <f>IF('הנחות עבודה'!$C$4=$B$31,AF35,IF('הנחות עבודה'!$C$4=$B$58,AF62,AF88))</f>
        <v>0</v>
      </c>
      <c r="AG8" s="51">
        <f>IF('הנחות עבודה'!$C$4=$B$31,AG35,IF('הנחות עבודה'!$C$4=$B$58,AG62,AG88))</f>
        <v>0</v>
      </c>
      <c r="AH8" s="269">
        <f>IF('הנחות עבודה'!$C$4=$B$31,AH35,IF('הנחות עבודה'!$C$4=$B$58,AH62,AH88))</f>
        <v>0</v>
      </c>
      <c r="AI8" s="39">
        <f>IF('הנחות עבודה'!$C$4=$B$31,AI35,IF('הנחות עבודה'!$C$4=$B$58,AI62,AI88))</f>
        <v>0</v>
      </c>
      <c r="AJ8" s="63">
        <f>IF('הנחות עבודה'!$C$4=$B$31,AJ35,IF('הנחות עבודה'!$C$4=$B$58,AJ62,AJ88))</f>
        <v>0</v>
      </c>
      <c r="AK8" s="178">
        <f>IF('הנחות עבודה'!$C$4=$B$31,AK35,IF('הנחות עבודה'!$C$4=$B$58,AK62,AK88))</f>
        <v>1938.6682808157962</v>
      </c>
      <c r="AL8" s="41">
        <f>IF('הנחות עבודה'!$C$4=$B$31,AL35,IF('הנחות עבודה'!$C$4=$B$58,AL62,AL88))</f>
        <v>0</v>
      </c>
      <c r="AM8" s="382">
        <f>IF('הנחות עבודה'!$C$4=$B$31,AM35,IF('הנחות עבודה'!$C$4=$B$58,AM62,AM88))</f>
        <v>8</v>
      </c>
      <c r="AN8" s="382">
        <f>IF('הנחות עבודה'!$C$4=$B$31,AN35,IF('הנחות עבודה'!$C$4=$B$58,AN62,AN88))</f>
        <v>0</v>
      </c>
      <c r="AO8" s="382">
        <f>IF('הנחות עבודה'!$C$4=$B$31,AO35,IF('הנחות עבודה'!$C$4=$B$58,AO62,AO88))</f>
        <v>0</v>
      </c>
      <c r="AP8" s="41">
        <f>IF('הנחות עבודה'!$C$4=$B$31,AP35,IF('הנחות עבודה'!$C$4=$B$58,AP62,AP88))</f>
        <v>0</v>
      </c>
      <c r="AQ8" s="49">
        <f>IF('הנחות עבודה'!$C$4=$B$31,AQ35,IF('הנחות עבודה'!$C$4=$B$58,AQ62,AQ88))</f>
        <v>0</v>
      </c>
      <c r="AR8" s="50">
        <f>IF('הנחות עבודה'!$C$4=$B$31,AR35,IF('הנחות עבודה'!$C$4=$B$58,AR62,AR88))</f>
        <v>0</v>
      </c>
      <c r="AS8" s="126">
        <f>IF('הנחות עבודה'!$C$4=$B$31,AS35,IF('הנחות עבודה'!$C$4=$B$58,AS62,AS88))</f>
        <v>0</v>
      </c>
      <c r="AT8" s="51">
        <f>IF('הנחות עבודה'!$C$4=$B$31,AT35,IF('הנחות עבודה'!$C$4=$B$58,AT62,AT88))</f>
        <v>1938.6682808157962</v>
      </c>
      <c r="AU8" s="51">
        <f>IF('הנחות עבודה'!$C$4=$B$31,AU35,IF('הנחות עבודה'!$C$4=$B$58,AU62,AU88))</f>
        <v>8</v>
      </c>
      <c r="AV8" s="51">
        <f>IF('הנחות עבודה'!$C$4=$B$31,AV35,IF('הנחות עבודה'!$C$4=$B$58,AV62,AV88))</f>
        <v>0</v>
      </c>
      <c r="AW8" s="51">
        <f>IF('הנחות עבודה'!$C$4=$B$31,AW35,IF('הנחות עבודה'!$C$4=$B$58,AW62,AW88))</f>
        <v>0</v>
      </c>
      <c r="AX8" s="50">
        <f>IF('הנחות עבודה'!$C$4=$B$31,AX35,IF('הנחות עבודה'!$C$4=$B$58,AX62,AX88))</f>
        <v>0</v>
      </c>
    </row>
    <row r="9" spans="1:60" ht="15.75">
      <c r="B9" s="10">
        <f t="shared" ref="B9:B10" si="71">+B8+1</f>
        <v>2021</v>
      </c>
      <c r="C9" s="42">
        <f>IF('הנחות עבודה'!$C$4=$B$31,C36,IF('הנחות עבודה'!$C$4=$B$58,C63,C89))</f>
        <v>0</v>
      </c>
      <c r="D9" s="64">
        <f>IF('הנחות עבודה'!$C$4=$B$31,D36,IF('הנחות עבודה'!$C$4=$B$58,D63,D89))</f>
        <v>0</v>
      </c>
      <c r="E9" s="179">
        <f>IF('הנחות עבודה'!$C$4=$B$31,E36,IF('הנחות עבודה'!$C$4=$B$58,E63,E89))</f>
        <v>323.91425072518769</v>
      </c>
      <c r="F9" s="44">
        <f>IF('הנחות עבודה'!$C$4=$B$31,F36,IF('הנחות עבודה'!$C$4=$B$58,F63,F89))</f>
        <v>0</v>
      </c>
      <c r="G9" s="399">
        <f>IF('הנחות עבודה'!$C$4=$B$31,G36,IF('הנחות עבודה'!$C$4=$B$58,G63,G89))</f>
        <v>0</v>
      </c>
      <c r="H9" s="399">
        <f>IF('הנחות עבודה'!$C$4=$B$31,H36,IF('הנחות עבודה'!$C$4=$B$58,H63,H89))</f>
        <v>30</v>
      </c>
      <c r="I9" s="399">
        <f>IF('הנחות עבודה'!$C$4=$B$31,I36,IF('הנחות עבודה'!$C$4=$B$58,I63,I89))</f>
        <v>0</v>
      </c>
      <c r="J9" s="44">
        <f>IF('הנחות עבודה'!$C$4=$B$31,J36,IF('הנחות עבודה'!$C$4=$B$58,J63,J89))</f>
        <v>0</v>
      </c>
      <c r="K9" s="52">
        <f>IF('הנחות עבודה'!$C$4=$B$31,K36,IF('הנחות עבודה'!$C$4=$B$58,K63,K89))</f>
        <v>0</v>
      </c>
      <c r="L9" s="53">
        <f>IF('הנחות עבודה'!$C$4=$B$31,L36,IF('הנחות עבודה'!$C$4=$B$58,L63,L89))</f>
        <v>0</v>
      </c>
      <c r="M9" s="52">
        <f>IF('הנחות עבודה'!$C$4=$B$31,M36,IF('הנחות עבודה'!$C$4=$B$58,M63,M89))</f>
        <v>0</v>
      </c>
      <c r="N9" s="54">
        <f>IF('הנחות עבודה'!$C$4=$B$31,N36,IF('הנחות עבודה'!$C$4=$B$58,N63,N89))</f>
        <v>323.91425072518769</v>
      </c>
      <c r="O9" s="54">
        <f>IF('הנחות עבודה'!$C$4=$B$31,O36,IF('הנחות עבודה'!$C$4=$B$58,O63,O89))</f>
        <v>0</v>
      </c>
      <c r="P9" s="54">
        <f>IF('הנחות עבודה'!$C$4=$B$31,P36,IF('הנחות עבודה'!$C$4=$B$58,P63,P89))</f>
        <v>30</v>
      </c>
      <c r="Q9" s="54">
        <f>IF('הנחות עבודה'!$C$4=$B$31,Q36,IF('הנחות עבודה'!$C$4=$B$58,Q63,Q89))</f>
        <v>0</v>
      </c>
      <c r="R9" s="53">
        <f>IF('הנחות עבודה'!$C$4=$B$31,R36,IF('הנחות עבודה'!$C$4=$B$58,R63,R89))</f>
        <v>0</v>
      </c>
      <c r="S9" s="832">
        <f>IF('הנחות עבודה'!$C$4=$B$31,S36,IF('הנחות עבודה'!$C$4=$B$58,S63,S89))</f>
        <v>0</v>
      </c>
      <c r="T9" s="64">
        <f>IF('הנחות עבודה'!$C$4=$B$31,T36,IF('הנחות עבודה'!$C$4=$B$58,T63,T89))</f>
        <v>0</v>
      </c>
      <c r="U9" s="179">
        <f>IF('הנחות עבודה'!$C$4=$B$31,U36,IF('הנחות עבודה'!$C$4=$B$58,U63,U89))</f>
        <v>740.8761744072458</v>
      </c>
      <c r="V9" s="44">
        <f>IF('הנחות עבודה'!$C$4=$B$31,V36,IF('הנחות עבודה'!$C$4=$B$58,V63,V89))</f>
        <v>0</v>
      </c>
      <c r="W9" s="399">
        <f>IF('הנחות עבודה'!$C$4=$B$31,W36,IF('הנחות עבודה'!$C$4=$B$58,W63,W89))</f>
        <v>0</v>
      </c>
      <c r="X9" s="399">
        <f>IF('הנחות עבודה'!$C$4=$B$31,X36,IF('הנחות עבודה'!$C$4=$B$58,X63,X89))</f>
        <v>30</v>
      </c>
      <c r="Y9" s="399">
        <f>IF('הנחות עבודה'!$C$4=$B$31,Y36,IF('הנחות עבודה'!$C$4=$B$58,Y63,Y89))</f>
        <v>0</v>
      </c>
      <c r="Z9" s="44">
        <f>IF('הנחות עבודה'!$C$4=$B$31,Z36,IF('הנחות עבודה'!$C$4=$B$58,Z63,Z89))</f>
        <v>0</v>
      </c>
      <c r="AA9" s="52">
        <f>IF('הנחות עבודה'!$C$4=$B$31,AA36,IF('הנחות עבודה'!$C$4=$B$58,AA63,AA89))</f>
        <v>0</v>
      </c>
      <c r="AB9" s="53">
        <f>IF('הנחות עבודה'!$C$4=$B$31,AB36,IF('הנחות עבודה'!$C$4=$B$58,AB63,AB89))</f>
        <v>0</v>
      </c>
      <c r="AC9" s="127">
        <f>IF('הנחות עבודה'!$C$4=$B$31,AC36,IF('הנחות עבודה'!$C$4=$B$58,AC63,AC89))</f>
        <v>0</v>
      </c>
      <c r="AD9" s="54">
        <f>IF('הנחות עבודה'!$C$4=$B$31,AD36,IF('הנחות עבודה'!$C$4=$B$58,AD63,AD89))</f>
        <v>740.8761744072458</v>
      </c>
      <c r="AE9" s="54">
        <f>IF('הנחות עבודה'!$C$4=$B$31,AE36,IF('הנחות עבודה'!$C$4=$B$58,AE63,AE89))</f>
        <v>0</v>
      </c>
      <c r="AF9" s="54">
        <f>IF('הנחות עבודה'!$C$4=$B$31,AF36,IF('הנחות עבודה'!$C$4=$B$58,AF63,AF89))</f>
        <v>30</v>
      </c>
      <c r="AG9" s="54">
        <f>IF('הנחות עבודה'!$C$4=$B$31,AG36,IF('הנחות עבודה'!$C$4=$B$58,AG63,AG89))</f>
        <v>0</v>
      </c>
      <c r="AH9" s="270">
        <f>IF('הנחות עבודה'!$C$4=$B$31,AH36,IF('הנחות עבודה'!$C$4=$B$58,AH63,AH89))</f>
        <v>0</v>
      </c>
      <c r="AI9" s="42">
        <f>IF('הנחות עבודה'!$C$4=$B$31,AI36,IF('הנחות עבודה'!$C$4=$B$58,AI63,AI89))</f>
        <v>0</v>
      </c>
      <c r="AJ9" s="64">
        <f>IF('הנחות עבודה'!$C$4=$B$31,AJ36,IF('הנחות עבודה'!$C$4=$B$58,AJ63,AJ89))</f>
        <v>0</v>
      </c>
      <c r="AK9" s="179">
        <f>IF('הנחות עבודה'!$C$4=$B$31,AK36,IF('הנחות עבודה'!$C$4=$B$58,AK63,AK89))</f>
        <v>972.52168756394576</v>
      </c>
      <c r="AL9" s="44">
        <f>IF('הנחות עבודה'!$C$4=$B$31,AL36,IF('הנחות עבודה'!$C$4=$B$58,AL63,AL89))</f>
        <v>0</v>
      </c>
      <c r="AM9" s="381">
        <f>IF('הנחות עבודה'!$C$4=$B$31,AM36,IF('הנחות עבודה'!$C$4=$B$58,AM63,AM89))</f>
        <v>0</v>
      </c>
      <c r="AN9" s="381">
        <f>IF('הנחות עבודה'!$C$4=$B$31,AN36,IF('הנחות עבודה'!$C$4=$B$58,AN63,AN89))</f>
        <v>30</v>
      </c>
      <c r="AO9" s="381">
        <f>IF('הנחות עבודה'!$C$4=$B$31,AO36,IF('הנחות עבודה'!$C$4=$B$58,AO63,AO89))</f>
        <v>0</v>
      </c>
      <c r="AP9" s="44">
        <f>IF('הנחות עבודה'!$C$4=$B$31,AP36,IF('הנחות עבודה'!$C$4=$B$58,AP63,AP89))</f>
        <v>0</v>
      </c>
      <c r="AQ9" s="52">
        <f>IF('הנחות עבודה'!$C$4=$B$31,AQ36,IF('הנחות עבודה'!$C$4=$B$58,AQ63,AQ89))</f>
        <v>0</v>
      </c>
      <c r="AR9" s="53">
        <f>IF('הנחות עבודה'!$C$4=$B$31,AR36,IF('הנחות עבודה'!$C$4=$B$58,AR63,AR89))</f>
        <v>0</v>
      </c>
      <c r="AS9" s="127">
        <f>IF('הנחות עבודה'!$C$4=$B$31,AS36,IF('הנחות עבודה'!$C$4=$B$58,AS63,AS89))</f>
        <v>0</v>
      </c>
      <c r="AT9" s="54">
        <f>IF('הנחות עבודה'!$C$4=$B$31,AT36,IF('הנחות עבודה'!$C$4=$B$58,AT63,AT89))</f>
        <v>972.52168756394576</v>
      </c>
      <c r="AU9" s="54">
        <f>IF('הנחות עבודה'!$C$4=$B$31,AU36,IF('הנחות עבודה'!$C$4=$B$58,AU63,AU89))</f>
        <v>0</v>
      </c>
      <c r="AV9" s="54">
        <f>IF('הנחות עבודה'!$C$4=$B$31,AV36,IF('הנחות עבודה'!$C$4=$B$58,AV63,AV89))</f>
        <v>30</v>
      </c>
      <c r="AW9" s="54">
        <f>IF('הנחות עבודה'!$C$4=$B$31,AW36,IF('הנחות עבודה'!$C$4=$B$58,AW63,AW89))</f>
        <v>0</v>
      </c>
      <c r="AX9" s="53">
        <f>IF('הנחות עבודה'!$C$4=$B$31,AX36,IF('הנחות עבודה'!$C$4=$B$58,AX63,AX89))</f>
        <v>0</v>
      </c>
    </row>
    <row r="10" spans="1:60" ht="15.75">
      <c r="B10" s="10">
        <f t="shared" si="71"/>
        <v>2022</v>
      </c>
      <c r="C10" s="42">
        <f>IF('הנחות עבודה'!$C$4=$B$31,C37,IF('הנחות עבודה'!$C$4=$B$58,C64,C90))</f>
        <v>1739</v>
      </c>
      <c r="D10" s="64">
        <f>IF('הנחות עבודה'!$C$4=$B$31,D37,IF('הנחות עבודה'!$C$4=$B$58,D64,D90))</f>
        <v>0</v>
      </c>
      <c r="E10" s="179">
        <f>IF('הנחות עבודה'!$C$4=$B$31,E37,IF('הנחות עבודה'!$C$4=$B$58,E64,E90))</f>
        <v>114.79847958817481</v>
      </c>
      <c r="F10" s="44">
        <f>IF('הנחות עבודה'!$C$4=$B$31,F37,IF('הנחות עבודה'!$C$4=$B$58,F64,F90))</f>
        <v>0</v>
      </c>
      <c r="G10" s="399">
        <f>IF('הנחות עבודה'!$C$4=$B$31,G37,IF('הנחות עבודה'!$C$4=$B$58,G64,G90))</f>
        <v>170</v>
      </c>
      <c r="H10" s="399">
        <f>IF('הנחות עבודה'!$C$4=$B$31,H37,IF('הנחות עבודה'!$C$4=$B$58,H64,H90))</f>
        <v>5</v>
      </c>
      <c r="I10" s="399">
        <f>IF('הנחות עבודה'!$C$4=$B$31,I37,IF('הנחות עבודה'!$C$4=$B$58,I64,I90))</f>
        <v>0</v>
      </c>
      <c r="J10" s="44">
        <f>IF('הנחות עבודה'!$C$4=$B$31,J37,IF('הנחות עבודה'!$C$4=$B$58,J64,J90))</f>
        <v>344</v>
      </c>
      <c r="K10" s="52">
        <f>IF('הנחות עבודה'!$C$4=$B$31,K37,IF('הנחות עבודה'!$C$4=$B$58,K64,K90))</f>
        <v>1739</v>
      </c>
      <c r="L10" s="53">
        <f>IF('הנחות עבודה'!$C$4=$B$31,L37,IF('הנחות עבודה'!$C$4=$B$58,L64,L90))</f>
        <v>0</v>
      </c>
      <c r="M10" s="52">
        <f>IF('הנחות עבודה'!$C$4=$B$31,M37,IF('הנחות עבודה'!$C$4=$B$58,M64,M90))</f>
        <v>0</v>
      </c>
      <c r="N10" s="54">
        <f>IF('הנחות עבודה'!$C$4=$B$31,N37,IF('הנחות עבודה'!$C$4=$B$58,N64,N90))</f>
        <v>114.79847958817481</v>
      </c>
      <c r="O10" s="54">
        <f>IF('הנחות עבודה'!$C$4=$B$31,O37,IF('הנחות עבודה'!$C$4=$B$58,O64,O90))</f>
        <v>170</v>
      </c>
      <c r="P10" s="54">
        <f>IF('הנחות עבודה'!$C$4=$B$31,P37,IF('הנחות עבודה'!$C$4=$B$58,P64,P90))</f>
        <v>5</v>
      </c>
      <c r="Q10" s="54">
        <f>IF('הנחות עבודה'!$C$4=$B$31,Q37,IF('הנחות עבודה'!$C$4=$B$58,Q64,Q90))</f>
        <v>0</v>
      </c>
      <c r="R10" s="53">
        <f>IF('הנחות עבודה'!$C$4=$B$31,R37,IF('הנחות עבודה'!$C$4=$B$58,R64,R90))</f>
        <v>344</v>
      </c>
      <c r="S10" s="832">
        <f>IF('הנחות עבודה'!$C$4=$B$31,S37,IF('הנחות עבודה'!$C$4=$B$58,S64,S90))</f>
        <v>1739</v>
      </c>
      <c r="T10" s="64">
        <f>IF('הנחות עבודה'!$C$4=$B$31,T37,IF('הנחות עבודה'!$C$4=$B$58,T64,T90))</f>
        <v>0</v>
      </c>
      <c r="U10" s="179">
        <f>IF('הנחות עבודה'!$C$4=$B$31,U37,IF('הנחות עבודה'!$C$4=$B$58,U64,U90))</f>
        <v>557.09875473685315</v>
      </c>
      <c r="V10" s="44">
        <f>IF('הנחות עבודה'!$C$4=$B$31,V37,IF('הנחות עבודה'!$C$4=$B$58,V64,V90))</f>
        <v>0</v>
      </c>
      <c r="W10" s="399">
        <f>IF('הנחות עבודה'!$C$4=$B$31,W37,IF('הנחות עבודה'!$C$4=$B$58,W64,W90))</f>
        <v>170</v>
      </c>
      <c r="X10" s="399">
        <f>IF('הנחות עבודה'!$C$4=$B$31,X37,IF('הנחות עבודה'!$C$4=$B$58,X64,X90))</f>
        <v>5</v>
      </c>
      <c r="Y10" s="399">
        <f>IF('הנחות עבודה'!$C$4=$B$31,Y37,IF('הנחות עבודה'!$C$4=$B$58,Y64,Y90))</f>
        <v>0</v>
      </c>
      <c r="Z10" s="44">
        <f>IF('הנחות עבודה'!$C$4=$B$31,Z37,IF('הנחות עבודה'!$C$4=$B$58,Z64,Z90))</f>
        <v>344</v>
      </c>
      <c r="AA10" s="52">
        <f>IF('הנחות עבודה'!$C$4=$B$31,AA37,IF('הנחות עבודה'!$C$4=$B$58,AA64,AA90))</f>
        <v>1739</v>
      </c>
      <c r="AB10" s="53">
        <f>IF('הנחות עבודה'!$C$4=$B$31,AB37,IF('הנחות עבודה'!$C$4=$B$58,AB64,AB90))</f>
        <v>0</v>
      </c>
      <c r="AC10" s="127">
        <f>IF('הנחות עבודה'!$C$4=$B$31,AC37,IF('הנחות עבודה'!$C$4=$B$58,AC64,AC90))</f>
        <v>0</v>
      </c>
      <c r="AD10" s="54">
        <f>IF('הנחות עבודה'!$C$4=$B$31,AD37,IF('הנחות עבודה'!$C$4=$B$58,AD64,AD90))</f>
        <v>557.09875473685315</v>
      </c>
      <c r="AE10" s="54">
        <f>IF('הנחות עבודה'!$C$4=$B$31,AE37,IF('הנחות עבודה'!$C$4=$B$58,AE64,AE90))</f>
        <v>170</v>
      </c>
      <c r="AF10" s="54">
        <f>IF('הנחות עבודה'!$C$4=$B$31,AF37,IF('הנחות עבודה'!$C$4=$B$58,AF64,AF90))</f>
        <v>5</v>
      </c>
      <c r="AG10" s="54">
        <f>IF('הנחות עבודה'!$C$4=$B$31,AG37,IF('הנחות עבודה'!$C$4=$B$58,AG64,AG90))</f>
        <v>0</v>
      </c>
      <c r="AH10" s="270">
        <f>IF('הנחות עבודה'!$C$4=$B$31,AH37,IF('הנחות עבודה'!$C$4=$B$58,AH64,AH90))</f>
        <v>344</v>
      </c>
      <c r="AI10" s="42">
        <f>IF('הנחות עבודה'!$C$4=$B$31,AI37,IF('הנחות עבודה'!$C$4=$B$58,AI64,AI90))</f>
        <v>1739</v>
      </c>
      <c r="AJ10" s="64">
        <f>IF('הנחות עבודה'!$C$4=$B$31,AJ37,IF('הנחות עבודה'!$C$4=$B$58,AJ64,AJ90))</f>
        <v>0</v>
      </c>
      <c r="AK10" s="179">
        <f>IF('הנחות עבודה'!$C$4=$B$31,AK37,IF('הנחות עבודה'!$C$4=$B$58,AK64,AK90))</f>
        <v>802.82112981945102</v>
      </c>
      <c r="AL10" s="44">
        <f>IF('הנחות עבודה'!$C$4=$B$31,AL37,IF('הנחות עבודה'!$C$4=$B$58,AL64,AL90))</f>
        <v>0</v>
      </c>
      <c r="AM10" s="381">
        <f>IF('הנחות עבודה'!$C$4=$B$31,AM37,IF('הנחות עבודה'!$C$4=$B$58,AM64,AM90))</f>
        <v>170</v>
      </c>
      <c r="AN10" s="381">
        <f>IF('הנחות עבודה'!$C$4=$B$31,AN37,IF('הנחות עבודה'!$C$4=$B$58,AN64,AN90))</f>
        <v>5</v>
      </c>
      <c r="AO10" s="381">
        <f>IF('הנחות עבודה'!$C$4=$B$31,AO37,IF('הנחות עבודה'!$C$4=$B$58,AO64,AO90))</f>
        <v>0</v>
      </c>
      <c r="AP10" s="44">
        <f>IF('הנחות עבודה'!$C$4=$B$31,AP37,IF('הנחות עבודה'!$C$4=$B$58,AP64,AP90))</f>
        <v>344</v>
      </c>
      <c r="AQ10" s="52">
        <f>IF('הנחות עבודה'!$C$4=$B$31,AQ37,IF('הנחות עבודה'!$C$4=$B$58,AQ64,AQ90))</f>
        <v>1739</v>
      </c>
      <c r="AR10" s="53">
        <f>IF('הנחות עבודה'!$C$4=$B$31,AR37,IF('הנחות עבודה'!$C$4=$B$58,AR64,AR90))</f>
        <v>0</v>
      </c>
      <c r="AS10" s="127">
        <f>IF('הנחות עבודה'!$C$4=$B$31,AS37,IF('הנחות עבודה'!$C$4=$B$58,AS64,AS90))</f>
        <v>0</v>
      </c>
      <c r="AT10" s="54">
        <f>IF('הנחות עבודה'!$C$4=$B$31,AT37,IF('הנחות עבודה'!$C$4=$B$58,AT64,AT90))</f>
        <v>802.82112981945102</v>
      </c>
      <c r="AU10" s="54">
        <f>IF('הנחות עבודה'!$C$4=$B$31,AU37,IF('הנחות עבודה'!$C$4=$B$58,AU64,AU90))</f>
        <v>170</v>
      </c>
      <c r="AV10" s="54">
        <f>IF('הנחות עבודה'!$C$4=$B$31,AV37,IF('הנחות עבודה'!$C$4=$B$58,AV64,AV90))</f>
        <v>5</v>
      </c>
      <c r="AW10" s="54">
        <f>IF('הנחות עבודה'!$C$4=$B$31,AW37,IF('הנחות עבודה'!$C$4=$B$58,AW64,AW90))</f>
        <v>0</v>
      </c>
      <c r="AX10" s="53">
        <f>IF('הנחות עבודה'!$C$4=$B$31,AX37,IF('הנחות עבודה'!$C$4=$B$58,AX64,AX90))</f>
        <v>344</v>
      </c>
    </row>
    <row r="11" spans="1:60" ht="15.75">
      <c r="B11" s="10">
        <f>+B10+1</f>
        <v>2023</v>
      </c>
      <c r="C11" s="42">
        <f>IF('הנחות עבודה'!$C$4=$B$31,C38,IF('הנחות עבודה'!$C$4=$B$58,C65,C91))</f>
        <v>0</v>
      </c>
      <c r="D11" s="64">
        <f>IF('הנחות עבודה'!$C$4=$B$31,D38,IF('הנחות עבודה'!$C$4=$B$58,D65,D91))</f>
        <v>650</v>
      </c>
      <c r="E11" s="179">
        <f>IF('הנחות עבודה'!$C$4=$B$31,E38,IF('הנחות עבודה'!$C$4=$B$58,E65,E91))</f>
        <v>122.1593918864919</v>
      </c>
      <c r="F11" s="44">
        <f>IF('הנחות עבודה'!$C$4=$B$31,F38,IF('הנחות עבודה'!$C$4=$B$58,F65,F91))</f>
        <v>0</v>
      </c>
      <c r="G11" s="399">
        <f>IF('הנחות עבודה'!$C$4=$B$31,G38,IF('הנחות עבודה'!$C$4=$B$58,G65,G91))</f>
        <v>177</v>
      </c>
      <c r="H11" s="399">
        <f>IF('הנחות עבודה'!$C$4=$B$31,H38,IF('הנחות עבודה'!$C$4=$B$58,H65,H91))</f>
        <v>5</v>
      </c>
      <c r="I11" s="399">
        <f>IF('הנחות עבודה'!$C$4=$B$31,I38,IF('הנחות עבודה'!$C$4=$B$58,I65,I91))</f>
        <v>0</v>
      </c>
      <c r="J11" s="44">
        <f>IF('הנחות עבודה'!$C$4=$B$31,J38,IF('הנחות עבודה'!$C$4=$B$58,J65,J91))</f>
        <v>0</v>
      </c>
      <c r="K11" s="52">
        <f>IF('הנחות עבודה'!$C$4=$B$31,K38,IF('הנחות עבודה'!$C$4=$B$58,K65,K91))</f>
        <v>0</v>
      </c>
      <c r="L11" s="53">
        <f>IF('הנחות עבודה'!$C$4=$B$31,L38,IF('הנחות עבודה'!$C$4=$B$58,L65,L91))</f>
        <v>650</v>
      </c>
      <c r="M11" s="52">
        <f>IF('הנחות עבודה'!$C$4=$B$31,M38,IF('הנחות עבודה'!$C$4=$B$58,M65,M91))</f>
        <v>0</v>
      </c>
      <c r="N11" s="54">
        <f>IF('הנחות עבודה'!$C$4=$B$31,N38,IF('הנחות עבודה'!$C$4=$B$58,N65,N91))</f>
        <v>122.1593918864919</v>
      </c>
      <c r="O11" s="54">
        <f>IF('הנחות עבודה'!$C$4=$B$31,O38,IF('הנחות עבודה'!$C$4=$B$58,O65,O91))</f>
        <v>177</v>
      </c>
      <c r="P11" s="54">
        <f>IF('הנחות עבודה'!$C$4=$B$31,P38,IF('הנחות עבודה'!$C$4=$B$58,P65,P91))</f>
        <v>5</v>
      </c>
      <c r="Q11" s="54">
        <f>IF('הנחות עבודה'!$C$4=$B$31,Q38,IF('הנחות עבודה'!$C$4=$B$58,Q65,Q91))</f>
        <v>0</v>
      </c>
      <c r="R11" s="53">
        <f>IF('הנחות עבודה'!$C$4=$B$31,R38,IF('הנחות עבודה'!$C$4=$B$58,R65,R91))</f>
        <v>0</v>
      </c>
      <c r="S11" s="832">
        <f>IF('הנחות עבודה'!$C$4=$B$31,S38,IF('הנחות עבודה'!$C$4=$B$58,S65,S91))</f>
        <v>0</v>
      </c>
      <c r="T11" s="64">
        <f>IF('הנחות עבודה'!$C$4=$B$31,T38,IF('הנחות עבודה'!$C$4=$B$58,T65,T91))</f>
        <v>650</v>
      </c>
      <c r="U11" s="179">
        <f>IF('הנחות עבודה'!$C$4=$B$31,U38,IF('הנחות עבודה'!$C$4=$B$58,U65,U91))</f>
        <v>590.95086326967066</v>
      </c>
      <c r="V11" s="44">
        <f>IF('הנחות עבודה'!$C$4=$B$31,V38,IF('הנחות עבודה'!$C$4=$B$58,V65,V91))</f>
        <v>0</v>
      </c>
      <c r="W11" s="399">
        <f>IF('הנחות עבודה'!$C$4=$B$31,W38,IF('הנחות עבודה'!$C$4=$B$58,W65,W91))</f>
        <v>177</v>
      </c>
      <c r="X11" s="399">
        <f>IF('הנחות עבודה'!$C$4=$B$31,X38,IF('הנחות עבודה'!$C$4=$B$58,X65,X91))</f>
        <v>5</v>
      </c>
      <c r="Y11" s="399">
        <f>IF('הנחות עבודה'!$C$4=$B$31,Y38,IF('הנחות עבודה'!$C$4=$B$58,Y65,Y91))</f>
        <v>0</v>
      </c>
      <c r="Z11" s="44">
        <f>IF('הנחות עבודה'!$C$4=$B$31,Z38,IF('הנחות עבודה'!$C$4=$B$58,Z65,Z91))</f>
        <v>0</v>
      </c>
      <c r="AA11" s="52">
        <f>IF('הנחות עבודה'!$C$4=$B$31,AA38,IF('הנחות עבודה'!$C$4=$B$58,AA65,AA91))</f>
        <v>0</v>
      </c>
      <c r="AB11" s="53">
        <f>IF('הנחות עבודה'!$C$4=$B$31,AB38,IF('הנחות עבודה'!$C$4=$B$58,AB65,AB91))</f>
        <v>650</v>
      </c>
      <c r="AC11" s="127">
        <f>IF('הנחות עבודה'!$C$4=$B$31,AC38,IF('הנחות עבודה'!$C$4=$B$58,AC65,AC91))</f>
        <v>0</v>
      </c>
      <c r="AD11" s="54">
        <f>IF('הנחות עבודה'!$C$4=$B$31,AD38,IF('הנחות עבודה'!$C$4=$B$58,AD65,AD91))</f>
        <v>590.95086326967066</v>
      </c>
      <c r="AE11" s="54">
        <f>IF('הנחות עבודה'!$C$4=$B$31,AE38,IF('הנחות עבודה'!$C$4=$B$58,AE65,AE91))</f>
        <v>177</v>
      </c>
      <c r="AF11" s="54">
        <f>IF('הנחות עבודה'!$C$4=$B$31,AF38,IF('הנחות עבודה'!$C$4=$B$58,AF65,AF91))</f>
        <v>5</v>
      </c>
      <c r="AG11" s="54">
        <f>IF('הנחות עבודה'!$C$4=$B$31,AG38,IF('הנחות עבודה'!$C$4=$B$58,AG65,AG91))</f>
        <v>0</v>
      </c>
      <c r="AH11" s="270">
        <f>IF('הנחות עבודה'!$C$4=$B$31,AH38,IF('הנחות עבודה'!$C$4=$B$58,AH65,AH91))</f>
        <v>0</v>
      </c>
      <c r="AI11" s="42">
        <f>IF('הנחות עבודה'!$C$4=$B$31,AI38,IF('הנחות עבודה'!$C$4=$B$58,AI65,AI91))</f>
        <v>0</v>
      </c>
      <c r="AJ11" s="64">
        <f>IF('הנחות עבודה'!$C$4=$B$31,AJ38,IF('הנחות עבודה'!$C$4=$B$58,AJ65,AJ91))</f>
        <v>650</v>
      </c>
      <c r="AK11" s="179">
        <f>IF('הנחות עבודה'!$C$4=$B$31,AK38,IF('הנחות עבודה'!$C$4=$B$58,AK65,AK91))</f>
        <v>851.39056959365917</v>
      </c>
      <c r="AL11" s="44">
        <f>IF('הנחות עבודה'!$C$4=$B$31,AL38,IF('הנחות עבודה'!$C$4=$B$58,AL65,AL91))</f>
        <v>0</v>
      </c>
      <c r="AM11" s="381">
        <f>IF('הנחות עבודה'!$C$4=$B$31,AM38,IF('הנחות עבודה'!$C$4=$B$58,AM65,AM91))</f>
        <v>177</v>
      </c>
      <c r="AN11" s="381">
        <f>IF('הנחות עבודה'!$C$4=$B$31,AN38,IF('הנחות עבודה'!$C$4=$B$58,AN65,AN91))</f>
        <v>5</v>
      </c>
      <c r="AO11" s="381">
        <f>IF('הנחות עבודה'!$C$4=$B$31,AO38,IF('הנחות עבודה'!$C$4=$B$58,AO65,AO91))</f>
        <v>0</v>
      </c>
      <c r="AP11" s="44">
        <f>IF('הנחות עבודה'!$C$4=$B$31,AP38,IF('הנחות עבודה'!$C$4=$B$58,AP65,AP91))</f>
        <v>0</v>
      </c>
      <c r="AQ11" s="52">
        <f>IF('הנחות עבודה'!$C$4=$B$31,AQ38,IF('הנחות עבודה'!$C$4=$B$58,AQ65,AQ91))</f>
        <v>0</v>
      </c>
      <c r="AR11" s="53">
        <f>IF('הנחות עבודה'!$C$4=$B$31,AR38,IF('הנחות עבודה'!$C$4=$B$58,AR65,AR91))</f>
        <v>650</v>
      </c>
      <c r="AS11" s="127">
        <f>IF('הנחות עבודה'!$C$4=$B$31,AS38,IF('הנחות עבודה'!$C$4=$B$58,AS65,AS91))</f>
        <v>0</v>
      </c>
      <c r="AT11" s="54">
        <f>IF('הנחות עבודה'!$C$4=$B$31,AT38,IF('הנחות עבודה'!$C$4=$B$58,AT65,AT91))</f>
        <v>851.39056959365917</v>
      </c>
      <c r="AU11" s="54">
        <f>IF('הנחות עבודה'!$C$4=$B$31,AU38,IF('הנחות עבודה'!$C$4=$B$58,AU65,AU91))</f>
        <v>177</v>
      </c>
      <c r="AV11" s="54">
        <f>IF('הנחות עבודה'!$C$4=$B$31,AV38,IF('הנחות עבודה'!$C$4=$B$58,AV65,AV91))</f>
        <v>5</v>
      </c>
      <c r="AW11" s="54">
        <f>IF('הנחות עבודה'!$C$4=$B$31,AW38,IF('הנחות עבודה'!$C$4=$B$58,AW65,AW91))</f>
        <v>0</v>
      </c>
      <c r="AX11" s="53">
        <f>IF('הנחות עבודה'!$C$4=$B$31,AX38,IF('הנחות עבודה'!$C$4=$B$58,AX65,AX91))</f>
        <v>0</v>
      </c>
    </row>
    <row r="12" spans="1:60" ht="15.75">
      <c r="B12" s="10">
        <f t="shared" ref="B12:B28" si="72">+B11+1</f>
        <v>2024</v>
      </c>
      <c r="C12" s="42">
        <f>IF('הנחות עבודה'!$C$4=$B$31,C39,IF('הנחות עבודה'!$C$4=$B$58,C66,C92))</f>
        <v>200</v>
      </c>
      <c r="D12" s="64">
        <f>IF('הנחות עבודה'!$C$4=$B$31,D39,IF('הנחות עבודה'!$C$4=$B$58,D66,D92))</f>
        <v>0</v>
      </c>
      <c r="E12" s="179">
        <f>IF('הנחות עבודה'!$C$4=$B$31,E39,IF('הנחות עבודה'!$C$4=$B$58,E66,E92))</f>
        <v>125.07243332363396</v>
      </c>
      <c r="F12" s="44">
        <f>IF('הנחות עבודה'!$C$4=$B$31,F39,IF('הנחות עבודה'!$C$4=$B$58,F66,F92))</f>
        <v>0</v>
      </c>
      <c r="G12" s="399">
        <f>IF('הנחות עבודה'!$C$4=$B$31,G39,IF('הנחות עבודה'!$C$4=$B$58,G66,G92))</f>
        <v>178</v>
      </c>
      <c r="H12" s="399">
        <f>IF('הנחות עבודה'!$C$4=$B$31,H39,IF('הנחות עבודה'!$C$4=$B$58,H66,H92))</f>
        <v>5</v>
      </c>
      <c r="I12" s="399">
        <f>IF('הנחות עבודה'!$C$4=$B$31,I39,IF('הנחות עבודה'!$C$4=$B$58,I66,I92))</f>
        <v>0</v>
      </c>
      <c r="J12" s="44">
        <f>IF('הנחות עבודה'!$C$4=$B$31,J39,IF('הנחות עבודה'!$C$4=$B$58,J66,J92))</f>
        <v>0</v>
      </c>
      <c r="K12" s="52">
        <f>IF('הנחות עבודה'!$C$4=$B$31,K39,IF('הנחות עבודה'!$C$4=$B$58,K66,K92))</f>
        <v>200</v>
      </c>
      <c r="L12" s="53">
        <f>IF('הנחות עבודה'!$C$4=$B$31,L39,IF('הנחות עבודה'!$C$4=$B$58,L66,L92))</f>
        <v>0</v>
      </c>
      <c r="M12" s="52">
        <f>IF('הנחות עבודה'!$C$4=$B$31,M39,IF('הנחות עבודה'!$C$4=$B$58,M66,M92))</f>
        <v>0</v>
      </c>
      <c r="N12" s="54">
        <f>IF('הנחות עבודה'!$C$4=$B$31,N39,IF('הנחות עבודה'!$C$4=$B$58,N66,N92))</f>
        <v>125.07243332363396</v>
      </c>
      <c r="O12" s="54">
        <f>IF('הנחות עבודה'!$C$4=$B$31,O39,IF('הנחות עבודה'!$C$4=$B$58,O66,O92))</f>
        <v>178</v>
      </c>
      <c r="P12" s="54">
        <f>IF('הנחות עבודה'!$C$4=$B$31,P39,IF('הנחות עבודה'!$C$4=$B$58,P66,P92))</f>
        <v>5</v>
      </c>
      <c r="Q12" s="54">
        <f>IF('הנחות עבודה'!$C$4=$B$31,Q39,IF('הנחות עבודה'!$C$4=$B$58,Q66,Q92))</f>
        <v>0</v>
      </c>
      <c r="R12" s="53">
        <f>IF('הנחות עבודה'!$C$4=$B$31,R39,IF('הנחות עבודה'!$C$4=$B$58,R66,R92))</f>
        <v>0</v>
      </c>
      <c r="S12" s="832">
        <f>IF('הנחות עבודה'!$C$4=$B$31,S39,IF('הנחות עבודה'!$C$4=$B$58,S66,S92))</f>
        <v>200</v>
      </c>
      <c r="T12" s="64">
        <f>IF('הנחות עבודה'!$C$4=$B$31,T39,IF('הנחות עבודה'!$C$4=$B$58,T66,T92))</f>
        <v>0</v>
      </c>
      <c r="U12" s="179">
        <f>IF('הנחות עבודה'!$C$4=$B$31,U39,IF('הנחות עבודה'!$C$4=$B$58,U66,U92))</f>
        <v>616.81891586728034</v>
      </c>
      <c r="V12" s="44">
        <f>IF('הנחות עבודה'!$C$4=$B$31,V39,IF('הנחות עבודה'!$C$4=$B$58,V66,V92))</f>
        <v>0</v>
      </c>
      <c r="W12" s="399">
        <f>IF('הנחות עבודה'!$C$4=$B$31,W39,IF('הנחות עבודה'!$C$4=$B$58,W66,W92))</f>
        <v>178</v>
      </c>
      <c r="X12" s="399">
        <f>IF('הנחות עבודה'!$C$4=$B$31,X39,IF('הנחות עבודה'!$C$4=$B$58,X66,X92))</f>
        <v>5</v>
      </c>
      <c r="Y12" s="399">
        <f>IF('הנחות עבודה'!$C$4=$B$31,Y39,IF('הנחות עבודה'!$C$4=$B$58,Y66,Y92))</f>
        <v>0</v>
      </c>
      <c r="Z12" s="44">
        <f>IF('הנחות עבודה'!$C$4=$B$31,Z39,IF('הנחות עבודה'!$C$4=$B$58,Z66,Z92))</f>
        <v>0</v>
      </c>
      <c r="AA12" s="52">
        <f>IF('הנחות עבודה'!$C$4=$B$31,AA39,IF('הנחות עבודה'!$C$4=$B$58,AA66,AA92))</f>
        <v>200</v>
      </c>
      <c r="AB12" s="53">
        <f>IF('הנחות עבודה'!$C$4=$B$31,AB39,IF('הנחות עבודה'!$C$4=$B$58,AB66,AB92))</f>
        <v>0</v>
      </c>
      <c r="AC12" s="127">
        <f>IF('הנחות עבודה'!$C$4=$B$31,AC39,IF('הנחות עבודה'!$C$4=$B$58,AC66,AC92))</f>
        <v>0</v>
      </c>
      <c r="AD12" s="54">
        <f>IF('הנחות עבודה'!$C$4=$B$31,AD39,IF('הנחות עבודה'!$C$4=$B$58,AD66,AD92))</f>
        <v>616.81891586728034</v>
      </c>
      <c r="AE12" s="54">
        <f>IF('הנחות עבודה'!$C$4=$B$31,AE39,IF('הנחות עבודה'!$C$4=$B$58,AE66,AE92))</f>
        <v>178</v>
      </c>
      <c r="AF12" s="54">
        <f>IF('הנחות עבודה'!$C$4=$B$31,AF39,IF('הנחות עבודה'!$C$4=$B$58,AF66,AF92))</f>
        <v>5</v>
      </c>
      <c r="AG12" s="54">
        <f>IF('הנחות עבודה'!$C$4=$B$31,AG39,IF('הנחות עבודה'!$C$4=$B$58,AG66,AG92))</f>
        <v>0</v>
      </c>
      <c r="AH12" s="270">
        <f>IF('הנחות עבודה'!$C$4=$B$31,AH39,IF('הנחות עבודה'!$C$4=$B$58,AH66,AH92))</f>
        <v>0</v>
      </c>
      <c r="AI12" s="42">
        <f>IF('הנחות עבודה'!$C$4=$B$31,AI39,IF('הנחות עבודה'!$C$4=$B$58,AI66,AI92))</f>
        <v>200</v>
      </c>
      <c r="AJ12" s="64">
        <f>IF('הנחות עבודה'!$C$4=$B$31,AJ39,IF('הנחות עבודה'!$C$4=$B$58,AJ66,AJ92))</f>
        <v>0</v>
      </c>
      <c r="AK12" s="179">
        <f>IF('הנחות עבודה'!$C$4=$B$31,AK39,IF('הנחות עבודה'!$C$4=$B$58,AK66,AK92))</f>
        <v>890.01140616930752</v>
      </c>
      <c r="AL12" s="44">
        <f>IF('הנחות עבודה'!$C$4=$B$31,AL39,IF('הנחות עבודה'!$C$4=$B$58,AL66,AL92))</f>
        <v>0</v>
      </c>
      <c r="AM12" s="381">
        <f>IF('הנחות עבודה'!$C$4=$B$31,AM39,IF('הנחות עבודה'!$C$4=$B$58,AM66,AM92))</f>
        <v>178</v>
      </c>
      <c r="AN12" s="381">
        <f>IF('הנחות עבודה'!$C$4=$B$31,AN39,IF('הנחות עבודה'!$C$4=$B$58,AN66,AN92))</f>
        <v>5</v>
      </c>
      <c r="AO12" s="381">
        <f>IF('הנחות עבודה'!$C$4=$B$31,AO39,IF('הנחות עבודה'!$C$4=$B$58,AO66,AO92))</f>
        <v>0</v>
      </c>
      <c r="AP12" s="44">
        <f>IF('הנחות עבודה'!$C$4=$B$31,AP39,IF('הנחות עבודה'!$C$4=$B$58,AP66,AP92))</f>
        <v>0</v>
      </c>
      <c r="AQ12" s="52">
        <f>IF('הנחות עבודה'!$C$4=$B$31,AQ39,IF('הנחות עבודה'!$C$4=$B$58,AQ66,AQ92))</f>
        <v>200</v>
      </c>
      <c r="AR12" s="53">
        <f>IF('הנחות עבודה'!$C$4=$B$31,AR39,IF('הנחות עבודה'!$C$4=$B$58,AR66,AR92))</f>
        <v>0</v>
      </c>
      <c r="AS12" s="127">
        <f>IF('הנחות עבודה'!$C$4=$B$31,AS39,IF('הנחות עבודה'!$C$4=$B$58,AS66,AS92))</f>
        <v>0</v>
      </c>
      <c r="AT12" s="54">
        <f>IF('הנחות עבודה'!$C$4=$B$31,AT39,IF('הנחות עבודה'!$C$4=$B$58,AT66,AT92))</f>
        <v>890.01140616930752</v>
      </c>
      <c r="AU12" s="54">
        <f>IF('הנחות עבודה'!$C$4=$B$31,AU39,IF('הנחות עבודה'!$C$4=$B$58,AU66,AU92))</f>
        <v>178</v>
      </c>
      <c r="AV12" s="54">
        <f>IF('הנחות עבודה'!$C$4=$B$31,AV39,IF('הנחות עבודה'!$C$4=$B$58,AV66,AV92))</f>
        <v>5</v>
      </c>
      <c r="AW12" s="54">
        <f>IF('הנחות עבודה'!$C$4=$B$31,AW39,IF('הנחות עבודה'!$C$4=$B$58,AW66,AW92))</f>
        <v>0</v>
      </c>
      <c r="AX12" s="53">
        <f>IF('הנחות עבודה'!$C$4=$B$31,AX39,IF('הנחות עבודה'!$C$4=$B$58,AX66,AX92))</f>
        <v>0</v>
      </c>
    </row>
    <row r="13" spans="1:60" ht="15.75">
      <c r="B13" s="10">
        <f t="shared" si="72"/>
        <v>2025</v>
      </c>
      <c r="C13" s="42">
        <f>IF('הנחות עבודה'!$C$4=$B$31,C40,IF('הנחות עבודה'!$C$4=$B$58,C67,C93))</f>
        <v>0</v>
      </c>
      <c r="D13" s="64">
        <f>IF('הנחות עבודה'!$C$4=$B$31,D40,IF('הנחות עבודה'!$C$4=$B$58,D67,D93))</f>
        <v>0</v>
      </c>
      <c r="E13" s="179">
        <f>IF('הנחות עבודה'!$C$4=$B$31,E40,IF('הנחות עבודה'!$C$4=$B$58,E67,E93))</f>
        <v>181.19893508022506</v>
      </c>
      <c r="F13" s="44">
        <f>IF('הנחות עבודה'!$C$4=$B$31,F40,IF('הנחות עבודה'!$C$4=$B$58,F67,F93))</f>
        <v>0</v>
      </c>
      <c r="G13" s="399">
        <f>IF('הנחות עבודה'!$C$4=$B$31,G40,IF('הנחות עבודה'!$C$4=$B$58,G67,G93))</f>
        <v>177</v>
      </c>
      <c r="H13" s="399">
        <f>IF('הנחות עבודה'!$C$4=$B$31,H40,IF('הנחות עבודה'!$C$4=$B$58,H67,H93))</f>
        <v>5</v>
      </c>
      <c r="I13" s="399">
        <f>IF('הנחות עבודה'!$C$4=$B$31,I40,IF('הנחות עבודה'!$C$4=$B$58,I67,I93))</f>
        <v>0</v>
      </c>
      <c r="J13" s="44">
        <f>IF('הנחות עבודה'!$C$4=$B$31,J40,IF('הנחות עבודה'!$C$4=$B$58,J67,J93))</f>
        <v>156</v>
      </c>
      <c r="K13" s="52">
        <f>IF('הנחות עבודה'!$C$4=$B$31,K40,IF('הנחות עבודה'!$C$4=$B$58,K67,K93))</f>
        <v>0</v>
      </c>
      <c r="L13" s="53">
        <f>IF('הנחות עבודה'!$C$4=$B$31,L40,IF('הנחות עבודה'!$C$4=$B$58,L67,L93))</f>
        <v>0</v>
      </c>
      <c r="M13" s="52">
        <f>IF('הנחות עבודה'!$C$4=$B$31,M40,IF('הנחות עבודה'!$C$4=$B$58,M67,M93))</f>
        <v>0</v>
      </c>
      <c r="N13" s="54">
        <f>IF('הנחות עבודה'!$C$4=$B$31,N40,IF('הנחות עבודה'!$C$4=$B$58,N67,N93))</f>
        <v>181.19893508022506</v>
      </c>
      <c r="O13" s="54">
        <f>IF('הנחות עבודה'!$C$4=$B$31,O40,IF('הנחות עבודה'!$C$4=$B$58,O67,O93))</f>
        <v>177</v>
      </c>
      <c r="P13" s="54">
        <f>IF('הנחות עבודה'!$C$4=$B$31,P40,IF('הנחות עבודה'!$C$4=$B$58,P67,P93))</f>
        <v>5</v>
      </c>
      <c r="Q13" s="54">
        <f>IF('הנחות עבודה'!$C$4=$B$31,Q40,IF('הנחות עבודה'!$C$4=$B$58,Q67,Q93))</f>
        <v>0</v>
      </c>
      <c r="R13" s="53">
        <f>IF('הנחות עבודה'!$C$4=$B$31,R40,IF('הנחות עבודה'!$C$4=$B$58,R67,R93))</f>
        <v>156</v>
      </c>
      <c r="S13" s="832">
        <f>IF('הנחות עבודה'!$C$4=$B$31,S40,IF('הנחות עבודה'!$C$4=$B$58,S67,S93))</f>
        <v>0</v>
      </c>
      <c r="T13" s="64">
        <f>IF('הנחות עבודה'!$C$4=$B$31,T40,IF('הנחות עבודה'!$C$4=$B$58,T67,T93))</f>
        <v>0</v>
      </c>
      <c r="U13" s="179">
        <f>IF('הנחות עבודה'!$C$4=$B$31,U40,IF('הנחות עבודה'!$C$4=$B$58,U67,U93))</f>
        <v>711.23940972452419</v>
      </c>
      <c r="V13" s="44">
        <f>IF('הנחות עבודה'!$C$4=$B$31,V40,IF('הנחות עבודה'!$C$4=$B$58,V67,V93))</f>
        <v>0</v>
      </c>
      <c r="W13" s="399">
        <f>IF('הנחות עבודה'!$C$4=$B$31,W40,IF('הנחות עבודה'!$C$4=$B$58,W67,W93))</f>
        <v>177</v>
      </c>
      <c r="X13" s="399">
        <f>IF('הנחות עבודה'!$C$4=$B$31,X40,IF('הנחות עבודה'!$C$4=$B$58,X67,X93))</f>
        <v>5</v>
      </c>
      <c r="Y13" s="399">
        <f>IF('הנחות עבודה'!$C$4=$B$31,Y40,IF('הנחות עבודה'!$C$4=$B$58,Y67,Y93))</f>
        <v>0</v>
      </c>
      <c r="Z13" s="44">
        <f>IF('הנחות עבודה'!$C$4=$B$31,Z40,IF('הנחות עבודה'!$C$4=$B$58,Z67,Z93))</f>
        <v>156</v>
      </c>
      <c r="AA13" s="52">
        <f>IF('הנחות עבודה'!$C$4=$B$31,AA40,IF('הנחות עבודה'!$C$4=$B$58,AA67,AA93))</f>
        <v>0</v>
      </c>
      <c r="AB13" s="53">
        <f>IF('הנחות עבודה'!$C$4=$B$31,AB40,IF('הנחות עבודה'!$C$4=$B$58,AB67,AB93))</f>
        <v>0</v>
      </c>
      <c r="AC13" s="127">
        <f>IF('הנחות עבודה'!$C$4=$B$31,AC40,IF('הנחות עבודה'!$C$4=$B$58,AC67,AC93))</f>
        <v>0</v>
      </c>
      <c r="AD13" s="54">
        <f>IF('הנחות עבודה'!$C$4=$B$31,AD40,IF('הנחות עבודה'!$C$4=$B$58,AD67,AD93))</f>
        <v>711.23940972452419</v>
      </c>
      <c r="AE13" s="54">
        <f>IF('הנחות עבודה'!$C$4=$B$31,AE40,IF('הנחות עבודה'!$C$4=$B$58,AE67,AE93))</f>
        <v>177</v>
      </c>
      <c r="AF13" s="54">
        <f>IF('הנחות עבודה'!$C$4=$B$31,AF40,IF('הנחות עבודה'!$C$4=$B$58,AF67,AF93))</f>
        <v>5</v>
      </c>
      <c r="AG13" s="54">
        <f>IF('הנחות עבודה'!$C$4=$B$31,AG40,IF('הנחות עבודה'!$C$4=$B$58,AG67,AG93))</f>
        <v>0</v>
      </c>
      <c r="AH13" s="270">
        <f>IF('הנחות עבודה'!$C$4=$B$31,AH40,IF('הנחות עבודה'!$C$4=$B$58,AH67,AH93))</f>
        <v>156</v>
      </c>
      <c r="AI13" s="42">
        <f>IF('הנחות עבודה'!$C$4=$B$31,AI40,IF('הנחות עבודה'!$C$4=$B$58,AI67,AI93))</f>
        <v>0</v>
      </c>
      <c r="AJ13" s="64">
        <f>IF('הנחות עבודה'!$C$4=$B$31,AJ40,IF('הנחות עבודה'!$C$4=$B$58,AJ67,AJ93))</f>
        <v>0</v>
      </c>
      <c r="AK13" s="179">
        <f>IF('הנחות עבודה'!$C$4=$B$31,AK40,IF('הנחות עבודה'!$C$4=$B$58,AK67,AK93))</f>
        <v>1005.7063400824682</v>
      </c>
      <c r="AL13" s="44">
        <f>IF('הנחות עבודה'!$C$4=$B$31,AL40,IF('הנחות עבודה'!$C$4=$B$58,AL67,AL93))</f>
        <v>0</v>
      </c>
      <c r="AM13" s="381">
        <f>IF('הנחות עבודה'!$C$4=$B$31,AM40,IF('הנחות עבודה'!$C$4=$B$58,AM67,AM93))</f>
        <v>177</v>
      </c>
      <c r="AN13" s="381">
        <f>IF('הנחות עבודה'!$C$4=$B$31,AN40,IF('הנחות עבודה'!$C$4=$B$58,AN67,AN93))</f>
        <v>5</v>
      </c>
      <c r="AO13" s="381">
        <f>IF('הנחות עבודה'!$C$4=$B$31,AO40,IF('הנחות עבודה'!$C$4=$B$58,AO67,AO93))</f>
        <v>0</v>
      </c>
      <c r="AP13" s="44">
        <f>IF('הנחות עבודה'!$C$4=$B$31,AP40,IF('הנחות עבודה'!$C$4=$B$58,AP67,AP93))</f>
        <v>156</v>
      </c>
      <c r="AQ13" s="52">
        <f>IF('הנחות עבודה'!$C$4=$B$31,AQ40,IF('הנחות עבודה'!$C$4=$B$58,AQ67,AQ93))</f>
        <v>0</v>
      </c>
      <c r="AR13" s="53">
        <f>IF('הנחות עבודה'!$C$4=$B$31,AR40,IF('הנחות עבודה'!$C$4=$B$58,AR67,AR93))</f>
        <v>0</v>
      </c>
      <c r="AS13" s="127">
        <f>IF('הנחות עבודה'!$C$4=$B$31,AS40,IF('הנחות עבודה'!$C$4=$B$58,AS67,AS93))</f>
        <v>0</v>
      </c>
      <c r="AT13" s="54">
        <f>IF('הנחות עבודה'!$C$4=$B$31,AT40,IF('הנחות עבודה'!$C$4=$B$58,AT67,AT93))</f>
        <v>1005.7063400824682</v>
      </c>
      <c r="AU13" s="54">
        <f>IF('הנחות עבודה'!$C$4=$B$31,AU40,IF('הנחות עבודה'!$C$4=$B$58,AU67,AU93))</f>
        <v>177</v>
      </c>
      <c r="AV13" s="54">
        <f>IF('הנחות עבודה'!$C$4=$B$31,AV40,IF('הנחות עבודה'!$C$4=$B$58,AV67,AV93))</f>
        <v>5</v>
      </c>
      <c r="AW13" s="54">
        <f>IF('הנחות עבודה'!$C$4=$B$31,AW40,IF('הנחות עבודה'!$C$4=$B$58,AW67,AW93))</f>
        <v>0</v>
      </c>
      <c r="AX13" s="53">
        <f>IF('הנחות עבודה'!$C$4=$B$31,AX40,IF('הנחות עבודה'!$C$4=$B$58,AX67,AX93))</f>
        <v>156</v>
      </c>
    </row>
    <row r="14" spans="1:60" ht="15.75">
      <c r="B14" s="10">
        <f t="shared" si="72"/>
        <v>2026</v>
      </c>
      <c r="C14" s="42">
        <f>IF('הנחות עבודה'!$C$4=$B$31,C41,IF('הנחות עבודה'!$C$4=$B$58,C68,C94))</f>
        <v>0</v>
      </c>
      <c r="D14" s="64">
        <f>IF('הנחות עבודה'!$C$4=$B$31,D41,IF('הנחות עבודה'!$C$4=$B$58,D68,D94))</f>
        <v>0</v>
      </c>
      <c r="E14" s="179">
        <f>IF('הנחות עבודה'!$C$4=$B$31,E41,IF('הנחות עבודה'!$C$4=$B$58,E68,E94))</f>
        <v>619.03221265441971</v>
      </c>
      <c r="F14" s="44">
        <f>IF('הנחות עבודה'!$C$4=$B$31,F41,IF('הנחות עבודה'!$C$4=$B$58,F68,F94))</f>
        <v>0</v>
      </c>
      <c r="G14" s="399">
        <f>IF('הנחות עבודה'!$C$4=$B$31,G41,IF('הנחות עבודה'!$C$4=$B$58,G68,G94))</f>
        <v>0</v>
      </c>
      <c r="H14" s="399">
        <f>IF('הנחות עבודה'!$C$4=$B$31,H41,IF('הנחות עבודה'!$C$4=$B$58,H68,H94))</f>
        <v>5</v>
      </c>
      <c r="I14" s="399">
        <f>IF('הנחות עבודה'!$C$4=$B$31,I41,IF('הנחות עבודה'!$C$4=$B$58,I68,I94))</f>
        <v>0</v>
      </c>
      <c r="J14" s="44">
        <f>IF('הנחות עבודה'!$C$4=$B$31,J41,IF('הנחות עבודה'!$C$4=$B$58,J68,J94))</f>
        <v>0</v>
      </c>
      <c r="K14" s="52">
        <f>IF('הנחות עבודה'!$C$4=$B$31,K41,IF('הנחות עבודה'!$C$4=$B$58,K68,K94))</f>
        <v>0</v>
      </c>
      <c r="L14" s="53">
        <f>IF('הנחות עבודה'!$C$4=$B$31,L41,IF('הנחות עבודה'!$C$4=$B$58,L68,L94))</f>
        <v>0</v>
      </c>
      <c r="M14" s="52">
        <f>IF('הנחות עבודה'!$C$4=$B$31,M41,IF('הנחות עבודה'!$C$4=$B$58,M68,M94))</f>
        <v>0</v>
      </c>
      <c r="N14" s="54">
        <f>IF('הנחות עבודה'!$C$4=$B$31,N41,IF('הנחות עבודה'!$C$4=$B$58,N68,N94))</f>
        <v>619.03221265441971</v>
      </c>
      <c r="O14" s="54">
        <f>IF('הנחות עבודה'!$C$4=$B$31,O41,IF('הנחות עבודה'!$C$4=$B$58,O68,O94))</f>
        <v>0</v>
      </c>
      <c r="P14" s="54">
        <f>IF('הנחות עבודה'!$C$4=$B$31,P41,IF('הנחות עבודה'!$C$4=$B$58,P68,P94))</f>
        <v>5</v>
      </c>
      <c r="Q14" s="54">
        <f>IF('הנחות עבודה'!$C$4=$B$31,Q41,IF('הנחות עבודה'!$C$4=$B$58,Q68,Q94))</f>
        <v>0</v>
      </c>
      <c r="R14" s="53">
        <f>IF('הנחות עבודה'!$C$4=$B$31,R41,IF('הנחות עבודה'!$C$4=$B$58,R68,R94))</f>
        <v>0</v>
      </c>
      <c r="S14" s="832">
        <f>IF('הנחות עבודה'!$C$4=$B$31,S41,IF('הנחות עבודה'!$C$4=$B$58,S68,S94))</f>
        <v>450</v>
      </c>
      <c r="T14" s="64">
        <f>IF('הנחות עבודה'!$C$4=$B$31,T41,IF('הנחות עבודה'!$C$4=$B$58,T68,T94))</f>
        <v>0</v>
      </c>
      <c r="U14" s="179">
        <f>IF('הנחות עבודה'!$C$4=$B$31,U41,IF('הנחות עבודה'!$C$4=$B$58,U68,U94))</f>
        <v>1068.5447022433837</v>
      </c>
      <c r="V14" s="44">
        <f>IF('הנחות עבודה'!$C$4=$B$31,V41,IF('הנחות עבודה'!$C$4=$B$58,V68,V94))</f>
        <v>0</v>
      </c>
      <c r="W14" s="399">
        <f>IF('הנחות עבודה'!$C$4=$B$31,W41,IF('הנחות עבודה'!$C$4=$B$58,W68,W94))</f>
        <v>0</v>
      </c>
      <c r="X14" s="399">
        <f>IF('הנחות עבודה'!$C$4=$B$31,X41,IF('הנחות עבודה'!$C$4=$B$58,X68,X94))</f>
        <v>5</v>
      </c>
      <c r="Y14" s="399">
        <f>IF('הנחות עבודה'!$C$4=$B$31,Y41,IF('הנחות עבודה'!$C$4=$B$58,Y68,Y94))</f>
        <v>0</v>
      </c>
      <c r="Z14" s="44">
        <f>IF('הנחות עבודה'!$C$4=$B$31,Z41,IF('הנחות עבודה'!$C$4=$B$58,Z68,Z94))</f>
        <v>0</v>
      </c>
      <c r="AA14" s="52">
        <f>IF('הנחות עבודה'!$C$4=$B$31,AA41,IF('הנחות עבודה'!$C$4=$B$58,AA68,AA94))</f>
        <v>450</v>
      </c>
      <c r="AB14" s="53">
        <f>IF('הנחות עבודה'!$C$4=$B$31,AB41,IF('הנחות עבודה'!$C$4=$B$58,AB68,AB94))</f>
        <v>0</v>
      </c>
      <c r="AC14" s="127">
        <f>IF('הנחות עבודה'!$C$4=$B$31,AC41,IF('הנחות עבודה'!$C$4=$B$58,AC68,AC94))</f>
        <v>0</v>
      </c>
      <c r="AD14" s="54">
        <f>IF('הנחות עבודה'!$C$4=$B$31,AD41,IF('הנחות עבודה'!$C$4=$B$58,AD68,AD94))</f>
        <v>1068.5447022433837</v>
      </c>
      <c r="AE14" s="54">
        <f>IF('הנחות עבודה'!$C$4=$B$31,AE41,IF('הנחות עבודה'!$C$4=$B$58,AE68,AE94))</f>
        <v>0</v>
      </c>
      <c r="AF14" s="54">
        <f>IF('הנחות עבודה'!$C$4=$B$31,AF41,IF('הנחות עבודה'!$C$4=$B$58,AF68,AF94))</f>
        <v>5</v>
      </c>
      <c r="AG14" s="54">
        <f>IF('הנחות עבודה'!$C$4=$B$31,AG41,IF('הנחות עבודה'!$C$4=$B$58,AG68,AG94))</f>
        <v>0</v>
      </c>
      <c r="AH14" s="270">
        <f>IF('הנחות עבודה'!$C$4=$B$31,AH41,IF('הנחות עבודה'!$C$4=$B$58,AH68,AH94))</f>
        <v>0</v>
      </c>
      <c r="AI14" s="42">
        <f>IF('הנחות עבודה'!$C$4=$B$31,AI41,IF('הנחות עבודה'!$C$4=$B$58,AI68,AI94))</f>
        <v>0</v>
      </c>
      <c r="AJ14" s="64">
        <f>IF('הנחות עבודה'!$C$4=$B$31,AJ41,IF('הנחות עבודה'!$C$4=$B$58,AJ68,AJ94))</f>
        <v>0</v>
      </c>
      <c r="AK14" s="179">
        <f>IF('הנחות עבודה'!$C$4=$B$31,AK41,IF('הנחות עבודה'!$C$4=$B$58,AK68,AK94))</f>
        <v>1377.2273289442073</v>
      </c>
      <c r="AL14" s="44">
        <f>IF('הנחות עבודה'!$C$4=$B$31,AL41,IF('הנחות עבודה'!$C$4=$B$58,AL68,AL94))</f>
        <v>0</v>
      </c>
      <c r="AM14" s="381">
        <f>IF('הנחות עבודה'!$C$4=$B$31,AM41,IF('הנחות עבודה'!$C$4=$B$58,AM68,AM94))</f>
        <v>0</v>
      </c>
      <c r="AN14" s="381">
        <f>IF('הנחות עבודה'!$C$4=$B$31,AN41,IF('הנחות עבודה'!$C$4=$B$58,AN68,AN94))</f>
        <v>5</v>
      </c>
      <c r="AO14" s="381">
        <f>IF('הנחות עבודה'!$C$4=$B$31,AO41,IF('הנחות עבודה'!$C$4=$B$58,AO68,AO94))</f>
        <v>0</v>
      </c>
      <c r="AP14" s="44">
        <f>IF('הנחות עבודה'!$C$4=$B$31,AP41,IF('הנחות עבודה'!$C$4=$B$58,AP68,AP94))</f>
        <v>0</v>
      </c>
      <c r="AQ14" s="52">
        <f>IF('הנחות עבודה'!$C$4=$B$31,AQ41,IF('הנחות עבודה'!$C$4=$B$58,AQ68,AQ94))</f>
        <v>0</v>
      </c>
      <c r="AR14" s="53">
        <f>IF('הנחות עבודה'!$C$4=$B$31,AR41,IF('הנחות עבודה'!$C$4=$B$58,AR68,AR94))</f>
        <v>0</v>
      </c>
      <c r="AS14" s="127">
        <f>IF('הנחות עבודה'!$C$4=$B$31,AS41,IF('הנחות עבודה'!$C$4=$B$58,AS68,AS94))</f>
        <v>0</v>
      </c>
      <c r="AT14" s="54">
        <f>IF('הנחות עבודה'!$C$4=$B$31,AT41,IF('הנחות עבודה'!$C$4=$B$58,AT68,AT94))</f>
        <v>1377.2273289442073</v>
      </c>
      <c r="AU14" s="54">
        <f>IF('הנחות עבודה'!$C$4=$B$31,AU41,IF('הנחות עבודה'!$C$4=$B$58,AU68,AU94))</f>
        <v>0</v>
      </c>
      <c r="AV14" s="54">
        <f>IF('הנחות עבודה'!$C$4=$B$31,AV41,IF('הנחות עבודה'!$C$4=$B$58,AV68,AV94))</f>
        <v>5</v>
      </c>
      <c r="AW14" s="54">
        <f>IF('הנחות עבודה'!$C$4=$B$31,AW41,IF('הנחות עבודה'!$C$4=$B$58,AW68,AW94))</f>
        <v>0</v>
      </c>
      <c r="AX14" s="53">
        <f>IF('הנחות עבודה'!$C$4=$B$31,AX41,IF('הנחות עבודה'!$C$4=$B$58,AX68,AX94))</f>
        <v>0</v>
      </c>
    </row>
    <row r="15" spans="1:60" ht="15.75">
      <c r="B15" s="10">
        <f t="shared" si="72"/>
        <v>2027</v>
      </c>
      <c r="C15" s="42">
        <f>IF('הנחות עבודה'!$C$4=$B$31,C42,IF('הנחות עבודה'!$C$4=$B$58,C69,C95))</f>
        <v>450</v>
      </c>
      <c r="D15" s="64">
        <f>IF('הנחות עבודה'!$C$4=$B$31,D42,IF('הנחות עבודה'!$C$4=$B$58,D69,D95))</f>
        <v>0</v>
      </c>
      <c r="E15" s="179">
        <f>IF('הנחות עבודה'!$C$4=$B$31,E42,IF('הנחות עבודה'!$C$4=$B$58,E69,E95))</f>
        <v>651.56146328788145</v>
      </c>
      <c r="F15" s="44">
        <f>IF('הנחות עבודה'!$C$4=$B$31,F42,IF('הנחות עבודה'!$C$4=$B$58,F69,F95))</f>
        <v>0</v>
      </c>
      <c r="G15" s="399">
        <f>IF('הנחות עבודה'!$C$4=$B$31,G42,IF('הנחות עבודה'!$C$4=$B$58,G69,G95))</f>
        <v>0</v>
      </c>
      <c r="H15" s="399">
        <f>IF('הנחות עבודה'!$C$4=$B$31,H42,IF('הנחות עבודה'!$C$4=$B$58,H69,H95))</f>
        <v>5</v>
      </c>
      <c r="I15" s="399">
        <f>IF('הנחות עבודה'!$C$4=$B$31,I42,IF('הנחות עבודה'!$C$4=$B$58,I69,I95))</f>
        <v>0</v>
      </c>
      <c r="J15" s="44">
        <f>IF('הנחות עבודה'!$C$4=$B$31,J42,IF('הנחות עבודה'!$C$4=$B$58,J69,J95))</f>
        <v>0</v>
      </c>
      <c r="K15" s="52">
        <f>IF('הנחות עבודה'!$C$4=$B$31,K42,IF('הנחות עבודה'!$C$4=$B$58,K69,K95))</f>
        <v>450</v>
      </c>
      <c r="L15" s="53">
        <f>IF('הנחות עבודה'!$C$4=$B$31,L42,IF('הנחות עבודה'!$C$4=$B$58,L69,L95))</f>
        <v>0</v>
      </c>
      <c r="M15" s="52">
        <f>IF('הנחות עבודה'!$C$4=$B$31,M42,IF('הנחות עבודה'!$C$4=$B$58,M69,M95))</f>
        <v>0</v>
      </c>
      <c r="N15" s="54">
        <f>IF('הנחות עבודה'!$C$4=$B$31,N42,IF('הנחות עבודה'!$C$4=$B$58,N69,N95))</f>
        <v>651.56146328788145</v>
      </c>
      <c r="O15" s="54">
        <f>IF('הנחות עבודה'!$C$4=$B$31,O42,IF('הנחות עבודה'!$C$4=$B$58,O69,O95))</f>
        <v>0</v>
      </c>
      <c r="P15" s="54">
        <f>IF('הנחות עבודה'!$C$4=$B$31,P42,IF('הנחות עבודה'!$C$4=$B$58,P69,P95))</f>
        <v>5</v>
      </c>
      <c r="Q15" s="54">
        <f>IF('הנחות עבודה'!$C$4=$B$31,Q42,IF('הנחות עבודה'!$C$4=$B$58,Q69,Q95))</f>
        <v>0</v>
      </c>
      <c r="R15" s="53">
        <f>IF('הנחות עבודה'!$C$4=$B$31,R42,IF('הנחות עבודה'!$C$4=$B$58,R69,R95))</f>
        <v>0</v>
      </c>
      <c r="S15" s="832">
        <f>IF('הנחות עבודה'!$C$4=$B$31,S42,IF('הנחות עבודה'!$C$4=$B$58,S69,S95))</f>
        <v>450</v>
      </c>
      <c r="T15" s="64">
        <f>IF('הנחות עבודה'!$C$4=$B$31,T42,IF('הנחות עבודה'!$C$4=$B$58,T69,T95))</f>
        <v>0</v>
      </c>
      <c r="U15" s="179">
        <f>IF('הנחות עבודה'!$C$4=$B$31,U42,IF('הנחות עבודה'!$C$4=$B$58,U69,U95))</f>
        <v>1126.1423771989448</v>
      </c>
      <c r="V15" s="44">
        <f>IF('הנחות עבודה'!$C$4=$B$31,V42,IF('הנחות עבודה'!$C$4=$B$58,V69,V95))</f>
        <v>0</v>
      </c>
      <c r="W15" s="399">
        <f>IF('הנחות עבודה'!$C$4=$B$31,W42,IF('הנחות עבודה'!$C$4=$B$58,W69,W95))</f>
        <v>0</v>
      </c>
      <c r="X15" s="399">
        <f>IF('הנחות עבודה'!$C$4=$B$31,X42,IF('הנחות עבודה'!$C$4=$B$58,X69,X95))</f>
        <v>5</v>
      </c>
      <c r="Y15" s="399">
        <f>IF('הנחות עבודה'!$C$4=$B$31,Y42,IF('הנחות עבודה'!$C$4=$B$58,Y69,Y95))</f>
        <v>0</v>
      </c>
      <c r="Z15" s="44">
        <f>IF('הנחות עבודה'!$C$4=$B$31,Z42,IF('הנחות עבודה'!$C$4=$B$58,Z69,Z95))</f>
        <v>0</v>
      </c>
      <c r="AA15" s="52">
        <f>IF('הנחות עבודה'!$C$4=$B$31,AA42,IF('הנחות עבודה'!$C$4=$B$58,AA69,AA95))</f>
        <v>450</v>
      </c>
      <c r="AB15" s="53">
        <f>IF('הנחות עבודה'!$C$4=$B$31,AB42,IF('הנחות עבודה'!$C$4=$B$58,AB69,AB95))</f>
        <v>0</v>
      </c>
      <c r="AC15" s="127">
        <f>IF('הנחות עבודה'!$C$4=$B$31,AC42,IF('הנחות עבודה'!$C$4=$B$58,AC69,AC95))</f>
        <v>0</v>
      </c>
      <c r="AD15" s="54">
        <f>IF('הנחות עבודה'!$C$4=$B$31,AD42,IF('הנחות עבודה'!$C$4=$B$58,AD69,AD95))</f>
        <v>1126.1423771989448</v>
      </c>
      <c r="AE15" s="54">
        <f>IF('הנחות עבודה'!$C$4=$B$31,AE42,IF('הנחות עבודה'!$C$4=$B$58,AE69,AE95))</f>
        <v>0</v>
      </c>
      <c r="AF15" s="54">
        <f>IF('הנחות עבודה'!$C$4=$B$31,AF42,IF('הנחות עבודה'!$C$4=$B$58,AF69,AF95))</f>
        <v>5</v>
      </c>
      <c r="AG15" s="54">
        <f>IF('הנחות עבודה'!$C$4=$B$31,AG42,IF('הנחות עבודה'!$C$4=$B$58,AG69,AG95))</f>
        <v>0</v>
      </c>
      <c r="AH15" s="270">
        <f>IF('הנחות עבודה'!$C$4=$B$31,AH42,IF('הנחות עבודה'!$C$4=$B$58,AH69,AH95))</f>
        <v>0</v>
      </c>
      <c r="AI15" s="42">
        <f>IF('הנחות עבודה'!$C$4=$B$31,AI42,IF('הנחות עבודה'!$C$4=$B$58,AI69,AI95))</f>
        <v>450</v>
      </c>
      <c r="AJ15" s="64">
        <f>IF('הנחות עבודה'!$C$4=$B$31,AJ42,IF('הנחות עבודה'!$C$4=$B$58,AJ69,AJ95))</f>
        <v>0</v>
      </c>
      <c r="AK15" s="179">
        <f>IF('הנחות עבודה'!$C$4=$B$31,AK42,IF('הנחות עבודה'!$C$4=$B$58,AK69,AK95))</f>
        <v>1452.3681486045189</v>
      </c>
      <c r="AL15" s="44">
        <f>IF('הנחות עבודה'!$C$4=$B$31,AL42,IF('הנחות עבודה'!$C$4=$B$58,AL69,AL95))</f>
        <v>0</v>
      </c>
      <c r="AM15" s="381">
        <f>IF('הנחות עבודה'!$C$4=$B$31,AM42,IF('הנחות עבודה'!$C$4=$B$58,AM69,AM95))</f>
        <v>0</v>
      </c>
      <c r="AN15" s="381">
        <f>IF('הנחות עבודה'!$C$4=$B$31,AN42,IF('הנחות עבודה'!$C$4=$B$58,AN69,AN95))</f>
        <v>5</v>
      </c>
      <c r="AO15" s="381">
        <f>IF('הנחות עבודה'!$C$4=$B$31,AO42,IF('הנחות עבודה'!$C$4=$B$58,AO69,AO95))</f>
        <v>0</v>
      </c>
      <c r="AP15" s="44">
        <f>IF('הנחות עבודה'!$C$4=$B$31,AP42,IF('הנחות עבודה'!$C$4=$B$58,AP69,AP95))</f>
        <v>0</v>
      </c>
      <c r="AQ15" s="52">
        <f>IF('הנחות עבודה'!$C$4=$B$31,AQ42,IF('הנחות עבודה'!$C$4=$B$58,AQ69,AQ95))</f>
        <v>450</v>
      </c>
      <c r="AR15" s="53">
        <f>IF('הנחות עבודה'!$C$4=$B$31,AR42,IF('הנחות עבודה'!$C$4=$B$58,AR69,AR95))</f>
        <v>0</v>
      </c>
      <c r="AS15" s="127">
        <f>IF('הנחות עבודה'!$C$4=$B$31,AS42,IF('הנחות עבודה'!$C$4=$B$58,AS69,AS95))</f>
        <v>0</v>
      </c>
      <c r="AT15" s="54">
        <f>IF('הנחות עבודה'!$C$4=$B$31,AT42,IF('הנחות עבודה'!$C$4=$B$58,AT69,AT95))</f>
        <v>1452.3681486045189</v>
      </c>
      <c r="AU15" s="54">
        <f>IF('הנחות עבודה'!$C$4=$B$31,AU42,IF('הנחות עבודה'!$C$4=$B$58,AU69,AU95))</f>
        <v>0</v>
      </c>
      <c r="AV15" s="54">
        <f>IF('הנחות עבודה'!$C$4=$B$31,AV42,IF('הנחות עבודה'!$C$4=$B$58,AV69,AV95))</f>
        <v>5</v>
      </c>
      <c r="AW15" s="54">
        <f>IF('הנחות עבודה'!$C$4=$B$31,AW42,IF('הנחות עבודה'!$C$4=$B$58,AW69,AW95))</f>
        <v>0</v>
      </c>
      <c r="AX15" s="53">
        <f>IF('הנחות עבודה'!$C$4=$B$31,AX42,IF('הנחות עבודה'!$C$4=$B$58,AX69,AX95))</f>
        <v>0</v>
      </c>
    </row>
    <row r="16" spans="1:60" ht="15.75">
      <c r="B16" s="10">
        <f t="shared" si="72"/>
        <v>2028</v>
      </c>
      <c r="C16" s="722">
        <f>IF('הנחות עבודה'!$C$4=$B$31,C43,IF('הנחות עבודה'!$C$4=$B$58,C70,C96))</f>
        <v>916</v>
      </c>
      <c r="D16" s="64">
        <f>IF('הנחות עבודה'!$C$4=$B$31,D43,IF('הנחות עבודה'!$C$4=$B$58,D70,D96))</f>
        <v>0</v>
      </c>
      <c r="E16" s="179">
        <f>IF('הנחות עבודה'!$C$4=$B$31,E43,IF('הנחות עבודה'!$C$4=$B$58,E70,E96))</f>
        <v>662.48868657758612</v>
      </c>
      <c r="F16" s="44">
        <f>IF('הנחות עבודה'!$C$4=$B$31,F43,IF('הנחות עבודה'!$C$4=$B$58,F70,F96))</f>
        <v>0</v>
      </c>
      <c r="G16" s="399">
        <f>IF('הנחות עבודה'!$C$4=$B$31,G43,IF('הנחות עבודה'!$C$4=$B$58,G70,G96))</f>
        <v>0</v>
      </c>
      <c r="H16" s="399">
        <f>IF('הנחות עבודה'!$C$4=$B$31,H43,IF('הנחות עבודה'!$C$4=$B$58,H70,H96))</f>
        <v>5</v>
      </c>
      <c r="I16" s="399">
        <f>IF('הנחות עבודה'!$C$4=$B$31,I43,IF('הנחות עבודה'!$C$4=$B$58,I70,I96))</f>
        <v>0</v>
      </c>
      <c r="J16" s="44">
        <f>IF('הנחות עבודה'!$C$4=$B$31,J43,IF('הנחות עבודה'!$C$4=$B$58,J70,J96))</f>
        <v>0</v>
      </c>
      <c r="K16" s="52">
        <f>IF('הנחות עבודה'!$C$4=$B$31,K43,IF('הנחות עבודה'!$C$4=$B$58,K70,K96))</f>
        <v>916</v>
      </c>
      <c r="L16" s="53">
        <f>IF('הנחות עבודה'!$C$4=$B$31,L43,IF('הנחות עבודה'!$C$4=$B$58,L70,L96))</f>
        <v>0</v>
      </c>
      <c r="M16" s="52">
        <f>IF('הנחות עבודה'!$C$4=$B$31,M43,IF('הנחות עבודה'!$C$4=$B$58,M70,M96))</f>
        <v>0</v>
      </c>
      <c r="N16" s="54">
        <f>IF('הנחות עבודה'!$C$4=$B$31,N43,IF('הנחות עבודה'!$C$4=$B$58,N70,N96))</f>
        <v>662.48868657758612</v>
      </c>
      <c r="O16" s="54">
        <f>IF('הנחות עבודה'!$C$4=$B$31,O43,IF('הנחות עבודה'!$C$4=$B$58,O70,O96))</f>
        <v>0</v>
      </c>
      <c r="P16" s="54">
        <f>IF('הנחות עבודה'!$C$4=$B$31,P43,IF('הנחות עבודה'!$C$4=$B$58,P70,P96))</f>
        <v>5</v>
      </c>
      <c r="Q16" s="54">
        <f>IF('הנחות עבודה'!$C$4=$B$31,Q43,IF('הנחות עבודה'!$C$4=$B$58,Q70,Q96))</f>
        <v>0</v>
      </c>
      <c r="R16" s="53">
        <f>IF('הנחות עבודה'!$C$4=$B$31,R43,IF('הנחות עבודה'!$C$4=$B$58,R70,R96))</f>
        <v>0</v>
      </c>
      <c r="S16" s="833">
        <f>IF('הנחות עבודה'!$C$4=$B$31,S43,IF('הנחות עבודה'!$C$4=$B$58,S70,S96))</f>
        <v>0</v>
      </c>
      <c r="T16" s="64">
        <f>IF('הנחות עבודה'!$C$4=$B$31,T43,IF('הנחות עבודה'!$C$4=$B$58,T70,T96))</f>
        <v>226</v>
      </c>
      <c r="U16" s="179">
        <f>IF('הנחות עבודה'!$C$4=$B$31,U43,IF('הנחות עבודה'!$C$4=$B$58,U70,U96))</f>
        <v>1153.3928620654169</v>
      </c>
      <c r="V16" s="44">
        <f>IF('הנחות עבודה'!$C$4=$B$31,V43,IF('הנחות עבודה'!$C$4=$B$58,V70,V96))</f>
        <v>0</v>
      </c>
      <c r="W16" s="399">
        <f>IF('הנחות עבודה'!$C$4=$B$31,W43,IF('הנחות עבודה'!$C$4=$B$58,W70,W96))</f>
        <v>0</v>
      </c>
      <c r="X16" s="399">
        <f>IF('הנחות עבודה'!$C$4=$B$31,X43,IF('הנחות עבודה'!$C$4=$B$58,X70,X96))</f>
        <v>5</v>
      </c>
      <c r="Y16" s="399">
        <f>IF('הנחות עבודה'!$C$4=$B$31,Y43,IF('הנחות עבודה'!$C$4=$B$58,Y70,Y96))</f>
        <v>0</v>
      </c>
      <c r="Z16" s="44">
        <f>IF('הנחות עבודה'!$C$4=$B$31,Z43,IF('הנחות עבודה'!$C$4=$B$58,Z70,Z96))</f>
        <v>0</v>
      </c>
      <c r="AA16" s="52">
        <f>IF('הנחות עבודה'!$C$4=$B$31,AA43,IF('הנחות עבודה'!$C$4=$B$58,AA70,AA96))</f>
        <v>0</v>
      </c>
      <c r="AB16" s="53">
        <f>IF('הנחות עבודה'!$C$4=$B$31,AB43,IF('הנחות עבודה'!$C$4=$B$58,AB70,AB96))</f>
        <v>226</v>
      </c>
      <c r="AC16" s="127">
        <f>IF('הנחות עבודה'!$C$4=$B$31,AC43,IF('הנחות עבודה'!$C$4=$B$58,AC70,AC96))</f>
        <v>0</v>
      </c>
      <c r="AD16" s="54">
        <f>IF('הנחות עבודה'!$C$4=$B$31,AD43,IF('הנחות עבודה'!$C$4=$B$58,AD70,AD96))</f>
        <v>1153.3928620654169</v>
      </c>
      <c r="AE16" s="54">
        <f>IF('הנחות עבודה'!$C$4=$B$31,AE43,IF('הנחות עבודה'!$C$4=$B$58,AE70,AE96))</f>
        <v>0</v>
      </c>
      <c r="AF16" s="54">
        <f>IF('הנחות עבודה'!$C$4=$B$31,AF43,IF('הנחות עבודה'!$C$4=$B$58,AF70,AF96))</f>
        <v>5</v>
      </c>
      <c r="AG16" s="54">
        <f>IF('הנחות עבודה'!$C$4=$B$31,AG43,IF('הנחות עבודה'!$C$4=$B$58,AG70,AG96))</f>
        <v>0</v>
      </c>
      <c r="AH16" s="270">
        <f>IF('הנחות עבודה'!$C$4=$B$31,AH43,IF('הנחות עבודה'!$C$4=$B$58,AH70,AH96))</f>
        <v>0</v>
      </c>
      <c r="AI16" s="42">
        <f>IF('הנחות עבודה'!$C$4=$B$31,AI43,IF('הנחות עבודה'!$C$4=$B$58,AI70,AI96))</f>
        <v>450</v>
      </c>
      <c r="AJ16" s="64">
        <f>IF('הנחות עבודה'!$C$4=$B$31,AJ43,IF('הנחות עבודה'!$C$4=$B$58,AJ70,AJ96))</f>
        <v>226</v>
      </c>
      <c r="AK16" s="179">
        <f>IF('הנחות עבודה'!$C$4=$B$31,AK43,IF('הנחות עבודה'!$C$4=$B$58,AK70,AK96))</f>
        <v>1491.9704656881022</v>
      </c>
      <c r="AL16" s="44">
        <f>IF('הנחות עבודה'!$C$4=$B$31,AL43,IF('הנחות עבודה'!$C$4=$B$58,AL70,AL96))</f>
        <v>0</v>
      </c>
      <c r="AM16" s="381">
        <f>IF('הנחות עבודה'!$C$4=$B$31,AM43,IF('הנחות עבודה'!$C$4=$B$58,AM70,AM96))</f>
        <v>0</v>
      </c>
      <c r="AN16" s="381">
        <f>IF('הנחות עבודה'!$C$4=$B$31,AN43,IF('הנחות עבודה'!$C$4=$B$58,AN70,AN96))</f>
        <v>5</v>
      </c>
      <c r="AO16" s="381">
        <f>IF('הנחות עבודה'!$C$4=$B$31,AO43,IF('הנחות עבודה'!$C$4=$B$58,AO70,AO96))</f>
        <v>0</v>
      </c>
      <c r="AP16" s="44">
        <f>IF('הנחות עבודה'!$C$4=$B$31,AP43,IF('הנחות עבודה'!$C$4=$B$58,AP70,AP96))</f>
        <v>0</v>
      </c>
      <c r="AQ16" s="52">
        <f>IF('הנחות עבודה'!$C$4=$B$31,AQ43,IF('הנחות עבודה'!$C$4=$B$58,AQ70,AQ96))</f>
        <v>450</v>
      </c>
      <c r="AR16" s="53">
        <f>IF('הנחות עבודה'!$C$4=$B$31,AR43,IF('הנחות עבודה'!$C$4=$B$58,AR70,AR96))</f>
        <v>226</v>
      </c>
      <c r="AS16" s="127">
        <f>IF('הנחות עבודה'!$C$4=$B$31,AS43,IF('הנחות עבודה'!$C$4=$B$58,AS70,AS96))</f>
        <v>0</v>
      </c>
      <c r="AT16" s="54">
        <f>IF('הנחות עבודה'!$C$4=$B$31,AT43,IF('הנחות עבודה'!$C$4=$B$58,AT70,AT96))</f>
        <v>1491.9704656881022</v>
      </c>
      <c r="AU16" s="54">
        <f>IF('הנחות עבודה'!$C$4=$B$31,AU43,IF('הנחות עבודה'!$C$4=$B$58,AU70,AU96))</f>
        <v>0</v>
      </c>
      <c r="AV16" s="54">
        <f>IF('הנחות עבודה'!$C$4=$B$31,AV43,IF('הנחות עבודה'!$C$4=$B$58,AV70,AV96))</f>
        <v>5</v>
      </c>
      <c r="AW16" s="54">
        <f>IF('הנחות עבודה'!$C$4=$B$31,AW43,IF('הנחות עבודה'!$C$4=$B$58,AW70,AW96))</f>
        <v>0</v>
      </c>
      <c r="AX16" s="53">
        <f>IF('הנחות עבודה'!$C$4=$B$31,AX43,IF('הנחות עבודה'!$C$4=$B$58,AX70,AX96))</f>
        <v>0</v>
      </c>
    </row>
    <row r="17" spans="2:50" ht="15.75">
      <c r="B17" s="10">
        <f t="shared" si="72"/>
        <v>2029</v>
      </c>
      <c r="C17" s="722">
        <f>IF('הנחות עבודה'!$C$4=$B$31,C44,IF('הנחות עבודה'!$C$4=$B$58,C71,C97))</f>
        <v>466</v>
      </c>
      <c r="D17" s="64">
        <f>IF('הנחות עבודה'!$C$4=$B$31,D44,IF('הנחות עבודה'!$C$4=$B$58,D71,D97))</f>
        <v>0</v>
      </c>
      <c r="E17" s="179">
        <f>IF('הנחות עבודה'!$C$4=$B$31,E44,IF('הנחות עבודה'!$C$4=$B$58,E71,E97))</f>
        <v>743.82022164536647</v>
      </c>
      <c r="F17" s="44">
        <f>IF('הנחות עבודה'!$C$4=$B$31,F44,IF('הנחות עבודה'!$C$4=$B$58,F71,F97))</f>
        <v>0</v>
      </c>
      <c r="G17" s="399">
        <f>IF('הנחות עבודה'!$C$4=$B$31,G44,IF('הנחות עבודה'!$C$4=$B$58,G71,G97))</f>
        <v>0</v>
      </c>
      <c r="H17" s="399">
        <f>IF('הנחות עבודה'!$C$4=$B$31,H44,IF('הנחות עבודה'!$C$4=$B$58,H71,H97))</f>
        <v>5</v>
      </c>
      <c r="I17" s="399">
        <f>IF('הנחות עבודה'!$C$4=$B$31,I44,IF('הנחות עבודה'!$C$4=$B$58,I71,I97))</f>
        <v>0</v>
      </c>
      <c r="J17" s="44">
        <f>IF('הנחות עבודה'!$C$4=$B$31,J44,IF('הנחות עבודה'!$C$4=$B$58,J71,J97))</f>
        <v>0</v>
      </c>
      <c r="K17" s="52">
        <f>IF('הנחות עבודה'!$C$4=$B$31,K44,IF('הנחות עבודה'!$C$4=$B$58,K71,K97))</f>
        <v>466</v>
      </c>
      <c r="L17" s="53">
        <f>IF('הנחות עבודה'!$C$4=$B$31,L44,IF('הנחות עבודה'!$C$4=$B$58,L71,L97))</f>
        <v>0</v>
      </c>
      <c r="M17" s="52">
        <f>IF('הנחות עבודה'!$C$4=$B$31,M44,IF('הנחות עבודה'!$C$4=$B$58,M71,M97))</f>
        <v>0</v>
      </c>
      <c r="N17" s="54">
        <f>IF('הנחות עבודה'!$C$4=$B$31,N44,IF('הנחות עבודה'!$C$4=$B$58,N71,N97))</f>
        <v>743.82022164536647</v>
      </c>
      <c r="O17" s="54">
        <f>IF('הנחות עבודה'!$C$4=$B$31,O44,IF('הנחות עבודה'!$C$4=$B$58,O71,O97))</f>
        <v>0</v>
      </c>
      <c r="P17" s="54">
        <f>IF('הנחות עבודה'!$C$4=$B$31,P44,IF('הנחות עבודה'!$C$4=$B$58,P71,P97))</f>
        <v>5</v>
      </c>
      <c r="Q17" s="54">
        <f>IF('הנחות עבודה'!$C$4=$B$31,Q44,IF('הנחות עבודה'!$C$4=$B$58,Q71,Q97))</f>
        <v>0</v>
      </c>
      <c r="R17" s="53">
        <f>IF('הנחות עבודה'!$C$4=$B$31,R44,IF('הנחות עבודה'!$C$4=$B$58,R71,R97))</f>
        <v>0</v>
      </c>
      <c r="S17" s="833">
        <f>IF('הנחות עבודה'!$C$4=$B$31,S44,IF('הנחות עבודה'!$C$4=$B$58,S71,S97))</f>
        <v>466</v>
      </c>
      <c r="T17" s="64">
        <f>IF('הנחות עבודה'!$C$4=$B$31,T44,IF('הנחות עבודה'!$C$4=$B$58,T71,T97))</f>
        <v>113</v>
      </c>
      <c r="U17" s="179">
        <f>IF('הנחות עבודה'!$C$4=$B$31,U44,IF('הנחות עבודה'!$C$4=$B$58,U71,U97))</f>
        <v>1281.7580523680226</v>
      </c>
      <c r="V17" s="44">
        <f>IF('הנחות עבודה'!$C$4=$B$31,V44,IF('הנחות עבודה'!$C$4=$B$58,V71,V97))</f>
        <v>0</v>
      </c>
      <c r="W17" s="399">
        <f>IF('הנחות עבודה'!$C$4=$B$31,W44,IF('הנחות עבודה'!$C$4=$B$58,W71,W97))</f>
        <v>0</v>
      </c>
      <c r="X17" s="399">
        <f>IF('הנחות עבודה'!$C$4=$B$31,X44,IF('הנחות עבודה'!$C$4=$B$58,X71,X97))</f>
        <v>5</v>
      </c>
      <c r="Y17" s="399">
        <f>IF('הנחות עבודה'!$C$4=$B$31,Y44,IF('הנחות עבודה'!$C$4=$B$58,Y71,Y97))</f>
        <v>0</v>
      </c>
      <c r="Z17" s="44">
        <f>IF('הנחות עבודה'!$C$4=$B$31,Z44,IF('הנחות עבודה'!$C$4=$B$58,Z71,Z97))</f>
        <v>0</v>
      </c>
      <c r="AA17" s="52">
        <f>IF('הנחות עבודה'!$C$4=$B$31,AA44,IF('הנחות עבודה'!$C$4=$B$58,AA71,AA97))</f>
        <v>466</v>
      </c>
      <c r="AB17" s="53">
        <f>IF('הנחות עבודה'!$C$4=$B$31,AB44,IF('הנחות עבודה'!$C$4=$B$58,AB71,AB97))</f>
        <v>113</v>
      </c>
      <c r="AC17" s="127">
        <f>IF('הנחות עבודה'!$C$4=$B$31,AC44,IF('הנחות עבודה'!$C$4=$B$58,AC71,AC97))</f>
        <v>0</v>
      </c>
      <c r="AD17" s="54">
        <f>IF('הנחות עבודה'!$C$4=$B$31,AD44,IF('הנחות עבודה'!$C$4=$B$58,AD71,AD97))</f>
        <v>1281.7580523680226</v>
      </c>
      <c r="AE17" s="54">
        <f>IF('הנחות עבודה'!$C$4=$B$31,AE44,IF('הנחות עבודה'!$C$4=$B$58,AE71,AE97))</f>
        <v>0</v>
      </c>
      <c r="AF17" s="54">
        <f>IF('הנחות עבודה'!$C$4=$B$31,AF44,IF('הנחות עבודה'!$C$4=$B$58,AF71,AF97))</f>
        <v>5</v>
      </c>
      <c r="AG17" s="54">
        <f>IF('הנחות עבודה'!$C$4=$B$31,AG44,IF('הנחות עבודה'!$C$4=$B$58,AG71,AG97))</f>
        <v>0</v>
      </c>
      <c r="AH17" s="270">
        <f>IF('הנחות עבודה'!$C$4=$B$31,AH44,IF('הנחות עבודה'!$C$4=$B$58,AH71,AH97))</f>
        <v>0</v>
      </c>
      <c r="AI17" s="42">
        <f>IF('הנחות עבודה'!$C$4=$B$31,AI44,IF('הנחות עבודה'!$C$4=$B$58,AI71,AI97))</f>
        <v>466</v>
      </c>
      <c r="AJ17" s="64">
        <f>IF('הנחות עבודה'!$C$4=$B$31,AJ44,IF('הנחות עבודה'!$C$4=$B$58,AJ71,AJ97))</f>
        <v>0</v>
      </c>
      <c r="AK17" s="179">
        <f>IF('הנחות עבודה'!$C$4=$B$31,AK44,IF('הנחות עבודה'!$C$4=$B$58,AK71,AK97))</f>
        <v>1651.413781948213</v>
      </c>
      <c r="AL17" s="44">
        <f>IF('הנחות עבודה'!$C$4=$B$31,AL44,IF('הנחות עבודה'!$C$4=$B$58,AL71,AL97))</f>
        <v>0</v>
      </c>
      <c r="AM17" s="381">
        <f>IF('הנחות עבודה'!$C$4=$B$31,AM44,IF('הנחות עבודה'!$C$4=$B$58,AM71,AM97))</f>
        <v>0</v>
      </c>
      <c r="AN17" s="381">
        <f>IF('הנחות עבודה'!$C$4=$B$31,AN44,IF('הנחות עבודה'!$C$4=$B$58,AN71,AN97))</f>
        <v>5</v>
      </c>
      <c r="AO17" s="381">
        <f>IF('הנחות עבודה'!$C$4=$B$31,AO44,IF('הנחות עבודה'!$C$4=$B$58,AO71,AO97))</f>
        <v>0</v>
      </c>
      <c r="AP17" s="44">
        <f>IF('הנחות עבודה'!$C$4=$B$31,AP44,IF('הנחות עבודה'!$C$4=$B$58,AP71,AP97))</f>
        <v>0</v>
      </c>
      <c r="AQ17" s="52">
        <f>IF('הנחות עבודה'!$C$4=$B$31,AQ44,IF('הנחות עבודה'!$C$4=$B$58,AQ71,AQ97))</f>
        <v>466</v>
      </c>
      <c r="AR17" s="53">
        <f>IF('הנחות עבודה'!$C$4=$B$31,AR44,IF('הנחות עבודה'!$C$4=$B$58,AR71,AR97))</f>
        <v>0</v>
      </c>
      <c r="AS17" s="127">
        <f>IF('הנחות עבודה'!$C$4=$B$31,AS44,IF('הנחות עבודה'!$C$4=$B$58,AS71,AS97))</f>
        <v>0</v>
      </c>
      <c r="AT17" s="54">
        <f>IF('הנחות עבודה'!$C$4=$B$31,AT44,IF('הנחות עבודה'!$C$4=$B$58,AT71,AT97))</f>
        <v>1651.413781948213</v>
      </c>
      <c r="AU17" s="54">
        <f>IF('הנחות עבודה'!$C$4=$B$31,AU44,IF('הנחות עבודה'!$C$4=$B$58,AU71,AU97))</f>
        <v>0</v>
      </c>
      <c r="AV17" s="54">
        <f>IF('הנחות עבודה'!$C$4=$B$31,AV44,IF('הנחות עבודה'!$C$4=$B$58,AV71,AV97))</f>
        <v>5</v>
      </c>
      <c r="AW17" s="54">
        <f>IF('הנחות עבודה'!$C$4=$B$31,AW44,IF('הנחות עבודה'!$C$4=$B$58,AW71,AW97))</f>
        <v>0</v>
      </c>
      <c r="AX17" s="53">
        <f>IF('הנחות עבודה'!$C$4=$B$31,AX44,IF('הנחות עבודה'!$C$4=$B$58,AX71,AX97))</f>
        <v>0</v>
      </c>
    </row>
    <row r="18" spans="2:50" ht="15.75">
      <c r="B18" s="10">
        <f t="shared" si="72"/>
        <v>2030</v>
      </c>
      <c r="C18" s="722">
        <f>IF('הנחות עבודה'!$C$4=$B$31,C45,IF('הנחות עבודה'!$C$4=$B$58,C72,C98))</f>
        <v>932</v>
      </c>
      <c r="D18" s="64">
        <f>IF('הנחות עבודה'!$C$4=$B$31,D45,IF('הנחות עבודה'!$C$4=$B$58,D72,D98))</f>
        <v>113</v>
      </c>
      <c r="E18" s="179">
        <f>IF('הנחות עבודה'!$C$4=$B$31,E45,IF('הנחות עבודה'!$C$4=$B$58,E72,E98))</f>
        <v>758.00809086056142</v>
      </c>
      <c r="F18" s="44">
        <f>IF('הנחות עבודה'!$C$4=$B$31,F45,IF('הנחות עבודה'!$C$4=$B$58,F72,F98))</f>
        <v>0</v>
      </c>
      <c r="G18" s="399">
        <f>IF('הנחות עבודה'!$C$4=$B$31,G45,IF('הנחות עבודה'!$C$4=$B$58,G72,G98))</f>
        <v>0</v>
      </c>
      <c r="H18" s="399">
        <f>IF('הנחות עבודה'!$C$4=$B$31,H45,IF('הנחות עבודה'!$C$4=$B$58,H72,H98))</f>
        <v>5</v>
      </c>
      <c r="I18" s="399">
        <f>IF('הנחות עבודה'!$C$4=$B$31,I45,IF('הנחות עבודה'!$C$4=$B$58,I72,I98))</f>
        <v>0</v>
      </c>
      <c r="J18" s="44">
        <f>IF('הנחות עבודה'!$C$4=$B$31,J45,IF('הנחות עבודה'!$C$4=$B$58,J72,J98))</f>
        <v>0</v>
      </c>
      <c r="K18" s="52">
        <f>IF('הנחות עבודה'!$C$4=$B$31,K45,IF('הנחות עבודה'!$C$4=$B$58,K72,K98))</f>
        <v>932</v>
      </c>
      <c r="L18" s="53">
        <f>IF('הנחות עבודה'!$C$4=$B$31,L45,IF('הנחות עבודה'!$C$4=$B$58,L72,L98))</f>
        <v>113</v>
      </c>
      <c r="M18" s="52">
        <f>IF('הנחות עבודה'!$C$4=$B$31,M45,IF('הנחות עבודה'!$C$4=$B$58,M72,M98))</f>
        <v>0</v>
      </c>
      <c r="N18" s="54">
        <f>IF('הנחות עבודה'!$C$4=$B$31,N45,IF('הנחות עבודה'!$C$4=$B$58,N72,N98))</f>
        <v>758.00809086056142</v>
      </c>
      <c r="O18" s="54">
        <f>IF('הנחות עבודה'!$C$4=$B$31,O45,IF('הנחות עבודה'!$C$4=$B$58,O72,O98))</f>
        <v>0</v>
      </c>
      <c r="P18" s="54">
        <f>IF('הנחות עבודה'!$C$4=$B$31,P45,IF('הנחות עבודה'!$C$4=$B$58,P72,P98))</f>
        <v>5</v>
      </c>
      <c r="Q18" s="54">
        <f>IF('הנחות עבודה'!$C$4=$B$31,Q45,IF('הנחות עבודה'!$C$4=$B$58,Q72,Q98))</f>
        <v>0</v>
      </c>
      <c r="R18" s="53">
        <f>IF('הנחות עבודה'!$C$4=$B$31,R45,IF('הנחות עבודה'!$C$4=$B$58,R72,R98))</f>
        <v>0</v>
      </c>
      <c r="S18" s="833">
        <f>IF('הנחות עבודה'!$C$4=$B$31,S45,IF('הנחות עבודה'!$C$4=$B$58,S72,S98))</f>
        <v>932</v>
      </c>
      <c r="T18" s="64">
        <f>IF('הנחות עבודה'!$C$4=$B$31,T45,IF('הנחות עבודה'!$C$4=$B$58,T72,T98))</f>
        <v>113</v>
      </c>
      <c r="U18" s="179">
        <f>IF('הנחות עבודה'!$C$4=$B$31,U45,IF('הנחות עבודה'!$C$4=$B$58,U72,U98))</f>
        <v>1314.770052156533</v>
      </c>
      <c r="V18" s="44">
        <f>IF('הנחות עבודה'!$C$4=$B$31,V45,IF('הנחות עבודה'!$C$4=$B$58,V72,V98))</f>
        <v>0</v>
      </c>
      <c r="W18" s="399">
        <f>IF('הנחות עבודה'!$C$4=$B$31,W45,IF('הנחות עבודה'!$C$4=$B$58,W72,W98))</f>
        <v>0</v>
      </c>
      <c r="X18" s="399">
        <f>IF('הנחות עבודה'!$C$4=$B$31,X45,IF('הנחות עבודה'!$C$4=$B$58,X72,X98))</f>
        <v>5</v>
      </c>
      <c r="Y18" s="399">
        <f>IF('הנחות עבודה'!$C$4=$B$31,Y45,IF('הנחות עבודה'!$C$4=$B$58,Y72,Y98))</f>
        <v>0</v>
      </c>
      <c r="Z18" s="44">
        <f>IF('הנחות עבודה'!$C$4=$B$31,Z45,IF('הנחות עבודה'!$C$4=$B$58,Z72,Z98))</f>
        <v>0</v>
      </c>
      <c r="AA18" s="52">
        <f>IF('הנחות עבודה'!$C$4=$B$31,AA45,IF('הנחות עבודה'!$C$4=$B$58,AA72,AA98))</f>
        <v>932</v>
      </c>
      <c r="AB18" s="53">
        <f>IF('הנחות עבודה'!$C$4=$B$31,AB45,IF('הנחות עבודה'!$C$4=$B$58,AB72,AB98))</f>
        <v>113</v>
      </c>
      <c r="AC18" s="127">
        <f>IF('הנחות עבודה'!$C$4=$B$31,AC45,IF('הנחות עבודה'!$C$4=$B$58,AC72,AC98))</f>
        <v>0</v>
      </c>
      <c r="AD18" s="54">
        <f>IF('הנחות עבודה'!$C$4=$B$31,AD45,IF('הנחות עבודה'!$C$4=$B$58,AD72,AD98))</f>
        <v>1314.770052156533</v>
      </c>
      <c r="AE18" s="54">
        <f>IF('הנחות עבודה'!$C$4=$B$31,AE45,IF('הנחות עבודה'!$C$4=$B$58,AE72,AE98))</f>
        <v>0</v>
      </c>
      <c r="AF18" s="54">
        <f>IF('הנחות עבודה'!$C$4=$B$31,AF45,IF('הנחות עבודה'!$C$4=$B$58,AF72,AF98))</f>
        <v>5</v>
      </c>
      <c r="AG18" s="54">
        <f>IF('הנחות עבודה'!$C$4=$B$31,AG45,IF('הנחות עבודה'!$C$4=$B$58,AG72,AG98))</f>
        <v>0</v>
      </c>
      <c r="AH18" s="270">
        <f>IF('הנחות עבודה'!$C$4=$B$31,AH45,IF('הנחות עבודה'!$C$4=$B$58,AH72,AH98))</f>
        <v>0</v>
      </c>
      <c r="AI18" s="42">
        <f>IF('הנחות עבודה'!$C$4=$B$31,AI45,IF('הנחות עבודה'!$C$4=$B$58,AI72,AI98))</f>
        <v>466</v>
      </c>
      <c r="AJ18" s="64">
        <f>IF('הנחות עבודה'!$C$4=$B$31,AJ45,IF('הנחות עבודה'!$C$4=$B$58,AJ72,AJ98))</f>
        <v>791</v>
      </c>
      <c r="AK18" s="179">
        <f>IF('הנחות עבודה'!$C$4=$B$31,AK45,IF('הנחות עבודה'!$C$4=$B$58,AK72,AK98))</f>
        <v>1698.5273571395901</v>
      </c>
      <c r="AL18" s="44">
        <f>IF('הנחות עבודה'!$C$4=$B$31,AL45,IF('הנחות עבודה'!$C$4=$B$58,AL72,AL98))</f>
        <v>0</v>
      </c>
      <c r="AM18" s="381">
        <f>IF('הנחות עבודה'!$C$4=$B$31,AM45,IF('הנחות עבודה'!$C$4=$B$58,AM72,AM98))</f>
        <v>0</v>
      </c>
      <c r="AN18" s="381">
        <f>IF('הנחות עבודה'!$C$4=$B$31,AN45,IF('הנחות עבודה'!$C$4=$B$58,AN72,AN98))</f>
        <v>5</v>
      </c>
      <c r="AO18" s="381">
        <f>IF('הנחות עבודה'!$C$4=$B$31,AO45,IF('הנחות עבודה'!$C$4=$B$58,AO72,AO98))</f>
        <v>0</v>
      </c>
      <c r="AP18" s="44">
        <f>IF('הנחות עבודה'!$C$4=$B$31,AP45,IF('הנחות עבודה'!$C$4=$B$58,AP72,AP98))</f>
        <v>0</v>
      </c>
      <c r="AQ18" s="52">
        <f>IF('הנחות עבודה'!$C$4=$B$31,AQ45,IF('הנחות עבודה'!$C$4=$B$58,AQ72,AQ98))</f>
        <v>466</v>
      </c>
      <c r="AR18" s="53">
        <f>IF('הנחות עבודה'!$C$4=$B$31,AR45,IF('הנחות עבודה'!$C$4=$B$58,AR72,AR98))</f>
        <v>791</v>
      </c>
      <c r="AS18" s="127">
        <f>IF('הנחות עבודה'!$C$4=$B$31,AS45,IF('הנחות עבודה'!$C$4=$B$58,AS72,AS98))</f>
        <v>0</v>
      </c>
      <c r="AT18" s="54">
        <f>IF('הנחות עבודה'!$C$4=$B$31,AT45,IF('הנחות עבודה'!$C$4=$B$58,AT72,AT98))</f>
        <v>1698.5273571395901</v>
      </c>
      <c r="AU18" s="54">
        <f>IF('הנחות עבודה'!$C$4=$B$31,AU45,IF('הנחות עבודה'!$C$4=$B$58,AU72,AU98))</f>
        <v>0</v>
      </c>
      <c r="AV18" s="54">
        <f>IF('הנחות עבודה'!$C$4=$B$31,AV45,IF('הנחות עבודה'!$C$4=$B$58,AV72,AV98))</f>
        <v>5</v>
      </c>
      <c r="AW18" s="54">
        <f>IF('הנחות עבודה'!$C$4=$B$31,AW45,IF('הנחות עבודה'!$C$4=$B$58,AW72,AW98))</f>
        <v>0</v>
      </c>
      <c r="AX18" s="53">
        <f>IF('הנחות עבודה'!$C$4=$B$31,AX45,IF('הנחות עבודה'!$C$4=$B$58,AX72,AX98))</f>
        <v>0</v>
      </c>
    </row>
    <row r="19" spans="2:50" ht="15.75">
      <c r="B19" s="10">
        <f t="shared" si="72"/>
        <v>2031</v>
      </c>
      <c r="C19" s="722">
        <f>IF('הנחות עבודה'!$C$4=$B$31,C46,IF('הנחות עבודה'!$C$4=$B$58,C73,C99))</f>
        <v>0</v>
      </c>
      <c r="D19" s="64">
        <f>IF('הנחות עבודה'!$C$4=$B$31,D46,IF('הנחות עבודה'!$C$4=$B$58,D73,D99))</f>
        <v>0</v>
      </c>
      <c r="E19" s="179">
        <f>IF('הנחות עבודה'!$C$4=$B$31,E46,IF('הנחות עבודה'!$C$4=$B$58,E73,E99))</f>
        <v>0</v>
      </c>
      <c r="F19" s="44">
        <f>IF('הנחות עבודה'!$C$4=$B$31,F46,IF('הנחות עבודה'!$C$4=$B$58,F73,F99))</f>
        <v>0</v>
      </c>
      <c r="G19" s="399">
        <f>IF('הנחות עבודה'!$C$4=$B$31,G46,IF('הנחות עבודה'!$C$4=$B$58,G73,G99))</f>
        <v>0</v>
      </c>
      <c r="H19" s="399">
        <f>IF('הנחות עבודה'!$C$4=$B$31,H46,IF('הנחות עבודה'!$C$4=$B$58,H73,H99))</f>
        <v>0</v>
      </c>
      <c r="I19" s="399">
        <f>IF('הנחות עבודה'!$C$4=$B$31,I46,IF('הנחות עבודה'!$C$4=$B$58,I73,I99))</f>
        <v>0</v>
      </c>
      <c r="J19" s="44">
        <f>IF('הנחות עבודה'!$C$4=$B$31,J46,IF('הנחות עבודה'!$C$4=$B$58,J73,J99))</f>
        <v>0</v>
      </c>
      <c r="K19" s="52">
        <f>IF('הנחות עבודה'!$C$4=$B$31,K46,IF('הנחות עבודה'!$C$4=$B$58,K73,K99))</f>
        <v>0</v>
      </c>
      <c r="L19" s="53">
        <f>IF('הנחות עבודה'!$C$4=$B$31,L46,IF('הנחות עבודה'!$C$4=$B$58,L73,L99))</f>
        <v>0</v>
      </c>
      <c r="M19" s="52">
        <f>IF('הנחות עבודה'!$C$4=$B$31,M46,IF('הנחות עבודה'!$C$4=$B$58,M73,M99))</f>
        <v>0</v>
      </c>
      <c r="N19" s="54">
        <f>IF('הנחות עבודה'!$C$4=$B$31,N46,IF('הנחות עבודה'!$C$4=$B$58,N73,N99))</f>
        <v>0</v>
      </c>
      <c r="O19" s="54">
        <f>IF('הנחות עבודה'!$C$4=$B$31,O46,IF('הנחות עבודה'!$C$4=$B$58,O73,O99))</f>
        <v>0</v>
      </c>
      <c r="P19" s="54">
        <f>IF('הנחות עבודה'!$C$4=$B$31,P46,IF('הנחות עבודה'!$C$4=$B$58,P73,P99))</f>
        <v>0</v>
      </c>
      <c r="Q19" s="54">
        <f>IF('הנחות עבודה'!$C$4=$B$31,Q46,IF('הנחות עבודה'!$C$4=$B$58,Q73,Q99))</f>
        <v>0</v>
      </c>
      <c r="R19" s="53">
        <f>IF('הנחות עבודה'!$C$4=$B$31,R46,IF('הנחות עבודה'!$C$4=$B$58,R73,R99))</f>
        <v>0</v>
      </c>
      <c r="S19" s="833">
        <f>IF('הנחות עבודה'!$C$4=$B$31,S46,IF('הנחות עבודה'!$C$4=$B$58,S73,S99))</f>
        <v>0</v>
      </c>
      <c r="T19" s="64">
        <f>IF('הנחות עבודה'!$C$4=$B$31,T46,IF('הנחות עבודה'!$C$4=$B$58,T73,T99))</f>
        <v>0</v>
      </c>
      <c r="U19" s="179">
        <f>IF('הנחות עבודה'!$C$4=$B$31,U46,IF('הנחות עבודה'!$C$4=$B$58,U73,U99))</f>
        <v>0</v>
      </c>
      <c r="V19" s="44">
        <f>IF('הנחות עבודה'!$C$4=$B$31,V46,IF('הנחות עבודה'!$C$4=$B$58,V73,V99))</f>
        <v>0</v>
      </c>
      <c r="W19" s="399">
        <f>IF('הנחות עבודה'!$C$4=$B$31,W46,IF('הנחות עבודה'!$C$4=$B$58,W73,W99))</f>
        <v>0</v>
      </c>
      <c r="X19" s="399">
        <f>IF('הנחות עבודה'!$C$4=$B$31,X46,IF('הנחות עבודה'!$C$4=$B$58,X73,X99))</f>
        <v>0</v>
      </c>
      <c r="Y19" s="399">
        <f>IF('הנחות עבודה'!$C$4=$B$31,Y46,IF('הנחות עבודה'!$C$4=$B$58,Y73,Y99))</f>
        <v>0</v>
      </c>
      <c r="Z19" s="44">
        <f>IF('הנחות עבודה'!$C$4=$B$31,Z46,IF('הנחות עבודה'!$C$4=$B$58,Z73,Z99))</f>
        <v>0</v>
      </c>
      <c r="AA19" s="52">
        <f>IF('הנחות עבודה'!$C$4=$B$31,AA46,IF('הנחות עבודה'!$C$4=$B$58,AA73,AA99))</f>
        <v>0</v>
      </c>
      <c r="AB19" s="53">
        <f>IF('הנחות עבודה'!$C$4=$B$31,AB46,IF('הנחות עבודה'!$C$4=$B$58,AB73,AB99))</f>
        <v>0</v>
      </c>
      <c r="AC19" s="127">
        <f>IF('הנחות עבודה'!$C$4=$B$31,AC46,IF('הנחות עבודה'!$C$4=$B$58,AC73,AC99))</f>
        <v>0</v>
      </c>
      <c r="AD19" s="54">
        <f>IF('הנחות עבודה'!$C$4=$B$31,AD46,IF('הנחות עבודה'!$C$4=$B$58,AD73,AD99))</f>
        <v>0</v>
      </c>
      <c r="AE19" s="54">
        <f>IF('הנחות עבודה'!$C$4=$B$31,AE46,IF('הנחות עבודה'!$C$4=$B$58,AE73,AE99))</f>
        <v>0</v>
      </c>
      <c r="AF19" s="54">
        <f>IF('הנחות עבודה'!$C$4=$B$31,AF46,IF('הנחות עבודה'!$C$4=$B$58,AF73,AF99))</f>
        <v>0</v>
      </c>
      <c r="AG19" s="54">
        <f>IF('הנחות עבודה'!$C$4=$B$31,AG46,IF('הנחות עבודה'!$C$4=$B$58,AG73,AG99))</f>
        <v>0</v>
      </c>
      <c r="AH19" s="270">
        <f>IF('הנחות עבודה'!$C$4=$B$31,AH46,IF('הנחות עבודה'!$C$4=$B$58,AH73,AH99))</f>
        <v>0</v>
      </c>
      <c r="AI19" s="42">
        <f>IF('הנחות עבודה'!$C$4=$B$31,AI46,IF('הנחות עבודה'!$C$4=$B$58,AI73,AI99))</f>
        <v>0</v>
      </c>
      <c r="AJ19" s="64">
        <f>IF('הנחות עבודה'!$C$4=$B$31,AJ46,IF('הנחות עבודה'!$C$4=$B$58,AJ73,AJ99))</f>
        <v>0</v>
      </c>
      <c r="AK19" s="179">
        <f>IF('הנחות עבודה'!$C$4=$B$31,AK46,IF('הנחות עבודה'!$C$4=$B$58,AK73,AK99))</f>
        <v>0</v>
      </c>
      <c r="AL19" s="44">
        <f>IF('הנחות עבודה'!$C$4=$B$31,AL46,IF('הנחות עבודה'!$C$4=$B$58,AL73,AL99))</f>
        <v>0</v>
      </c>
      <c r="AM19" s="381">
        <f>IF('הנחות עבודה'!$C$4=$B$31,AM46,IF('הנחות עבודה'!$C$4=$B$58,AM73,AM99))</f>
        <v>0</v>
      </c>
      <c r="AN19" s="381">
        <f>IF('הנחות עבודה'!$C$4=$B$31,AN46,IF('הנחות עבודה'!$C$4=$B$58,AN73,AN99))</f>
        <v>0</v>
      </c>
      <c r="AO19" s="381">
        <f>IF('הנחות עבודה'!$C$4=$B$31,AO46,IF('הנחות עבודה'!$C$4=$B$58,AO73,AO99))</f>
        <v>0</v>
      </c>
      <c r="AP19" s="44">
        <f>IF('הנחות עבודה'!$C$4=$B$31,AP46,IF('הנחות עבודה'!$C$4=$B$58,AP73,AP99))</f>
        <v>0</v>
      </c>
      <c r="AQ19" s="52">
        <f>IF('הנחות עבודה'!$C$4=$B$31,AQ46,IF('הנחות עבודה'!$C$4=$B$58,AQ73,AQ99))</f>
        <v>0</v>
      </c>
      <c r="AR19" s="53">
        <f>IF('הנחות עבודה'!$C$4=$B$31,AR46,IF('הנחות עבודה'!$C$4=$B$58,AR73,AR99))</f>
        <v>0</v>
      </c>
      <c r="AS19" s="127">
        <f>IF('הנחות עבודה'!$C$4=$B$31,AS46,IF('הנחות עבודה'!$C$4=$B$58,AS73,AS99))</f>
        <v>0</v>
      </c>
      <c r="AT19" s="54">
        <f>IF('הנחות עבודה'!$C$4=$B$31,AT46,IF('הנחות עבודה'!$C$4=$B$58,AT73,AT99))</f>
        <v>0</v>
      </c>
      <c r="AU19" s="54">
        <f>IF('הנחות עבודה'!$C$4=$B$31,AU46,IF('הנחות עבודה'!$C$4=$B$58,AU73,AU99))</f>
        <v>0</v>
      </c>
      <c r="AV19" s="54">
        <f>IF('הנחות עבודה'!$C$4=$B$31,AV46,IF('הנחות עבודה'!$C$4=$B$58,AV73,AV99))</f>
        <v>0</v>
      </c>
      <c r="AW19" s="54">
        <f>IF('הנחות עבודה'!$C$4=$B$31,AW46,IF('הנחות עבודה'!$C$4=$B$58,AW73,AW99))</f>
        <v>0</v>
      </c>
      <c r="AX19" s="53">
        <f>IF('הנחות עבודה'!$C$4=$B$31,AX46,IF('הנחות עבודה'!$C$4=$B$58,AX73,AX99))</f>
        <v>0</v>
      </c>
    </row>
    <row r="20" spans="2:50" ht="15.75">
      <c r="B20" s="10">
        <f t="shared" si="72"/>
        <v>2032</v>
      </c>
      <c r="C20" s="722">
        <f>IF('הנחות עבודה'!$C$4=$B$31,C47,IF('הנחות עבודה'!$C$4=$B$58,C74,C100))</f>
        <v>0</v>
      </c>
      <c r="D20" s="64">
        <f>IF('הנחות עבודה'!$C$4=$B$31,D47,IF('הנחות עבודה'!$C$4=$B$58,D74,D100))</f>
        <v>0</v>
      </c>
      <c r="E20" s="179">
        <f>IF('הנחות עבודה'!$C$4=$B$31,E47,IF('הנחות עבודה'!$C$4=$B$58,E74,E100))</f>
        <v>0</v>
      </c>
      <c r="F20" s="44">
        <f>IF('הנחות עבודה'!$C$4=$B$31,F47,IF('הנחות עבודה'!$C$4=$B$58,F74,F100))</f>
        <v>0</v>
      </c>
      <c r="G20" s="399">
        <f>IF('הנחות עבודה'!$C$4=$B$31,G47,IF('הנחות עבודה'!$C$4=$B$58,G74,G100))</f>
        <v>0</v>
      </c>
      <c r="H20" s="399">
        <f>IF('הנחות עבודה'!$C$4=$B$31,H47,IF('הנחות עבודה'!$C$4=$B$58,H74,H100))</f>
        <v>0</v>
      </c>
      <c r="I20" s="399">
        <f>IF('הנחות עבודה'!$C$4=$B$31,I47,IF('הנחות עבודה'!$C$4=$B$58,I74,I100))</f>
        <v>0</v>
      </c>
      <c r="J20" s="44">
        <f>IF('הנחות עבודה'!$C$4=$B$31,J47,IF('הנחות עבודה'!$C$4=$B$58,J74,J100))</f>
        <v>0</v>
      </c>
      <c r="K20" s="52">
        <f>IF('הנחות עבודה'!$C$4=$B$31,K47,IF('הנחות עבודה'!$C$4=$B$58,K74,K100))</f>
        <v>0</v>
      </c>
      <c r="L20" s="53">
        <f>IF('הנחות עבודה'!$C$4=$B$31,L47,IF('הנחות עבודה'!$C$4=$B$58,L74,L100))</f>
        <v>0</v>
      </c>
      <c r="M20" s="52">
        <f>IF('הנחות עבודה'!$C$4=$B$31,M47,IF('הנחות עבודה'!$C$4=$B$58,M74,M100))</f>
        <v>0</v>
      </c>
      <c r="N20" s="54">
        <f>IF('הנחות עבודה'!$C$4=$B$31,N47,IF('הנחות עבודה'!$C$4=$B$58,N74,N100))</f>
        <v>0</v>
      </c>
      <c r="O20" s="54">
        <f>IF('הנחות עבודה'!$C$4=$B$31,O47,IF('הנחות עבודה'!$C$4=$B$58,O74,O100))</f>
        <v>0</v>
      </c>
      <c r="P20" s="54">
        <f>IF('הנחות עבודה'!$C$4=$B$31,P47,IF('הנחות עבודה'!$C$4=$B$58,P74,P100))</f>
        <v>0</v>
      </c>
      <c r="Q20" s="54">
        <f>IF('הנחות עבודה'!$C$4=$B$31,Q47,IF('הנחות עבודה'!$C$4=$B$58,Q74,Q100))</f>
        <v>0</v>
      </c>
      <c r="R20" s="53">
        <f>IF('הנחות עבודה'!$C$4=$B$31,R47,IF('הנחות עבודה'!$C$4=$B$58,R74,R100))</f>
        <v>0</v>
      </c>
      <c r="S20" s="833">
        <f>IF('הנחות עבודה'!$C$4=$B$31,S47,IF('הנחות עבודה'!$C$4=$B$58,S74,S100))</f>
        <v>0</v>
      </c>
      <c r="T20" s="64">
        <f>IF('הנחות עבודה'!$C$4=$B$31,T47,IF('הנחות עבודה'!$C$4=$B$58,T74,T100))</f>
        <v>0</v>
      </c>
      <c r="U20" s="179">
        <f>IF('הנחות עבודה'!$C$4=$B$31,U47,IF('הנחות עבודה'!$C$4=$B$58,U74,U100))</f>
        <v>0</v>
      </c>
      <c r="V20" s="44">
        <f>IF('הנחות עבודה'!$C$4=$B$31,V47,IF('הנחות עבודה'!$C$4=$B$58,V74,V100))</f>
        <v>0</v>
      </c>
      <c r="W20" s="399">
        <f>IF('הנחות עבודה'!$C$4=$B$31,W47,IF('הנחות עבודה'!$C$4=$B$58,W74,W100))</f>
        <v>0</v>
      </c>
      <c r="X20" s="399">
        <f>IF('הנחות עבודה'!$C$4=$B$31,X47,IF('הנחות עבודה'!$C$4=$B$58,X74,X100))</f>
        <v>0</v>
      </c>
      <c r="Y20" s="399">
        <f>IF('הנחות עבודה'!$C$4=$B$31,Y47,IF('הנחות עבודה'!$C$4=$B$58,Y74,Y100))</f>
        <v>0</v>
      </c>
      <c r="Z20" s="44">
        <f>IF('הנחות עבודה'!$C$4=$B$31,Z47,IF('הנחות עבודה'!$C$4=$B$58,Z74,Z100))</f>
        <v>0</v>
      </c>
      <c r="AA20" s="52">
        <f>IF('הנחות עבודה'!$C$4=$B$31,AA47,IF('הנחות עבודה'!$C$4=$B$58,AA74,AA100))</f>
        <v>0</v>
      </c>
      <c r="AB20" s="53">
        <f>IF('הנחות עבודה'!$C$4=$B$31,AB47,IF('הנחות עבודה'!$C$4=$B$58,AB74,AB100))</f>
        <v>0</v>
      </c>
      <c r="AC20" s="127">
        <f>IF('הנחות עבודה'!$C$4=$B$31,AC47,IF('הנחות עבודה'!$C$4=$B$58,AC74,AC100))</f>
        <v>0</v>
      </c>
      <c r="AD20" s="54">
        <f>IF('הנחות עבודה'!$C$4=$B$31,AD47,IF('הנחות עבודה'!$C$4=$B$58,AD74,AD100))</f>
        <v>0</v>
      </c>
      <c r="AE20" s="54">
        <f>IF('הנחות עבודה'!$C$4=$B$31,AE47,IF('הנחות עבודה'!$C$4=$B$58,AE74,AE100))</f>
        <v>0</v>
      </c>
      <c r="AF20" s="54">
        <f>IF('הנחות עבודה'!$C$4=$B$31,AF47,IF('הנחות עבודה'!$C$4=$B$58,AF74,AF100))</f>
        <v>0</v>
      </c>
      <c r="AG20" s="54">
        <f>IF('הנחות עבודה'!$C$4=$B$31,AG47,IF('הנחות עבודה'!$C$4=$B$58,AG74,AG100))</f>
        <v>0</v>
      </c>
      <c r="AH20" s="270">
        <f>IF('הנחות עבודה'!$C$4=$B$31,AH47,IF('הנחות עבודה'!$C$4=$B$58,AH74,AH100))</f>
        <v>0</v>
      </c>
      <c r="AI20" s="42">
        <f>IF('הנחות עבודה'!$C$4=$B$31,AI47,IF('הנחות עבודה'!$C$4=$B$58,AI74,AI100))</f>
        <v>0</v>
      </c>
      <c r="AJ20" s="64">
        <f>IF('הנחות עבודה'!$C$4=$B$31,AJ47,IF('הנחות עבודה'!$C$4=$B$58,AJ74,AJ100))</f>
        <v>0</v>
      </c>
      <c r="AK20" s="179">
        <f>IF('הנחות עבודה'!$C$4=$B$31,AK47,IF('הנחות עבודה'!$C$4=$B$58,AK74,AK100))</f>
        <v>0</v>
      </c>
      <c r="AL20" s="44">
        <f>IF('הנחות עבודה'!$C$4=$B$31,AL47,IF('הנחות עבודה'!$C$4=$B$58,AL74,AL100))</f>
        <v>0</v>
      </c>
      <c r="AM20" s="381">
        <f>IF('הנחות עבודה'!$C$4=$B$31,AM47,IF('הנחות עבודה'!$C$4=$B$58,AM74,AM100))</f>
        <v>0</v>
      </c>
      <c r="AN20" s="381">
        <f>IF('הנחות עבודה'!$C$4=$B$31,AN47,IF('הנחות עבודה'!$C$4=$B$58,AN74,AN100))</f>
        <v>0</v>
      </c>
      <c r="AO20" s="381">
        <f>IF('הנחות עבודה'!$C$4=$B$31,AO47,IF('הנחות עבודה'!$C$4=$B$58,AO74,AO100))</f>
        <v>0</v>
      </c>
      <c r="AP20" s="44">
        <f>IF('הנחות עבודה'!$C$4=$B$31,AP47,IF('הנחות עבודה'!$C$4=$B$58,AP74,AP100))</f>
        <v>0</v>
      </c>
      <c r="AQ20" s="52">
        <f>IF('הנחות עבודה'!$C$4=$B$31,AQ47,IF('הנחות עבודה'!$C$4=$B$58,AQ74,AQ100))</f>
        <v>0</v>
      </c>
      <c r="AR20" s="53">
        <f>IF('הנחות עבודה'!$C$4=$B$31,AR47,IF('הנחות עבודה'!$C$4=$B$58,AR74,AR100))</f>
        <v>0</v>
      </c>
      <c r="AS20" s="127">
        <f>IF('הנחות עבודה'!$C$4=$B$31,AS47,IF('הנחות עבודה'!$C$4=$B$58,AS74,AS100))</f>
        <v>0</v>
      </c>
      <c r="AT20" s="54">
        <f>IF('הנחות עבודה'!$C$4=$B$31,AT47,IF('הנחות עבודה'!$C$4=$B$58,AT74,AT100))</f>
        <v>0</v>
      </c>
      <c r="AU20" s="54">
        <f>IF('הנחות עבודה'!$C$4=$B$31,AU47,IF('הנחות עבודה'!$C$4=$B$58,AU74,AU100))</f>
        <v>0</v>
      </c>
      <c r="AV20" s="54">
        <f>IF('הנחות עבודה'!$C$4=$B$31,AV47,IF('הנחות עבודה'!$C$4=$B$58,AV74,AV100))</f>
        <v>0</v>
      </c>
      <c r="AW20" s="54">
        <f>IF('הנחות עבודה'!$C$4=$B$31,AW47,IF('הנחות עבודה'!$C$4=$B$58,AW74,AW100))</f>
        <v>0</v>
      </c>
      <c r="AX20" s="53">
        <f>IF('הנחות עבודה'!$C$4=$B$31,AX47,IF('הנחות עבודה'!$C$4=$B$58,AX74,AX100))</f>
        <v>0</v>
      </c>
    </row>
    <row r="21" spans="2:50" ht="15.75">
      <c r="B21" s="10">
        <f t="shared" si="72"/>
        <v>2033</v>
      </c>
      <c r="C21" s="722">
        <f>IF('הנחות עבודה'!$C$4=$B$31,C48,IF('הנחות עבודה'!$C$4=$B$58,C75,C101))</f>
        <v>0</v>
      </c>
      <c r="D21" s="64">
        <f>IF('הנחות עבודה'!$C$4=$B$31,D48,IF('הנחות עבודה'!$C$4=$B$58,D75,D101))</f>
        <v>0</v>
      </c>
      <c r="E21" s="179">
        <f>IF('הנחות עבודה'!$C$4=$B$31,E48,IF('הנחות עבודה'!$C$4=$B$58,E75,E101))</f>
        <v>0</v>
      </c>
      <c r="F21" s="44">
        <f>IF('הנחות עבודה'!$C$4=$B$31,F48,IF('הנחות עבודה'!$C$4=$B$58,F75,F101))</f>
        <v>0</v>
      </c>
      <c r="G21" s="399">
        <f>IF('הנחות עבודה'!$C$4=$B$31,G48,IF('הנחות עבודה'!$C$4=$B$58,G75,G101))</f>
        <v>0</v>
      </c>
      <c r="H21" s="399">
        <f>IF('הנחות עבודה'!$C$4=$B$31,H48,IF('הנחות עבודה'!$C$4=$B$58,H75,H101))</f>
        <v>0</v>
      </c>
      <c r="I21" s="399">
        <f>IF('הנחות עבודה'!$C$4=$B$31,I48,IF('הנחות עבודה'!$C$4=$B$58,I75,I101))</f>
        <v>0</v>
      </c>
      <c r="J21" s="44">
        <f>IF('הנחות עבודה'!$C$4=$B$31,J48,IF('הנחות עבודה'!$C$4=$B$58,J75,J101))</f>
        <v>0</v>
      </c>
      <c r="K21" s="52">
        <f>IF('הנחות עבודה'!$C$4=$B$31,K48,IF('הנחות עבודה'!$C$4=$B$58,K75,K101))</f>
        <v>0</v>
      </c>
      <c r="L21" s="53">
        <f>IF('הנחות עבודה'!$C$4=$B$31,L48,IF('הנחות עבודה'!$C$4=$B$58,L75,L101))</f>
        <v>0</v>
      </c>
      <c r="M21" s="52">
        <f>IF('הנחות עבודה'!$C$4=$B$31,M48,IF('הנחות עבודה'!$C$4=$B$58,M75,M101))</f>
        <v>0</v>
      </c>
      <c r="N21" s="54">
        <f>IF('הנחות עבודה'!$C$4=$B$31,N48,IF('הנחות עבודה'!$C$4=$B$58,N75,N101))</f>
        <v>0</v>
      </c>
      <c r="O21" s="54">
        <f>IF('הנחות עבודה'!$C$4=$B$31,O48,IF('הנחות עבודה'!$C$4=$B$58,O75,O101))</f>
        <v>0</v>
      </c>
      <c r="P21" s="54">
        <f>IF('הנחות עבודה'!$C$4=$B$31,P48,IF('הנחות עבודה'!$C$4=$B$58,P75,P101))</f>
        <v>0</v>
      </c>
      <c r="Q21" s="54">
        <f>IF('הנחות עבודה'!$C$4=$B$31,Q48,IF('הנחות עבודה'!$C$4=$B$58,Q75,Q101))</f>
        <v>0</v>
      </c>
      <c r="R21" s="53">
        <f>IF('הנחות עבודה'!$C$4=$B$31,R48,IF('הנחות עבודה'!$C$4=$B$58,R75,R101))</f>
        <v>0</v>
      </c>
      <c r="S21" s="833">
        <f>IF('הנחות עבודה'!$C$4=$B$31,S48,IF('הנחות עבודה'!$C$4=$B$58,S75,S101))</f>
        <v>0</v>
      </c>
      <c r="T21" s="64">
        <f>IF('הנחות עבודה'!$C$4=$B$31,T48,IF('הנחות עבודה'!$C$4=$B$58,T75,T101))</f>
        <v>0</v>
      </c>
      <c r="U21" s="179">
        <f>IF('הנחות עבודה'!$C$4=$B$31,U48,IF('הנחות עבודה'!$C$4=$B$58,U75,U101))</f>
        <v>0</v>
      </c>
      <c r="V21" s="44">
        <f>IF('הנחות עבודה'!$C$4=$B$31,V48,IF('הנחות עבודה'!$C$4=$B$58,V75,V101))</f>
        <v>0</v>
      </c>
      <c r="W21" s="399">
        <f>IF('הנחות עבודה'!$C$4=$B$31,W48,IF('הנחות עבודה'!$C$4=$B$58,W75,W101))</f>
        <v>0</v>
      </c>
      <c r="X21" s="399">
        <f>IF('הנחות עבודה'!$C$4=$B$31,X48,IF('הנחות עבודה'!$C$4=$B$58,X75,X101))</f>
        <v>0</v>
      </c>
      <c r="Y21" s="399">
        <f>IF('הנחות עבודה'!$C$4=$B$31,Y48,IF('הנחות עבודה'!$C$4=$B$58,Y75,Y101))</f>
        <v>0</v>
      </c>
      <c r="Z21" s="44">
        <f>IF('הנחות עבודה'!$C$4=$B$31,Z48,IF('הנחות עבודה'!$C$4=$B$58,Z75,Z101))</f>
        <v>0</v>
      </c>
      <c r="AA21" s="52">
        <f>IF('הנחות עבודה'!$C$4=$B$31,AA48,IF('הנחות עבודה'!$C$4=$B$58,AA75,AA101))</f>
        <v>0</v>
      </c>
      <c r="AB21" s="53">
        <f>IF('הנחות עבודה'!$C$4=$B$31,AB48,IF('הנחות עבודה'!$C$4=$B$58,AB75,AB101))</f>
        <v>0</v>
      </c>
      <c r="AC21" s="127">
        <f>IF('הנחות עבודה'!$C$4=$B$31,AC48,IF('הנחות עבודה'!$C$4=$B$58,AC75,AC101))</f>
        <v>0</v>
      </c>
      <c r="AD21" s="54">
        <f>IF('הנחות עבודה'!$C$4=$B$31,AD48,IF('הנחות עבודה'!$C$4=$B$58,AD75,AD101))</f>
        <v>0</v>
      </c>
      <c r="AE21" s="54">
        <f>IF('הנחות עבודה'!$C$4=$B$31,AE48,IF('הנחות עבודה'!$C$4=$B$58,AE75,AE101))</f>
        <v>0</v>
      </c>
      <c r="AF21" s="54">
        <f>IF('הנחות עבודה'!$C$4=$B$31,AF48,IF('הנחות עבודה'!$C$4=$B$58,AF75,AF101))</f>
        <v>0</v>
      </c>
      <c r="AG21" s="54">
        <f>IF('הנחות עבודה'!$C$4=$B$31,AG48,IF('הנחות עבודה'!$C$4=$B$58,AG75,AG101))</f>
        <v>0</v>
      </c>
      <c r="AH21" s="270">
        <f>IF('הנחות עבודה'!$C$4=$B$31,AH48,IF('הנחות עבודה'!$C$4=$B$58,AH75,AH101))</f>
        <v>0</v>
      </c>
      <c r="AI21" s="42">
        <f>IF('הנחות עבודה'!$C$4=$B$31,AI48,IF('הנחות עבודה'!$C$4=$B$58,AI75,AI101))</f>
        <v>0</v>
      </c>
      <c r="AJ21" s="64">
        <f>IF('הנחות עבודה'!$C$4=$B$31,AJ48,IF('הנחות עבודה'!$C$4=$B$58,AJ75,AJ101))</f>
        <v>0</v>
      </c>
      <c r="AK21" s="179">
        <f>IF('הנחות עבודה'!$C$4=$B$31,AK48,IF('הנחות עבודה'!$C$4=$B$58,AK75,AK101))</f>
        <v>0</v>
      </c>
      <c r="AL21" s="44">
        <f>IF('הנחות עבודה'!$C$4=$B$31,AL48,IF('הנחות עבודה'!$C$4=$B$58,AL75,AL101))</f>
        <v>0</v>
      </c>
      <c r="AM21" s="381">
        <f>IF('הנחות עבודה'!$C$4=$B$31,AM48,IF('הנחות עבודה'!$C$4=$B$58,AM75,AM101))</f>
        <v>0</v>
      </c>
      <c r="AN21" s="381">
        <f>IF('הנחות עבודה'!$C$4=$B$31,AN48,IF('הנחות עבודה'!$C$4=$B$58,AN75,AN101))</f>
        <v>0</v>
      </c>
      <c r="AO21" s="381">
        <f>IF('הנחות עבודה'!$C$4=$B$31,AO48,IF('הנחות עבודה'!$C$4=$B$58,AO75,AO101))</f>
        <v>0</v>
      </c>
      <c r="AP21" s="44">
        <f>IF('הנחות עבודה'!$C$4=$B$31,AP48,IF('הנחות עבודה'!$C$4=$B$58,AP75,AP101))</f>
        <v>0</v>
      </c>
      <c r="AQ21" s="52">
        <f>IF('הנחות עבודה'!$C$4=$B$31,AQ48,IF('הנחות עבודה'!$C$4=$B$58,AQ75,AQ101))</f>
        <v>0</v>
      </c>
      <c r="AR21" s="53">
        <f>IF('הנחות עבודה'!$C$4=$B$31,AR48,IF('הנחות עבודה'!$C$4=$B$58,AR75,AR101))</f>
        <v>0</v>
      </c>
      <c r="AS21" s="127">
        <f>IF('הנחות עבודה'!$C$4=$B$31,AS48,IF('הנחות עבודה'!$C$4=$B$58,AS75,AS101))</f>
        <v>0</v>
      </c>
      <c r="AT21" s="54">
        <f>IF('הנחות עבודה'!$C$4=$B$31,AT48,IF('הנחות עבודה'!$C$4=$B$58,AT75,AT101))</f>
        <v>0</v>
      </c>
      <c r="AU21" s="54">
        <f>IF('הנחות עבודה'!$C$4=$B$31,AU48,IF('הנחות עבודה'!$C$4=$B$58,AU75,AU101))</f>
        <v>0</v>
      </c>
      <c r="AV21" s="54">
        <f>IF('הנחות עבודה'!$C$4=$B$31,AV48,IF('הנחות עבודה'!$C$4=$B$58,AV75,AV101))</f>
        <v>0</v>
      </c>
      <c r="AW21" s="54">
        <f>IF('הנחות עבודה'!$C$4=$B$31,AW48,IF('הנחות עבודה'!$C$4=$B$58,AW75,AW101))</f>
        <v>0</v>
      </c>
      <c r="AX21" s="53">
        <f>IF('הנחות עבודה'!$C$4=$B$31,AX48,IF('הנחות עבודה'!$C$4=$B$58,AX75,AX101))</f>
        <v>0</v>
      </c>
    </row>
    <row r="22" spans="2:50" ht="15.75">
      <c r="B22" s="10">
        <f t="shared" si="72"/>
        <v>2034</v>
      </c>
      <c r="C22" s="722">
        <f>IF('הנחות עבודה'!$C$4=$B$31,C49,IF('הנחות עבודה'!$C$4=$B$58,C76,C102))</f>
        <v>0</v>
      </c>
      <c r="D22" s="64">
        <f>IF('הנחות עבודה'!$C$4=$B$31,D49,IF('הנחות עבודה'!$C$4=$B$58,D76,D102))</f>
        <v>0</v>
      </c>
      <c r="E22" s="179">
        <f>IF('הנחות עבודה'!$C$4=$B$31,E49,IF('הנחות עבודה'!$C$4=$B$58,E76,E102))</f>
        <v>0</v>
      </c>
      <c r="F22" s="44">
        <f>IF('הנחות עבודה'!$C$4=$B$31,F49,IF('הנחות עבודה'!$C$4=$B$58,F76,F102))</f>
        <v>0</v>
      </c>
      <c r="G22" s="399">
        <f>IF('הנחות עבודה'!$C$4=$B$31,G49,IF('הנחות עבודה'!$C$4=$B$58,G76,G102))</f>
        <v>0</v>
      </c>
      <c r="H22" s="399">
        <f>IF('הנחות עבודה'!$C$4=$B$31,H49,IF('הנחות עבודה'!$C$4=$B$58,H76,H102))</f>
        <v>0</v>
      </c>
      <c r="I22" s="399">
        <f>IF('הנחות עבודה'!$C$4=$B$31,I49,IF('הנחות עבודה'!$C$4=$B$58,I76,I102))</f>
        <v>0</v>
      </c>
      <c r="J22" s="44">
        <f>IF('הנחות עבודה'!$C$4=$B$31,J49,IF('הנחות עבודה'!$C$4=$B$58,J76,J102))</f>
        <v>0</v>
      </c>
      <c r="K22" s="52">
        <f>IF('הנחות עבודה'!$C$4=$B$31,K49,IF('הנחות עבודה'!$C$4=$B$58,K76,K102))</f>
        <v>0</v>
      </c>
      <c r="L22" s="53">
        <f>IF('הנחות עבודה'!$C$4=$B$31,L49,IF('הנחות עבודה'!$C$4=$B$58,L76,L102))</f>
        <v>0</v>
      </c>
      <c r="M22" s="52">
        <f>IF('הנחות עבודה'!$C$4=$B$31,M49,IF('הנחות עבודה'!$C$4=$B$58,M76,M102))</f>
        <v>0</v>
      </c>
      <c r="N22" s="54">
        <f>IF('הנחות עבודה'!$C$4=$B$31,N49,IF('הנחות עבודה'!$C$4=$B$58,N76,N102))</f>
        <v>0</v>
      </c>
      <c r="O22" s="54">
        <f>IF('הנחות עבודה'!$C$4=$B$31,O49,IF('הנחות עבודה'!$C$4=$B$58,O76,O102))</f>
        <v>0</v>
      </c>
      <c r="P22" s="54">
        <f>IF('הנחות עבודה'!$C$4=$B$31,P49,IF('הנחות עבודה'!$C$4=$B$58,P76,P102))</f>
        <v>0</v>
      </c>
      <c r="Q22" s="54">
        <f>IF('הנחות עבודה'!$C$4=$B$31,Q49,IF('הנחות עבודה'!$C$4=$B$58,Q76,Q102))</f>
        <v>0</v>
      </c>
      <c r="R22" s="53">
        <f>IF('הנחות עבודה'!$C$4=$B$31,R49,IF('הנחות עבודה'!$C$4=$B$58,R76,R102))</f>
        <v>0</v>
      </c>
      <c r="S22" s="833">
        <f>IF('הנחות עבודה'!$C$4=$B$31,S49,IF('הנחות עבודה'!$C$4=$B$58,S76,S102))</f>
        <v>0</v>
      </c>
      <c r="T22" s="64">
        <f>IF('הנחות עבודה'!$C$4=$B$31,T49,IF('הנחות עבודה'!$C$4=$B$58,T76,T102))</f>
        <v>0</v>
      </c>
      <c r="U22" s="179">
        <f>IF('הנחות עבודה'!$C$4=$B$31,U49,IF('הנחות עבודה'!$C$4=$B$58,U76,U102))</f>
        <v>0</v>
      </c>
      <c r="V22" s="44">
        <f>IF('הנחות עבודה'!$C$4=$B$31,V49,IF('הנחות עבודה'!$C$4=$B$58,V76,V102))</f>
        <v>0</v>
      </c>
      <c r="W22" s="399">
        <f>IF('הנחות עבודה'!$C$4=$B$31,W49,IF('הנחות עבודה'!$C$4=$B$58,W76,W102))</f>
        <v>0</v>
      </c>
      <c r="X22" s="399">
        <f>IF('הנחות עבודה'!$C$4=$B$31,X49,IF('הנחות עבודה'!$C$4=$B$58,X76,X102))</f>
        <v>0</v>
      </c>
      <c r="Y22" s="399">
        <f>IF('הנחות עבודה'!$C$4=$B$31,Y49,IF('הנחות עבודה'!$C$4=$B$58,Y76,Y102))</f>
        <v>0</v>
      </c>
      <c r="Z22" s="44">
        <f>IF('הנחות עבודה'!$C$4=$B$31,Z49,IF('הנחות עבודה'!$C$4=$B$58,Z76,Z102))</f>
        <v>0</v>
      </c>
      <c r="AA22" s="52">
        <f>IF('הנחות עבודה'!$C$4=$B$31,AA49,IF('הנחות עבודה'!$C$4=$B$58,AA76,AA102))</f>
        <v>0</v>
      </c>
      <c r="AB22" s="53">
        <f>IF('הנחות עבודה'!$C$4=$B$31,AB49,IF('הנחות עבודה'!$C$4=$B$58,AB76,AB102))</f>
        <v>0</v>
      </c>
      <c r="AC22" s="127">
        <f>IF('הנחות עבודה'!$C$4=$B$31,AC49,IF('הנחות עבודה'!$C$4=$B$58,AC76,AC102))</f>
        <v>0</v>
      </c>
      <c r="AD22" s="54">
        <f>IF('הנחות עבודה'!$C$4=$B$31,AD49,IF('הנחות עבודה'!$C$4=$B$58,AD76,AD102))</f>
        <v>0</v>
      </c>
      <c r="AE22" s="54">
        <f>IF('הנחות עבודה'!$C$4=$B$31,AE49,IF('הנחות עבודה'!$C$4=$B$58,AE76,AE102))</f>
        <v>0</v>
      </c>
      <c r="AF22" s="54">
        <f>IF('הנחות עבודה'!$C$4=$B$31,AF49,IF('הנחות עבודה'!$C$4=$B$58,AF76,AF102))</f>
        <v>0</v>
      </c>
      <c r="AG22" s="54">
        <f>IF('הנחות עבודה'!$C$4=$B$31,AG49,IF('הנחות עבודה'!$C$4=$B$58,AG76,AG102))</f>
        <v>0</v>
      </c>
      <c r="AH22" s="270">
        <f>IF('הנחות עבודה'!$C$4=$B$31,AH49,IF('הנחות עבודה'!$C$4=$B$58,AH76,AH102))</f>
        <v>0</v>
      </c>
      <c r="AI22" s="42">
        <f>IF('הנחות עבודה'!$C$4=$B$31,AI49,IF('הנחות עבודה'!$C$4=$B$58,AI76,AI102))</f>
        <v>0</v>
      </c>
      <c r="AJ22" s="64">
        <f>IF('הנחות עבודה'!$C$4=$B$31,AJ49,IF('הנחות עבודה'!$C$4=$B$58,AJ76,AJ102))</f>
        <v>0</v>
      </c>
      <c r="AK22" s="179">
        <f>IF('הנחות עבודה'!$C$4=$B$31,AK49,IF('הנחות עבודה'!$C$4=$B$58,AK76,AK102))</f>
        <v>0</v>
      </c>
      <c r="AL22" s="44">
        <f>IF('הנחות עבודה'!$C$4=$B$31,AL49,IF('הנחות עבודה'!$C$4=$B$58,AL76,AL102))</f>
        <v>0</v>
      </c>
      <c r="AM22" s="381">
        <f>IF('הנחות עבודה'!$C$4=$B$31,AM49,IF('הנחות עבודה'!$C$4=$B$58,AM76,AM102))</f>
        <v>0</v>
      </c>
      <c r="AN22" s="381">
        <f>IF('הנחות עבודה'!$C$4=$B$31,AN49,IF('הנחות עבודה'!$C$4=$B$58,AN76,AN102))</f>
        <v>0</v>
      </c>
      <c r="AO22" s="381">
        <f>IF('הנחות עבודה'!$C$4=$B$31,AO49,IF('הנחות עבודה'!$C$4=$B$58,AO76,AO102))</f>
        <v>0</v>
      </c>
      <c r="AP22" s="44">
        <f>IF('הנחות עבודה'!$C$4=$B$31,AP49,IF('הנחות עבודה'!$C$4=$B$58,AP76,AP102))</f>
        <v>0</v>
      </c>
      <c r="AQ22" s="52">
        <f>IF('הנחות עבודה'!$C$4=$B$31,AQ49,IF('הנחות עבודה'!$C$4=$B$58,AQ76,AQ102))</f>
        <v>0</v>
      </c>
      <c r="AR22" s="53">
        <f>IF('הנחות עבודה'!$C$4=$B$31,AR49,IF('הנחות עבודה'!$C$4=$B$58,AR76,AR102))</f>
        <v>0</v>
      </c>
      <c r="AS22" s="127">
        <f>IF('הנחות עבודה'!$C$4=$B$31,AS49,IF('הנחות עבודה'!$C$4=$B$58,AS76,AS102))</f>
        <v>0</v>
      </c>
      <c r="AT22" s="54">
        <f>IF('הנחות עבודה'!$C$4=$B$31,AT49,IF('הנחות עבודה'!$C$4=$B$58,AT76,AT102))</f>
        <v>0</v>
      </c>
      <c r="AU22" s="54">
        <f>IF('הנחות עבודה'!$C$4=$B$31,AU49,IF('הנחות עבודה'!$C$4=$B$58,AU76,AU102))</f>
        <v>0</v>
      </c>
      <c r="AV22" s="54">
        <f>IF('הנחות עבודה'!$C$4=$B$31,AV49,IF('הנחות עבודה'!$C$4=$B$58,AV76,AV102))</f>
        <v>0</v>
      </c>
      <c r="AW22" s="54">
        <f>IF('הנחות עבודה'!$C$4=$B$31,AW49,IF('הנחות עבודה'!$C$4=$B$58,AW76,AW102))</f>
        <v>0</v>
      </c>
      <c r="AX22" s="53">
        <f>IF('הנחות עבודה'!$C$4=$B$31,AX49,IF('הנחות עבודה'!$C$4=$B$58,AX76,AX102))</f>
        <v>0</v>
      </c>
    </row>
    <row r="23" spans="2:50" ht="15.75">
      <c r="B23" s="10">
        <f t="shared" si="72"/>
        <v>2035</v>
      </c>
      <c r="C23" s="722">
        <f>IF('הנחות עבודה'!$C$4=$B$31,C50,IF('הנחות עבודה'!$C$4=$B$58,C77,C103))</f>
        <v>0</v>
      </c>
      <c r="D23" s="64">
        <f>IF('הנחות עבודה'!$C$4=$B$31,D50,IF('הנחות עבודה'!$C$4=$B$58,D77,D103))</f>
        <v>0</v>
      </c>
      <c r="E23" s="179">
        <f>IF('הנחות עבודה'!$C$4=$B$31,E50,IF('הנחות עבודה'!$C$4=$B$58,E77,E103))</f>
        <v>0</v>
      </c>
      <c r="F23" s="44">
        <f>IF('הנחות עבודה'!$C$4=$B$31,F50,IF('הנחות עבודה'!$C$4=$B$58,F77,F103))</f>
        <v>0</v>
      </c>
      <c r="G23" s="399">
        <f>IF('הנחות עבודה'!$C$4=$B$31,G50,IF('הנחות עבודה'!$C$4=$B$58,G77,G103))</f>
        <v>0</v>
      </c>
      <c r="H23" s="399">
        <f>IF('הנחות עבודה'!$C$4=$B$31,H50,IF('הנחות עבודה'!$C$4=$B$58,H77,H103))</f>
        <v>0</v>
      </c>
      <c r="I23" s="399">
        <f>IF('הנחות עבודה'!$C$4=$B$31,I50,IF('הנחות עבודה'!$C$4=$B$58,I77,I103))</f>
        <v>0</v>
      </c>
      <c r="J23" s="44">
        <f>IF('הנחות עבודה'!$C$4=$B$31,J50,IF('הנחות עבודה'!$C$4=$B$58,J77,J103))</f>
        <v>0</v>
      </c>
      <c r="K23" s="52">
        <f>IF('הנחות עבודה'!$C$4=$B$31,K50,IF('הנחות עבודה'!$C$4=$B$58,K77,K103))</f>
        <v>0</v>
      </c>
      <c r="L23" s="53">
        <f>IF('הנחות עבודה'!$C$4=$B$31,L50,IF('הנחות עבודה'!$C$4=$B$58,L77,L103))</f>
        <v>0</v>
      </c>
      <c r="M23" s="52">
        <f>IF('הנחות עבודה'!$C$4=$B$31,M50,IF('הנחות עבודה'!$C$4=$B$58,M77,M103))</f>
        <v>0</v>
      </c>
      <c r="N23" s="54">
        <f>IF('הנחות עבודה'!$C$4=$B$31,N50,IF('הנחות עבודה'!$C$4=$B$58,N77,N103))</f>
        <v>0</v>
      </c>
      <c r="O23" s="54">
        <f>IF('הנחות עבודה'!$C$4=$B$31,O50,IF('הנחות עבודה'!$C$4=$B$58,O77,O103))</f>
        <v>0</v>
      </c>
      <c r="P23" s="54">
        <f>IF('הנחות עבודה'!$C$4=$B$31,P50,IF('הנחות עבודה'!$C$4=$B$58,P77,P103))</f>
        <v>0</v>
      </c>
      <c r="Q23" s="54">
        <f>IF('הנחות עבודה'!$C$4=$B$31,Q50,IF('הנחות עבודה'!$C$4=$B$58,Q77,Q103))</f>
        <v>0</v>
      </c>
      <c r="R23" s="53">
        <f>IF('הנחות עבודה'!$C$4=$B$31,R50,IF('הנחות עבודה'!$C$4=$B$58,R77,R103))</f>
        <v>0</v>
      </c>
      <c r="S23" s="833">
        <f>IF('הנחות עבודה'!$C$4=$B$31,S50,IF('הנחות עבודה'!$C$4=$B$58,S77,S103))</f>
        <v>0</v>
      </c>
      <c r="T23" s="64">
        <f>IF('הנחות עבודה'!$C$4=$B$31,T50,IF('הנחות עבודה'!$C$4=$B$58,T77,T103))</f>
        <v>0</v>
      </c>
      <c r="U23" s="179">
        <f>IF('הנחות עבודה'!$C$4=$B$31,U50,IF('הנחות עבודה'!$C$4=$B$58,U77,U103))</f>
        <v>0</v>
      </c>
      <c r="V23" s="44">
        <f>IF('הנחות עבודה'!$C$4=$B$31,V50,IF('הנחות עבודה'!$C$4=$B$58,V77,V103))</f>
        <v>0</v>
      </c>
      <c r="W23" s="399">
        <f>IF('הנחות עבודה'!$C$4=$B$31,W50,IF('הנחות עבודה'!$C$4=$B$58,W77,W103))</f>
        <v>0</v>
      </c>
      <c r="X23" s="399">
        <f>IF('הנחות עבודה'!$C$4=$B$31,X50,IF('הנחות עבודה'!$C$4=$B$58,X77,X103))</f>
        <v>0</v>
      </c>
      <c r="Y23" s="399">
        <f>IF('הנחות עבודה'!$C$4=$B$31,Y50,IF('הנחות עבודה'!$C$4=$B$58,Y77,Y103))</f>
        <v>0</v>
      </c>
      <c r="Z23" s="44">
        <f>IF('הנחות עבודה'!$C$4=$B$31,Z50,IF('הנחות עבודה'!$C$4=$B$58,Z77,Z103))</f>
        <v>0</v>
      </c>
      <c r="AA23" s="52">
        <f>IF('הנחות עבודה'!$C$4=$B$31,AA50,IF('הנחות עבודה'!$C$4=$B$58,AA77,AA103))</f>
        <v>0</v>
      </c>
      <c r="AB23" s="53">
        <f>IF('הנחות עבודה'!$C$4=$B$31,AB50,IF('הנחות עבודה'!$C$4=$B$58,AB77,AB103))</f>
        <v>0</v>
      </c>
      <c r="AC23" s="127">
        <f>IF('הנחות עבודה'!$C$4=$B$31,AC50,IF('הנחות עבודה'!$C$4=$B$58,AC77,AC103))</f>
        <v>0</v>
      </c>
      <c r="AD23" s="54">
        <f>IF('הנחות עבודה'!$C$4=$B$31,AD50,IF('הנחות עבודה'!$C$4=$B$58,AD77,AD103))</f>
        <v>0</v>
      </c>
      <c r="AE23" s="54">
        <f>IF('הנחות עבודה'!$C$4=$B$31,AE50,IF('הנחות עבודה'!$C$4=$B$58,AE77,AE103))</f>
        <v>0</v>
      </c>
      <c r="AF23" s="54">
        <f>IF('הנחות עבודה'!$C$4=$B$31,AF50,IF('הנחות עבודה'!$C$4=$B$58,AF77,AF103))</f>
        <v>0</v>
      </c>
      <c r="AG23" s="54">
        <f>IF('הנחות עבודה'!$C$4=$B$31,AG50,IF('הנחות עבודה'!$C$4=$B$58,AG77,AG103))</f>
        <v>0</v>
      </c>
      <c r="AH23" s="270">
        <f>IF('הנחות עבודה'!$C$4=$B$31,AH50,IF('הנחות עבודה'!$C$4=$B$58,AH77,AH103))</f>
        <v>0</v>
      </c>
      <c r="AI23" s="42">
        <f>IF('הנחות עבודה'!$C$4=$B$31,AI50,IF('הנחות עבודה'!$C$4=$B$58,AI77,AI103))</f>
        <v>0</v>
      </c>
      <c r="AJ23" s="64">
        <f>IF('הנחות עבודה'!$C$4=$B$31,AJ50,IF('הנחות עבודה'!$C$4=$B$58,AJ77,AJ103))</f>
        <v>0</v>
      </c>
      <c r="AK23" s="179">
        <f>IF('הנחות עבודה'!$C$4=$B$31,AK50,IF('הנחות עבודה'!$C$4=$B$58,AK77,AK103))</f>
        <v>0</v>
      </c>
      <c r="AL23" s="44">
        <f>IF('הנחות עבודה'!$C$4=$B$31,AL50,IF('הנחות עבודה'!$C$4=$B$58,AL77,AL103))</f>
        <v>0</v>
      </c>
      <c r="AM23" s="381">
        <f>IF('הנחות עבודה'!$C$4=$B$31,AM50,IF('הנחות עבודה'!$C$4=$B$58,AM77,AM103))</f>
        <v>0</v>
      </c>
      <c r="AN23" s="381">
        <f>IF('הנחות עבודה'!$C$4=$B$31,AN50,IF('הנחות עבודה'!$C$4=$B$58,AN77,AN103))</f>
        <v>0</v>
      </c>
      <c r="AO23" s="381">
        <f>IF('הנחות עבודה'!$C$4=$B$31,AO50,IF('הנחות עבודה'!$C$4=$B$58,AO77,AO103))</f>
        <v>0</v>
      </c>
      <c r="AP23" s="44">
        <f>IF('הנחות עבודה'!$C$4=$B$31,AP50,IF('הנחות עבודה'!$C$4=$B$58,AP77,AP103))</f>
        <v>0</v>
      </c>
      <c r="AQ23" s="52">
        <f>IF('הנחות עבודה'!$C$4=$B$31,AQ50,IF('הנחות עבודה'!$C$4=$B$58,AQ77,AQ103))</f>
        <v>0</v>
      </c>
      <c r="AR23" s="53">
        <f>IF('הנחות עבודה'!$C$4=$B$31,AR50,IF('הנחות עבודה'!$C$4=$B$58,AR77,AR103))</f>
        <v>0</v>
      </c>
      <c r="AS23" s="127">
        <f>IF('הנחות עבודה'!$C$4=$B$31,AS50,IF('הנחות עבודה'!$C$4=$B$58,AS77,AS103))</f>
        <v>0</v>
      </c>
      <c r="AT23" s="54">
        <f>IF('הנחות עבודה'!$C$4=$B$31,AT50,IF('הנחות עבודה'!$C$4=$B$58,AT77,AT103))</f>
        <v>0</v>
      </c>
      <c r="AU23" s="54">
        <f>IF('הנחות עבודה'!$C$4=$B$31,AU50,IF('הנחות עבודה'!$C$4=$B$58,AU77,AU103))</f>
        <v>0</v>
      </c>
      <c r="AV23" s="54">
        <f>IF('הנחות עבודה'!$C$4=$B$31,AV50,IF('הנחות עבודה'!$C$4=$B$58,AV77,AV103))</f>
        <v>0</v>
      </c>
      <c r="AW23" s="54">
        <f>IF('הנחות עבודה'!$C$4=$B$31,AW50,IF('הנחות עבודה'!$C$4=$B$58,AW77,AW103))</f>
        <v>0</v>
      </c>
      <c r="AX23" s="53">
        <f>IF('הנחות עבודה'!$C$4=$B$31,AX50,IF('הנחות עבודה'!$C$4=$B$58,AX77,AX103))</f>
        <v>0</v>
      </c>
    </row>
    <row r="24" spans="2:50" ht="15.75">
      <c r="B24" s="10">
        <f t="shared" si="72"/>
        <v>2036</v>
      </c>
      <c r="C24" s="722">
        <f>IF('הנחות עבודה'!$C$4=$B$31,C51,IF('הנחות עבודה'!$C$4=$B$58,C78,C104))</f>
        <v>0</v>
      </c>
      <c r="D24" s="64">
        <f>IF('הנחות עבודה'!$C$4=$B$31,D51,IF('הנחות עבודה'!$C$4=$B$58,D78,D104))</f>
        <v>0</v>
      </c>
      <c r="E24" s="179">
        <f>IF('הנחות עבודה'!$C$4=$B$31,E51,IF('הנחות עבודה'!$C$4=$B$58,E78,E104))</f>
        <v>0</v>
      </c>
      <c r="F24" s="44">
        <f>IF('הנחות עבודה'!$C$4=$B$31,F51,IF('הנחות עבודה'!$C$4=$B$58,F78,F104))</f>
        <v>0</v>
      </c>
      <c r="G24" s="399">
        <f>IF('הנחות עבודה'!$C$4=$B$31,G51,IF('הנחות עבודה'!$C$4=$B$58,G78,G104))</f>
        <v>0</v>
      </c>
      <c r="H24" s="399">
        <f>IF('הנחות עבודה'!$C$4=$B$31,H51,IF('הנחות עבודה'!$C$4=$B$58,H78,H104))</f>
        <v>0</v>
      </c>
      <c r="I24" s="399">
        <f>IF('הנחות עבודה'!$C$4=$B$31,I51,IF('הנחות עבודה'!$C$4=$B$58,I78,I104))</f>
        <v>0</v>
      </c>
      <c r="J24" s="44">
        <f>IF('הנחות עבודה'!$C$4=$B$31,J51,IF('הנחות עבודה'!$C$4=$B$58,J78,J104))</f>
        <v>0</v>
      </c>
      <c r="K24" s="52">
        <f>IF('הנחות עבודה'!$C$4=$B$31,K51,IF('הנחות עבודה'!$C$4=$B$58,K78,K104))</f>
        <v>0</v>
      </c>
      <c r="L24" s="53">
        <f>IF('הנחות עבודה'!$C$4=$B$31,L51,IF('הנחות עבודה'!$C$4=$B$58,L78,L104))</f>
        <v>0</v>
      </c>
      <c r="M24" s="52">
        <f>IF('הנחות עבודה'!$C$4=$B$31,M51,IF('הנחות עבודה'!$C$4=$B$58,M78,M104))</f>
        <v>0</v>
      </c>
      <c r="N24" s="54">
        <f>IF('הנחות עבודה'!$C$4=$B$31,N51,IF('הנחות עבודה'!$C$4=$B$58,N78,N104))</f>
        <v>0</v>
      </c>
      <c r="O24" s="54">
        <f>IF('הנחות עבודה'!$C$4=$B$31,O51,IF('הנחות עבודה'!$C$4=$B$58,O78,O104))</f>
        <v>0</v>
      </c>
      <c r="P24" s="54">
        <f>IF('הנחות עבודה'!$C$4=$B$31,P51,IF('הנחות עבודה'!$C$4=$B$58,P78,P104))</f>
        <v>0</v>
      </c>
      <c r="Q24" s="54">
        <f>IF('הנחות עבודה'!$C$4=$B$31,Q51,IF('הנחות עבודה'!$C$4=$B$58,Q78,Q104))</f>
        <v>0</v>
      </c>
      <c r="R24" s="53">
        <f>IF('הנחות עבודה'!$C$4=$B$31,R51,IF('הנחות עבודה'!$C$4=$B$58,R78,R104))</f>
        <v>0</v>
      </c>
      <c r="S24" s="833">
        <f>IF('הנחות עבודה'!$C$4=$B$31,S51,IF('הנחות עבודה'!$C$4=$B$58,S78,S104))</f>
        <v>0</v>
      </c>
      <c r="T24" s="64">
        <f>IF('הנחות עבודה'!$C$4=$B$31,T51,IF('הנחות עבודה'!$C$4=$B$58,T78,T104))</f>
        <v>0</v>
      </c>
      <c r="U24" s="179">
        <f>IF('הנחות עבודה'!$C$4=$B$31,U51,IF('הנחות עבודה'!$C$4=$B$58,U78,U104))</f>
        <v>0</v>
      </c>
      <c r="V24" s="44">
        <f>IF('הנחות עבודה'!$C$4=$B$31,V51,IF('הנחות עבודה'!$C$4=$B$58,V78,V104))</f>
        <v>0</v>
      </c>
      <c r="W24" s="399">
        <f>IF('הנחות עבודה'!$C$4=$B$31,W51,IF('הנחות עבודה'!$C$4=$B$58,W78,W104))</f>
        <v>0</v>
      </c>
      <c r="X24" s="399">
        <f>IF('הנחות עבודה'!$C$4=$B$31,X51,IF('הנחות עבודה'!$C$4=$B$58,X78,X104))</f>
        <v>0</v>
      </c>
      <c r="Y24" s="399">
        <f>IF('הנחות עבודה'!$C$4=$B$31,Y51,IF('הנחות עבודה'!$C$4=$B$58,Y78,Y104))</f>
        <v>0</v>
      </c>
      <c r="Z24" s="44">
        <f>IF('הנחות עבודה'!$C$4=$B$31,Z51,IF('הנחות עבודה'!$C$4=$B$58,Z78,Z104))</f>
        <v>0</v>
      </c>
      <c r="AA24" s="52">
        <f>IF('הנחות עבודה'!$C$4=$B$31,AA51,IF('הנחות עבודה'!$C$4=$B$58,AA78,AA104))</f>
        <v>0</v>
      </c>
      <c r="AB24" s="53">
        <f>IF('הנחות עבודה'!$C$4=$B$31,AB51,IF('הנחות עבודה'!$C$4=$B$58,AB78,AB104))</f>
        <v>0</v>
      </c>
      <c r="AC24" s="127">
        <f>IF('הנחות עבודה'!$C$4=$B$31,AC51,IF('הנחות עבודה'!$C$4=$B$58,AC78,AC104))</f>
        <v>0</v>
      </c>
      <c r="AD24" s="54">
        <f>IF('הנחות עבודה'!$C$4=$B$31,AD51,IF('הנחות עבודה'!$C$4=$B$58,AD78,AD104))</f>
        <v>0</v>
      </c>
      <c r="AE24" s="54">
        <f>IF('הנחות עבודה'!$C$4=$B$31,AE51,IF('הנחות עבודה'!$C$4=$B$58,AE78,AE104))</f>
        <v>0</v>
      </c>
      <c r="AF24" s="54">
        <f>IF('הנחות עבודה'!$C$4=$B$31,AF51,IF('הנחות עבודה'!$C$4=$B$58,AF78,AF104))</f>
        <v>0</v>
      </c>
      <c r="AG24" s="54">
        <f>IF('הנחות עבודה'!$C$4=$B$31,AG51,IF('הנחות עבודה'!$C$4=$B$58,AG78,AG104))</f>
        <v>0</v>
      </c>
      <c r="AH24" s="270">
        <f>IF('הנחות עבודה'!$C$4=$B$31,AH51,IF('הנחות עבודה'!$C$4=$B$58,AH78,AH104))</f>
        <v>0</v>
      </c>
      <c r="AI24" s="42">
        <f>IF('הנחות עבודה'!$C$4=$B$31,AI51,IF('הנחות עבודה'!$C$4=$B$58,AI78,AI104))</f>
        <v>0</v>
      </c>
      <c r="AJ24" s="64">
        <f>IF('הנחות עבודה'!$C$4=$B$31,AJ51,IF('הנחות עבודה'!$C$4=$B$58,AJ78,AJ104))</f>
        <v>0</v>
      </c>
      <c r="AK24" s="179">
        <f>IF('הנחות עבודה'!$C$4=$B$31,AK51,IF('הנחות עבודה'!$C$4=$B$58,AK78,AK104))</f>
        <v>0</v>
      </c>
      <c r="AL24" s="44">
        <f>IF('הנחות עבודה'!$C$4=$B$31,AL51,IF('הנחות עבודה'!$C$4=$B$58,AL78,AL104))</f>
        <v>0</v>
      </c>
      <c r="AM24" s="381">
        <f>IF('הנחות עבודה'!$C$4=$B$31,AM51,IF('הנחות עבודה'!$C$4=$B$58,AM78,AM104))</f>
        <v>0</v>
      </c>
      <c r="AN24" s="381">
        <f>IF('הנחות עבודה'!$C$4=$B$31,AN51,IF('הנחות עבודה'!$C$4=$B$58,AN78,AN104))</f>
        <v>0</v>
      </c>
      <c r="AO24" s="381">
        <f>IF('הנחות עבודה'!$C$4=$B$31,AO51,IF('הנחות עבודה'!$C$4=$B$58,AO78,AO104))</f>
        <v>0</v>
      </c>
      <c r="AP24" s="44">
        <f>IF('הנחות עבודה'!$C$4=$B$31,AP51,IF('הנחות עבודה'!$C$4=$B$58,AP78,AP104))</f>
        <v>0</v>
      </c>
      <c r="AQ24" s="52">
        <f>IF('הנחות עבודה'!$C$4=$B$31,AQ51,IF('הנחות עבודה'!$C$4=$B$58,AQ78,AQ104))</f>
        <v>0</v>
      </c>
      <c r="AR24" s="53">
        <f>IF('הנחות עבודה'!$C$4=$B$31,AR51,IF('הנחות עבודה'!$C$4=$B$58,AR78,AR104))</f>
        <v>0</v>
      </c>
      <c r="AS24" s="127">
        <f>IF('הנחות עבודה'!$C$4=$B$31,AS51,IF('הנחות עבודה'!$C$4=$B$58,AS78,AS104))</f>
        <v>0</v>
      </c>
      <c r="AT24" s="54">
        <f>IF('הנחות עבודה'!$C$4=$B$31,AT51,IF('הנחות עבודה'!$C$4=$B$58,AT78,AT104))</f>
        <v>0</v>
      </c>
      <c r="AU24" s="54">
        <f>IF('הנחות עבודה'!$C$4=$B$31,AU51,IF('הנחות עבודה'!$C$4=$B$58,AU78,AU104))</f>
        <v>0</v>
      </c>
      <c r="AV24" s="54">
        <f>IF('הנחות עבודה'!$C$4=$B$31,AV51,IF('הנחות עבודה'!$C$4=$B$58,AV78,AV104))</f>
        <v>0</v>
      </c>
      <c r="AW24" s="54">
        <f>IF('הנחות עבודה'!$C$4=$B$31,AW51,IF('הנחות עבודה'!$C$4=$B$58,AW78,AW104))</f>
        <v>0</v>
      </c>
      <c r="AX24" s="53">
        <f>IF('הנחות עבודה'!$C$4=$B$31,AX51,IF('הנחות עבודה'!$C$4=$B$58,AX78,AX104))</f>
        <v>0</v>
      </c>
    </row>
    <row r="25" spans="2:50" ht="15.75">
      <c r="B25" s="10">
        <f t="shared" si="72"/>
        <v>2037</v>
      </c>
      <c r="C25" s="722">
        <f>IF('הנחות עבודה'!$C$4=$B$31,C52,IF('הנחות עבודה'!$C$4=$B$58,C79,C105))</f>
        <v>0</v>
      </c>
      <c r="D25" s="64">
        <f>IF('הנחות עבודה'!$C$4=$B$31,D52,IF('הנחות עבודה'!$C$4=$B$58,D79,D105))</f>
        <v>0</v>
      </c>
      <c r="E25" s="179">
        <f>IF('הנחות עבודה'!$C$4=$B$31,E52,IF('הנחות עבודה'!$C$4=$B$58,E79,E105))</f>
        <v>0</v>
      </c>
      <c r="F25" s="44">
        <f>IF('הנחות עבודה'!$C$4=$B$31,F52,IF('הנחות עבודה'!$C$4=$B$58,F79,F105))</f>
        <v>0</v>
      </c>
      <c r="G25" s="399">
        <f>IF('הנחות עבודה'!$C$4=$B$31,G52,IF('הנחות עבודה'!$C$4=$B$58,G79,G105))</f>
        <v>0</v>
      </c>
      <c r="H25" s="399">
        <f>IF('הנחות עבודה'!$C$4=$B$31,H52,IF('הנחות עבודה'!$C$4=$B$58,H79,H105))</f>
        <v>0</v>
      </c>
      <c r="I25" s="399">
        <f>IF('הנחות עבודה'!$C$4=$B$31,I52,IF('הנחות עבודה'!$C$4=$B$58,I79,I105))</f>
        <v>0</v>
      </c>
      <c r="J25" s="44">
        <f>IF('הנחות עבודה'!$C$4=$B$31,J52,IF('הנחות עבודה'!$C$4=$B$58,J79,J105))</f>
        <v>0</v>
      </c>
      <c r="K25" s="52">
        <f>IF('הנחות עבודה'!$C$4=$B$31,K52,IF('הנחות עבודה'!$C$4=$B$58,K79,K105))</f>
        <v>0</v>
      </c>
      <c r="L25" s="53">
        <f>IF('הנחות עבודה'!$C$4=$B$31,L52,IF('הנחות עבודה'!$C$4=$B$58,L79,L105))</f>
        <v>0</v>
      </c>
      <c r="M25" s="52">
        <f>IF('הנחות עבודה'!$C$4=$B$31,M52,IF('הנחות עבודה'!$C$4=$B$58,M79,M105))</f>
        <v>0</v>
      </c>
      <c r="N25" s="54">
        <f>IF('הנחות עבודה'!$C$4=$B$31,N52,IF('הנחות עבודה'!$C$4=$B$58,N79,N105))</f>
        <v>0</v>
      </c>
      <c r="O25" s="54">
        <f>IF('הנחות עבודה'!$C$4=$B$31,O52,IF('הנחות עבודה'!$C$4=$B$58,O79,O105))</f>
        <v>0</v>
      </c>
      <c r="P25" s="54">
        <f>IF('הנחות עבודה'!$C$4=$B$31,P52,IF('הנחות עבודה'!$C$4=$B$58,P79,P105))</f>
        <v>0</v>
      </c>
      <c r="Q25" s="54">
        <f>IF('הנחות עבודה'!$C$4=$B$31,Q52,IF('הנחות עבודה'!$C$4=$B$58,Q79,Q105))</f>
        <v>0</v>
      </c>
      <c r="R25" s="53">
        <f>IF('הנחות עבודה'!$C$4=$B$31,R52,IF('הנחות עבודה'!$C$4=$B$58,R79,R105))</f>
        <v>0</v>
      </c>
      <c r="S25" s="833">
        <f>IF('הנחות עבודה'!$C$4=$B$31,S52,IF('הנחות עבודה'!$C$4=$B$58,S79,S105))</f>
        <v>0</v>
      </c>
      <c r="T25" s="64">
        <f>IF('הנחות עבודה'!$C$4=$B$31,T52,IF('הנחות עבודה'!$C$4=$B$58,T79,T105))</f>
        <v>0</v>
      </c>
      <c r="U25" s="179">
        <f>IF('הנחות עבודה'!$C$4=$B$31,U52,IF('הנחות עבודה'!$C$4=$B$58,U79,U105))</f>
        <v>0</v>
      </c>
      <c r="V25" s="44">
        <f>IF('הנחות עבודה'!$C$4=$B$31,V52,IF('הנחות עבודה'!$C$4=$B$58,V79,V105))</f>
        <v>0</v>
      </c>
      <c r="W25" s="399">
        <f>IF('הנחות עבודה'!$C$4=$B$31,W52,IF('הנחות עבודה'!$C$4=$B$58,W79,W105))</f>
        <v>0</v>
      </c>
      <c r="X25" s="399">
        <f>IF('הנחות עבודה'!$C$4=$B$31,X52,IF('הנחות עבודה'!$C$4=$B$58,X79,X105))</f>
        <v>0</v>
      </c>
      <c r="Y25" s="399">
        <f>IF('הנחות עבודה'!$C$4=$B$31,Y52,IF('הנחות עבודה'!$C$4=$B$58,Y79,Y105))</f>
        <v>0</v>
      </c>
      <c r="Z25" s="44">
        <f>IF('הנחות עבודה'!$C$4=$B$31,Z52,IF('הנחות עבודה'!$C$4=$B$58,Z79,Z105))</f>
        <v>0</v>
      </c>
      <c r="AA25" s="52">
        <f>IF('הנחות עבודה'!$C$4=$B$31,AA52,IF('הנחות עבודה'!$C$4=$B$58,AA79,AA105))</f>
        <v>0</v>
      </c>
      <c r="AB25" s="53">
        <f>IF('הנחות עבודה'!$C$4=$B$31,AB52,IF('הנחות עבודה'!$C$4=$B$58,AB79,AB105))</f>
        <v>0</v>
      </c>
      <c r="AC25" s="127">
        <f>IF('הנחות עבודה'!$C$4=$B$31,AC52,IF('הנחות עבודה'!$C$4=$B$58,AC79,AC105))</f>
        <v>0</v>
      </c>
      <c r="AD25" s="54">
        <f>IF('הנחות עבודה'!$C$4=$B$31,AD52,IF('הנחות עבודה'!$C$4=$B$58,AD79,AD105))</f>
        <v>0</v>
      </c>
      <c r="AE25" s="54">
        <f>IF('הנחות עבודה'!$C$4=$B$31,AE52,IF('הנחות עבודה'!$C$4=$B$58,AE79,AE105))</f>
        <v>0</v>
      </c>
      <c r="AF25" s="54">
        <f>IF('הנחות עבודה'!$C$4=$B$31,AF52,IF('הנחות עבודה'!$C$4=$B$58,AF79,AF105))</f>
        <v>0</v>
      </c>
      <c r="AG25" s="54">
        <f>IF('הנחות עבודה'!$C$4=$B$31,AG52,IF('הנחות עבודה'!$C$4=$B$58,AG79,AG105))</f>
        <v>0</v>
      </c>
      <c r="AH25" s="270">
        <f>IF('הנחות עבודה'!$C$4=$B$31,AH52,IF('הנחות עבודה'!$C$4=$B$58,AH79,AH105))</f>
        <v>0</v>
      </c>
      <c r="AI25" s="42">
        <f>IF('הנחות עבודה'!$C$4=$B$31,AI52,IF('הנחות עבודה'!$C$4=$B$58,AI79,AI105))</f>
        <v>0</v>
      </c>
      <c r="AJ25" s="64">
        <f>IF('הנחות עבודה'!$C$4=$B$31,AJ52,IF('הנחות עבודה'!$C$4=$B$58,AJ79,AJ105))</f>
        <v>0</v>
      </c>
      <c r="AK25" s="179">
        <f>IF('הנחות עבודה'!$C$4=$B$31,AK52,IF('הנחות עבודה'!$C$4=$B$58,AK79,AK105))</f>
        <v>0</v>
      </c>
      <c r="AL25" s="44">
        <f>IF('הנחות עבודה'!$C$4=$B$31,AL52,IF('הנחות עבודה'!$C$4=$B$58,AL79,AL105))</f>
        <v>0</v>
      </c>
      <c r="AM25" s="381">
        <f>IF('הנחות עבודה'!$C$4=$B$31,AM52,IF('הנחות עבודה'!$C$4=$B$58,AM79,AM105))</f>
        <v>0</v>
      </c>
      <c r="AN25" s="381">
        <f>IF('הנחות עבודה'!$C$4=$B$31,AN52,IF('הנחות עבודה'!$C$4=$B$58,AN79,AN105))</f>
        <v>0</v>
      </c>
      <c r="AO25" s="381">
        <f>IF('הנחות עבודה'!$C$4=$B$31,AO52,IF('הנחות עבודה'!$C$4=$B$58,AO79,AO105))</f>
        <v>0</v>
      </c>
      <c r="AP25" s="44">
        <f>IF('הנחות עבודה'!$C$4=$B$31,AP52,IF('הנחות עבודה'!$C$4=$B$58,AP79,AP105))</f>
        <v>0</v>
      </c>
      <c r="AQ25" s="52">
        <f>IF('הנחות עבודה'!$C$4=$B$31,AQ52,IF('הנחות עבודה'!$C$4=$B$58,AQ79,AQ105))</f>
        <v>0</v>
      </c>
      <c r="AR25" s="53">
        <f>IF('הנחות עבודה'!$C$4=$B$31,AR52,IF('הנחות עבודה'!$C$4=$B$58,AR79,AR105))</f>
        <v>0</v>
      </c>
      <c r="AS25" s="127">
        <f>IF('הנחות עבודה'!$C$4=$B$31,AS52,IF('הנחות עבודה'!$C$4=$B$58,AS79,AS105))</f>
        <v>0</v>
      </c>
      <c r="AT25" s="54">
        <f>IF('הנחות עבודה'!$C$4=$B$31,AT52,IF('הנחות עבודה'!$C$4=$B$58,AT79,AT105))</f>
        <v>0</v>
      </c>
      <c r="AU25" s="54">
        <f>IF('הנחות עבודה'!$C$4=$B$31,AU52,IF('הנחות עבודה'!$C$4=$B$58,AU79,AU105))</f>
        <v>0</v>
      </c>
      <c r="AV25" s="54">
        <f>IF('הנחות עבודה'!$C$4=$B$31,AV52,IF('הנחות עבודה'!$C$4=$B$58,AV79,AV105))</f>
        <v>0</v>
      </c>
      <c r="AW25" s="54">
        <f>IF('הנחות עבודה'!$C$4=$B$31,AW52,IF('הנחות עבודה'!$C$4=$B$58,AW79,AW105))</f>
        <v>0</v>
      </c>
      <c r="AX25" s="53">
        <f>IF('הנחות עבודה'!$C$4=$B$31,AX52,IF('הנחות עבודה'!$C$4=$B$58,AX79,AX105))</f>
        <v>0</v>
      </c>
    </row>
    <row r="26" spans="2:50" ht="15.75">
      <c r="B26" s="10">
        <f t="shared" si="72"/>
        <v>2038</v>
      </c>
      <c r="C26" s="722">
        <f>IF('הנחות עבודה'!$C$4=$B$31,C53,IF('הנחות עבודה'!$C$4=$B$58,C80,C106))</f>
        <v>0</v>
      </c>
      <c r="D26" s="64">
        <f>IF('הנחות עבודה'!$C$4=$B$31,D53,IF('הנחות עבודה'!$C$4=$B$58,D80,D106))</f>
        <v>0</v>
      </c>
      <c r="E26" s="179">
        <f>IF('הנחות עבודה'!$C$4=$B$31,E53,IF('הנחות עבודה'!$C$4=$B$58,E80,E106))</f>
        <v>0</v>
      </c>
      <c r="F26" s="44">
        <f>IF('הנחות עבודה'!$C$4=$B$31,F53,IF('הנחות עבודה'!$C$4=$B$58,F80,F106))</f>
        <v>0</v>
      </c>
      <c r="G26" s="399">
        <f>IF('הנחות עבודה'!$C$4=$B$31,G53,IF('הנחות עבודה'!$C$4=$B$58,G80,G106))</f>
        <v>0</v>
      </c>
      <c r="H26" s="399">
        <f>IF('הנחות עבודה'!$C$4=$B$31,H53,IF('הנחות עבודה'!$C$4=$B$58,H80,H106))</f>
        <v>0</v>
      </c>
      <c r="I26" s="399">
        <f>IF('הנחות עבודה'!$C$4=$B$31,I53,IF('הנחות עבודה'!$C$4=$B$58,I80,I106))</f>
        <v>0</v>
      </c>
      <c r="J26" s="44">
        <f>IF('הנחות עבודה'!$C$4=$B$31,J53,IF('הנחות עבודה'!$C$4=$B$58,J80,J106))</f>
        <v>0</v>
      </c>
      <c r="K26" s="52">
        <f>IF('הנחות עבודה'!$C$4=$B$31,K53,IF('הנחות עבודה'!$C$4=$B$58,K80,K106))</f>
        <v>0</v>
      </c>
      <c r="L26" s="53">
        <f>IF('הנחות עבודה'!$C$4=$B$31,L53,IF('הנחות עבודה'!$C$4=$B$58,L80,L106))</f>
        <v>0</v>
      </c>
      <c r="M26" s="52">
        <f>IF('הנחות עבודה'!$C$4=$B$31,M53,IF('הנחות עבודה'!$C$4=$B$58,M80,M106))</f>
        <v>0</v>
      </c>
      <c r="N26" s="54">
        <f>IF('הנחות עבודה'!$C$4=$B$31,N53,IF('הנחות עבודה'!$C$4=$B$58,N80,N106))</f>
        <v>0</v>
      </c>
      <c r="O26" s="54">
        <f>IF('הנחות עבודה'!$C$4=$B$31,O53,IF('הנחות עבודה'!$C$4=$B$58,O80,O106))</f>
        <v>0</v>
      </c>
      <c r="P26" s="54">
        <f>IF('הנחות עבודה'!$C$4=$B$31,P53,IF('הנחות עבודה'!$C$4=$B$58,P80,P106))</f>
        <v>0</v>
      </c>
      <c r="Q26" s="54">
        <f>IF('הנחות עבודה'!$C$4=$B$31,Q53,IF('הנחות עבודה'!$C$4=$B$58,Q80,Q106))</f>
        <v>0</v>
      </c>
      <c r="R26" s="53">
        <f>IF('הנחות עבודה'!$C$4=$B$31,R53,IF('הנחות עבודה'!$C$4=$B$58,R80,R106))</f>
        <v>0</v>
      </c>
      <c r="S26" s="833">
        <f>IF('הנחות עבודה'!$C$4=$B$31,S53,IF('הנחות עבודה'!$C$4=$B$58,S80,S106))</f>
        <v>0</v>
      </c>
      <c r="T26" s="64">
        <f>IF('הנחות עבודה'!$C$4=$B$31,T53,IF('הנחות עבודה'!$C$4=$B$58,T80,T106))</f>
        <v>0</v>
      </c>
      <c r="U26" s="179">
        <f>IF('הנחות עבודה'!$C$4=$B$31,U53,IF('הנחות עבודה'!$C$4=$B$58,U80,U106))</f>
        <v>0</v>
      </c>
      <c r="V26" s="44">
        <f>IF('הנחות עבודה'!$C$4=$B$31,V53,IF('הנחות עבודה'!$C$4=$B$58,V80,V106))</f>
        <v>0</v>
      </c>
      <c r="W26" s="399">
        <f>IF('הנחות עבודה'!$C$4=$B$31,W53,IF('הנחות עבודה'!$C$4=$B$58,W80,W106))</f>
        <v>0</v>
      </c>
      <c r="X26" s="399">
        <f>IF('הנחות עבודה'!$C$4=$B$31,X53,IF('הנחות עבודה'!$C$4=$B$58,X80,X106))</f>
        <v>0</v>
      </c>
      <c r="Y26" s="399">
        <f>IF('הנחות עבודה'!$C$4=$B$31,Y53,IF('הנחות עבודה'!$C$4=$B$58,Y80,Y106))</f>
        <v>0</v>
      </c>
      <c r="Z26" s="44">
        <f>IF('הנחות עבודה'!$C$4=$B$31,Z53,IF('הנחות עבודה'!$C$4=$B$58,Z80,Z106))</f>
        <v>0</v>
      </c>
      <c r="AA26" s="52">
        <f>IF('הנחות עבודה'!$C$4=$B$31,AA53,IF('הנחות עבודה'!$C$4=$B$58,AA80,AA106))</f>
        <v>0</v>
      </c>
      <c r="AB26" s="53">
        <f>IF('הנחות עבודה'!$C$4=$B$31,AB53,IF('הנחות עבודה'!$C$4=$B$58,AB80,AB106))</f>
        <v>0</v>
      </c>
      <c r="AC26" s="127">
        <f>IF('הנחות עבודה'!$C$4=$B$31,AC53,IF('הנחות עבודה'!$C$4=$B$58,AC80,AC106))</f>
        <v>0</v>
      </c>
      <c r="AD26" s="54">
        <f>IF('הנחות עבודה'!$C$4=$B$31,AD53,IF('הנחות עבודה'!$C$4=$B$58,AD80,AD106))</f>
        <v>0</v>
      </c>
      <c r="AE26" s="54">
        <f>IF('הנחות עבודה'!$C$4=$B$31,AE53,IF('הנחות עבודה'!$C$4=$B$58,AE80,AE106))</f>
        <v>0</v>
      </c>
      <c r="AF26" s="54">
        <f>IF('הנחות עבודה'!$C$4=$B$31,AF53,IF('הנחות עבודה'!$C$4=$B$58,AF80,AF106))</f>
        <v>0</v>
      </c>
      <c r="AG26" s="54">
        <f>IF('הנחות עבודה'!$C$4=$B$31,AG53,IF('הנחות עבודה'!$C$4=$B$58,AG80,AG106))</f>
        <v>0</v>
      </c>
      <c r="AH26" s="270">
        <f>IF('הנחות עבודה'!$C$4=$B$31,AH53,IF('הנחות עבודה'!$C$4=$B$58,AH80,AH106))</f>
        <v>0</v>
      </c>
      <c r="AI26" s="42">
        <f>IF('הנחות עבודה'!$C$4=$B$31,AI53,IF('הנחות עבודה'!$C$4=$B$58,AI80,AI106))</f>
        <v>0</v>
      </c>
      <c r="AJ26" s="64">
        <f>IF('הנחות עבודה'!$C$4=$B$31,AJ53,IF('הנחות עבודה'!$C$4=$B$58,AJ80,AJ106))</f>
        <v>0</v>
      </c>
      <c r="AK26" s="179">
        <f>IF('הנחות עבודה'!$C$4=$B$31,AK53,IF('הנחות עבודה'!$C$4=$B$58,AK80,AK106))</f>
        <v>0</v>
      </c>
      <c r="AL26" s="44">
        <f>IF('הנחות עבודה'!$C$4=$B$31,AL53,IF('הנחות עבודה'!$C$4=$B$58,AL80,AL106))</f>
        <v>0</v>
      </c>
      <c r="AM26" s="381">
        <f>IF('הנחות עבודה'!$C$4=$B$31,AM53,IF('הנחות עבודה'!$C$4=$B$58,AM80,AM106))</f>
        <v>0</v>
      </c>
      <c r="AN26" s="381">
        <f>IF('הנחות עבודה'!$C$4=$B$31,AN53,IF('הנחות עבודה'!$C$4=$B$58,AN80,AN106))</f>
        <v>0</v>
      </c>
      <c r="AO26" s="381">
        <f>IF('הנחות עבודה'!$C$4=$B$31,AO53,IF('הנחות עבודה'!$C$4=$B$58,AO80,AO106))</f>
        <v>0</v>
      </c>
      <c r="AP26" s="44">
        <f>IF('הנחות עבודה'!$C$4=$B$31,AP53,IF('הנחות עבודה'!$C$4=$B$58,AP80,AP106))</f>
        <v>0</v>
      </c>
      <c r="AQ26" s="52">
        <f>IF('הנחות עבודה'!$C$4=$B$31,AQ53,IF('הנחות עבודה'!$C$4=$B$58,AQ80,AQ106))</f>
        <v>0</v>
      </c>
      <c r="AR26" s="53">
        <f>IF('הנחות עבודה'!$C$4=$B$31,AR53,IF('הנחות עבודה'!$C$4=$B$58,AR80,AR106))</f>
        <v>0</v>
      </c>
      <c r="AS26" s="127">
        <f>IF('הנחות עבודה'!$C$4=$B$31,AS53,IF('הנחות עבודה'!$C$4=$B$58,AS80,AS106))</f>
        <v>0</v>
      </c>
      <c r="AT26" s="54">
        <f>IF('הנחות עבודה'!$C$4=$B$31,AT53,IF('הנחות עבודה'!$C$4=$B$58,AT80,AT106))</f>
        <v>0</v>
      </c>
      <c r="AU26" s="54">
        <f>IF('הנחות עבודה'!$C$4=$B$31,AU53,IF('הנחות עבודה'!$C$4=$B$58,AU80,AU106))</f>
        <v>0</v>
      </c>
      <c r="AV26" s="54">
        <f>IF('הנחות עבודה'!$C$4=$B$31,AV53,IF('הנחות עבודה'!$C$4=$B$58,AV80,AV106))</f>
        <v>0</v>
      </c>
      <c r="AW26" s="54">
        <f>IF('הנחות עבודה'!$C$4=$B$31,AW53,IF('הנחות עבודה'!$C$4=$B$58,AW80,AW106))</f>
        <v>0</v>
      </c>
      <c r="AX26" s="53">
        <f>IF('הנחות עבודה'!$C$4=$B$31,AX53,IF('הנחות עבודה'!$C$4=$B$58,AX80,AX106))</f>
        <v>0</v>
      </c>
    </row>
    <row r="27" spans="2:50" ht="15.75">
      <c r="B27" s="10">
        <f t="shared" si="72"/>
        <v>2039</v>
      </c>
      <c r="C27" s="722">
        <f>IF('הנחות עבודה'!$C$4=$B$31,C54,IF('הנחות עבודה'!$C$4=$B$58,C81,C107))</f>
        <v>0</v>
      </c>
      <c r="D27" s="64">
        <f>IF('הנחות עבודה'!$C$4=$B$31,D54,IF('הנחות עבודה'!$C$4=$B$58,D81,D107))</f>
        <v>0</v>
      </c>
      <c r="E27" s="179">
        <f>IF('הנחות עבודה'!$C$4=$B$31,E54,IF('הנחות עבודה'!$C$4=$B$58,E81,E107))</f>
        <v>0</v>
      </c>
      <c r="F27" s="44">
        <f>IF('הנחות עבודה'!$C$4=$B$31,F54,IF('הנחות עבודה'!$C$4=$B$58,F81,F107))</f>
        <v>0</v>
      </c>
      <c r="G27" s="399">
        <f>IF('הנחות עבודה'!$C$4=$B$31,G54,IF('הנחות עבודה'!$C$4=$B$58,G81,G107))</f>
        <v>0</v>
      </c>
      <c r="H27" s="399">
        <f>IF('הנחות עבודה'!$C$4=$B$31,H54,IF('הנחות עבודה'!$C$4=$B$58,H81,H107))</f>
        <v>0</v>
      </c>
      <c r="I27" s="399">
        <f>IF('הנחות עבודה'!$C$4=$B$31,I54,IF('הנחות עבודה'!$C$4=$B$58,I81,I107))</f>
        <v>0</v>
      </c>
      <c r="J27" s="44">
        <f>IF('הנחות עבודה'!$C$4=$B$31,J54,IF('הנחות עבודה'!$C$4=$B$58,J81,J107))</f>
        <v>0</v>
      </c>
      <c r="K27" s="52">
        <f>IF('הנחות עבודה'!$C$4=$B$31,K54,IF('הנחות עבודה'!$C$4=$B$58,K81,K107))</f>
        <v>0</v>
      </c>
      <c r="L27" s="53">
        <f>IF('הנחות עבודה'!$C$4=$B$31,L54,IF('הנחות עבודה'!$C$4=$B$58,L81,L107))</f>
        <v>0</v>
      </c>
      <c r="M27" s="52">
        <f>IF('הנחות עבודה'!$C$4=$B$31,M54,IF('הנחות עבודה'!$C$4=$B$58,M81,M107))</f>
        <v>0</v>
      </c>
      <c r="N27" s="54">
        <f>IF('הנחות עבודה'!$C$4=$B$31,N54,IF('הנחות עבודה'!$C$4=$B$58,N81,N107))</f>
        <v>0</v>
      </c>
      <c r="O27" s="54">
        <f>IF('הנחות עבודה'!$C$4=$B$31,O54,IF('הנחות עבודה'!$C$4=$B$58,O81,O107))</f>
        <v>0</v>
      </c>
      <c r="P27" s="54">
        <f>IF('הנחות עבודה'!$C$4=$B$31,P54,IF('הנחות עבודה'!$C$4=$B$58,P81,P107))</f>
        <v>0</v>
      </c>
      <c r="Q27" s="54">
        <f>IF('הנחות עבודה'!$C$4=$B$31,Q54,IF('הנחות עבודה'!$C$4=$B$58,Q81,Q107))</f>
        <v>0</v>
      </c>
      <c r="R27" s="53">
        <f>IF('הנחות עבודה'!$C$4=$B$31,R54,IF('הנחות עבודה'!$C$4=$B$58,R81,R107))</f>
        <v>0</v>
      </c>
      <c r="S27" s="833">
        <f>IF('הנחות עבודה'!$C$4=$B$31,S54,IF('הנחות עבודה'!$C$4=$B$58,S81,S107))</f>
        <v>0</v>
      </c>
      <c r="T27" s="64">
        <f>IF('הנחות עבודה'!$C$4=$B$31,T54,IF('הנחות עבודה'!$C$4=$B$58,T81,T107))</f>
        <v>0</v>
      </c>
      <c r="U27" s="179">
        <f>IF('הנחות עבודה'!$C$4=$B$31,U54,IF('הנחות עבודה'!$C$4=$B$58,U81,U107))</f>
        <v>0</v>
      </c>
      <c r="V27" s="44">
        <f>IF('הנחות עבודה'!$C$4=$B$31,V54,IF('הנחות עבודה'!$C$4=$B$58,V81,V107))</f>
        <v>0</v>
      </c>
      <c r="W27" s="399">
        <f>IF('הנחות עבודה'!$C$4=$B$31,W54,IF('הנחות עבודה'!$C$4=$B$58,W81,W107))</f>
        <v>0</v>
      </c>
      <c r="X27" s="399">
        <f>IF('הנחות עבודה'!$C$4=$B$31,X54,IF('הנחות עבודה'!$C$4=$B$58,X81,X107))</f>
        <v>0</v>
      </c>
      <c r="Y27" s="399">
        <f>IF('הנחות עבודה'!$C$4=$B$31,Y54,IF('הנחות עבודה'!$C$4=$B$58,Y81,Y107))</f>
        <v>0</v>
      </c>
      <c r="Z27" s="44">
        <f>IF('הנחות עבודה'!$C$4=$B$31,Z54,IF('הנחות עבודה'!$C$4=$B$58,Z81,Z107))</f>
        <v>0</v>
      </c>
      <c r="AA27" s="52">
        <f>IF('הנחות עבודה'!$C$4=$B$31,AA54,IF('הנחות עבודה'!$C$4=$B$58,AA81,AA107))</f>
        <v>0</v>
      </c>
      <c r="AB27" s="53">
        <f>IF('הנחות עבודה'!$C$4=$B$31,AB54,IF('הנחות עבודה'!$C$4=$B$58,AB81,AB107))</f>
        <v>0</v>
      </c>
      <c r="AC27" s="127">
        <f>IF('הנחות עבודה'!$C$4=$B$31,AC54,IF('הנחות עבודה'!$C$4=$B$58,AC81,AC107))</f>
        <v>0</v>
      </c>
      <c r="AD27" s="54">
        <f>IF('הנחות עבודה'!$C$4=$B$31,AD54,IF('הנחות עבודה'!$C$4=$B$58,AD81,AD107))</f>
        <v>0</v>
      </c>
      <c r="AE27" s="54">
        <f>IF('הנחות עבודה'!$C$4=$B$31,AE54,IF('הנחות עבודה'!$C$4=$B$58,AE81,AE107))</f>
        <v>0</v>
      </c>
      <c r="AF27" s="54">
        <f>IF('הנחות עבודה'!$C$4=$B$31,AF54,IF('הנחות עבודה'!$C$4=$B$58,AF81,AF107))</f>
        <v>0</v>
      </c>
      <c r="AG27" s="54">
        <f>IF('הנחות עבודה'!$C$4=$B$31,AG54,IF('הנחות עבודה'!$C$4=$B$58,AG81,AG107))</f>
        <v>0</v>
      </c>
      <c r="AH27" s="270">
        <f>IF('הנחות עבודה'!$C$4=$B$31,AH54,IF('הנחות עבודה'!$C$4=$B$58,AH81,AH107))</f>
        <v>0</v>
      </c>
      <c r="AI27" s="42">
        <f>IF('הנחות עבודה'!$C$4=$B$31,AI54,IF('הנחות עבודה'!$C$4=$B$58,AI81,AI107))</f>
        <v>0</v>
      </c>
      <c r="AJ27" s="64">
        <f>IF('הנחות עבודה'!$C$4=$B$31,AJ54,IF('הנחות עבודה'!$C$4=$B$58,AJ81,AJ107))</f>
        <v>0</v>
      </c>
      <c r="AK27" s="179">
        <f>IF('הנחות עבודה'!$C$4=$B$31,AK54,IF('הנחות עבודה'!$C$4=$B$58,AK81,AK107))</f>
        <v>0</v>
      </c>
      <c r="AL27" s="44">
        <f>IF('הנחות עבודה'!$C$4=$B$31,AL54,IF('הנחות עבודה'!$C$4=$B$58,AL81,AL107))</f>
        <v>0</v>
      </c>
      <c r="AM27" s="381">
        <f>IF('הנחות עבודה'!$C$4=$B$31,AM54,IF('הנחות עבודה'!$C$4=$B$58,AM81,AM107))</f>
        <v>0</v>
      </c>
      <c r="AN27" s="381">
        <f>IF('הנחות עבודה'!$C$4=$B$31,AN54,IF('הנחות עבודה'!$C$4=$B$58,AN81,AN107))</f>
        <v>0</v>
      </c>
      <c r="AO27" s="381">
        <f>IF('הנחות עבודה'!$C$4=$B$31,AO54,IF('הנחות עבודה'!$C$4=$B$58,AO81,AO107))</f>
        <v>0</v>
      </c>
      <c r="AP27" s="44">
        <f>IF('הנחות עבודה'!$C$4=$B$31,AP54,IF('הנחות עבודה'!$C$4=$B$58,AP81,AP107))</f>
        <v>0</v>
      </c>
      <c r="AQ27" s="52">
        <f>IF('הנחות עבודה'!$C$4=$B$31,AQ54,IF('הנחות עבודה'!$C$4=$B$58,AQ81,AQ107))</f>
        <v>0</v>
      </c>
      <c r="AR27" s="53">
        <f>IF('הנחות עבודה'!$C$4=$B$31,AR54,IF('הנחות עבודה'!$C$4=$B$58,AR81,AR107))</f>
        <v>0</v>
      </c>
      <c r="AS27" s="127">
        <f>IF('הנחות עבודה'!$C$4=$B$31,AS54,IF('הנחות עבודה'!$C$4=$B$58,AS81,AS107))</f>
        <v>0</v>
      </c>
      <c r="AT27" s="54">
        <f>IF('הנחות עבודה'!$C$4=$B$31,AT54,IF('הנחות עבודה'!$C$4=$B$58,AT81,AT107))</f>
        <v>0</v>
      </c>
      <c r="AU27" s="54">
        <f>IF('הנחות עבודה'!$C$4=$B$31,AU54,IF('הנחות עבודה'!$C$4=$B$58,AU81,AU107))</f>
        <v>0</v>
      </c>
      <c r="AV27" s="54">
        <f>IF('הנחות עבודה'!$C$4=$B$31,AV54,IF('הנחות עבודה'!$C$4=$B$58,AV81,AV107))</f>
        <v>0</v>
      </c>
      <c r="AW27" s="54">
        <f>IF('הנחות עבודה'!$C$4=$B$31,AW54,IF('הנחות עבודה'!$C$4=$B$58,AW81,AW107))</f>
        <v>0</v>
      </c>
      <c r="AX27" s="53">
        <f>IF('הנחות עבודה'!$C$4=$B$31,AX54,IF('הנחות עבודה'!$C$4=$B$58,AX81,AX107))</f>
        <v>0</v>
      </c>
    </row>
    <row r="28" spans="2:50" ht="16.5" thickBot="1">
      <c r="B28" s="11">
        <f t="shared" si="72"/>
        <v>2040</v>
      </c>
      <c r="C28" s="723">
        <f>IF('הנחות עבודה'!$C$4=$B$31,C55,IF('הנחות עבודה'!$C$4=$B$58,C82,C108))</f>
        <v>0</v>
      </c>
      <c r="D28" s="558">
        <f>IF('הנחות עבודה'!$C$4=$B$31,D55,IF('הנחות עבודה'!$C$4=$B$58,D82,D108))</f>
        <v>0</v>
      </c>
      <c r="E28" s="719">
        <f>IF('הנחות עבודה'!$C$4=$B$31,E55,IF('הנחות עבודה'!$C$4=$B$58,E82,E108))</f>
        <v>0</v>
      </c>
      <c r="F28" s="47">
        <f>IF('הנחות עבודה'!$C$4=$B$31,F55,IF('הנחות עבודה'!$C$4=$B$58,F82,F108))</f>
        <v>0</v>
      </c>
      <c r="G28" s="720">
        <f>IF('הנחות עבודה'!$C$4=$B$31,G55,IF('הנחות עבודה'!$C$4=$B$58,G82,G108))</f>
        <v>0</v>
      </c>
      <c r="H28" s="720">
        <f>IF('הנחות עבודה'!$C$4=$B$31,H55,IF('הנחות עבודה'!$C$4=$B$58,H82,H108))</f>
        <v>0</v>
      </c>
      <c r="I28" s="720">
        <f>IF('הנחות עבודה'!$C$4=$B$31,I55,IF('הנחות עבודה'!$C$4=$B$58,I82,I108))</f>
        <v>0</v>
      </c>
      <c r="J28" s="47">
        <f>IF('הנחות עבודה'!$C$4=$B$31,J55,IF('הנחות עבודה'!$C$4=$B$58,J82,J108))</f>
        <v>0</v>
      </c>
      <c r="K28" s="55">
        <f>IF('הנחות עבודה'!$C$4=$B$31,K55,IF('הנחות עבודה'!$C$4=$B$58,K82,K108))</f>
        <v>0</v>
      </c>
      <c r="L28" s="56">
        <f>IF('הנחות עבודה'!$C$4=$B$31,L55,IF('הנחות עבודה'!$C$4=$B$58,L82,L108))</f>
        <v>0</v>
      </c>
      <c r="M28" s="55">
        <f>IF('הנחות עבודה'!$C$4=$B$31,M55,IF('הנחות עבודה'!$C$4=$B$58,M82,M108))</f>
        <v>0</v>
      </c>
      <c r="N28" s="57">
        <f>IF('הנחות עבודה'!$C$4=$B$31,N55,IF('הנחות עבודה'!$C$4=$B$58,N82,N108))</f>
        <v>0</v>
      </c>
      <c r="O28" s="57">
        <f>IF('הנחות עבודה'!$C$4=$B$31,O55,IF('הנחות עבודה'!$C$4=$B$58,O82,O108))</f>
        <v>0</v>
      </c>
      <c r="P28" s="57">
        <f>IF('הנחות עבודה'!$C$4=$B$31,P55,IF('הנחות עבודה'!$C$4=$B$58,P82,P108))</f>
        <v>0</v>
      </c>
      <c r="Q28" s="57">
        <f>IF('הנחות עבודה'!$C$4=$B$31,Q55,IF('הנחות עבודה'!$C$4=$B$58,Q82,Q108))</f>
        <v>0</v>
      </c>
      <c r="R28" s="56">
        <f>IF('הנחות עבודה'!$C$4=$B$31,R55,IF('הנחות עבודה'!$C$4=$B$58,R82,R108))</f>
        <v>0</v>
      </c>
      <c r="S28" s="834">
        <f>IF('הנחות עבודה'!$C$4=$B$31,S55,IF('הנחות עבודה'!$C$4=$B$58,S82,S108))</f>
        <v>0</v>
      </c>
      <c r="T28" s="558">
        <f>IF('הנחות עבודה'!$C$4=$B$31,T55,IF('הנחות עבודה'!$C$4=$B$58,T82,T108))</f>
        <v>0</v>
      </c>
      <c r="U28" s="719">
        <f>IF('הנחות עבודה'!$C$4=$B$31,U55,IF('הנחות עבודה'!$C$4=$B$58,U82,U108))</f>
        <v>0</v>
      </c>
      <c r="V28" s="47">
        <f>IF('הנחות עבודה'!$C$4=$B$31,V55,IF('הנחות עבודה'!$C$4=$B$58,V82,V108))</f>
        <v>0</v>
      </c>
      <c r="W28" s="720">
        <f>IF('הנחות עבודה'!$C$4=$B$31,W55,IF('הנחות עבודה'!$C$4=$B$58,W82,W108))</f>
        <v>0</v>
      </c>
      <c r="X28" s="720">
        <f>IF('הנחות עבודה'!$C$4=$B$31,X55,IF('הנחות עבודה'!$C$4=$B$58,X82,X108))</f>
        <v>0</v>
      </c>
      <c r="Y28" s="720">
        <f>IF('הנחות עבודה'!$C$4=$B$31,Y55,IF('הנחות עבודה'!$C$4=$B$58,Y82,Y108))</f>
        <v>0</v>
      </c>
      <c r="Z28" s="47">
        <f>IF('הנחות עבודה'!$C$4=$B$31,Z55,IF('הנחות עבודה'!$C$4=$B$58,Z82,Z108))</f>
        <v>0</v>
      </c>
      <c r="AA28" s="55">
        <f>IF('הנחות עבודה'!$C$4=$B$31,AA55,IF('הנחות עבודה'!$C$4=$B$58,AA82,AA108))</f>
        <v>0</v>
      </c>
      <c r="AB28" s="56">
        <f>IF('הנחות עבודה'!$C$4=$B$31,AB55,IF('הנחות עבודה'!$C$4=$B$58,AB82,AB108))</f>
        <v>0</v>
      </c>
      <c r="AC28" s="128">
        <f>IF('הנחות עבודה'!$C$4=$B$31,AC55,IF('הנחות עבודה'!$C$4=$B$58,AC82,AC108))</f>
        <v>0</v>
      </c>
      <c r="AD28" s="57">
        <f>IF('הנחות עבודה'!$C$4=$B$31,AD55,IF('הנחות עבודה'!$C$4=$B$58,AD82,AD108))</f>
        <v>0</v>
      </c>
      <c r="AE28" s="57">
        <f>IF('הנחות עבודה'!$C$4=$B$31,AE55,IF('הנחות עבודה'!$C$4=$B$58,AE82,AE108))</f>
        <v>0</v>
      </c>
      <c r="AF28" s="57">
        <f>IF('הנחות עבודה'!$C$4=$B$31,AF55,IF('הנחות עבודה'!$C$4=$B$58,AF82,AF108))</f>
        <v>0</v>
      </c>
      <c r="AG28" s="57">
        <f>IF('הנחות עבודה'!$C$4=$B$31,AG55,IF('הנחות עבודה'!$C$4=$B$58,AG82,AG108))</f>
        <v>0</v>
      </c>
      <c r="AH28" s="652">
        <f>IF('הנחות עבודה'!$C$4=$B$31,AH55,IF('הנחות עבודה'!$C$4=$B$58,AH82,AH108))</f>
        <v>0</v>
      </c>
      <c r="AI28" s="45">
        <f>IF('הנחות עבודה'!$C$4=$B$31,AI55,IF('הנחות עבודה'!$C$4=$B$58,AI82,AI108))</f>
        <v>0</v>
      </c>
      <c r="AJ28" s="558">
        <f>IF('הנחות עבודה'!$C$4=$B$31,AJ55,IF('הנחות עבודה'!$C$4=$B$58,AJ82,AJ108))</f>
        <v>0</v>
      </c>
      <c r="AK28" s="719">
        <f>IF('הנחות עבודה'!$C$4=$B$31,AK55,IF('הנחות עבודה'!$C$4=$B$58,AK82,AK108))</f>
        <v>0</v>
      </c>
      <c r="AL28" s="47">
        <f>IF('הנחות עבודה'!$C$4=$B$31,AL55,IF('הנחות עבודה'!$C$4=$B$58,AL82,AL108))</f>
        <v>0</v>
      </c>
      <c r="AM28" s="721">
        <f>IF('הנחות עבודה'!$C$4=$B$31,AM55,IF('הנחות עבודה'!$C$4=$B$58,AM82,AM108))</f>
        <v>0</v>
      </c>
      <c r="AN28" s="721">
        <f>IF('הנחות עבודה'!$C$4=$B$31,AN55,IF('הנחות עבודה'!$C$4=$B$58,AN82,AN108))</f>
        <v>0</v>
      </c>
      <c r="AO28" s="721">
        <f>IF('הנחות עבודה'!$C$4=$B$31,AO55,IF('הנחות עבודה'!$C$4=$B$58,AO82,AO108))</f>
        <v>0</v>
      </c>
      <c r="AP28" s="47">
        <f>IF('הנחות עבודה'!$C$4=$B$31,AP55,IF('הנחות עבודה'!$C$4=$B$58,AP82,AP108))</f>
        <v>0</v>
      </c>
      <c r="AQ28" s="55">
        <f>IF('הנחות עבודה'!$C$4=$B$31,AQ55,IF('הנחות עבודה'!$C$4=$B$58,AQ82,AQ108))</f>
        <v>0</v>
      </c>
      <c r="AR28" s="56">
        <f>IF('הנחות עבודה'!$C$4=$B$31,AR55,IF('הנחות עבודה'!$C$4=$B$58,AR82,AR108))</f>
        <v>0</v>
      </c>
      <c r="AS28" s="128">
        <f>IF('הנחות עבודה'!$C$4=$B$31,AS55,IF('הנחות עבודה'!$C$4=$B$58,AS82,AS108))</f>
        <v>0</v>
      </c>
      <c r="AT28" s="57">
        <f>IF('הנחות עבודה'!$C$4=$B$31,AT55,IF('הנחות עבודה'!$C$4=$B$58,AT82,AT108))</f>
        <v>0</v>
      </c>
      <c r="AU28" s="57">
        <f>IF('הנחות עבודה'!$C$4=$B$31,AU55,IF('הנחות עבודה'!$C$4=$B$58,AU82,AU108))</f>
        <v>0</v>
      </c>
      <c r="AV28" s="57">
        <f>IF('הנחות עבודה'!$C$4=$B$31,AV55,IF('הנחות עבודה'!$C$4=$B$58,AV82,AV108))</f>
        <v>0</v>
      </c>
      <c r="AW28" s="57">
        <f>IF('הנחות עבודה'!$C$4=$B$31,AW55,IF('הנחות עבודה'!$C$4=$B$58,AW82,AW108))</f>
        <v>0</v>
      </c>
      <c r="AX28" s="56">
        <f>IF('הנחות עבודה'!$C$4=$B$31,AX55,IF('הנחות עבודה'!$C$4=$B$58,AX82,AX108))</f>
        <v>0</v>
      </c>
    </row>
    <row r="29" spans="2:50" ht="16.5" thickBot="1">
      <c r="B29" s="7" t="s">
        <v>27</v>
      </c>
      <c r="C29" s="318">
        <f>SUM(C8:C28)</f>
        <v>4703</v>
      </c>
      <c r="D29" s="318">
        <f t="shared" ref="D29:J29" si="73">SUM(D8:D28)</f>
        <v>763</v>
      </c>
      <c r="E29" s="318">
        <f t="shared" si="73"/>
        <v>6240.7224464453247</v>
      </c>
      <c r="F29" s="318">
        <f t="shared" si="73"/>
        <v>0</v>
      </c>
      <c r="G29" s="318">
        <f t="shared" si="73"/>
        <v>710</v>
      </c>
      <c r="H29" s="318">
        <f t="shared" si="73"/>
        <v>75</v>
      </c>
      <c r="I29" s="318">
        <f t="shared" si="73"/>
        <v>0</v>
      </c>
      <c r="J29" s="318">
        <f t="shared" si="73"/>
        <v>500</v>
      </c>
      <c r="K29" s="384">
        <f t="shared" ref="K29:AQ29" si="74">SUM(K8:K28)</f>
        <v>4703</v>
      </c>
      <c r="L29" s="384">
        <f t="shared" ref="L29" si="75">SUM(L8:L28)</f>
        <v>763</v>
      </c>
      <c r="M29" s="384">
        <f t="shared" ref="M29" si="76">SUM(M8:M28)</f>
        <v>0</v>
      </c>
      <c r="N29" s="384">
        <f t="shared" ref="N29:AH29" si="77">SUM(N8:N28)</f>
        <v>6240.7224464453247</v>
      </c>
      <c r="O29" s="384">
        <f t="shared" si="77"/>
        <v>710</v>
      </c>
      <c r="P29" s="384">
        <f t="shared" si="77"/>
        <v>75</v>
      </c>
      <c r="Q29" s="384">
        <f t="shared" si="77"/>
        <v>0</v>
      </c>
      <c r="R29" s="384">
        <f t="shared" si="77"/>
        <v>500</v>
      </c>
      <c r="S29" s="318">
        <f t="shared" si="77"/>
        <v>4237</v>
      </c>
      <c r="T29" s="318">
        <f t="shared" si="77"/>
        <v>1102</v>
      </c>
      <c r="U29" s="318">
        <f t="shared" si="77"/>
        <v>11100.260444853671</v>
      </c>
      <c r="V29" s="318">
        <f t="shared" si="77"/>
        <v>0</v>
      </c>
      <c r="W29" s="318">
        <f t="shared" si="77"/>
        <v>710</v>
      </c>
      <c r="X29" s="318">
        <f t="shared" si="77"/>
        <v>75</v>
      </c>
      <c r="Y29" s="318">
        <f t="shared" si="77"/>
        <v>0</v>
      </c>
      <c r="Z29" s="318">
        <f t="shared" si="77"/>
        <v>500</v>
      </c>
      <c r="AA29" s="384">
        <f t="shared" si="77"/>
        <v>4237</v>
      </c>
      <c r="AB29" s="384">
        <f t="shared" si="77"/>
        <v>1102</v>
      </c>
      <c r="AC29" s="384">
        <f t="shared" si="77"/>
        <v>0</v>
      </c>
      <c r="AD29" s="384">
        <f t="shared" si="77"/>
        <v>11100.260444853671</v>
      </c>
      <c r="AE29" s="384">
        <f t="shared" si="77"/>
        <v>710</v>
      </c>
      <c r="AF29" s="384">
        <f t="shared" si="77"/>
        <v>75</v>
      </c>
      <c r="AG29" s="384">
        <f t="shared" si="77"/>
        <v>0</v>
      </c>
      <c r="AH29" s="384">
        <f t="shared" si="77"/>
        <v>500</v>
      </c>
      <c r="AI29" s="318">
        <f>SUM(AI8:AI28)</f>
        <v>3771</v>
      </c>
      <c r="AJ29" s="318">
        <f t="shared" ref="AJ29:AP29" si="78">SUM(AJ8:AJ28)</f>
        <v>1667</v>
      </c>
      <c r="AK29" s="318">
        <f t="shared" si="78"/>
        <v>14132.626496369259</v>
      </c>
      <c r="AL29" s="318">
        <f t="shared" si="78"/>
        <v>0</v>
      </c>
      <c r="AM29" s="318">
        <f t="shared" si="78"/>
        <v>710</v>
      </c>
      <c r="AN29" s="318">
        <f t="shared" si="78"/>
        <v>75</v>
      </c>
      <c r="AO29" s="318">
        <f t="shared" si="78"/>
        <v>0</v>
      </c>
      <c r="AP29" s="318">
        <f t="shared" si="78"/>
        <v>500</v>
      </c>
      <c r="AQ29" s="384">
        <f t="shared" si="74"/>
        <v>3771</v>
      </c>
      <c r="AR29" s="384">
        <f t="shared" ref="AR29" si="79">SUM(AR8:AR28)</f>
        <v>1667</v>
      </c>
      <c r="AS29" s="384">
        <f t="shared" ref="AS29" si="80">SUM(AS8:AS28)</f>
        <v>0</v>
      </c>
      <c r="AT29" s="384">
        <f t="shared" ref="AT29:AU29" si="81">SUM(AT8:AT28)</f>
        <v>14132.626496369259</v>
      </c>
      <c r="AU29" s="384">
        <f t="shared" si="81"/>
        <v>710</v>
      </c>
      <c r="AV29" s="384">
        <f t="shared" ref="AV29" si="82">SUM(AV8:AV28)</f>
        <v>75</v>
      </c>
      <c r="AW29" s="384">
        <f t="shared" ref="AW29" si="83">SUM(AW8:AW28)</f>
        <v>0</v>
      </c>
      <c r="AX29" s="384">
        <f t="shared" ref="AX29" si="84">SUM(AX8:AX28)</f>
        <v>500</v>
      </c>
    </row>
    <row r="30" spans="2:50" ht="15.75" thickBot="1"/>
    <row r="31" spans="2:50" ht="16.5" outlineLevel="1" thickBot="1">
      <c r="B31" s="1294" t="s">
        <v>386</v>
      </c>
      <c r="C31" s="1243" t="s">
        <v>17</v>
      </c>
      <c r="D31" s="1244"/>
      <c r="E31" s="1244"/>
      <c r="F31" s="1244"/>
      <c r="G31" s="1244"/>
      <c r="H31" s="1244"/>
      <c r="I31" s="1244"/>
      <c r="J31" s="1244"/>
      <c r="K31" s="1244"/>
      <c r="L31" s="1244"/>
      <c r="M31" s="1244"/>
      <c r="N31" s="1244"/>
      <c r="O31" s="1244"/>
      <c r="P31" s="1244"/>
      <c r="Q31" s="1244"/>
      <c r="R31" s="1244"/>
      <c r="S31" s="1244"/>
      <c r="T31" s="1244"/>
      <c r="U31" s="1244"/>
      <c r="V31" s="1244"/>
      <c r="W31" s="1244"/>
      <c r="X31" s="1244"/>
      <c r="Y31" s="1244"/>
      <c r="Z31" s="1244"/>
      <c r="AA31" s="1244"/>
      <c r="AB31" s="1244"/>
      <c r="AC31" s="1244"/>
      <c r="AD31" s="1244"/>
      <c r="AE31" s="1244"/>
      <c r="AF31" s="1244"/>
      <c r="AG31" s="1244"/>
      <c r="AH31" s="1244"/>
      <c r="AI31" s="1244"/>
      <c r="AJ31" s="1244"/>
      <c r="AK31" s="1244"/>
      <c r="AL31" s="1244"/>
      <c r="AM31" s="1244"/>
      <c r="AN31" s="1244"/>
      <c r="AO31" s="1244"/>
      <c r="AP31" s="1244"/>
      <c r="AQ31" s="1244"/>
      <c r="AR31" s="1244"/>
      <c r="AS31" s="1244"/>
      <c r="AT31" s="1244"/>
      <c r="AU31" s="1244"/>
      <c r="AV31" s="1244"/>
      <c r="AW31" s="1244"/>
      <c r="AX31" s="1245"/>
    </row>
    <row r="32" spans="2:50" ht="16.5" outlineLevel="1" thickBot="1">
      <c r="B32" s="1295"/>
      <c r="C32" s="1289" t="s">
        <v>46</v>
      </c>
      <c r="D32" s="1290"/>
      <c r="E32" s="1290"/>
      <c r="F32" s="1290"/>
      <c r="G32" s="1290"/>
      <c r="H32" s="1290"/>
      <c r="I32" s="1290"/>
      <c r="J32" s="1296"/>
      <c r="K32" s="1291" t="s">
        <v>47</v>
      </c>
      <c r="L32" s="1292"/>
      <c r="M32" s="1292"/>
      <c r="N32" s="1292"/>
      <c r="O32" s="1292"/>
      <c r="P32" s="1292"/>
      <c r="Q32" s="1292"/>
      <c r="R32" s="1293"/>
      <c r="S32" s="1289" t="s">
        <v>342</v>
      </c>
      <c r="T32" s="1290"/>
      <c r="U32" s="1290"/>
      <c r="V32" s="1290"/>
      <c r="W32" s="1290"/>
      <c r="X32" s="1290"/>
      <c r="Y32" s="1290"/>
      <c r="Z32" s="1296"/>
      <c r="AA32" s="1291" t="s">
        <v>343</v>
      </c>
      <c r="AB32" s="1292"/>
      <c r="AC32" s="1292"/>
      <c r="AD32" s="1292"/>
      <c r="AE32" s="1292"/>
      <c r="AF32" s="1292"/>
      <c r="AG32" s="1292"/>
      <c r="AH32" s="1293"/>
      <c r="AI32" s="1289" t="s">
        <v>344</v>
      </c>
      <c r="AJ32" s="1290"/>
      <c r="AK32" s="1290"/>
      <c r="AL32" s="1290"/>
      <c r="AM32" s="1290"/>
      <c r="AN32" s="1290"/>
      <c r="AO32" s="1290"/>
      <c r="AP32" s="1296"/>
      <c r="AQ32" s="1291" t="s">
        <v>345</v>
      </c>
      <c r="AR32" s="1292"/>
      <c r="AS32" s="1292"/>
      <c r="AT32" s="1292"/>
      <c r="AU32" s="1292"/>
      <c r="AV32" s="1292"/>
      <c r="AW32" s="1292"/>
      <c r="AX32" s="1293"/>
    </row>
    <row r="33" spans="2:50" ht="32.25" outlineLevel="1" thickBot="1">
      <c r="B33" s="4" t="str">
        <f>B6</f>
        <v>שנה</v>
      </c>
      <c r="C33" s="38" t="str">
        <f t="shared" ref="C33:AX33" ca="1" si="85">C6</f>
        <v>גז במחזמים חדשים</v>
      </c>
      <c r="D33" s="38" t="str">
        <f t="shared" ca="1" si="85"/>
        <v>גז בפיקרים חדשים</v>
      </c>
      <c r="E33" s="38" t="str">
        <f t="shared" ca="1" si="85"/>
        <v>מוטה קרקע PV</v>
      </c>
      <c r="F33" s="38" t="str">
        <f t="shared" ca="1" si="85"/>
        <v>מוטה דואלי PV</v>
      </c>
      <c r="G33" s="38" t="str">
        <f t="shared" ca="1" si="85"/>
        <v>רוח</v>
      </c>
      <c r="H33" s="38" t="str">
        <f t="shared" ca="1" si="85"/>
        <v>ביומסה/ביוגז</v>
      </c>
      <c r="I33" s="38" t="str">
        <f t="shared" ca="1" si="85"/>
        <v>תרמו סולארי</v>
      </c>
      <c r="J33" s="38" t="str">
        <f t="shared" ca="1" si="85"/>
        <v>סוללות לית'יום-יון</v>
      </c>
      <c r="K33" s="48" t="str">
        <f t="shared" ca="1" si="85"/>
        <v>גז במחזמים חדשים</v>
      </c>
      <c r="L33" s="48" t="str">
        <f t="shared" ca="1" si="85"/>
        <v>גז בפיקרים חדשים</v>
      </c>
      <c r="M33" s="48" t="str">
        <f t="shared" ca="1" si="85"/>
        <v>מוטה קרקע PV</v>
      </c>
      <c r="N33" s="48" t="str">
        <f t="shared" ca="1" si="85"/>
        <v>מוטה דואלי PV</v>
      </c>
      <c r="O33" s="48" t="str">
        <f t="shared" ca="1" si="85"/>
        <v>רוח</v>
      </c>
      <c r="P33" s="48" t="str">
        <f t="shared" ca="1" si="85"/>
        <v>ביומסה/ביוגז</v>
      </c>
      <c r="Q33" s="48" t="str">
        <f t="shared" ca="1" si="85"/>
        <v>תרמו סולארי</v>
      </c>
      <c r="R33" s="48" t="str">
        <f t="shared" ca="1" si="85"/>
        <v>סוללות לית'יום-יון</v>
      </c>
      <c r="S33" s="38" t="str">
        <f t="shared" ca="1" si="85"/>
        <v>גז במחזמים חדשים</v>
      </c>
      <c r="T33" s="38" t="str">
        <f t="shared" ca="1" si="85"/>
        <v>גז בפיקרים חדשים</v>
      </c>
      <c r="U33" s="38" t="str">
        <f t="shared" ca="1" si="85"/>
        <v>מוטה קרקע PV</v>
      </c>
      <c r="V33" s="38" t="str">
        <f t="shared" ca="1" si="85"/>
        <v>מוטה דואלי PV</v>
      </c>
      <c r="W33" s="38" t="str">
        <f t="shared" ca="1" si="85"/>
        <v>רוח</v>
      </c>
      <c r="X33" s="38" t="str">
        <f t="shared" ca="1" si="85"/>
        <v>ביומסה/ביוגז</v>
      </c>
      <c r="Y33" s="38" t="str">
        <f t="shared" ca="1" si="85"/>
        <v>תרמו סולארי</v>
      </c>
      <c r="Z33" s="38" t="str">
        <f t="shared" ca="1" si="85"/>
        <v>סוללות לית'יום-יון</v>
      </c>
      <c r="AA33" s="48" t="str">
        <f t="shared" ca="1" si="85"/>
        <v>גז במחזמים חדשים</v>
      </c>
      <c r="AB33" s="48" t="str">
        <f t="shared" ca="1" si="85"/>
        <v>גז בפיקרים חדשים</v>
      </c>
      <c r="AC33" s="48" t="str">
        <f t="shared" ca="1" si="85"/>
        <v>מוטה קרקע PV</v>
      </c>
      <c r="AD33" s="48" t="str">
        <f t="shared" ca="1" si="85"/>
        <v>מוטה דואלי PV</v>
      </c>
      <c r="AE33" s="48" t="str">
        <f t="shared" ca="1" si="85"/>
        <v>רוח</v>
      </c>
      <c r="AF33" s="48" t="str">
        <f t="shared" ca="1" si="85"/>
        <v>ביומסה/ביוגז</v>
      </c>
      <c r="AG33" s="48" t="str">
        <f t="shared" ca="1" si="85"/>
        <v>תרמו סולארי</v>
      </c>
      <c r="AH33" s="48" t="str">
        <f t="shared" ca="1" si="85"/>
        <v>סוללות לית'יום-יון</v>
      </c>
      <c r="AI33" s="38" t="str">
        <f t="shared" ca="1" si="85"/>
        <v>גז במחזמים חדשים</v>
      </c>
      <c r="AJ33" s="38" t="str">
        <f t="shared" ca="1" si="85"/>
        <v>גז בפיקרים חדשים</v>
      </c>
      <c r="AK33" s="38" t="str">
        <f t="shared" ca="1" si="85"/>
        <v>מוטה קרקע PV</v>
      </c>
      <c r="AL33" s="38" t="str">
        <f t="shared" ca="1" si="85"/>
        <v>מוטה דואלי PV</v>
      </c>
      <c r="AM33" s="38" t="str">
        <f t="shared" ca="1" si="85"/>
        <v>רוח</v>
      </c>
      <c r="AN33" s="38" t="str">
        <f t="shared" ca="1" si="85"/>
        <v>ביומסה/ביוגז</v>
      </c>
      <c r="AO33" s="38" t="str">
        <f t="shared" ca="1" si="85"/>
        <v>תרמו סולארי</v>
      </c>
      <c r="AP33" s="38" t="str">
        <f t="shared" ca="1" si="85"/>
        <v>סוללות לית'יום-יון</v>
      </c>
      <c r="AQ33" s="48" t="str">
        <f t="shared" ca="1" si="85"/>
        <v>גז במחזמים חדשים</v>
      </c>
      <c r="AR33" s="48" t="str">
        <f t="shared" ca="1" si="85"/>
        <v>גז בפיקרים חדשים</v>
      </c>
      <c r="AS33" s="48" t="str">
        <f t="shared" ca="1" si="85"/>
        <v>מוטה קרקע PV</v>
      </c>
      <c r="AT33" s="48" t="str">
        <f t="shared" ca="1" si="85"/>
        <v>מוטה דואלי PV</v>
      </c>
      <c r="AU33" s="48" t="str">
        <f t="shared" ca="1" si="85"/>
        <v>רוח</v>
      </c>
      <c r="AV33" s="48" t="str">
        <f t="shared" ca="1" si="85"/>
        <v>ביומסה/ביוגז</v>
      </c>
      <c r="AW33" s="48" t="str">
        <f t="shared" ca="1" si="85"/>
        <v>תרמו סולארי</v>
      </c>
      <c r="AX33" s="48" t="str">
        <f t="shared" ca="1" si="85"/>
        <v>סוללות לית'יום-יון</v>
      </c>
    </row>
    <row r="34" spans="2:50" ht="16.5" outlineLevel="1" thickBot="1">
      <c r="B34" s="62" t="str">
        <f t="shared" ref="B34:B55" si="86">B7</f>
        <v>יחידות</v>
      </c>
      <c r="C34" s="38" t="s">
        <v>29</v>
      </c>
      <c r="D34" s="38" t="s">
        <v>29</v>
      </c>
      <c r="E34" s="38" t="s">
        <v>29</v>
      </c>
      <c r="F34" s="38" t="s">
        <v>29</v>
      </c>
      <c r="G34" s="38" t="s">
        <v>29</v>
      </c>
      <c r="H34" s="38" t="s">
        <v>29</v>
      </c>
      <c r="I34" s="38" t="s">
        <v>29</v>
      </c>
      <c r="J34" s="38" t="s">
        <v>29</v>
      </c>
      <c r="K34" s="48" t="s">
        <v>29</v>
      </c>
      <c r="L34" s="48" t="s">
        <v>29</v>
      </c>
      <c r="M34" s="48" t="s">
        <v>29</v>
      </c>
      <c r="N34" s="48" t="s">
        <v>29</v>
      </c>
      <c r="O34" s="48" t="s">
        <v>29</v>
      </c>
      <c r="P34" s="48" t="s">
        <v>29</v>
      </c>
      <c r="Q34" s="48" t="s">
        <v>29</v>
      </c>
      <c r="R34" s="48" t="s">
        <v>29</v>
      </c>
      <c r="S34" s="38" t="s">
        <v>29</v>
      </c>
      <c r="T34" s="38" t="s">
        <v>29</v>
      </c>
      <c r="U34" s="38" t="s">
        <v>29</v>
      </c>
      <c r="V34" s="38" t="s">
        <v>29</v>
      </c>
      <c r="W34" s="38" t="s">
        <v>29</v>
      </c>
      <c r="X34" s="38" t="s">
        <v>29</v>
      </c>
      <c r="Y34" s="38" t="s">
        <v>29</v>
      </c>
      <c r="Z34" s="38" t="s">
        <v>29</v>
      </c>
      <c r="AA34" s="48" t="s">
        <v>29</v>
      </c>
      <c r="AB34" s="48" t="s">
        <v>29</v>
      </c>
      <c r="AC34" s="48" t="s">
        <v>29</v>
      </c>
      <c r="AD34" s="48" t="s">
        <v>29</v>
      </c>
      <c r="AE34" s="48" t="s">
        <v>29</v>
      </c>
      <c r="AF34" s="48" t="s">
        <v>29</v>
      </c>
      <c r="AG34" s="48" t="s">
        <v>29</v>
      </c>
      <c r="AH34" s="48" t="s">
        <v>29</v>
      </c>
      <c r="AI34" s="38" t="s">
        <v>29</v>
      </c>
      <c r="AJ34" s="38" t="s">
        <v>29</v>
      </c>
      <c r="AK34" s="287" t="s">
        <v>29</v>
      </c>
      <c r="AL34" s="38" t="s">
        <v>29</v>
      </c>
      <c r="AM34" s="38" t="s">
        <v>29</v>
      </c>
      <c r="AN34" s="38" t="s">
        <v>29</v>
      </c>
      <c r="AO34" s="38" t="s">
        <v>29</v>
      </c>
      <c r="AP34" s="38" t="s">
        <v>29</v>
      </c>
      <c r="AQ34" s="48" t="s">
        <v>29</v>
      </c>
      <c r="AR34" s="48" t="s">
        <v>29</v>
      </c>
      <c r="AS34" s="48" t="s">
        <v>29</v>
      </c>
      <c r="AT34" s="48" t="s">
        <v>29</v>
      </c>
      <c r="AU34" s="48" t="s">
        <v>29</v>
      </c>
      <c r="AV34" s="48" t="s">
        <v>29</v>
      </c>
      <c r="AW34" s="48" t="s">
        <v>29</v>
      </c>
      <c r="AX34" s="48" t="s">
        <v>29</v>
      </c>
    </row>
    <row r="35" spans="2:50" ht="15.75" outlineLevel="1">
      <c r="B35" s="24">
        <f t="shared" si="86"/>
        <v>2020</v>
      </c>
      <c r="C35" s="39">
        <v>0</v>
      </c>
      <c r="D35" s="63">
        <v>0</v>
      </c>
      <c r="E35" s="178">
        <f>'הספק קיים ותחזית יצור'!J114-'הספק קיים ותחזית יצור'!J113</f>
        <v>1938.6682808157962</v>
      </c>
      <c r="F35" s="41">
        <v>0</v>
      </c>
      <c r="G35" s="400">
        <f>'הספק קיים ותחזית יצור'!M114-'הספק קיים ותחזית יצור'!M113</f>
        <v>8</v>
      </c>
      <c r="H35" s="382">
        <f>'הספק קיים ותחזית יצור'!N114-'הספק קיים ותחזית יצור'!N113</f>
        <v>0</v>
      </c>
      <c r="I35" s="382">
        <f>'הספק קיים ותחזית יצור'!O114-'הספק קיים ותחזית יצור'!O113</f>
        <v>0</v>
      </c>
      <c r="J35" s="41">
        <v>0</v>
      </c>
      <c r="K35" s="49">
        <f t="shared" ref="K35:K55" si="87">C35</f>
        <v>0</v>
      </c>
      <c r="L35" s="50">
        <f t="shared" ref="L35:L55" si="88">D35</f>
        <v>0</v>
      </c>
      <c r="M35" s="126">
        <v>0</v>
      </c>
      <c r="N35" s="51">
        <f t="shared" ref="N35:N55" si="89">E35</f>
        <v>1938.6682808157962</v>
      </c>
      <c r="O35" s="51">
        <f t="shared" ref="O35:O55" si="90">G35</f>
        <v>8</v>
      </c>
      <c r="P35" s="51">
        <f t="shared" ref="P35:P55" si="91">H35</f>
        <v>0</v>
      </c>
      <c r="Q35" s="51">
        <f t="shared" ref="Q35:Q55" si="92">I35</f>
        <v>0</v>
      </c>
      <c r="R35" s="50">
        <f t="shared" ref="R35:R55" si="93">J35</f>
        <v>0</v>
      </c>
      <c r="S35" s="39">
        <v>0</v>
      </c>
      <c r="T35" s="63">
        <v>0</v>
      </c>
      <c r="U35" s="178">
        <f>'הספק קיים ותחזית יצור'!K114-'הספק קיים ותחזית יצור'!K113</f>
        <v>1938.6682808157962</v>
      </c>
      <c r="V35" s="41">
        <v>0</v>
      </c>
      <c r="W35" s="400">
        <f>'הספק קיים ותחזית יצור'!M114-'הספק קיים ותחזית יצור'!M113</f>
        <v>8</v>
      </c>
      <c r="X35" s="382">
        <f>'הספק קיים ותחזית יצור'!N114-'הספק קיים ותחזית יצור'!N113</f>
        <v>0</v>
      </c>
      <c r="Y35" s="382">
        <f>'הספק קיים ותחזית יצור'!O114-'הספק קיים ותחזית יצור'!O113</f>
        <v>0</v>
      </c>
      <c r="Z35" s="41">
        <v>0</v>
      </c>
      <c r="AA35" s="49">
        <f t="shared" ref="AA35:AA55" si="94">S35</f>
        <v>0</v>
      </c>
      <c r="AB35" s="50">
        <f t="shared" ref="AB35:AB55" si="95">T35</f>
        <v>0</v>
      </c>
      <c r="AC35" s="126">
        <v>0</v>
      </c>
      <c r="AD35" s="51">
        <f t="shared" ref="AD35:AD55" si="96">U35</f>
        <v>1938.6682808157962</v>
      </c>
      <c r="AE35" s="51">
        <f t="shared" ref="AE35:AE55" si="97">W35</f>
        <v>8</v>
      </c>
      <c r="AF35" s="51">
        <f t="shared" ref="AF35:AF55" si="98">X35</f>
        <v>0</v>
      </c>
      <c r="AG35" s="51">
        <f t="shared" ref="AG35:AG55" si="99">Y35</f>
        <v>0</v>
      </c>
      <c r="AH35" s="50">
        <f t="shared" ref="AH35:AH55" si="100">Z35</f>
        <v>0</v>
      </c>
      <c r="AI35" s="39">
        <v>0</v>
      </c>
      <c r="AJ35" s="63">
        <v>0</v>
      </c>
      <c r="AK35" s="401">
        <f>'הספק קיים ותחזית יצור'!L114-'הספק קיים ותחזית יצור'!L113</f>
        <v>1938.6682808157962</v>
      </c>
      <c r="AL35" s="41">
        <v>0</v>
      </c>
      <c r="AM35" s="382">
        <f>'הספק קיים ותחזית יצור'!M114-'הספק קיים ותחזית יצור'!M113</f>
        <v>8</v>
      </c>
      <c r="AN35" s="382">
        <f>'הספק קיים ותחזית יצור'!N114-'הספק קיים ותחזית יצור'!N113</f>
        <v>0</v>
      </c>
      <c r="AO35" s="382">
        <f>'הספק קיים ותחזית יצור'!O114-'הספק קיים ותחזית יצור'!O113</f>
        <v>0</v>
      </c>
      <c r="AP35" s="41">
        <v>0</v>
      </c>
      <c r="AQ35" s="49">
        <f t="shared" ref="AQ35:AQ55" si="101">AI35</f>
        <v>0</v>
      </c>
      <c r="AR35" s="50">
        <f t="shared" ref="AR35:AR55" si="102">AJ35</f>
        <v>0</v>
      </c>
      <c r="AS35" s="126">
        <v>0</v>
      </c>
      <c r="AT35" s="51">
        <f t="shared" ref="AT35:AT55" si="103">AK35</f>
        <v>1938.6682808157962</v>
      </c>
      <c r="AU35" s="51">
        <f t="shared" ref="AU35:AU55" si="104">AM35</f>
        <v>8</v>
      </c>
      <c r="AV35" s="51">
        <f t="shared" ref="AV35:AV55" si="105">AN35</f>
        <v>0</v>
      </c>
      <c r="AW35" s="51">
        <f t="shared" ref="AW35:AW55" si="106">AO35</f>
        <v>0</v>
      </c>
      <c r="AX35" s="50">
        <f t="shared" ref="AX35:AX55" si="107">AP35</f>
        <v>0</v>
      </c>
    </row>
    <row r="36" spans="2:50" ht="15.75" outlineLevel="1">
      <c r="B36" s="10">
        <f t="shared" si="86"/>
        <v>2021</v>
      </c>
      <c r="C36" s="42">
        <v>0</v>
      </c>
      <c r="D36" s="64">
        <v>0</v>
      </c>
      <c r="E36" s="179">
        <f>'הספק קיים ותחזית יצור'!J115-'הספק קיים ותחזית יצור'!J114</f>
        <v>323.91425072518769</v>
      </c>
      <c r="F36" s="44">
        <v>0</v>
      </c>
      <c r="G36" s="399">
        <f>'הספק קיים ותחזית יצור'!M115-'הספק קיים ותחזית יצור'!M114</f>
        <v>0</v>
      </c>
      <c r="H36" s="399">
        <f>'הספק קיים ותחזית יצור'!N115-'הספק קיים ותחזית יצור'!N114</f>
        <v>30</v>
      </c>
      <c r="I36" s="399">
        <f>'הספק קיים ותחזית יצור'!O115-'הספק קיים ותחזית יצור'!O114</f>
        <v>0</v>
      </c>
      <c r="J36" s="44">
        <v>0</v>
      </c>
      <c r="K36" s="52">
        <f t="shared" si="87"/>
        <v>0</v>
      </c>
      <c r="L36" s="53">
        <f t="shared" si="88"/>
        <v>0</v>
      </c>
      <c r="M36" s="127">
        <v>0</v>
      </c>
      <c r="N36" s="54">
        <f t="shared" si="89"/>
        <v>323.91425072518769</v>
      </c>
      <c r="O36" s="54">
        <f t="shared" si="90"/>
        <v>0</v>
      </c>
      <c r="P36" s="54">
        <f t="shared" si="91"/>
        <v>30</v>
      </c>
      <c r="Q36" s="54">
        <f t="shared" si="92"/>
        <v>0</v>
      </c>
      <c r="R36" s="53">
        <f t="shared" si="93"/>
        <v>0</v>
      </c>
      <c r="S36" s="42">
        <v>0</v>
      </c>
      <c r="T36" s="64">
        <v>0</v>
      </c>
      <c r="U36" s="179">
        <f>'הספק קיים ותחזית יצור'!K115-'הספק קיים ותחזית יצור'!K114</f>
        <v>740.8761744072458</v>
      </c>
      <c r="V36" s="44">
        <v>0</v>
      </c>
      <c r="W36" s="399">
        <f>'הספק קיים ותחזית יצור'!M115-'הספק קיים ותחזית יצור'!M114</f>
        <v>0</v>
      </c>
      <c r="X36" s="399">
        <f>'הספק קיים ותחזית יצור'!N115-'הספק קיים ותחזית יצור'!N114</f>
        <v>30</v>
      </c>
      <c r="Y36" s="399">
        <f>'הספק קיים ותחזית יצור'!O115-'הספק קיים ותחזית יצור'!O114</f>
        <v>0</v>
      </c>
      <c r="Z36" s="44">
        <v>0</v>
      </c>
      <c r="AA36" s="52">
        <f t="shared" si="94"/>
        <v>0</v>
      </c>
      <c r="AB36" s="53">
        <f t="shared" si="95"/>
        <v>0</v>
      </c>
      <c r="AC36" s="127">
        <v>0</v>
      </c>
      <c r="AD36" s="54">
        <f t="shared" si="96"/>
        <v>740.8761744072458</v>
      </c>
      <c r="AE36" s="54">
        <f t="shared" si="97"/>
        <v>0</v>
      </c>
      <c r="AF36" s="54">
        <f t="shared" si="98"/>
        <v>30</v>
      </c>
      <c r="AG36" s="54">
        <f t="shared" si="99"/>
        <v>0</v>
      </c>
      <c r="AH36" s="53">
        <f t="shared" si="100"/>
        <v>0</v>
      </c>
      <c r="AI36" s="42">
        <v>0</v>
      </c>
      <c r="AJ36" s="64">
        <v>0</v>
      </c>
      <c r="AK36" s="179">
        <f>'הספק קיים ותחזית יצור'!L115-'הספק קיים ותחזית יצור'!L114</f>
        <v>972.52168756394576</v>
      </c>
      <c r="AL36" s="44">
        <v>0</v>
      </c>
      <c r="AM36" s="381">
        <f>'הספק קיים ותחזית יצור'!M115-'הספק קיים ותחזית יצור'!M114</f>
        <v>0</v>
      </c>
      <c r="AN36" s="381">
        <f>'הספק קיים ותחזית יצור'!N115-'הספק קיים ותחזית יצור'!N114</f>
        <v>30</v>
      </c>
      <c r="AO36" s="381">
        <f>'הספק קיים ותחזית יצור'!O115-'הספק קיים ותחזית יצור'!O114</f>
        <v>0</v>
      </c>
      <c r="AP36" s="44">
        <v>0</v>
      </c>
      <c r="AQ36" s="52">
        <f t="shared" si="101"/>
        <v>0</v>
      </c>
      <c r="AR36" s="53">
        <f t="shared" si="102"/>
        <v>0</v>
      </c>
      <c r="AS36" s="127">
        <v>0</v>
      </c>
      <c r="AT36" s="54">
        <f t="shared" si="103"/>
        <v>972.52168756394576</v>
      </c>
      <c r="AU36" s="54">
        <f t="shared" si="104"/>
        <v>0</v>
      </c>
      <c r="AV36" s="54">
        <f t="shared" si="105"/>
        <v>30</v>
      </c>
      <c r="AW36" s="54">
        <f t="shared" si="106"/>
        <v>0</v>
      </c>
      <c r="AX36" s="53">
        <f t="shared" si="107"/>
        <v>0</v>
      </c>
    </row>
    <row r="37" spans="2:50" ht="15.75" outlineLevel="1">
      <c r="B37" s="10">
        <f t="shared" si="86"/>
        <v>2022</v>
      </c>
      <c r="C37" s="42">
        <v>1739</v>
      </c>
      <c r="D37" s="64">
        <v>0</v>
      </c>
      <c r="E37" s="179">
        <f>'הספק קיים ותחזית יצור'!J116-'הספק קיים ותחזית יצור'!J115</f>
        <v>114.79847958817481</v>
      </c>
      <c r="F37" s="44">
        <v>0</v>
      </c>
      <c r="G37" s="399">
        <f>'הספק קיים ותחזית יצור'!M116-'הספק קיים ותחזית יצור'!M115</f>
        <v>170</v>
      </c>
      <c r="H37" s="399">
        <f>'הספק קיים ותחזית יצור'!N116-'הספק קיים ותחזית יצור'!N115</f>
        <v>5</v>
      </c>
      <c r="I37" s="399">
        <f>'הספק קיים ותחזית יצור'!O116-'הספק קיים ותחזית יצור'!O115</f>
        <v>0</v>
      </c>
      <c r="J37" s="44">
        <v>344</v>
      </c>
      <c r="K37" s="52">
        <f t="shared" si="87"/>
        <v>1739</v>
      </c>
      <c r="L37" s="53">
        <f t="shared" si="88"/>
        <v>0</v>
      </c>
      <c r="M37" s="127">
        <v>0</v>
      </c>
      <c r="N37" s="54">
        <f t="shared" si="89"/>
        <v>114.79847958817481</v>
      </c>
      <c r="O37" s="54">
        <f t="shared" si="90"/>
        <v>170</v>
      </c>
      <c r="P37" s="54">
        <f t="shared" si="91"/>
        <v>5</v>
      </c>
      <c r="Q37" s="54">
        <f t="shared" si="92"/>
        <v>0</v>
      </c>
      <c r="R37" s="53">
        <f t="shared" si="93"/>
        <v>344</v>
      </c>
      <c r="S37" s="42">
        <v>1739</v>
      </c>
      <c r="T37" s="64">
        <v>0</v>
      </c>
      <c r="U37" s="179">
        <f>'הספק קיים ותחזית יצור'!K116-'הספק קיים ותחזית יצור'!K115</f>
        <v>557.09875473685315</v>
      </c>
      <c r="V37" s="44">
        <v>0</v>
      </c>
      <c r="W37" s="399">
        <f>'הספק קיים ותחזית יצור'!M116-'הספק קיים ותחזית יצור'!M115</f>
        <v>170</v>
      </c>
      <c r="X37" s="399">
        <f>'הספק קיים ותחזית יצור'!N116-'הספק קיים ותחזית יצור'!N115</f>
        <v>5</v>
      </c>
      <c r="Y37" s="399">
        <f>'הספק קיים ותחזית יצור'!O116-'הספק קיים ותחזית יצור'!O115</f>
        <v>0</v>
      </c>
      <c r="Z37" s="44">
        <v>344</v>
      </c>
      <c r="AA37" s="52">
        <f t="shared" si="94"/>
        <v>1739</v>
      </c>
      <c r="AB37" s="53">
        <f t="shared" si="95"/>
        <v>0</v>
      </c>
      <c r="AC37" s="127">
        <v>0</v>
      </c>
      <c r="AD37" s="54">
        <f t="shared" si="96"/>
        <v>557.09875473685315</v>
      </c>
      <c r="AE37" s="54">
        <f t="shared" si="97"/>
        <v>170</v>
      </c>
      <c r="AF37" s="54">
        <f t="shared" si="98"/>
        <v>5</v>
      </c>
      <c r="AG37" s="54">
        <f t="shared" si="99"/>
        <v>0</v>
      </c>
      <c r="AH37" s="53">
        <f t="shared" si="100"/>
        <v>344</v>
      </c>
      <c r="AI37" s="42">
        <v>1739</v>
      </c>
      <c r="AJ37" s="64">
        <v>0</v>
      </c>
      <c r="AK37" s="179">
        <f>'הספק קיים ותחזית יצור'!L116-'הספק קיים ותחזית יצור'!L115</f>
        <v>802.82112981945102</v>
      </c>
      <c r="AL37" s="44">
        <v>0</v>
      </c>
      <c r="AM37" s="381">
        <f>'הספק קיים ותחזית יצור'!M116-'הספק קיים ותחזית יצור'!M115</f>
        <v>170</v>
      </c>
      <c r="AN37" s="381">
        <f>'הספק קיים ותחזית יצור'!N116-'הספק קיים ותחזית יצור'!N115</f>
        <v>5</v>
      </c>
      <c r="AO37" s="381">
        <f>'הספק קיים ותחזית יצור'!O116-'הספק קיים ותחזית יצור'!O115</f>
        <v>0</v>
      </c>
      <c r="AP37" s="44">
        <v>344</v>
      </c>
      <c r="AQ37" s="52">
        <f t="shared" si="101"/>
        <v>1739</v>
      </c>
      <c r="AR37" s="53">
        <f t="shared" si="102"/>
        <v>0</v>
      </c>
      <c r="AS37" s="127">
        <v>0</v>
      </c>
      <c r="AT37" s="54">
        <f t="shared" si="103"/>
        <v>802.82112981945102</v>
      </c>
      <c r="AU37" s="54">
        <f t="shared" si="104"/>
        <v>170</v>
      </c>
      <c r="AV37" s="54">
        <f t="shared" si="105"/>
        <v>5</v>
      </c>
      <c r="AW37" s="54">
        <f t="shared" si="106"/>
        <v>0</v>
      </c>
      <c r="AX37" s="53">
        <f t="shared" si="107"/>
        <v>344</v>
      </c>
    </row>
    <row r="38" spans="2:50" ht="15.75" outlineLevel="1">
      <c r="B38" s="10">
        <f t="shared" si="86"/>
        <v>2023</v>
      </c>
      <c r="C38" s="42">
        <v>0</v>
      </c>
      <c r="D38" s="64">
        <v>650</v>
      </c>
      <c r="E38" s="179">
        <f>'הספק קיים ותחזית יצור'!J117-'הספק קיים ותחזית יצור'!J116</f>
        <v>122.1593918864919</v>
      </c>
      <c r="F38" s="44">
        <v>0</v>
      </c>
      <c r="G38" s="399">
        <f>'הספק קיים ותחזית יצור'!M117-'הספק קיים ותחזית יצור'!M116</f>
        <v>177</v>
      </c>
      <c r="H38" s="399">
        <f>'הספק קיים ותחזית יצור'!N117-'הספק קיים ותחזית יצור'!N116</f>
        <v>5</v>
      </c>
      <c r="I38" s="399">
        <f>'הספק קיים ותחזית יצור'!O117-'הספק קיים ותחזית יצור'!O116</f>
        <v>0</v>
      </c>
      <c r="J38" s="44">
        <v>0</v>
      </c>
      <c r="K38" s="52">
        <f t="shared" si="87"/>
        <v>0</v>
      </c>
      <c r="L38" s="53">
        <f t="shared" si="88"/>
        <v>650</v>
      </c>
      <c r="M38" s="127">
        <v>0</v>
      </c>
      <c r="N38" s="54">
        <f t="shared" si="89"/>
        <v>122.1593918864919</v>
      </c>
      <c r="O38" s="54">
        <f t="shared" si="90"/>
        <v>177</v>
      </c>
      <c r="P38" s="54">
        <f t="shared" si="91"/>
        <v>5</v>
      </c>
      <c r="Q38" s="54">
        <f t="shared" si="92"/>
        <v>0</v>
      </c>
      <c r="R38" s="53">
        <f t="shared" si="93"/>
        <v>0</v>
      </c>
      <c r="S38" s="42">
        <v>0</v>
      </c>
      <c r="T38" s="64">
        <v>650</v>
      </c>
      <c r="U38" s="179">
        <f>'הספק קיים ותחזית יצור'!K117-'הספק קיים ותחזית יצור'!K116</f>
        <v>590.95086326967066</v>
      </c>
      <c r="V38" s="44">
        <v>0</v>
      </c>
      <c r="W38" s="399">
        <f>'הספק קיים ותחזית יצור'!M117-'הספק קיים ותחזית יצור'!M116</f>
        <v>177</v>
      </c>
      <c r="X38" s="399">
        <f>'הספק קיים ותחזית יצור'!N117-'הספק קיים ותחזית יצור'!N116</f>
        <v>5</v>
      </c>
      <c r="Y38" s="399">
        <f>'הספק קיים ותחזית יצור'!O117-'הספק קיים ותחזית יצור'!O116</f>
        <v>0</v>
      </c>
      <c r="Z38" s="44">
        <v>0</v>
      </c>
      <c r="AA38" s="52">
        <f t="shared" si="94"/>
        <v>0</v>
      </c>
      <c r="AB38" s="53">
        <f t="shared" si="95"/>
        <v>650</v>
      </c>
      <c r="AC38" s="127">
        <v>0</v>
      </c>
      <c r="AD38" s="54">
        <f t="shared" si="96"/>
        <v>590.95086326967066</v>
      </c>
      <c r="AE38" s="54">
        <f t="shared" si="97"/>
        <v>177</v>
      </c>
      <c r="AF38" s="54">
        <f t="shared" si="98"/>
        <v>5</v>
      </c>
      <c r="AG38" s="54">
        <f t="shared" si="99"/>
        <v>0</v>
      </c>
      <c r="AH38" s="53">
        <f t="shared" si="100"/>
        <v>0</v>
      </c>
      <c r="AI38" s="42">
        <v>0</v>
      </c>
      <c r="AJ38" s="64">
        <v>650</v>
      </c>
      <c r="AK38" s="179">
        <f>'הספק קיים ותחזית יצור'!L117-'הספק קיים ותחזית יצור'!L116</f>
        <v>851.39056959365917</v>
      </c>
      <c r="AL38" s="44">
        <v>0</v>
      </c>
      <c r="AM38" s="381">
        <f>'הספק קיים ותחזית יצור'!M117-'הספק קיים ותחזית יצור'!M116</f>
        <v>177</v>
      </c>
      <c r="AN38" s="381">
        <f>'הספק קיים ותחזית יצור'!N117-'הספק קיים ותחזית יצור'!N116</f>
        <v>5</v>
      </c>
      <c r="AO38" s="381">
        <f>'הספק קיים ותחזית יצור'!O117-'הספק קיים ותחזית יצור'!O116</f>
        <v>0</v>
      </c>
      <c r="AP38" s="44">
        <v>0</v>
      </c>
      <c r="AQ38" s="52">
        <f t="shared" si="101"/>
        <v>0</v>
      </c>
      <c r="AR38" s="53">
        <f t="shared" si="102"/>
        <v>650</v>
      </c>
      <c r="AS38" s="127">
        <v>0</v>
      </c>
      <c r="AT38" s="54">
        <f t="shared" si="103"/>
        <v>851.39056959365917</v>
      </c>
      <c r="AU38" s="54">
        <f t="shared" si="104"/>
        <v>177</v>
      </c>
      <c r="AV38" s="54">
        <f t="shared" si="105"/>
        <v>5</v>
      </c>
      <c r="AW38" s="54">
        <f t="shared" si="106"/>
        <v>0</v>
      </c>
      <c r="AX38" s="53">
        <f t="shared" si="107"/>
        <v>0</v>
      </c>
    </row>
    <row r="39" spans="2:50" ht="15.75" outlineLevel="1">
      <c r="B39" s="10">
        <f t="shared" si="86"/>
        <v>2024</v>
      </c>
      <c r="C39" s="42">
        <v>200</v>
      </c>
      <c r="D39" s="64">
        <v>0</v>
      </c>
      <c r="E39" s="179">
        <f>'הספק קיים ותחזית יצור'!J118-'הספק קיים ותחזית יצור'!J117</f>
        <v>125.07243332363396</v>
      </c>
      <c r="F39" s="44">
        <v>0</v>
      </c>
      <c r="G39" s="399">
        <f>'הספק קיים ותחזית יצור'!M118-'הספק קיים ותחזית יצור'!M117</f>
        <v>178</v>
      </c>
      <c r="H39" s="399">
        <f>'הספק קיים ותחזית יצור'!N118-'הספק קיים ותחזית יצור'!N117</f>
        <v>5</v>
      </c>
      <c r="I39" s="399">
        <f>'הספק קיים ותחזית יצור'!O118-'הספק קיים ותחזית יצור'!O117</f>
        <v>0</v>
      </c>
      <c r="J39" s="44">
        <v>0</v>
      </c>
      <c r="K39" s="52">
        <f t="shared" si="87"/>
        <v>200</v>
      </c>
      <c r="L39" s="53">
        <f t="shared" si="88"/>
        <v>0</v>
      </c>
      <c r="M39" s="127">
        <v>0</v>
      </c>
      <c r="N39" s="54">
        <f t="shared" si="89"/>
        <v>125.07243332363396</v>
      </c>
      <c r="O39" s="54">
        <f t="shared" si="90"/>
        <v>178</v>
      </c>
      <c r="P39" s="54">
        <f t="shared" si="91"/>
        <v>5</v>
      </c>
      <c r="Q39" s="54">
        <f t="shared" si="92"/>
        <v>0</v>
      </c>
      <c r="R39" s="53">
        <f t="shared" si="93"/>
        <v>0</v>
      </c>
      <c r="S39" s="42">
        <v>200</v>
      </c>
      <c r="T39" s="64">
        <v>0</v>
      </c>
      <c r="U39" s="179">
        <f>'הספק קיים ותחזית יצור'!K118-'הספק קיים ותחזית יצור'!K117</f>
        <v>616.81891586728034</v>
      </c>
      <c r="V39" s="44">
        <v>0</v>
      </c>
      <c r="W39" s="399">
        <f>'הספק קיים ותחזית יצור'!M118-'הספק קיים ותחזית יצור'!M117</f>
        <v>178</v>
      </c>
      <c r="X39" s="399">
        <f>'הספק קיים ותחזית יצור'!N118-'הספק קיים ותחזית יצור'!N117</f>
        <v>5</v>
      </c>
      <c r="Y39" s="399">
        <f>'הספק קיים ותחזית יצור'!O118-'הספק קיים ותחזית יצור'!O117</f>
        <v>0</v>
      </c>
      <c r="Z39" s="44">
        <v>0</v>
      </c>
      <c r="AA39" s="52">
        <f t="shared" si="94"/>
        <v>200</v>
      </c>
      <c r="AB39" s="53">
        <f t="shared" si="95"/>
        <v>0</v>
      </c>
      <c r="AC39" s="127">
        <v>0</v>
      </c>
      <c r="AD39" s="54">
        <f t="shared" si="96"/>
        <v>616.81891586728034</v>
      </c>
      <c r="AE39" s="54">
        <f t="shared" si="97"/>
        <v>178</v>
      </c>
      <c r="AF39" s="54">
        <f t="shared" si="98"/>
        <v>5</v>
      </c>
      <c r="AG39" s="54">
        <f t="shared" si="99"/>
        <v>0</v>
      </c>
      <c r="AH39" s="53">
        <f t="shared" si="100"/>
        <v>0</v>
      </c>
      <c r="AI39" s="42">
        <v>200</v>
      </c>
      <c r="AJ39" s="64">
        <v>0</v>
      </c>
      <c r="AK39" s="179">
        <f>'הספק קיים ותחזית יצור'!L118-'הספק קיים ותחזית יצור'!L117</f>
        <v>890.01140616930752</v>
      </c>
      <c r="AL39" s="44">
        <v>0</v>
      </c>
      <c r="AM39" s="381">
        <f>'הספק קיים ותחזית יצור'!M118-'הספק קיים ותחזית יצור'!M117</f>
        <v>178</v>
      </c>
      <c r="AN39" s="381">
        <f>'הספק קיים ותחזית יצור'!N118-'הספק קיים ותחזית יצור'!N117</f>
        <v>5</v>
      </c>
      <c r="AO39" s="381">
        <f>'הספק קיים ותחזית יצור'!O118-'הספק קיים ותחזית יצור'!O117</f>
        <v>0</v>
      </c>
      <c r="AP39" s="44">
        <v>0</v>
      </c>
      <c r="AQ39" s="52">
        <f t="shared" si="101"/>
        <v>200</v>
      </c>
      <c r="AR39" s="53">
        <f t="shared" si="102"/>
        <v>0</v>
      </c>
      <c r="AS39" s="127">
        <v>0</v>
      </c>
      <c r="AT39" s="54">
        <f t="shared" si="103"/>
        <v>890.01140616930752</v>
      </c>
      <c r="AU39" s="54">
        <f t="shared" si="104"/>
        <v>178</v>
      </c>
      <c r="AV39" s="54">
        <f t="shared" si="105"/>
        <v>5</v>
      </c>
      <c r="AW39" s="54">
        <f t="shared" si="106"/>
        <v>0</v>
      </c>
      <c r="AX39" s="53">
        <f t="shared" si="107"/>
        <v>0</v>
      </c>
    </row>
    <row r="40" spans="2:50" ht="15.75" outlineLevel="1">
      <c r="B40" s="10">
        <f t="shared" si="86"/>
        <v>2025</v>
      </c>
      <c r="C40" s="42">
        <v>0</v>
      </c>
      <c r="D40" s="64">
        <v>0</v>
      </c>
      <c r="E40" s="179">
        <f>'הספק קיים ותחזית יצור'!J119-'הספק קיים ותחזית יצור'!J118</f>
        <v>181.19893508022506</v>
      </c>
      <c r="F40" s="44">
        <v>0</v>
      </c>
      <c r="G40" s="399">
        <f>'הספק קיים ותחזית יצור'!M119-'הספק קיים ותחזית יצור'!M118</f>
        <v>177</v>
      </c>
      <c r="H40" s="399">
        <f>'הספק קיים ותחזית יצור'!N119-'הספק קיים ותחזית יצור'!N118</f>
        <v>5</v>
      </c>
      <c r="I40" s="399">
        <f>'הספק קיים ותחזית יצור'!O119-'הספק קיים ותחזית יצור'!O118</f>
        <v>0</v>
      </c>
      <c r="J40" s="44">
        <v>156</v>
      </c>
      <c r="K40" s="52">
        <f t="shared" si="87"/>
        <v>0</v>
      </c>
      <c r="L40" s="53">
        <f t="shared" si="88"/>
        <v>0</v>
      </c>
      <c r="M40" s="127">
        <v>0</v>
      </c>
      <c r="N40" s="54">
        <f t="shared" si="89"/>
        <v>181.19893508022506</v>
      </c>
      <c r="O40" s="54">
        <f t="shared" si="90"/>
        <v>177</v>
      </c>
      <c r="P40" s="54">
        <f t="shared" si="91"/>
        <v>5</v>
      </c>
      <c r="Q40" s="54">
        <f t="shared" si="92"/>
        <v>0</v>
      </c>
      <c r="R40" s="53">
        <f t="shared" si="93"/>
        <v>156</v>
      </c>
      <c r="S40" s="42">
        <v>0</v>
      </c>
      <c r="T40" s="64">
        <v>0</v>
      </c>
      <c r="U40" s="179">
        <f>'הספק קיים ותחזית יצור'!K119-'הספק קיים ותחזית יצור'!K118</f>
        <v>711.23940972452419</v>
      </c>
      <c r="V40" s="44">
        <v>0</v>
      </c>
      <c r="W40" s="399">
        <f>'הספק קיים ותחזית יצור'!M119-'הספק קיים ותחזית יצור'!M118</f>
        <v>177</v>
      </c>
      <c r="X40" s="399">
        <f>'הספק קיים ותחזית יצור'!N119-'הספק קיים ותחזית יצור'!N118</f>
        <v>5</v>
      </c>
      <c r="Y40" s="399">
        <f>'הספק קיים ותחזית יצור'!O119-'הספק קיים ותחזית יצור'!O118</f>
        <v>0</v>
      </c>
      <c r="Z40" s="44">
        <v>156</v>
      </c>
      <c r="AA40" s="52">
        <f t="shared" si="94"/>
        <v>0</v>
      </c>
      <c r="AB40" s="53">
        <f t="shared" si="95"/>
        <v>0</v>
      </c>
      <c r="AC40" s="127">
        <v>0</v>
      </c>
      <c r="AD40" s="54">
        <f t="shared" si="96"/>
        <v>711.23940972452419</v>
      </c>
      <c r="AE40" s="54">
        <f t="shared" si="97"/>
        <v>177</v>
      </c>
      <c r="AF40" s="54">
        <f t="shared" si="98"/>
        <v>5</v>
      </c>
      <c r="AG40" s="54">
        <f t="shared" si="99"/>
        <v>0</v>
      </c>
      <c r="AH40" s="53">
        <f t="shared" si="100"/>
        <v>156</v>
      </c>
      <c r="AI40" s="42">
        <v>0</v>
      </c>
      <c r="AJ40" s="64">
        <v>0</v>
      </c>
      <c r="AK40" s="179">
        <f>'הספק קיים ותחזית יצור'!L119-'הספק קיים ותחזית יצור'!L118</f>
        <v>1005.7063400824682</v>
      </c>
      <c r="AL40" s="44">
        <v>0</v>
      </c>
      <c r="AM40" s="381">
        <f>'הספק קיים ותחזית יצור'!M119-'הספק קיים ותחזית יצור'!M118</f>
        <v>177</v>
      </c>
      <c r="AN40" s="381">
        <f>'הספק קיים ותחזית יצור'!N119-'הספק קיים ותחזית יצור'!N118</f>
        <v>5</v>
      </c>
      <c r="AO40" s="381">
        <f>'הספק קיים ותחזית יצור'!O119-'הספק קיים ותחזית יצור'!O118</f>
        <v>0</v>
      </c>
      <c r="AP40" s="44">
        <v>156</v>
      </c>
      <c r="AQ40" s="52">
        <f t="shared" si="101"/>
        <v>0</v>
      </c>
      <c r="AR40" s="53">
        <f t="shared" si="102"/>
        <v>0</v>
      </c>
      <c r="AS40" s="127">
        <v>0</v>
      </c>
      <c r="AT40" s="54">
        <f t="shared" si="103"/>
        <v>1005.7063400824682</v>
      </c>
      <c r="AU40" s="54">
        <f t="shared" si="104"/>
        <v>177</v>
      </c>
      <c r="AV40" s="54">
        <f t="shared" si="105"/>
        <v>5</v>
      </c>
      <c r="AW40" s="54">
        <f t="shared" si="106"/>
        <v>0</v>
      </c>
      <c r="AX40" s="53">
        <f t="shared" si="107"/>
        <v>156</v>
      </c>
    </row>
    <row r="41" spans="2:50" ht="15.75" outlineLevel="1">
      <c r="B41" s="10">
        <f t="shared" si="86"/>
        <v>2026</v>
      </c>
      <c r="C41" s="42">
        <v>0</v>
      </c>
      <c r="D41" s="64">
        <v>0</v>
      </c>
      <c r="E41" s="179">
        <f>'הספק קיים ותחזית יצור'!J120-'הספק קיים ותחזית יצור'!J119</f>
        <v>619.03221265441971</v>
      </c>
      <c r="F41" s="44">
        <v>0</v>
      </c>
      <c r="G41" s="399">
        <f>'הספק קיים ותחזית יצור'!M120-'הספק קיים ותחזית יצור'!M119</f>
        <v>0</v>
      </c>
      <c r="H41" s="399">
        <f>'הספק קיים ותחזית יצור'!N120-'הספק קיים ותחזית יצור'!N119</f>
        <v>5</v>
      </c>
      <c r="I41" s="399">
        <f>'הספק קיים ותחזית יצור'!O120-'הספק קיים ותחזית יצור'!O119</f>
        <v>0</v>
      </c>
      <c r="J41" s="44">
        <v>0</v>
      </c>
      <c r="K41" s="52">
        <f t="shared" si="87"/>
        <v>0</v>
      </c>
      <c r="L41" s="53">
        <f t="shared" si="88"/>
        <v>0</v>
      </c>
      <c r="M41" s="127">
        <v>0</v>
      </c>
      <c r="N41" s="54">
        <f t="shared" si="89"/>
        <v>619.03221265441971</v>
      </c>
      <c r="O41" s="54">
        <f t="shared" si="90"/>
        <v>0</v>
      </c>
      <c r="P41" s="54">
        <f t="shared" si="91"/>
        <v>5</v>
      </c>
      <c r="Q41" s="54">
        <f t="shared" si="92"/>
        <v>0</v>
      </c>
      <c r="R41" s="53">
        <f t="shared" si="93"/>
        <v>0</v>
      </c>
      <c r="S41" s="42">
        <v>450</v>
      </c>
      <c r="T41" s="64">
        <v>0</v>
      </c>
      <c r="U41" s="179">
        <f>'הספק קיים ותחזית יצור'!K120-'הספק קיים ותחזית יצור'!K119</f>
        <v>1068.5447022433837</v>
      </c>
      <c r="V41" s="44">
        <v>0</v>
      </c>
      <c r="W41" s="399">
        <f>'הספק קיים ותחזית יצור'!M120-'הספק קיים ותחזית יצור'!M119</f>
        <v>0</v>
      </c>
      <c r="X41" s="399">
        <f>'הספק קיים ותחזית יצור'!N120-'הספק קיים ותחזית יצור'!N119</f>
        <v>5</v>
      </c>
      <c r="Y41" s="399">
        <f>'הספק קיים ותחזית יצור'!O120-'הספק קיים ותחזית יצור'!O119</f>
        <v>0</v>
      </c>
      <c r="Z41" s="44">
        <v>0</v>
      </c>
      <c r="AA41" s="52">
        <f t="shared" si="94"/>
        <v>450</v>
      </c>
      <c r="AB41" s="53">
        <f t="shared" si="95"/>
        <v>0</v>
      </c>
      <c r="AC41" s="127">
        <v>0</v>
      </c>
      <c r="AD41" s="54">
        <f t="shared" si="96"/>
        <v>1068.5447022433837</v>
      </c>
      <c r="AE41" s="54">
        <f t="shared" si="97"/>
        <v>0</v>
      </c>
      <c r="AF41" s="54">
        <f t="shared" si="98"/>
        <v>5</v>
      </c>
      <c r="AG41" s="54">
        <f t="shared" si="99"/>
        <v>0</v>
      </c>
      <c r="AH41" s="53">
        <f t="shared" si="100"/>
        <v>0</v>
      </c>
      <c r="AI41" s="42">
        <v>0</v>
      </c>
      <c r="AJ41" s="64">
        <v>0</v>
      </c>
      <c r="AK41" s="179">
        <f>'הספק קיים ותחזית יצור'!L120-'הספק קיים ותחזית יצור'!L119</f>
        <v>1377.2273289442073</v>
      </c>
      <c r="AL41" s="44">
        <v>0</v>
      </c>
      <c r="AM41" s="381">
        <f>'הספק קיים ותחזית יצור'!M120-'הספק קיים ותחזית יצור'!M119</f>
        <v>0</v>
      </c>
      <c r="AN41" s="381">
        <f>'הספק קיים ותחזית יצור'!N120-'הספק קיים ותחזית יצור'!N119</f>
        <v>5</v>
      </c>
      <c r="AO41" s="381">
        <f>'הספק קיים ותחזית יצור'!O120-'הספק קיים ותחזית יצור'!O119</f>
        <v>0</v>
      </c>
      <c r="AP41" s="44">
        <v>0</v>
      </c>
      <c r="AQ41" s="52">
        <f t="shared" si="101"/>
        <v>0</v>
      </c>
      <c r="AR41" s="53">
        <f t="shared" si="102"/>
        <v>0</v>
      </c>
      <c r="AS41" s="127">
        <v>0</v>
      </c>
      <c r="AT41" s="54">
        <f t="shared" si="103"/>
        <v>1377.2273289442073</v>
      </c>
      <c r="AU41" s="54">
        <f t="shared" si="104"/>
        <v>0</v>
      </c>
      <c r="AV41" s="54">
        <f t="shared" si="105"/>
        <v>5</v>
      </c>
      <c r="AW41" s="54">
        <f t="shared" si="106"/>
        <v>0</v>
      </c>
      <c r="AX41" s="53">
        <f t="shared" si="107"/>
        <v>0</v>
      </c>
    </row>
    <row r="42" spans="2:50" ht="15.75" outlineLevel="1">
      <c r="B42" s="10">
        <f t="shared" si="86"/>
        <v>2027</v>
      </c>
      <c r="C42" s="42">
        <v>450</v>
      </c>
      <c r="D42" s="64">
        <v>0</v>
      </c>
      <c r="E42" s="179">
        <f>'הספק קיים ותחזית יצור'!J121-'הספק קיים ותחזית יצור'!J120</f>
        <v>651.56146328788145</v>
      </c>
      <c r="F42" s="44">
        <v>0</v>
      </c>
      <c r="G42" s="399">
        <f>'הספק קיים ותחזית יצור'!M121-'הספק קיים ותחזית יצור'!M120</f>
        <v>0</v>
      </c>
      <c r="H42" s="399">
        <f>'הספק קיים ותחזית יצור'!N121-'הספק קיים ותחזית יצור'!N120</f>
        <v>5</v>
      </c>
      <c r="I42" s="399">
        <f>'הספק קיים ותחזית יצור'!O121-'הספק קיים ותחזית יצור'!O120</f>
        <v>0</v>
      </c>
      <c r="J42" s="44">
        <v>0</v>
      </c>
      <c r="K42" s="52">
        <f t="shared" si="87"/>
        <v>450</v>
      </c>
      <c r="L42" s="53">
        <f t="shared" si="88"/>
        <v>0</v>
      </c>
      <c r="M42" s="127">
        <v>0</v>
      </c>
      <c r="N42" s="54">
        <f t="shared" si="89"/>
        <v>651.56146328788145</v>
      </c>
      <c r="O42" s="54">
        <f t="shared" si="90"/>
        <v>0</v>
      </c>
      <c r="P42" s="54">
        <f t="shared" si="91"/>
        <v>5</v>
      </c>
      <c r="Q42" s="54">
        <f t="shared" si="92"/>
        <v>0</v>
      </c>
      <c r="R42" s="53">
        <f t="shared" si="93"/>
        <v>0</v>
      </c>
      <c r="S42" s="42">
        <v>450</v>
      </c>
      <c r="T42" s="64">
        <v>0</v>
      </c>
      <c r="U42" s="179">
        <f>'הספק קיים ותחזית יצור'!K121-'הספק קיים ותחזית יצור'!K120</f>
        <v>1126.1423771989448</v>
      </c>
      <c r="V42" s="44">
        <v>0</v>
      </c>
      <c r="W42" s="399">
        <f>'הספק קיים ותחזית יצור'!M121-'הספק קיים ותחזית יצור'!M120</f>
        <v>0</v>
      </c>
      <c r="X42" s="399">
        <f>'הספק קיים ותחזית יצור'!N121-'הספק קיים ותחזית יצור'!N120</f>
        <v>5</v>
      </c>
      <c r="Y42" s="399">
        <f>'הספק קיים ותחזית יצור'!O121-'הספק קיים ותחזית יצור'!O120</f>
        <v>0</v>
      </c>
      <c r="Z42" s="44">
        <v>0</v>
      </c>
      <c r="AA42" s="52">
        <f t="shared" si="94"/>
        <v>450</v>
      </c>
      <c r="AB42" s="53">
        <f t="shared" si="95"/>
        <v>0</v>
      </c>
      <c r="AC42" s="127">
        <v>0</v>
      </c>
      <c r="AD42" s="54">
        <f t="shared" si="96"/>
        <v>1126.1423771989448</v>
      </c>
      <c r="AE42" s="54">
        <f t="shared" si="97"/>
        <v>0</v>
      </c>
      <c r="AF42" s="54">
        <f t="shared" si="98"/>
        <v>5</v>
      </c>
      <c r="AG42" s="54">
        <f t="shared" si="99"/>
        <v>0</v>
      </c>
      <c r="AH42" s="53">
        <f t="shared" si="100"/>
        <v>0</v>
      </c>
      <c r="AI42" s="42">
        <v>450</v>
      </c>
      <c r="AJ42" s="64">
        <v>0</v>
      </c>
      <c r="AK42" s="179">
        <f>'הספק קיים ותחזית יצור'!L121-'הספק קיים ותחזית יצור'!L120</f>
        <v>1452.3681486045189</v>
      </c>
      <c r="AL42" s="44">
        <v>0</v>
      </c>
      <c r="AM42" s="381">
        <f>'הספק קיים ותחזית יצור'!M121-'הספק קיים ותחזית יצור'!M120</f>
        <v>0</v>
      </c>
      <c r="AN42" s="381">
        <f>'הספק קיים ותחזית יצור'!N121-'הספק קיים ותחזית יצור'!N120</f>
        <v>5</v>
      </c>
      <c r="AO42" s="381">
        <f>'הספק קיים ותחזית יצור'!O121-'הספק קיים ותחזית יצור'!O120</f>
        <v>0</v>
      </c>
      <c r="AP42" s="44">
        <v>0</v>
      </c>
      <c r="AQ42" s="52">
        <f t="shared" si="101"/>
        <v>450</v>
      </c>
      <c r="AR42" s="53">
        <f t="shared" si="102"/>
        <v>0</v>
      </c>
      <c r="AS42" s="127">
        <v>0</v>
      </c>
      <c r="AT42" s="54">
        <f t="shared" si="103"/>
        <v>1452.3681486045189</v>
      </c>
      <c r="AU42" s="54">
        <f t="shared" si="104"/>
        <v>0</v>
      </c>
      <c r="AV42" s="54">
        <f t="shared" si="105"/>
        <v>5</v>
      </c>
      <c r="AW42" s="54">
        <f t="shared" si="106"/>
        <v>0</v>
      </c>
      <c r="AX42" s="53">
        <f t="shared" si="107"/>
        <v>0</v>
      </c>
    </row>
    <row r="43" spans="2:50" ht="15.75" outlineLevel="1">
      <c r="B43" s="10">
        <f t="shared" si="86"/>
        <v>2028</v>
      </c>
      <c r="C43" s="722">
        <f>466+450</f>
        <v>916</v>
      </c>
      <c r="D43" s="64">
        <v>0</v>
      </c>
      <c r="E43" s="179">
        <f>'הספק קיים ותחזית יצור'!J122-'הספק קיים ותחזית יצור'!J121</f>
        <v>662.48868657758612</v>
      </c>
      <c r="F43" s="44">
        <v>0</v>
      </c>
      <c r="G43" s="399">
        <f>'הספק קיים ותחזית יצור'!M122-'הספק קיים ותחזית יצור'!M121</f>
        <v>0</v>
      </c>
      <c r="H43" s="399">
        <f>'הספק קיים ותחזית יצור'!N122-'הספק קיים ותחזית יצור'!N121</f>
        <v>5</v>
      </c>
      <c r="I43" s="399">
        <f>'הספק קיים ותחזית יצור'!O122-'הספק קיים ותחזית יצור'!O121</f>
        <v>0</v>
      </c>
      <c r="J43" s="44">
        <v>0</v>
      </c>
      <c r="K43" s="52">
        <f t="shared" si="87"/>
        <v>916</v>
      </c>
      <c r="L43" s="53">
        <f t="shared" si="88"/>
        <v>0</v>
      </c>
      <c r="M43" s="127">
        <v>0</v>
      </c>
      <c r="N43" s="54">
        <f t="shared" si="89"/>
        <v>662.48868657758612</v>
      </c>
      <c r="O43" s="54">
        <f t="shared" si="90"/>
        <v>0</v>
      </c>
      <c r="P43" s="54">
        <f t="shared" si="91"/>
        <v>5</v>
      </c>
      <c r="Q43" s="54">
        <f t="shared" si="92"/>
        <v>0</v>
      </c>
      <c r="R43" s="53">
        <f t="shared" si="93"/>
        <v>0</v>
      </c>
      <c r="S43" s="722">
        <v>0</v>
      </c>
      <c r="T43" s="64">
        <v>226</v>
      </c>
      <c r="U43" s="179">
        <f>'הספק קיים ותחזית יצור'!K122-'הספק קיים ותחזית יצור'!K121</f>
        <v>1153.3928620654169</v>
      </c>
      <c r="V43" s="44">
        <v>0</v>
      </c>
      <c r="W43" s="399">
        <f>'הספק קיים ותחזית יצור'!M122-'הספק קיים ותחזית יצור'!M121</f>
        <v>0</v>
      </c>
      <c r="X43" s="399">
        <f>'הספק קיים ותחזית יצור'!N122-'הספק קיים ותחזית יצור'!N121</f>
        <v>5</v>
      </c>
      <c r="Y43" s="399">
        <f>'הספק קיים ותחזית יצור'!O122-'הספק קיים ותחזית יצור'!O121</f>
        <v>0</v>
      </c>
      <c r="Z43" s="44">
        <v>0</v>
      </c>
      <c r="AA43" s="52">
        <f t="shared" si="94"/>
        <v>0</v>
      </c>
      <c r="AB43" s="53">
        <f t="shared" si="95"/>
        <v>226</v>
      </c>
      <c r="AC43" s="127">
        <v>0</v>
      </c>
      <c r="AD43" s="54">
        <f t="shared" si="96"/>
        <v>1153.3928620654169</v>
      </c>
      <c r="AE43" s="54">
        <f t="shared" si="97"/>
        <v>0</v>
      </c>
      <c r="AF43" s="54">
        <f t="shared" si="98"/>
        <v>5</v>
      </c>
      <c r="AG43" s="54">
        <f t="shared" si="99"/>
        <v>0</v>
      </c>
      <c r="AH43" s="53">
        <f t="shared" si="100"/>
        <v>0</v>
      </c>
      <c r="AI43" s="42">
        <v>450</v>
      </c>
      <c r="AJ43" s="64">
        <v>226</v>
      </c>
      <c r="AK43" s="179">
        <f>'הספק קיים ותחזית יצור'!L122-'הספק קיים ותחזית יצור'!L121</f>
        <v>1491.9704656881022</v>
      </c>
      <c r="AL43" s="44">
        <v>0</v>
      </c>
      <c r="AM43" s="381">
        <f>'הספק קיים ותחזית יצור'!M122-'הספק קיים ותחזית יצור'!M121</f>
        <v>0</v>
      </c>
      <c r="AN43" s="381">
        <f>'הספק קיים ותחזית יצור'!N122-'הספק קיים ותחזית יצור'!N121</f>
        <v>5</v>
      </c>
      <c r="AO43" s="381">
        <f>'הספק קיים ותחזית יצור'!O122-'הספק קיים ותחזית יצור'!O121</f>
        <v>0</v>
      </c>
      <c r="AP43" s="44">
        <v>0</v>
      </c>
      <c r="AQ43" s="52">
        <f t="shared" si="101"/>
        <v>450</v>
      </c>
      <c r="AR43" s="53">
        <f t="shared" si="102"/>
        <v>226</v>
      </c>
      <c r="AS43" s="127">
        <v>0</v>
      </c>
      <c r="AT43" s="54">
        <f t="shared" si="103"/>
        <v>1491.9704656881022</v>
      </c>
      <c r="AU43" s="54">
        <f t="shared" si="104"/>
        <v>0</v>
      </c>
      <c r="AV43" s="54">
        <f t="shared" si="105"/>
        <v>5</v>
      </c>
      <c r="AW43" s="54">
        <f t="shared" si="106"/>
        <v>0</v>
      </c>
      <c r="AX43" s="53">
        <f t="shared" si="107"/>
        <v>0</v>
      </c>
    </row>
    <row r="44" spans="2:50" ht="15.75" outlineLevel="1">
      <c r="B44" s="10">
        <f t="shared" si="86"/>
        <v>2029</v>
      </c>
      <c r="C44" s="722">
        <v>466</v>
      </c>
      <c r="D44" s="64">
        <v>0</v>
      </c>
      <c r="E44" s="179">
        <f>'הספק קיים ותחזית יצור'!J123-'הספק קיים ותחזית יצור'!J122</f>
        <v>743.82022164536647</v>
      </c>
      <c r="F44" s="44">
        <v>0</v>
      </c>
      <c r="G44" s="399">
        <f>'הספק קיים ותחזית יצור'!M123-'הספק קיים ותחזית יצור'!M122</f>
        <v>0</v>
      </c>
      <c r="H44" s="399">
        <f>'הספק קיים ותחזית יצור'!N123-'הספק קיים ותחזית יצור'!N122</f>
        <v>5</v>
      </c>
      <c r="I44" s="399">
        <f>'הספק קיים ותחזית יצור'!O123-'הספק קיים ותחזית יצור'!O122</f>
        <v>0</v>
      </c>
      <c r="J44" s="44">
        <v>0</v>
      </c>
      <c r="K44" s="52">
        <f t="shared" si="87"/>
        <v>466</v>
      </c>
      <c r="L44" s="53">
        <f t="shared" si="88"/>
        <v>0</v>
      </c>
      <c r="M44" s="127">
        <v>0</v>
      </c>
      <c r="N44" s="54">
        <f t="shared" si="89"/>
        <v>743.82022164536647</v>
      </c>
      <c r="O44" s="54">
        <f t="shared" si="90"/>
        <v>0</v>
      </c>
      <c r="P44" s="54">
        <f t="shared" si="91"/>
        <v>5</v>
      </c>
      <c r="Q44" s="54">
        <f t="shared" si="92"/>
        <v>0</v>
      </c>
      <c r="R44" s="53">
        <f t="shared" si="93"/>
        <v>0</v>
      </c>
      <c r="S44" s="722">
        <v>466</v>
      </c>
      <c r="T44" s="64">
        <v>113</v>
      </c>
      <c r="U44" s="179">
        <f>'הספק קיים ותחזית יצור'!K123-'הספק קיים ותחזית יצור'!K122</f>
        <v>1281.7580523680226</v>
      </c>
      <c r="V44" s="44">
        <v>0</v>
      </c>
      <c r="W44" s="399">
        <f>'הספק קיים ותחזית יצור'!M123-'הספק קיים ותחזית יצור'!M122</f>
        <v>0</v>
      </c>
      <c r="X44" s="399">
        <f>'הספק קיים ותחזית יצור'!N123-'הספק קיים ותחזית יצור'!N122</f>
        <v>5</v>
      </c>
      <c r="Y44" s="399">
        <f>'הספק קיים ותחזית יצור'!O123-'הספק קיים ותחזית יצור'!O122</f>
        <v>0</v>
      </c>
      <c r="Z44" s="44">
        <v>0</v>
      </c>
      <c r="AA44" s="52">
        <f t="shared" si="94"/>
        <v>466</v>
      </c>
      <c r="AB44" s="53">
        <f t="shared" si="95"/>
        <v>113</v>
      </c>
      <c r="AC44" s="127">
        <v>0</v>
      </c>
      <c r="AD44" s="54">
        <f t="shared" si="96"/>
        <v>1281.7580523680226</v>
      </c>
      <c r="AE44" s="54">
        <f t="shared" si="97"/>
        <v>0</v>
      </c>
      <c r="AF44" s="54">
        <f t="shared" si="98"/>
        <v>5</v>
      </c>
      <c r="AG44" s="54">
        <f t="shared" si="99"/>
        <v>0</v>
      </c>
      <c r="AH44" s="53">
        <f t="shared" si="100"/>
        <v>0</v>
      </c>
      <c r="AI44" s="42">
        <v>466</v>
      </c>
      <c r="AJ44" s="64">
        <v>0</v>
      </c>
      <c r="AK44" s="179">
        <f>'הספק קיים ותחזית יצור'!L123-'הספק קיים ותחזית יצור'!L122</f>
        <v>1651.413781948213</v>
      </c>
      <c r="AL44" s="44">
        <v>0</v>
      </c>
      <c r="AM44" s="381">
        <f>'הספק קיים ותחזית יצור'!M123-'הספק קיים ותחזית יצור'!M122</f>
        <v>0</v>
      </c>
      <c r="AN44" s="381">
        <f>'הספק קיים ותחזית יצור'!N123-'הספק קיים ותחזית יצור'!N122</f>
        <v>5</v>
      </c>
      <c r="AO44" s="381">
        <f>'הספק קיים ותחזית יצור'!O123-'הספק קיים ותחזית יצור'!O122</f>
        <v>0</v>
      </c>
      <c r="AP44" s="44">
        <v>0</v>
      </c>
      <c r="AQ44" s="52">
        <f t="shared" si="101"/>
        <v>466</v>
      </c>
      <c r="AR44" s="53">
        <f t="shared" si="102"/>
        <v>0</v>
      </c>
      <c r="AS44" s="127">
        <v>0</v>
      </c>
      <c r="AT44" s="54">
        <f t="shared" si="103"/>
        <v>1651.413781948213</v>
      </c>
      <c r="AU44" s="54">
        <f t="shared" si="104"/>
        <v>0</v>
      </c>
      <c r="AV44" s="54">
        <f t="shared" si="105"/>
        <v>5</v>
      </c>
      <c r="AW44" s="54">
        <f t="shared" si="106"/>
        <v>0</v>
      </c>
      <c r="AX44" s="53">
        <f t="shared" si="107"/>
        <v>0</v>
      </c>
    </row>
    <row r="45" spans="2:50" ht="15.75" outlineLevel="1">
      <c r="B45" s="10">
        <f t="shared" si="86"/>
        <v>2030</v>
      </c>
      <c r="C45" s="722">
        <v>932</v>
      </c>
      <c r="D45" s="64">
        <v>113</v>
      </c>
      <c r="E45" s="179">
        <f>'הספק קיים ותחזית יצור'!J124-'הספק קיים ותחזית יצור'!J123</f>
        <v>758.00809086056142</v>
      </c>
      <c r="F45" s="44">
        <v>0</v>
      </c>
      <c r="G45" s="399">
        <f>'הספק קיים ותחזית יצור'!M124-'הספק קיים ותחזית יצור'!M123</f>
        <v>0</v>
      </c>
      <c r="H45" s="399">
        <f>'הספק קיים ותחזית יצור'!N124-'הספק קיים ותחזית יצור'!N123</f>
        <v>5</v>
      </c>
      <c r="I45" s="399">
        <f>'הספק קיים ותחזית יצור'!O124-'הספק קיים ותחזית יצור'!O123</f>
        <v>0</v>
      </c>
      <c r="J45" s="44">
        <v>0</v>
      </c>
      <c r="K45" s="52">
        <f t="shared" si="87"/>
        <v>932</v>
      </c>
      <c r="L45" s="53">
        <f t="shared" si="88"/>
        <v>113</v>
      </c>
      <c r="M45" s="127">
        <v>0</v>
      </c>
      <c r="N45" s="54">
        <f t="shared" si="89"/>
        <v>758.00809086056142</v>
      </c>
      <c r="O45" s="54">
        <f t="shared" si="90"/>
        <v>0</v>
      </c>
      <c r="P45" s="54">
        <f t="shared" si="91"/>
        <v>5</v>
      </c>
      <c r="Q45" s="54">
        <f t="shared" si="92"/>
        <v>0</v>
      </c>
      <c r="R45" s="53">
        <f t="shared" si="93"/>
        <v>0</v>
      </c>
      <c r="S45" s="722">
        <v>932</v>
      </c>
      <c r="T45" s="64">
        <v>113</v>
      </c>
      <c r="U45" s="179">
        <f>'הספק קיים ותחזית יצור'!K124-'הספק קיים ותחזית יצור'!K123</f>
        <v>1314.770052156533</v>
      </c>
      <c r="V45" s="44">
        <v>0</v>
      </c>
      <c r="W45" s="399">
        <f>'הספק קיים ותחזית יצור'!M124-'הספק קיים ותחזית יצור'!M123</f>
        <v>0</v>
      </c>
      <c r="X45" s="399">
        <f>'הספק קיים ותחזית יצור'!N124-'הספק קיים ותחזית יצור'!N123</f>
        <v>5</v>
      </c>
      <c r="Y45" s="399">
        <f>'הספק קיים ותחזית יצור'!O124-'הספק קיים ותחזית יצור'!O123</f>
        <v>0</v>
      </c>
      <c r="Z45" s="44">
        <v>0</v>
      </c>
      <c r="AA45" s="52">
        <f t="shared" si="94"/>
        <v>932</v>
      </c>
      <c r="AB45" s="53">
        <f t="shared" si="95"/>
        <v>113</v>
      </c>
      <c r="AC45" s="127">
        <v>0</v>
      </c>
      <c r="AD45" s="54">
        <f t="shared" si="96"/>
        <v>1314.770052156533</v>
      </c>
      <c r="AE45" s="54">
        <f t="shared" si="97"/>
        <v>0</v>
      </c>
      <c r="AF45" s="54">
        <f t="shared" si="98"/>
        <v>5</v>
      </c>
      <c r="AG45" s="54">
        <f t="shared" si="99"/>
        <v>0</v>
      </c>
      <c r="AH45" s="53">
        <f t="shared" si="100"/>
        <v>0</v>
      </c>
      <c r="AI45" s="42">
        <v>466</v>
      </c>
      <c r="AJ45" s="64">
        <v>791</v>
      </c>
      <c r="AK45" s="179">
        <f>'הספק קיים ותחזית יצור'!L124-'הספק קיים ותחזית יצור'!L123</f>
        <v>1698.5273571395901</v>
      </c>
      <c r="AL45" s="44">
        <v>0</v>
      </c>
      <c r="AM45" s="381">
        <f>'הספק קיים ותחזית יצור'!M124-'הספק קיים ותחזית יצור'!M123</f>
        <v>0</v>
      </c>
      <c r="AN45" s="381">
        <f>'הספק קיים ותחזית יצור'!N124-'הספק קיים ותחזית יצור'!N123</f>
        <v>5</v>
      </c>
      <c r="AO45" s="381">
        <f>'הספק קיים ותחזית יצור'!O124-'הספק קיים ותחזית יצור'!O123</f>
        <v>0</v>
      </c>
      <c r="AP45" s="44">
        <v>0</v>
      </c>
      <c r="AQ45" s="52">
        <f t="shared" si="101"/>
        <v>466</v>
      </c>
      <c r="AR45" s="53">
        <f t="shared" si="102"/>
        <v>791</v>
      </c>
      <c r="AS45" s="127">
        <v>0</v>
      </c>
      <c r="AT45" s="54">
        <f t="shared" si="103"/>
        <v>1698.5273571395901</v>
      </c>
      <c r="AU45" s="54">
        <f t="shared" si="104"/>
        <v>0</v>
      </c>
      <c r="AV45" s="54">
        <f t="shared" si="105"/>
        <v>5</v>
      </c>
      <c r="AW45" s="54">
        <f t="shared" si="106"/>
        <v>0</v>
      </c>
      <c r="AX45" s="53">
        <f t="shared" si="107"/>
        <v>0</v>
      </c>
    </row>
    <row r="46" spans="2:50" ht="15.75" outlineLevel="1">
      <c r="B46" s="10">
        <f t="shared" si="86"/>
        <v>2031</v>
      </c>
      <c r="C46" s="722">
        <v>0</v>
      </c>
      <c r="D46" s="64">
        <v>0</v>
      </c>
      <c r="E46" s="179">
        <f>'הספק קיים ותחזית יצור'!J125-'הספק קיים ותחזית יצור'!J124</f>
        <v>0</v>
      </c>
      <c r="F46" s="44">
        <v>0</v>
      </c>
      <c r="G46" s="399">
        <f>'הספק קיים ותחזית יצור'!M125-'הספק קיים ותחזית יצור'!M124</f>
        <v>0</v>
      </c>
      <c r="H46" s="399">
        <f>'הספק קיים ותחזית יצור'!N125-'הספק קיים ותחזית יצור'!N124</f>
        <v>0</v>
      </c>
      <c r="I46" s="399">
        <f>'הספק קיים ותחזית יצור'!O125-'הספק קיים ותחזית יצור'!O124</f>
        <v>0</v>
      </c>
      <c r="J46" s="44">
        <v>0</v>
      </c>
      <c r="K46" s="52">
        <f t="shared" si="87"/>
        <v>0</v>
      </c>
      <c r="L46" s="53">
        <f t="shared" si="88"/>
        <v>0</v>
      </c>
      <c r="M46" s="127">
        <v>0</v>
      </c>
      <c r="N46" s="54">
        <f t="shared" si="89"/>
        <v>0</v>
      </c>
      <c r="O46" s="54">
        <f t="shared" si="90"/>
        <v>0</v>
      </c>
      <c r="P46" s="54">
        <f t="shared" si="91"/>
        <v>0</v>
      </c>
      <c r="Q46" s="54">
        <f t="shared" si="92"/>
        <v>0</v>
      </c>
      <c r="R46" s="53">
        <f t="shared" si="93"/>
        <v>0</v>
      </c>
      <c r="S46" s="722">
        <v>0</v>
      </c>
      <c r="T46" s="64">
        <v>0</v>
      </c>
      <c r="U46" s="179">
        <f>'הספק קיים ותחזית יצור'!K125-'הספק קיים ותחזית יצור'!K124</f>
        <v>0</v>
      </c>
      <c r="V46" s="44">
        <v>0</v>
      </c>
      <c r="W46" s="399">
        <f>'הספק קיים ותחזית יצור'!M125-'הספק קיים ותחזית יצור'!M124</f>
        <v>0</v>
      </c>
      <c r="X46" s="399">
        <f>'הספק קיים ותחזית יצור'!N125-'הספק קיים ותחזית יצור'!N124</f>
        <v>0</v>
      </c>
      <c r="Y46" s="399">
        <f>'הספק קיים ותחזית יצור'!O125-'הספק קיים ותחזית יצור'!O124</f>
        <v>0</v>
      </c>
      <c r="Z46" s="44">
        <v>0</v>
      </c>
      <c r="AA46" s="52">
        <f t="shared" si="94"/>
        <v>0</v>
      </c>
      <c r="AB46" s="53">
        <f t="shared" si="95"/>
        <v>0</v>
      </c>
      <c r="AC46" s="127">
        <v>0</v>
      </c>
      <c r="AD46" s="54">
        <f t="shared" si="96"/>
        <v>0</v>
      </c>
      <c r="AE46" s="54">
        <f t="shared" si="97"/>
        <v>0</v>
      </c>
      <c r="AF46" s="54">
        <f t="shared" si="98"/>
        <v>0</v>
      </c>
      <c r="AG46" s="54">
        <f t="shared" si="99"/>
        <v>0</v>
      </c>
      <c r="AH46" s="53">
        <f t="shared" si="100"/>
        <v>0</v>
      </c>
      <c r="AI46" s="42">
        <v>0</v>
      </c>
      <c r="AJ46" s="64">
        <v>0</v>
      </c>
      <c r="AK46" s="179">
        <f>'הספק קיים ותחזית יצור'!L125-'הספק קיים ותחזית יצור'!L124</f>
        <v>0</v>
      </c>
      <c r="AL46" s="44">
        <v>0</v>
      </c>
      <c r="AM46" s="381">
        <f>'הספק קיים ותחזית יצור'!M125-'הספק קיים ותחזית יצור'!M124</f>
        <v>0</v>
      </c>
      <c r="AN46" s="381">
        <f>'הספק קיים ותחזית יצור'!N125-'הספק קיים ותחזית יצור'!N124</f>
        <v>0</v>
      </c>
      <c r="AO46" s="381">
        <f>'הספק קיים ותחזית יצור'!O125-'הספק קיים ותחזית יצור'!O124</f>
        <v>0</v>
      </c>
      <c r="AP46" s="44">
        <v>0</v>
      </c>
      <c r="AQ46" s="52">
        <f t="shared" si="101"/>
        <v>0</v>
      </c>
      <c r="AR46" s="53">
        <f t="shared" si="102"/>
        <v>0</v>
      </c>
      <c r="AS46" s="127">
        <v>0</v>
      </c>
      <c r="AT46" s="54">
        <f t="shared" si="103"/>
        <v>0</v>
      </c>
      <c r="AU46" s="54">
        <f t="shared" si="104"/>
        <v>0</v>
      </c>
      <c r="AV46" s="54">
        <f t="shared" si="105"/>
        <v>0</v>
      </c>
      <c r="AW46" s="54">
        <f t="shared" si="106"/>
        <v>0</v>
      </c>
      <c r="AX46" s="53">
        <f t="shared" si="107"/>
        <v>0</v>
      </c>
    </row>
    <row r="47" spans="2:50" ht="15.75" outlineLevel="1">
      <c r="B47" s="10">
        <f t="shared" si="86"/>
        <v>2032</v>
      </c>
      <c r="C47" s="722">
        <v>0</v>
      </c>
      <c r="D47" s="64">
        <v>0</v>
      </c>
      <c r="E47" s="179">
        <f>'הספק קיים ותחזית יצור'!J126-'הספק קיים ותחזית יצור'!J125</f>
        <v>0</v>
      </c>
      <c r="F47" s="44">
        <v>0</v>
      </c>
      <c r="G47" s="399">
        <f>'הספק קיים ותחזית יצור'!M126-'הספק קיים ותחזית יצור'!M125</f>
        <v>0</v>
      </c>
      <c r="H47" s="399">
        <f>'הספק קיים ותחזית יצור'!N126-'הספק קיים ותחזית יצור'!N125</f>
        <v>0</v>
      </c>
      <c r="I47" s="399">
        <f>'הספק קיים ותחזית יצור'!O126-'הספק קיים ותחזית יצור'!O125</f>
        <v>0</v>
      </c>
      <c r="J47" s="44">
        <v>0</v>
      </c>
      <c r="K47" s="52">
        <f t="shared" si="87"/>
        <v>0</v>
      </c>
      <c r="L47" s="53">
        <f t="shared" si="88"/>
        <v>0</v>
      </c>
      <c r="M47" s="127">
        <v>0</v>
      </c>
      <c r="N47" s="54">
        <f t="shared" si="89"/>
        <v>0</v>
      </c>
      <c r="O47" s="54">
        <f t="shared" si="90"/>
        <v>0</v>
      </c>
      <c r="P47" s="54">
        <f t="shared" si="91"/>
        <v>0</v>
      </c>
      <c r="Q47" s="54">
        <f t="shared" si="92"/>
        <v>0</v>
      </c>
      <c r="R47" s="53">
        <f t="shared" si="93"/>
        <v>0</v>
      </c>
      <c r="S47" s="722">
        <v>0</v>
      </c>
      <c r="T47" s="64">
        <v>0</v>
      </c>
      <c r="U47" s="179">
        <f>'הספק קיים ותחזית יצור'!K126-'הספק קיים ותחזית יצור'!K125</f>
        <v>0</v>
      </c>
      <c r="V47" s="44">
        <v>0</v>
      </c>
      <c r="W47" s="399">
        <f>'הספק קיים ותחזית יצור'!M126-'הספק קיים ותחזית יצור'!M125</f>
        <v>0</v>
      </c>
      <c r="X47" s="399">
        <f>'הספק קיים ותחזית יצור'!N126-'הספק קיים ותחזית יצור'!N125</f>
        <v>0</v>
      </c>
      <c r="Y47" s="399">
        <f>'הספק קיים ותחזית יצור'!O126-'הספק קיים ותחזית יצור'!O125</f>
        <v>0</v>
      </c>
      <c r="Z47" s="44">
        <v>0</v>
      </c>
      <c r="AA47" s="52">
        <f t="shared" si="94"/>
        <v>0</v>
      </c>
      <c r="AB47" s="53">
        <f t="shared" si="95"/>
        <v>0</v>
      </c>
      <c r="AC47" s="127">
        <v>0</v>
      </c>
      <c r="AD47" s="54">
        <f t="shared" si="96"/>
        <v>0</v>
      </c>
      <c r="AE47" s="54">
        <f t="shared" si="97"/>
        <v>0</v>
      </c>
      <c r="AF47" s="54">
        <f t="shared" si="98"/>
        <v>0</v>
      </c>
      <c r="AG47" s="54">
        <f t="shared" si="99"/>
        <v>0</v>
      </c>
      <c r="AH47" s="53">
        <f t="shared" si="100"/>
        <v>0</v>
      </c>
      <c r="AI47" s="42">
        <v>0</v>
      </c>
      <c r="AJ47" s="64">
        <v>0</v>
      </c>
      <c r="AK47" s="179">
        <f>'הספק קיים ותחזית יצור'!L126-'הספק קיים ותחזית יצור'!L125</f>
        <v>0</v>
      </c>
      <c r="AL47" s="44">
        <v>0</v>
      </c>
      <c r="AM47" s="381">
        <f>'הספק קיים ותחזית יצור'!M126-'הספק קיים ותחזית יצור'!M125</f>
        <v>0</v>
      </c>
      <c r="AN47" s="381">
        <f>'הספק קיים ותחזית יצור'!N126-'הספק קיים ותחזית יצור'!N125</f>
        <v>0</v>
      </c>
      <c r="AO47" s="381">
        <f>'הספק קיים ותחזית יצור'!O126-'הספק קיים ותחזית יצור'!O125</f>
        <v>0</v>
      </c>
      <c r="AP47" s="44">
        <v>0</v>
      </c>
      <c r="AQ47" s="52">
        <f t="shared" si="101"/>
        <v>0</v>
      </c>
      <c r="AR47" s="53">
        <f t="shared" si="102"/>
        <v>0</v>
      </c>
      <c r="AS47" s="127">
        <v>0</v>
      </c>
      <c r="AT47" s="54">
        <f t="shared" si="103"/>
        <v>0</v>
      </c>
      <c r="AU47" s="54">
        <f t="shared" si="104"/>
        <v>0</v>
      </c>
      <c r="AV47" s="54">
        <f t="shared" si="105"/>
        <v>0</v>
      </c>
      <c r="AW47" s="54">
        <f t="shared" si="106"/>
        <v>0</v>
      </c>
      <c r="AX47" s="53">
        <f t="shared" si="107"/>
        <v>0</v>
      </c>
    </row>
    <row r="48" spans="2:50" ht="15.75" outlineLevel="1">
      <c r="B48" s="10">
        <f t="shared" si="86"/>
        <v>2033</v>
      </c>
      <c r="C48" s="722">
        <v>0</v>
      </c>
      <c r="D48" s="64">
        <v>0</v>
      </c>
      <c r="E48" s="179">
        <f>'הספק קיים ותחזית יצור'!J127-'הספק קיים ותחזית יצור'!J126</f>
        <v>0</v>
      </c>
      <c r="F48" s="44">
        <v>0</v>
      </c>
      <c r="G48" s="399">
        <f>'הספק קיים ותחזית יצור'!M127-'הספק קיים ותחזית יצור'!M126</f>
        <v>0</v>
      </c>
      <c r="H48" s="399">
        <f>'הספק קיים ותחזית יצור'!N127-'הספק קיים ותחזית יצור'!N126</f>
        <v>0</v>
      </c>
      <c r="I48" s="399">
        <f>'הספק קיים ותחזית יצור'!O127-'הספק קיים ותחזית יצור'!O126</f>
        <v>0</v>
      </c>
      <c r="J48" s="44">
        <v>0</v>
      </c>
      <c r="K48" s="52">
        <f t="shared" si="87"/>
        <v>0</v>
      </c>
      <c r="L48" s="53">
        <f t="shared" si="88"/>
        <v>0</v>
      </c>
      <c r="M48" s="127">
        <v>0</v>
      </c>
      <c r="N48" s="54">
        <f t="shared" si="89"/>
        <v>0</v>
      </c>
      <c r="O48" s="54">
        <f t="shared" si="90"/>
        <v>0</v>
      </c>
      <c r="P48" s="54">
        <f t="shared" si="91"/>
        <v>0</v>
      </c>
      <c r="Q48" s="54">
        <f t="shared" si="92"/>
        <v>0</v>
      </c>
      <c r="R48" s="53">
        <f t="shared" si="93"/>
        <v>0</v>
      </c>
      <c r="S48" s="722">
        <v>0</v>
      </c>
      <c r="T48" s="64">
        <v>0</v>
      </c>
      <c r="U48" s="179">
        <f>'הספק קיים ותחזית יצור'!K127-'הספק קיים ותחזית יצור'!K126</f>
        <v>0</v>
      </c>
      <c r="V48" s="44">
        <v>0</v>
      </c>
      <c r="W48" s="399">
        <f>'הספק קיים ותחזית יצור'!M127-'הספק קיים ותחזית יצור'!M126</f>
        <v>0</v>
      </c>
      <c r="X48" s="399">
        <f>'הספק קיים ותחזית יצור'!N127-'הספק קיים ותחזית יצור'!N126</f>
        <v>0</v>
      </c>
      <c r="Y48" s="399">
        <f>'הספק קיים ותחזית יצור'!O127-'הספק קיים ותחזית יצור'!O126</f>
        <v>0</v>
      </c>
      <c r="Z48" s="44">
        <v>0</v>
      </c>
      <c r="AA48" s="52">
        <f t="shared" si="94"/>
        <v>0</v>
      </c>
      <c r="AB48" s="53">
        <f t="shared" si="95"/>
        <v>0</v>
      </c>
      <c r="AC48" s="127">
        <v>0</v>
      </c>
      <c r="AD48" s="54">
        <f t="shared" si="96"/>
        <v>0</v>
      </c>
      <c r="AE48" s="54">
        <f t="shared" si="97"/>
        <v>0</v>
      </c>
      <c r="AF48" s="54">
        <f t="shared" si="98"/>
        <v>0</v>
      </c>
      <c r="AG48" s="54">
        <f t="shared" si="99"/>
        <v>0</v>
      </c>
      <c r="AH48" s="53">
        <f t="shared" si="100"/>
        <v>0</v>
      </c>
      <c r="AI48" s="42">
        <v>0</v>
      </c>
      <c r="AJ48" s="64">
        <v>0</v>
      </c>
      <c r="AK48" s="179">
        <f>'הספק קיים ותחזית יצור'!L127-'הספק קיים ותחזית יצור'!L126</f>
        <v>0</v>
      </c>
      <c r="AL48" s="44">
        <v>0</v>
      </c>
      <c r="AM48" s="381">
        <f>'הספק קיים ותחזית יצור'!M127-'הספק קיים ותחזית יצור'!M126</f>
        <v>0</v>
      </c>
      <c r="AN48" s="381">
        <f>'הספק קיים ותחזית יצור'!N127-'הספק קיים ותחזית יצור'!N126</f>
        <v>0</v>
      </c>
      <c r="AO48" s="381">
        <f>'הספק קיים ותחזית יצור'!O127-'הספק קיים ותחזית יצור'!O126</f>
        <v>0</v>
      </c>
      <c r="AP48" s="44">
        <v>0</v>
      </c>
      <c r="AQ48" s="52">
        <f t="shared" si="101"/>
        <v>0</v>
      </c>
      <c r="AR48" s="53">
        <f t="shared" si="102"/>
        <v>0</v>
      </c>
      <c r="AS48" s="127">
        <v>0</v>
      </c>
      <c r="AT48" s="54">
        <f t="shared" si="103"/>
        <v>0</v>
      </c>
      <c r="AU48" s="54">
        <f t="shared" si="104"/>
        <v>0</v>
      </c>
      <c r="AV48" s="54">
        <f t="shared" si="105"/>
        <v>0</v>
      </c>
      <c r="AW48" s="54">
        <f t="shared" si="106"/>
        <v>0</v>
      </c>
      <c r="AX48" s="53">
        <f t="shared" si="107"/>
        <v>0</v>
      </c>
    </row>
    <row r="49" spans="2:50" ht="15.75" outlineLevel="1">
      <c r="B49" s="10">
        <f t="shared" si="86"/>
        <v>2034</v>
      </c>
      <c r="C49" s="722">
        <v>0</v>
      </c>
      <c r="D49" s="64">
        <v>0</v>
      </c>
      <c r="E49" s="179">
        <f>'הספק קיים ותחזית יצור'!J128-'הספק קיים ותחזית יצור'!J127</f>
        <v>0</v>
      </c>
      <c r="F49" s="44">
        <v>0</v>
      </c>
      <c r="G49" s="399">
        <f>'הספק קיים ותחזית יצור'!M128-'הספק קיים ותחזית יצור'!M127</f>
        <v>0</v>
      </c>
      <c r="H49" s="399">
        <f>'הספק קיים ותחזית יצור'!N128-'הספק קיים ותחזית יצור'!N127</f>
        <v>0</v>
      </c>
      <c r="I49" s="399">
        <f>'הספק קיים ותחזית יצור'!O128-'הספק קיים ותחזית יצור'!O127</f>
        <v>0</v>
      </c>
      <c r="J49" s="44">
        <v>0</v>
      </c>
      <c r="K49" s="52">
        <f t="shared" si="87"/>
        <v>0</v>
      </c>
      <c r="L49" s="53">
        <f t="shared" si="88"/>
        <v>0</v>
      </c>
      <c r="M49" s="127">
        <v>0</v>
      </c>
      <c r="N49" s="54">
        <f t="shared" si="89"/>
        <v>0</v>
      </c>
      <c r="O49" s="54">
        <f t="shared" si="90"/>
        <v>0</v>
      </c>
      <c r="P49" s="54">
        <f t="shared" si="91"/>
        <v>0</v>
      </c>
      <c r="Q49" s="54">
        <f t="shared" si="92"/>
        <v>0</v>
      </c>
      <c r="R49" s="53">
        <f t="shared" si="93"/>
        <v>0</v>
      </c>
      <c r="S49" s="722">
        <v>0</v>
      </c>
      <c r="T49" s="64">
        <v>0</v>
      </c>
      <c r="U49" s="179">
        <f>'הספק קיים ותחזית יצור'!K128-'הספק קיים ותחזית יצור'!K127</f>
        <v>0</v>
      </c>
      <c r="V49" s="44">
        <v>0</v>
      </c>
      <c r="W49" s="399">
        <f>'הספק קיים ותחזית יצור'!M128-'הספק קיים ותחזית יצור'!M127</f>
        <v>0</v>
      </c>
      <c r="X49" s="399">
        <f>'הספק קיים ותחזית יצור'!N128-'הספק קיים ותחזית יצור'!N127</f>
        <v>0</v>
      </c>
      <c r="Y49" s="399">
        <f>'הספק קיים ותחזית יצור'!O128-'הספק קיים ותחזית יצור'!O127</f>
        <v>0</v>
      </c>
      <c r="Z49" s="44">
        <v>0</v>
      </c>
      <c r="AA49" s="52">
        <f t="shared" si="94"/>
        <v>0</v>
      </c>
      <c r="AB49" s="53">
        <f t="shared" si="95"/>
        <v>0</v>
      </c>
      <c r="AC49" s="127">
        <v>0</v>
      </c>
      <c r="AD49" s="54">
        <f t="shared" si="96"/>
        <v>0</v>
      </c>
      <c r="AE49" s="54">
        <f t="shared" si="97"/>
        <v>0</v>
      </c>
      <c r="AF49" s="54">
        <f t="shared" si="98"/>
        <v>0</v>
      </c>
      <c r="AG49" s="54">
        <f t="shared" si="99"/>
        <v>0</v>
      </c>
      <c r="AH49" s="53">
        <f t="shared" si="100"/>
        <v>0</v>
      </c>
      <c r="AI49" s="42">
        <v>0</v>
      </c>
      <c r="AJ49" s="64">
        <v>0</v>
      </c>
      <c r="AK49" s="179">
        <f>'הספק קיים ותחזית יצור'!L128-'הספק קיים ותחזית יצור'!L127</f>
        <v>0</v>
      </c>
      <c r="AL49" s="44">
        <v>0</v>
      </c>
      <c r="AM49" s="381">
        <f>'הספק קיים ותחזית יצור'!M128-'הספק קיים ותחזית יצור'!M127</f>
        <v>0</v>
      </c>
      <c r="AN49" s="381">
        <f>'הספק קיים ותחזית יצור'!N128-'הספק קיים ותחזית יצור'!N127</f>
        <v>0</v>
      </c>
      <c r="AO49" s="381">
        <f>'הספק קיים ותחזית יצור'!O128-'הספק קיים ותחזית יצור'!O127</f>
        <v>0</v>
      </c>
      <c r="AP49" s="44">
        <v>0</v>
      </c>
      <c r="AQ49" s="52">
        <f t="shared" si="101"/>
        <v>0</v>
      </c>
      <c r="AR49" s="53">
        <f t="shared" si="102"/>
        <v>0</v>
      </c>
      <c r="AS49" s="127">
        <v>0</v>
      </c>
      <c r="AT49" s="54">
        <f t="shared" si="103"/>
        <v>0</v>
      </c>
      <c r="AU49" s="54">
        <f t="shared" si="104"/>
        <v>0</v>
      </c>
      <c r="AV49" s="54">
        <f t="shared" si="105"/>
        <v>0</v>
      </c>
      <c r="AW49" s="54">
        <f t="shared" si="106"/>
        <v>0</v>
      </c>
      <c r="AX49" s="53">
        <f t="shared" si="107"/>
        <v>0</v>
      </c>
    </row>
    <row r="50" spans="2:50" ht="15.75" outlineLevel="1">
      <c r="B50" s="10">
        <f t="shared" si="86"/>
        <v>2035</v>
      </c>
      <c r="C50" s="722">
        <v>0</v>
      </c>
      <c r="D50" s="64">
        <v>0</v>
      </c>
      <c r="E50" s="179">
        <f>'הספק קיים ותחזית יצור'!J129-'הספק קיים ותחזית יצור'!J128</f>
        <v>0</v>
      </c>
      <c r="F50" s="44">
        <v>0</v>
      </c>
      <c r="G50" s="399">
        <f>'הספק קיים ותחזית יצור'!M129-'הספק קיים ותחזית יצור'!M128</f>
        <v>0</v>
      </c>
      <c r="H50" s="399">
        <f>'הספק קיים ותחזית יצור'!N129-'הספק קיים ותחזית יצור'!N128</f>
        <v>0</v>
      </c>
      <c r="I50" s="399">
        <f>'הספק קיים ותחזית יצור'!O129-'הספק קיים ותחזית יצור'!O128</f>
        <v>0</v>
      </c>
      <c r="J50" s="44">
        <v>0</v>
      </c>
      <c r="K50" s="52">
        <f t="shared" si="87"/>
        <v>0</v>
      </c>
      <c r="L50" s="53">
        <f t="shared" si="88"/>
        <v>0</v>
      </c>
      <c r="M50" s="127">
        <v>0</v>
      </c>
      <c r="N50" s="54">
        <f t="shared" si="89"/>
        <v>0</v>
      </c>
      <c r="O50" s="54">
        <f t="shared" si="90"/>
        <v>0</v>
      </c>
      <c r="P50" s="54">
        <f t="shared" si="91"/>
        <v>0</v>
      </c>
      <c r="Q50" s="54">
        <f t="shared" si="92"/>
        <v>0</v>
      </c>
      <c r="R50" s="53">
        <f t="shared" si="93"/>
        <v>0</v>
      </c>
      <c r="S50" s="722">
        <v>0</v>
      </c>
      <c r="T50" s="64">
        <v>0</v>
      </c>
      <c r="U50" s="179">
        <f>'הספק קיים ותחזית יצור'!K129-'הספק קיים ותחזית יצור'!K128</f>
        <v>0</v>
      </c>
      <c r="V50" s="44">
        <v>0</v>
      </c>
      <c r="W50" s="399">
        <f>'הספק קיים ותחזית יצור'!M129-'הספק קיים ותחזית יצור'!M128</f>
        <v>0</v>
      </c>
      <c r="X50" s="399">
        <f>'הספק קיים ותחזית יצור'!N129-'הספק קיים ותחזית יצור'!N128</f>
        <v>0</v>
      </c>
      <c r="Y50" s="399">
        <f>'הספק קיים ותחזית יצור'!O129-'הספק קיים ותחזית יצור'!O128</f>
        <v>0</v>
      </c>
      <c r="Z50" s="44">
        <v>0</v>
      </c>
      <c r="AA50" s="52">
        <f t="shared" si="94"/>
        <v>0</v>
      </c>
      <c r="AB50" s="53">
        <f t="shared" si="95"/>
        <v>0</v>
      </c>
      <c r="AC50" s="127">
        <v>0</v>
      </c>
      <c r="AD50" s="54">
        <f t="shared" si="96"/>
        <v>0</v>
      </c>
      <c r="AE50" s="54">
        <f t="shared" si="97"/>
        <v>0</v>
      </c>
      <c r="AF50" s="54">
        <f t="shared" si="98"/>
        <v>0</v>
      </c>
      <c r="AG50" s="54">
        <f t="shared" si="99"/>
        <v>0</v>
      </c>
      <c r="AH50" s="53">
        <f t="shared" si="100"/>
        <v>0</v>
      </c>
      <c r="AI50" s="42">
        <v>0</v>
      </c>
      <c r="AJ50" s="64">
        <v>0</v>
      </c>
      <c r="AK50" s="179">
        <f>'הספק קיים ותחזית יצור'!L129-'הספק קיים ותחזית יצור'!L128</f>
        <v>0</v>
      </c>
      <c r="AL50" s="44">
        <v>0</v>
      </c>
      <c r="AM50" s="381">
        <f>'הספק קיים ותחזית יצור'!M129-'הספק קיים ותחזית יצור'!M128</f>
        <v>0</v>
      </c>
      <c r="AN50" s="381">
        <f>'הספק קיים ותחזית יצור'!N129-'הספק קיים ותחזית יצור'!N128</f>
        <v>0</v>
      </c>
      <c r="AO50" s="381">
        <f>'הספק קיים ותחזית יצור'!O129-'הספק קיים ותחזית יצור'!O128</f>
        <v>0</v>
      </c>
      <c r="AP50" s="44">
        <v>0</v>
      </c>
      <c r="AQ50" s="52">
        <f t="shared" si="101"/>
        <v>0</v>
      </c>
      <c r="AR50" s="53">
        <f t="shared" si="102"/>
        <v>0</v>
      </c>
      <c r="AS50" s="127">
        <v>0</v>
      </c>
      <c r="AT50" s="54">
        <f t="shared" si="103"/>
        <v>0</v>
      </c>
      <c r="AU50" s="54">
        <f t="shared" si="104"/>
        <v>0</v>
      </c>
      <c r="AV50" s="54">
        <f t="shared" si="105"/>
        <v>0</v>
      </c>
      <c r="AW50" s="54">
        <f t="shared" si="106"/>
        <v>0</v>
      </c>
      <c r="AX50" s="53">
        <f t="shared" si="107"/>
        <v>0</v>
      </c>
    </row>
    <row r="51" spans="2:50" ht="15.75" outlineLevel="1">
      <c r="B51" s="10">
        <f t="shared" si="86"/>
        <v>2036</v>
      </c>
      <c r="C51" s="722">
        <v>0</v>
      </c>
      <c r="D51" s="64">
        <v>0</v>
      </c>
      <c r="E51" s="179">
        <f>'הספק קיים ותחזית יצור'!J130-'הספק קיים ותחזית יצור'!J129</f>
        <v>0</v>
      </c>
      <c r="F51" s="44">
        <v>0</v>
      </c>
      <c r="G51" s="399">
        <f>'הספק קיים ותחזית יצור'!M130-'הספק קיים ותחזית יצור'!M129</f>
        <v>0</v>
      </c>
      <c r="H51" s="399">
        <f>'הספק קיים ותחזית יצור'!N130-'הספק קיים ותחזית יצור'!N129</f>
        <v>0</v>
      </c>
      <c r="I51" s="399">
        <f>'הספק קיים ותחזית יצור'!O130-'הספק קיים ותחזית יצור'!O129</f>
        <v>0</v>
      </c>
      <c r="J51" s="44">
        <v>0</v>
      </c>
      <c r="K51" s="52">
        <f t="shared" si="87"/>
        <v>0</v>
      </c>
      <c r="L51" s="53">
        <f t="shared" si="88"/>
        <v>0</v>
      </c>
      <c r="M51" s="127">
        <v>0</v>
      </c>
      <c r="N51" s="54">
        <f t="shared" si="89"/>
        <v>0</v>
      </c>
      <c r="O51" s="54">
        <f t="shared" si="90"/>
        <v>0</v>
      </c>
      <c r="P51" s="54">
        <f t="shared" si="91"/>
        <v>0</v>
      </c>
      <c r="Q51" s="54">
        <f t="shared" si="92"/>
        <v>0</v>
      </c>
      <c r="R51" s="53">
        <f t="shared" si="93"/>
        <v>0</v>
      </c>
      <c r="S51" s="722">
        <v>0</v>
      </c>
      <c r="T51" s="64">
        <v>0</v>
      </c>
      <c r="U51" s="179">
        <f>'הספק קיים ותחזית יצור'!K130-'הספק קיים ותחזית יצור'!K129</f>
        <v>0</v>
      </c>
      <c r="V51" s="44">
        <v>0</v>
      </c>
      <c r="W51" s="399">
        <f>'הספק קיים ותחזית יצור'!M130-'הספק קיים ותחזית יצור'!M129</f>
        <v>0</v>
      </c>
      <c r="X51" s="399">
        <f>'הספק קיים ותחזית יצור'!N130-'הספק קיים ותחזית יצור'!N129</f>
        <v>0</v>
      </c>
      <c r="Y51" s="399">
        <f>'הספק קיים ותחזית יצור'!O130-'הספק קיים ותחזית יצור'!O129</f>
        <v>0</v>
      </c>
      <c r="Z51" s="44">
        <v>0</v>
      </c>
      <c r="AA51" s="52">
        <f t="shared" si="94"/>
        <v>0</v>
      </c>
      <c r="AB51" s="53">
        <f t="shared" si="95"/>
        <v>0</v>
      </c>
      <c r="AC51" s="127">
        <v>0</v>
      </c>
      <c r="AD51" s="54">
        <f t="shared" si="96"/>
        <v>0</v>
      </c>
      <c r="AE51" s="54">
        <f t="shared" si="97"/>
        <v>0</v>
      </c>
      <c r="AF51" s="54">
        <f t="shared" si="98"/>
        <v>0</v>
      </c>
      <c r="AG51" s="54">
        <f t="shared" si="99"/>
        <v>0</v>
      </c>
      <c r="AH51" s="53">
        <f t="shared" si="100"/>
        <v>0</v>
      </c>
      <c r="AI51" s="42">
        <v>0</v>
      </c>
      <c r="AJ51" s="64">
        <v>0</v>
      </c>
      <c r="AK51" s="179">
        <f>'הספק קיים ותחזית יצור'!L130-'הספק קיים ותחזית יצור'!L129</f>
        <v>0</v>
      </c>
      <c r="AL51" s="44">
        <v>0</v>
      </c>
      <c r="AM51" s="381">
        <f>'הספק קיים ותחזית יצור'!M130-'הספק קיים ותחזית יצור'!M129</f>
        <v>0</v>
      </c>
      <c r="AN51" s="381">
        <f>'הספק קיים ותחזית יצור'!N130-'הספק קיים ותחזית יצור'!N129</f>
        <v>0</v>
      </c>
      <c r="AO51" s="381">
        <f>'הספק קיים ותחזית יצור'!O130-'הספק קיים ותחזית יצור'!O129</f>
        <v>0</v>
      </c>
      <c r="AP51" s="44">
        <v>0</v>
      </c>
      <c r="AQ51" s="52">
        <f t="shared" si="101"/>
        <v>0</v>
      </c>
      <c r="AR51" s="53">
        <f t="shared" si="102"/>
        <v>0</v>
      </c>
      <c r="AS51" s="127">
        <v>0</v>
      </c>
      <c r="AT51" s="54">
        <f t="shared" si="103"/>
        <v>0</v>
      </c>
      <c r="AU51" s="54">
        <f t="shared" si="104"/>
        <v>0</v>
      </c>
      <c r="AV51" s="54">
        <f t="shared" si="105"/>
        <v>0</v>
      </c>
      <c r="AW51" s="54">
        <f t="shared" si="106"/>
        <v>0</v>
      </c>
      <c r="AX51" s="53">
        <f t="shared" si="107"/>
        <v>0</v>
      </c>
    </row>
    <row r="52" spans="2:50" ht="15.75" outlineLevel="1">
      <c r="B52" s="10">
        <f t="shared" si="86"/>
        <v>2037</v>
      </c>
      <c r="C52" s="722">
        <v>0</v>
      </c>
      <c r="D52" s="64">
        <v>0</v>
      </c>
      <c r="E52" s="179">
        <f>'הספק קיים ותחזית יצור'!J131-'הספק קיים ותחזית יצור'!J130</f>
        <v>0</v>
      </c>
      <c r="F52" s="44">
        <v>0</v>
      </c>
      <c r="G52" s="399">
        <f>'הספק קיים ותחזית יצור'!M131-'הספק קיים ותחזית יצור'!M130</f>
        <v>0</v>
      </c>
      <c r="H52" s="399">
        <f>'הספק קיים ותחזית יצור'!N131-'הספק קיים ותחזית יצור'!N130</f>
        <v>0</v>
      </c>
      <c r="I52" s="399">
        <f>'הספק קיים ותחזית יצור'!O131-'הספק קיים ותחזית יצור'!O130</f>
        <v>0</v>
      </c>
      <c r="J52" s="44">
        <v>0</v>
      </c>
      <c r="K52" s="52">
        <f t="shared" si="87"/>
        <v>0</v>
      </c>
      <c r="L52" s="53">
        <f t="shared" si="88"/>
        <v>0</v>
      </c>
      <c r="M52" s="127">
        <v>0</v>
      </c>
      <c r="N52" s="54">
        <f t="shared" si="89"/>
        <v>0</v>
      </c>
      <c r="O52" s="54">
        <f t="shared" si="90"/>
        <v>0</v>
      </c>
      <c r="P52" s="54">
        <f t="shared" si="91"/>
        <v>0</v>
      </c>
      <c r="Q52" s="54">
        <f t="shared" si="92"/>
        <v>0</v>
      </c>
      <c r="R52" s="53">
        <f t="shared" si="93"/>
        <v>0</v>
      </c>
      <c r="S52" s="722">
        <v>0</v>
      </c>
      <c r="T52" s="64">
        <v>0</v>
      </c>
      <c r="U52" s="179">
        <f>'הספק קיים ותחזית יצור'!K131-'הספק קיים ותחזית יצור'!K130</f>
        <v>0</v>
      </c>
      <c r="V52" s="44">
        <v>0</v>
      </c>
      <c r="W52" s="399">
        <f>'הספק קיים ותחזית יצור'!M131-'הספק קיים ותחזית יצור'!M130</f>
        <v>0</v>
      </c>
      <c r="X52" s="399">
        <f>'הספק קיים ותחזית יצור'!N131-'הספק קיים ותחזית יצור'!N130</f>
        <v>0</v>
      </c>
      <c r="Y52" s="399">
        <f>'הספק קיים ותחזית יצור'!O131-'הספק קיים ותחזית יצור'!O130</f>
        <v>0</v>
      </c>
      <c r="Z52" s="44">
        <v>0</v>
      </c>
      <c r="AA52" s="52">
        <f t="shared" si="94"/>
        <v>0</v>
      </c>
      <c r="AB52" s="53">
        <f t="shared" si="95"/>
        <v>0</v>
      </c>
      <c r="AC52" s="127">
        <v>0</v>
      </c>
      <c r="AD52" s="54">
        <f t="shared" si="96"/>
        <v>0</v>
      </c>
      <c r="AE52" s="54">
        <f t="shared" si="97"/>
        <v>0</v>
      </c>
      <c r="AF52" s="54">
        <f t="shared" si="98"/>
        <v>0</v>
      </c>
      <c r="AG52" s="54">
        <f t="shared" si="99"/>
        <v>0</v>
      </c>
      <c r="AH52" s="53">
        <f t="shared" si="100"/>
        <v>0</v>
      </c>
      <c r="AI52" s="42">
        <v>0</v>
      </c>
      <c r="AJ52" s="64">
        <v>0</v>
      </c>
      <c r="AK52" s="179">
        <f>'הספק קיים ותחזית יצור'!L131-'הספק קיים ותחזית יצור'!L130</f>
        <v>0</v>
      </c>
      <c r="AL52" s="44">
        <v>0</v>
      </c>
      <c r="AM52" s="381">
        <f>'הספק קיים ותחזית יצור'!M131-'הספק קיים ותחזית יצור'!M130</f>
        <v>0</v>
      </c>
      <c r="AN52" s="381">
        <f>'הספק קיים ותחזית יצור'!N131-'הספק קיים ותחזית יצור'!N130</f>
        <v>0</v>
      </c>
      <c r="AO52" s="381">
        <f>'הספק קיים ותחזית יצור'!O131-'הספק קיים ותחזית יצור'!O130</f>
        <v>0</v>
      </c>
      <c r="AP52" s="44">
        <v>0</v>
      </c>
      <c r="AQ52" s="52">
        <f t="shared" si="101"/>
        <v>0</v>
      </c>
      <c r="AR52" s="53">
        <f t="shared" si="102"/>
        <v>0</v>
      </c>
      <c r="AS52" s="127">
        <v>0</v>
      </c>
      <c r="AT52" s="54">
        <f t="shared" si="103"/>
        <v>0</v>
      </c>
      <c r="AU52" s="54">
        <f t="shared" si="104"/>
        <v>0</v>
      </c>
      <c r="AV52" s="54">
        <f t="shared" si="105"/>
        <v>0</v>
      </c>
      <c r="AW52" s="54">
        <f t="shared" si="106"/>
        <v>0</v>
      </c>
      <c r="AX52" s="53">
        <f t="shared" si="107"/>
        <v>0</v>
      </c>
    </row>
    <row r="53" spans="2:50" ht="15.75" outlineLevel="1">
      <c r="B53" s="10">
        <f t="shared" si="86"/>
        <v>2038</v>
      </c>
      <c r="C53" s="722">
        <v>0</v>
      </c>
      <c r="D53" s="64">
        <v>0</v>
      </c>
      <c r="E53" s="179">
        <f>'הספק קיים ותחזית יצור'!J132-'הספק קיים ותחזית יצור'!J131</f>
        <v>0</v>
      </c>
      <c r="F53" s="44">
        <v>0</v>
      </c>
      <c r="G53" s="399">
        <f>'הספק קיים ותחזית יצור'!M132-'הספק קיים ותחזית יצור'!M131</f>
        <v>0</v>
      </c>
      <c r="H53" s="399">
        <f>'הספק קיים ותחזית יצור'!N132-'הספק קיים ותחזית יצור'!N131</f>
        <v>0</v>
      </c>
      <c r="I53" s="399">
        <f>'הספק קיים ותחזית יצור'!O132-'הספק קיים ותחזית יצור'!O131</f>
        <v>0</v>
      </c>
      <c r="J53" s="44">
        <v>0</v>
      </c>
      <c r="K53" s="52">
        <f t="shared" si="87"/>
        <v>0</v>
      </c>
      <c r="L53" s="53">
        <f t="shared" si="88"/>
        <v>0</v>
      </c>
      <c r="M53" s="127">
        <v>0</v>
      </c>
      <c r="N53" s="54">
        <f t="shared" si="89"/>
        <v>0</v>
      </c>
      <c r="O53" s="54">
        <f t="shared" si="90"/>
        <v>0</v>
      </c>
      <c r="P53" s="54">
        <f t="shared" si="91"/>
        <v>0</v>
      </c>
      <c r="Q53" s="54">
        <f t="shared" si="92"/>
        <v>0</v>
      </c>
      <c r="R53" s="53">
        <f t="shared" si="93"/>
        <v>0</v>
      </c>
      <c r="S53" s="722">
        <v>0</v>
      </c>
      <c r="T53" s="64">
        <v>0</v>
      </c>
      <c r="U53" s="179">
        <f>'הספק קיים ותחזית יצור'!K132-'הספק קיים ותחזית יצור'!K131</f>
        <v>0</v>
      </c>
      <c r="V53" s="44">
        <v>0</v>
      </c>
      <c r="W53" s="399">
        <f>'הספק קיים ותחזית יצור'!M132-'הספק קיים ותחזית יצור'!M131</f>
        <v>0</v>
      </c>
      <c r="X53" s="399">
        <f>'הספק קיים ותחזית יצור'!N132-'הספק קיים ותחזית יצור'!N131</f>
        <v>0</v>
      </c>
      <c r="Y53" s="399">
        <f>'הספק קיים ותחזית יצור'!O132-'הספק קיים ותחזית יצור'!O131</f>
        <v>0</v>
      </c>
      <c r="Z53" s="44">
        <v>0</v>
      </c>
      <c r="AA53" s="52">
        <f t="shared" si="94"/>
        <v>0</v>
      </c>
      <c r="AB53" s="53">
        <f t="shared" si="95"/>
        <v>0</v>
      </c>
      <c r="AC53" s="127">
        <v>0</v>
      </c>
      <c r="AD53" s="54">
        <f t="shared" si="96"/>
        <v>0</v>
      </c>
      <c r="AE53" s="54">
        <f t="shared" si="97"/>
        <v>0</v>
      </c>
      <c r="AF53" s="54">
        <f t="shared" si="98"/>
        <v>0</v>
      </c>
      <c r="AG53" s="54">
        <f t="shared" si="99"/>
        <v>0</v>
      </c>
      <c r="AH53" s="53">
        <f t="shared" si="100"/>
        <v>0</v>
      </c>
      <c r="AI53" s="42">
        <v>0</v>
      </c>
      <c r="AJ53" s="64">
        <v>0</v>
      </c>
      <c r="AK53" s="179">
        <f>'הספק קיים ותחזית יצור'!L132-'הספק קיים ותחזית יצור'!L131</f>
        <v>0</v>
      </c>
      <c r="AL53" s="44">
        <v>0</v>
      </c>
      <c r="AM53" s="381">
        <f>'הספק קיים ותחזית יצור'!M132-'הספק קיים ותחזית יצור'!M131</f>
        <v>0</v>
      </c>
      <c r="AN53" s="381">
        <f>'הספק קיים ותחזית יצור'!N132-'הספק קיים ותחזית יצור'!N131</f>
        <v>0</v>
      </c>
      <c r="AO53" s="381">
        <f>'הספק קיים ותחזית יצור'!O132-'הספק קיים ותחזית יצור'!O131</f>
        <v>0</v>
      </c>
      <c r="AP53" s="44">
        <v>0</v>
      </c>
      <c r="AQ53" s="52">
        <f t="shared" si="101"/>
        <v>0</v>
      </c>
      <c r="AR53" s="53">
        <f t="shared" si="102"/>
        <v>0</v>
      </c>
      <c r="AS53" s="127">
        <v>0</v>
      </c>
      <c r="AT53" s="54">
        <f t="shared" si="103"/>
        <v>0</v>
      </c>
      <c r="AU53" s="54">
        <f t="shared" si="104"/>
        <v>0</v>
      </c>
      <c r="AV53" s="54">
        <f t="shared" si="105"/>
        <v>0</v>
      </c>
      <c r="AW53" s="54">
        <f t="shared" si="106"/>
        <v>0</v>
      </c>
      <c r="AX53" s="53">
        <f t="shared" si="107"/>
        <v>0</v>
      </c>
    </row>
    <row r="54" spans="2:50" ht="15.75" outlineLevel="1">
      <c r="B54" s="10">
        <f t="shared" si="86"/>
        <v>2039</v>
      </c>
      <c r="C54" s="722">
        <v>0</v>
      </c>
      <c r="D54" s="64">
        <v>0</v>
      </c>
      <c r="E54" s="179">
        <f>'הספק קיים ותחזית יצור'!J133-'הספק קיים ותחזית יצור'!J132</f>
        <v>0</v>
      </c>
      <c r="F54" s="44">
        <v>0</v>
      </c>
      <c r="G54" s="399">
        <f>'הספק קיים ותחזית יצור'!M133-'הספק קיים ותחזית יצור'!M132</f>
        <v>0</v>
      </c>
      <c r="H54" s="399">
        <f>'הספק קיים ותחזית יצור'!N133-'הספק קיים ותחזית יצור'!N132</f>
        <v>0</v>
      </c>
      <c r="I54" s="399">
        <f>'הספק קיים ותחזית יצור'!O133-'הספק קיים ותחזית יצור'!O132</f>
        <v>0</v>
      </c>
      <c r="J54" s="44">
        <v>0</v>
      </c>
      <c r="K54" s="52">
        <f t="shared" si="87"/>
        <v>0</v>
      </c>
      <c r="L54" s="53">
        <f t="shared" si="88"/>
        <v>0</v>
      </c>
      <c r="M54" s="127">
        <v>0</v>
      </c>
      <c r="N54" s="54">
        <f t="shared" si="89"/>
        <v>0</v>
      </c>
      <c r="O54" s="54">
        <f t="shared" si="90"/>
        <v>0</v>
      </c>
      <c r="P54" s="54">
        <f t="shared" si="91"/>
        <v>0</v>
      </c>
      <c r="Q54" s="54">
        <f t="shared" si="92"/>
        <v>0</v>
      </c>
      <c r="R54" s="53">
        <f t="shared" si="93"/>
        <v>0</v>
      </c>
      <c r="S54" s="722">
        <v>0</v>
      </c>
      <c r="T54" s="64">
        <v>0</v>
      </c>
      <c r="U54" s="179">
        <f>'הספק קיים ותחזית יצור'!K133-'הספק קיים ותחזית יצור'!K132</f>
        <v>0</v>
      </c>
      <c r="V54" s="44">
        <v>0</v>
      </c>
      <c r="W54" s="399">
        <f>'הספק קיים ותחזית יצור'!M133-'הספק קיים ותחזית יצור'!M132</f>
        <v>0</v>
      </c>
      <c r="X54" s="399">
        <f>'הספק קיים ותחזית יצור'!N133-'הספק קיים ותחזית יצור'!N132</f>
        <v>0</v>
      </c>
      <c r="Y54" s="399">
        <f>'הספק קיים ותחזית יצור'!O133-'הספק קיים ותחזית יצור'!O132</f>
        <v>0</v>
      </c>
      <c r="Z54" s="44">
        <v>0</v>
      </c>
      <c r="AA54" s="52">
        <f t="shared" si="94"/>
        <v>0</v>
      </c>
      <c r="AB54" s="53">
        <f t="shared" si="95"/>
        <v>0</v>
      </c>
      <c r="AC54" s="127">
        <v>0</v>
      </c>
      <c r="AD54" s="54">
        <f t="shared" si="96"/>
        <v>0</v>
      </c>
      <c r="AE54" s="54">
        <f t="shared" si="97"/>
        <v>0</v>
      </c>
      <c r="AF54" s="54">
        <f t="shared" si="98"/>
        <v>0</v>
      </c>
      <c r="AG54" s="54">
        <f t="shared" si="99"/>
        <v>0</v>
      </c>
      <c r="AH54" s="53">
        <f t="shared" si="100"/>
        <v>0</v>
      </c>
      <c r="AI54" s="42">
        <v>0</v>
      </c>
      <c r="AJ54" s="64">
        <v>0</v>
      </c>
      <c r="AK54" s="179">
        <f>'הספק קיים ותחזית יצור'!L133-'הספק קיים ותחזית יצור'!L132</f>
        <v>0</v>
      </c>
      <c r="AL54" s="44">
        <v>0</v>
      </c>
      <c r="AM54" s="381">
        <f>'הספק קיים ותחזית יצור'!M133-'הספק קיים ותחזית יצור'!M132</f>
        <v>0</v>
      </c>
      <c r="AN54" s="381">
        <f>'הספק קיים ותחזית יצור'!N133-'הספק קיים ותחזית יצור'!N132</f>
        <v>0</v>
      </c>
      <c r="AO54" s="381">
        <f>'הספק קיים ותחזית יצור'!O133-'הספק קיים ותחזית יצור'!O132</f>
        <v>0</v>
      </c>
      <c r="AP54" s="44">
        <v>0</v>
      </c>
      <c r="AQ54" s="52">
        <f t="shared" si="101"/>
        <v>0</v>
      </c>
      <c r="AR54" s="53">
        <f t="shared" si="102"/>
        <v>0</v>
      </c>
      <c r="AS54" s="127">
        <v>0</v>
      </c>
      <c r="AT54" s="54">
        <f t="shared" si="103"/>
        <v>0</v>
      </c>
      <c r="AU54" s="54">
        <f t="shared" si="104"/>
        <v>0</v>
      </c>
      <c r="AV54" s="54">
        <f t="shared" si="105"/>
        <v>0</v>
      </c>
      <c r="AW54" s="54">
        <f t="shared" si="106"/>
        <v>0</v>
      </c>
      <c r="AX54" s="53">
        <f t="shared" si="107"/>
        <v>0</v>
      </c>
    </row>
    <row r="55" spans="2:50" ht="16.5" outlineLevel="1" thickBot="1">
      <c r="B55" s="11">
        <f t="shared" si="86"/>
        <v>2040</v>
      </c>
      <c r="C55" s="722">
        <v>0</v>
      </c>
      <c r="D55" s="64">
        <v>0</v>
      </c>
      <c r="E55" s="719">
        <f>'הספק קיים ותחזית יצור'!J134-'הספק קיים ותחזית יצור'!J133</f>
        <v>0</v>
      </c>
      <c r="F55" s="47">
        <v>0</v>
      </c>
      <c r="G55" s="720">
        <f>'הספק קיים ותחזית יצור'!M134-'הספק קיים ותחזית יצור'!M133</f>
        <v>0</v>
      </c>
      <c r="H55" s="720">
        <f>'הספק קיים ותחזית יצור'!N134-'הספק קיים ותחזית יצור'!N133</f>
        <v>0</v>
      </c>
      <c r="I55" s="720">
        <f>'הספק קיים ותחזית יצור'!O134-'הספק קיים ותחזית יצור'!O133</f>
        <v>0</v>
      </c>
      <c r="J55" s="47">
        <v>0</v>
      </c>
      <c r="K55" s="55">
        <f t="shared" si="87"/>
        <v>0</v>
      </c>
      <c r="L55" s="56">
        <f t="shared" si="88"/>
        <v>0</v>
      </c>
      <c r="M55" s="128">
        <v>0</v>
      </c>
      <c r="N55" s="57">
        <f t="shared" si="89"/>
        <v>0</v>
      </c>
      <c r="O55" s="57">
        <f t="shared" si="90"/>
        <v>0</v>
      </c>
      <c r="P55" s="57">
        <f t="shared" si="91"/>
        <v>0</v>
      </c>
      <c r="Q55" s="57">
        <f t="shared" si="92"/>
        <v>0</v>
      </c>
      <c r="R55" s="56">
        <f t="shared" si="93"/>
        <v>0</v>
      </c>
      <c r="S55" s="723">
        <v>0</v>
      </c>
      <c r="T55" s="558">
        <v>0</v>
      </c>
      <c r="U55" s="719">
        <f>'הספק קיים ותחזית יצור'!K134-'הספק קיים ותחזית יצור'!K133</f>
        <v>0</v>
      </c>
      <c r="V55" s="47">
        <v>0</v>
      </c>
      <c r="W55" s="720">
        <f>'הספק קיים ותחזית יצור'!M134-'הספק קיים ותחזית יצור'!M133</f>
        <v>0</v>
      </c>
      <c r="X55" s="720">
        <f>'הספק קיים ותחזית יצור'!N134-'הספק קיים ותחזית יצור'!N133</f>
        <v>0</v>
      </c>
      <c r="Y55" s="720">
        <f>'הספק קיים ותחזית יצור'!O134-'הספק קיים ותחזית יצור'!O133</f>
        <v>0</v>
      </c>
      <c r="Z55" s="47">
        <v>0</v>
      </c>
      <c r="AA55" s="55">
        <f t="shared" si="94"/>
        <v>0</v>
      </c>
      <c r="AB55" s="56">
        <f t="shared" si="95"/>
        <v>0</v>
      </c>
      <c r="AC55" s="128">
        <v>0</v>
      </c>
      <c r="AD55" s="57">
        <f t="shared" si="96"/>
        <v>0</v>
      </c>
      <c r="AE55" s="57">
        <f t="shared" si="97"/>
        <v>0</v>
      </c>
      <c r="AF55" s="57">
        <f t="shared" si="98"/>
        <v>0</v>
      </c>
      <c r="AG55" s="57">
        <f t="shared" si="99"/>
        <v>0</v>
      </c>
      <c r="AH55" s="56">
        <f t="shared" si="100"/>
        <v>0</v>
      </c>
      <c r="AI55" s="522">
        <v>0</v>
      </c>
      <c r="AJ55" s="516">
        <v>0</v>
      </c>
      <c r="AK55" s="402">
        <f>'הספק קיים ותחזית יצור'!L134-'הספק קיים ותחזית יצור'!L133</f>
        <v>0</v>
      </c>
      <c r="AL55" s="517">
        <v>0</v>
      </c>
      <c r="AM55" s="523">
        <f>'הספק קיים ותחזית יצור'!M134-'הספק קיים ותחזית יצור'!M133</f>
        <v>0</v>
      </c>
      <c r="AN55" s="523">
        <f>'הספק קיים ותחזית יצור'!N134-'הספק קיים ותחזית יצור'!N133</f>
        <v>0</v>
      </c>
      <c r="AO55" s="523">
        <f>'הספק קיים ותחזית יצור'!O134-'הספק קיים ותחזית יצור'!O133</f>
        <v>0</v>
      </c>
      <c r="AP55" s="517">
        <v>0</v>
      </c>
      <c r="AQ55" s="518">
        <f t="shared" si="101"/>
        <v>0</v>
      </c>
      <c r="AR55" s="519">
        <f t="shared" si="102"/>
        <v>0</v>
      </c>
      <c r="AS55" s="520">
        <v>0</v>
      </c>
      <c r="AT55" s="521">
        <f t="shared" si="103"/>
        <v>0</v>
      </c>
      <c r="AU55" s="521">
        <f t="shared" si="104"/>
        <v>0</v>
      </c>
      <c r="AV55" s="521">
        <f t="shared" si="105"/>
        <v>0</v>
      </c>
      <c r="AW55" s="521">
        <f t="shared" si="106"/>
        <v>0</v>
      </c>
      <c r="AX55" s="519">
        <f t="shared" si="107"/>
        <v>0</v>
      </c>
    </row>
    <row r="56" spans="2:50" outlineLevel="1"/>
    <row r="57" spans="2:50" ht="15.75" outlineLevel="1" thickBot="1"/>
    <row r="58" spans="2:50" ht="16.5" outlineLevel="1" thickBot="1">
      <c r="B58" s="1294" t="s">
        <v>388</v>
      </c>
      <c r="C58" s="1243" t="s">
        <v>17</v>
      </c>
      <c r="D58" s="1244"/>
      <c r="E58" s="1244"/>
      <c r="F58" s="1244"/>
      <c r="G58" s="1244"/>
      <c r="H58" s="1244"/>
      <c r="I58" s="1244"/>
      <c r="J58" s="1244"/>
      <c r="K58" s="1244"/>
      <c r="L58" s="1244"/>
      <c r="M58" s="1244"/>
      <c r="N58" s="1244"/>
      <c r="O58" s="1244"/>
      <c r="P58" s="1244"/>
      <c r="Q58" s="1244"/>
      <c r="R58" s="1244"/>
      <c r="S58" s="1244"/>
      <c r="T58" s="1244"/>
      <c r="U58" s="1244"/>
      <c r="V58" s="1244"/>
      <c r="W58" s="1244"/>
      <c r="X58" s="1244"/>
      <c r="Y58" s="1244"/>
      <c r="Z58" s="1244"/>
      <c r="AA58" s="1244"/>
      <c r="AB58" s="1244"/>
      <c r="AC58" s="1244"/>
      <c r="AD58" s="1244"/>
      <c r="AE58" s="1244"/>
      <c r="AF58" s="1244"/>
      <c r="AG58" s="1244"/>
      <c r="AH58" s="1244"/>
      <c r="AI58" s="1244"/>
      <c r="AJ58" s="1244"/>
      <c r="AK58" s="1244"/>
      <c r="AL58" s="1244"/>
      <c r="AM58" s="1244"/>
      <c r="AN58" s="1244"/>
      <c r="AO58" s="1244"/>
      <c r="AP58" s="1244"/>
      <c r="AQ58" s="1244"/>
      <c r="AR58" s="1244"/>
      <c r="AS58" s="1244"/>
      <c r="AT58" s="1244"/>
      <c r="AU58" s="1244"/>
      <c r="AV58" s="1244"/>
      <c r="AW58" s="1244"/>
      <c r="AX58" s="1245"/>
    </row>
    <row r="59" spans="2:50" ht="16.5" outlineLevel="1" thickBot="1">
      <c r="B59" s="1295"/>
      <c r="C59" s="1289" t="s">
        <v>46</v>
      </c>
      <c r="D59" s="1290"/>
      <c r="E59" s="1290"/>
      <c r="F59" s="1290"/>
      <c r="G59" s="1290"/>
      <c r="H59" s="1290"/>
      <c r="I59" s="1290"/>
      <c r="J59" s="1296"/>
      <c r="K59" s="1291" t="s">
        <v>47</v>
      </c>
      <c r="L59" s="1292"/>
      <c r="M59" s="1292"/>
      <c r="N59" s="1292"/>
      <c r="O59" s="1292"/>
      <c r="P59" s="1292"/>
      <c r="Q59" s="1292"/>
      <c r="R59" s="1293"/>
      <c r="S59" s="1289" t="s">
        <v>342</v>
      </c>
      <c r="T59" s="1290"/>
      <c r="U59" s="1290"/>
      <c r="V59" s="1290"/>
      <c r="W59" s="1290"/>
      <c r="X59" s="1290"/>
      <c r="Y59" s="1290"/>
      <c r="Z59" s="1296"/>
      <c r="AA59" s="1291" t="s">
        <v>343</v>
      </c>
      <c r="AB59" s="1292"/>
      <c r="AC59" s="1292"/>
      <c r="AD59" s="1292"/>
      <c r="AE59" s="1292"/>
      <c r="AF59" s="1292"/>
      <c r="AG59" s="1292"/>
      <c r="AH59" s="1293"/>
      <c r="AI59" s="1289" t="s">
        <v>344</v>
      </c>
      <c r="AJ59" s="1290"/>
      <c r="AK59" s="1290"/>
      <c r="AL59" s="1290"/>
      <c r="AM59" s="1290"/>
      <c r="AN59" s="1290"/>
      <c r="AO59" s="1290"/>
      <c r="AP59" s="1296"/>
      <c r="AQ59" s="1291" t="s">
        <v>345</v>
      </c>
      <c r="AR59" s="1292"/>
      <c r="AS59" s="1292"/>
      <c r="AT59" s="1292"/>
      <c r="AU59" s="1292"/>
      <c r="AV59" s="1292"/>
      <c r="AW59" s="1292"/>
      <c r="AX59" s="1293"/>
    </row>
    <row r="60" spans="2:50" ht="32.25" outlineLevel="1" thickBot="1">
      <c r="B60" s="4" t="str">
        <f t="shared" ref="B60:B82" si="108">B6</f>
        <v>שנה</v>
      </c>
      <c r="C60" s="38" t="str">
        <f t="shared" ref="C60:AX60" ca="1" si="109">C6</f>
        <v>גז במחזמים חדשים</v>
      </c>
      <c r="D60" s="38" t="str">
        <f t="shared" ca="1" si="109"/>
        <v>גז בפיקרים חדשים</v>
      </c>
      <c r="E60" s="38" t="str">
        <f t="shared" ca="1" si="109"/>
        <v>מוטה קרקע PV</v>
      </c>
      <c r="F60" s="38" t="str">
        <f t="shared" ca="1" si="109"/>
        <v>מוטה דואלי PV</v>
      </c>
      <c r="G60" s="38" t="str">
        <f t="shared" ca="1" si="109"/>
        <v>רוח</v>
      </c>
      <c r="H60" s="38" t="str">
        <f t="shared" ca="1" si="109"/>
        <v>ביומסה/ביוגז</v>
      </c>
      <c r="I60" s="38" t="str">
        <f t="shared" ca="1" si="109"/>
        <v>תרמו סולארי</v>
      </c>
      <c r="J60" s="38" t="str">
        <f t="shared" ca="1" si="109"/>
        <v>סוללות לית'יום-יון</v>
      </c>
      <c r="K60" s="48" t="str">
        <f t="shared" ca="1" si="109"/>
        <v>גז במחזמים חדשים</v>
      </c>
      <c r="L60" s="48" t="str">
        <f t="shared" ca="1" si="109"/>
        <v>גז בפיקרים חדשים</v>
      </c>
      <c r="M60" s="48" t="str">
        <f t="shared" ca="1" si="109"/>
        <v>מוטה קרקע PV</v>
      </c>
      <c r="N60" s="48" t="str">
        <f t="shared" ca="1" si="109"/>
        <v>מוטה דואלי PV</v>
      </c>
      <c r="O60" s="48" t="str">
        <f t="shared" ca="1" si="109"/>
        <v>רוח</v>
      </c>
      <c r="P60" s="48" t="str">
        <f t="shared" ca="1" si="109"/>
        <v>ביומסה/ביוגז</v>
      </c>
      <c r="Q60" s="48" t="str">
        <f t="shared" ca="1" si="109"/>
        <v>תרמו סולארי</v>
      </c>
      <c r="R60" s="48" t="str">
        <f t="shared" ca="1" si="109"/>
        <v>סוללות לית'יום-יון</v>
      </c>
      <c r="S60" s="38" t="str">
        <f t="shared" ca="1" si="109"/>
        <v>גז במחזמים חדשים</v>
      </c>
      <c r="T60" s="38" t="str">
        <f t="shared" ca="1" si="109"/>
        <v>גז בפיקרים חדשים</v>
      </c>
      <c r="U60" s="38" t="str">
        <f t="shared" ca="1" si="109"/>
        <v>מוטה קרקע PV</v>
      </c>
      <c r="V60" s="38" t="str">
        <f t="shared" ca="1" si="109"/>
        <v>מוטה דואלי PV</v>
      </c>
      <c r="W60" s="38" t="str">
        <f t="shared" ca="1" si="109"/>
        <v>רוח</v>
      </c>
      <c r="X60" s="38" t="str">
        <f t="shared" ca="1" si="109"/>
        <v>ביומסה/ביוגז</v>
      </c>
      <c r="Y60" s="38" t="str">
        <f t="shared" ca="1" si="109"/>
        <v>תרמו סולארי</v>
      </c>
      <c r="Z60" s="38" t="str">
        <f t="shared" ca="1" si="109"/>
        <v>סוללות לית'יום-יון</v>
      </c>
      <c r="AA60" s="48" t="str">
        <f t="shared" ca="1" si="109"/>
        <v>גז במחזמים חדשים</v>
      </c>
      <c r="AB60" s="48" t="str">
        <f t="shared" ca="1" si="109"/>
        <v>גז בפיקרים חדשים</v>
      </c>
      <c r="AC60" s="48" t="str">
        <f t="shared" ca="1" si="109"/>
        <v>מוטה קרקע PV</v>
      </c>
      <c r="AD60" s="48" t="str">
        <f t="shared" ca="1" si="109"/>
        <v>מוטה דואלי PV</v>
      </c>
      <c r="AE60" s="48" t="str">
        <f t="shared" ca="1" si="109"/>
        <v>רוח</v>
      </c>
      <c r="AF60" s="48" t="str">
        <f t="shared" ca="1" si="109"/>
        <v>ביומסה/ביוגז</v>
      </c>
      <c r="AG60" s="48" t="str">
        <f t="shared" ca="1" si="109"/>
        <v>תרמו סולארי</v>
      </c>
      <c r="AH60" s="48" t="str">
        <f t="shared" ca="1" si="109"/>
        <v>סוללות לית'יום-יון</v>
      </c>
      <c r="AI60" s="38" t="str">
        <f t="shared" ca="1" si="109"/>
        <v>גז במחזמים חדשים</v>
      </c>
      <c r="AJ60" s="38" t="str">
        <f t="shared" ca="1" si="109"/>
        <v>גז בפיקרים חדשים</v>
      </c>
      <c r="AK60" s="38" t="str">
        <f t="shared" ca="1" si="109"/>
        <v>מוטה קרקע PV</v>
      </c>
      <c r="AL60" s="38" t="str">
        <f t="shared" ca="1" si="109"/>
        <v>מוטה דואלי PV</v>
      </c>
      <c r="AM60" s="38" t="str">
        <f t="shared" ca="1" si="109"/>
        <v>רוח</v>
      </c>
      <c r="AN60" s="38" t="str">
        <f t="shared" ca="1" si="109"/>
        <v>ביומסה/ביוגז</v>
      </c>
      <c r="AO60" s="38" t="str">
        <f t="shared" ca="1" si="109"/>
        <v>תרמו סולארי</v>
      </c>
      <c r="AP60" s="38" t="str">
        <f t="shared" ca="1" si="109"/>
        <v>סוללות לית'יום-יון</v>
      </c>
      <c r="AQ60" s="48" t="str">
        <f t="shared" ca="1" si="109"/>
        <v>גז במחזמים חדשים</v>
      </c>
      <c r="AR60" s="48" t="str">
        <f t="shared" ca="1" si="109"/>
        <v>גז בפיקרים חדשים</v>
      </c>
      <c r="AS60" s="48" t="str">
        <f t="shared" ca="1" si="109"/>
        <v>מוטה קרקע PV</v>
      </c>
      <c r="AT60" s="48" t="str">
        <f t="shared" ca="1" si="109"/>
        <v>מוטה דואלי PV</v>
      </c>
      <c r="AU60" s="48" t="str">
        <f t="shared" ca="1" si="109"/>
        <v>רוח</v>
      </c>
      <c r="AV60" s="48" t="str">
        <f t="shared" ca="1" si="109"/>
        <v>ביומסה/ביוגז</v>
      </c>
      <c r="AW60" s="48" t="str">
        <f t="shared" ca="1" si="109"/>
        <v>תרמו סולארי</v>
      </c>
      <c r="AX60" s="48" t="str">
        <f t="shared" ca="1" si="109"/>
        <v>סוללות לית'יום-יון</v>
      </c>
    </row>
    <row r="61" spans="2:50" ht="16.5" outlineLevel="1" thickBot="1">
      <c r="B61" s="62" t="str">
        <f t="shared" si="108"/>
        <v>יחידות</v>
      </c>
      <c r="C61" s="38" t="s">
        <v>29</v>
      </c>
      <c r="D61" s="38" t="s">
        <v>29</v>
      </c>
      <c r="E61" s="38" t="s">
        <v>29</v>
      </c>
      <c r="F61" s="38" t="s">
        <v>29</v>
      </c>
      <c r="G61" s="38" t="s">
        <v>29</v>
      </c>
      <c r="H61" s="38" t="s">
        <v>29</v>
      </c>
      <c r="I61" s="38" t="s">
        <v>29</v>
      </c>
      <c r="J61" s="38" t="s">
        <v>29</v>
      </c>
      <c r="K61" s="48" t="s">
        <v>29</v>
      </c>
      <c r="L61" s="48" t="s">
        <v>29</v>
      </c>
      <c r="M61" s="48" t="s">
        <v>29</v>
      </c>
      <c r="N61" s="48" t="s">
        <v>29</v>
      </c>
      <c r="O61" s="48" t="s">
        <v>29</v>
      </c>
      <c r="P61" s="48" t="s">
        <v>29</v>
      </c>
      <c r="Q61" s="48" t="s">
        <v>29</v>
      </c>
      <c r="R61" s="48" t="s">
        <v>29</v>
      </c>
      <c r="S61" s="38" t="s">
        <v>29</v>
      </c>
      <c r="T61" s="38" t="s">
        <v>29</v>
      </c>
      <c r="U61" s="38" t="s">
        <v>29</v>
      </c>
      <c r="V61" s="38" t="s">
        <v>29</v>
      </c>
      <c r="W61" s="38" t="s">
        <v>29</v>
      </c>
      <c r="X61" s="38" t="s">
        <v>29</v>
      </c>
      <c r="Y61" s="38" t="s">
        <v>29</v>
      </c>
      <c r="Z61" s="38" t="s">
        <v>29</v>
      </c>
      <c r="AA61" s="48" t="s">
        <v>29</v>
      </c>
      <c r="AB61" s="48" t="s">
        <v>29</v>
      </c>
      <c r="AC61" s="48" t="s">
        <v>29</v>
      </c>
      <c r="AD61" s="48" t="s">
        <v>29</v>
      </c>
      <c r="AE61" s="48" t="s">
        <v>29</v>
      </c>
      <c r="AF61" s="48" t="s">
        <v>29</v>
      </c>
      <c r="AG61" s="48" t="s">
        <v>29</v>
      </c>
      <c r="AH61" s="48" t="s">
        <v>29</v>
      </c>
      <c r="AI61" s="38" t="s">
        <v>29</v>
      </c>
      <c r="AJ61" s="38" t="s">
        <v>29</v>
      </c>
      <c r="AK61" s="287" t="s">
        <v>29</v>
      </c>
      <c r="AL61" s="38" t="s">
        <v>29</v>
      </c>
      <c r="AM61" s="38" t="s">
        <v>29</v>
      </c>
      <c r="AN61" s="38" t="s">
        <v>29</v>
      </c>
      <c r="AO61" s="38" t="s">
        <v>29</v>
      </c>
      <c r="AP61" s="38" t="s">
        <v>29</v>
      </c>
      <c r="AQ61" s="48" t="s">
        <v>29</v>
      </c>
      <c r="AR61" s="48" t="s">
        <v>29</v>
      </c>
      <c r="AS61" s="48" t="s">
        <v>29</v>
      </c>
      <c r="AT61" s="48" t="s">
        <v>29</v>
      </c>
      <c r="AU61" s="48" t="s">
        <v>29</v>
      </c>
      <c r="AV61" s="48" t="s">
        <v>29</v>
      </c>
      <c r="AW61" s="48" t="s">
        <v>29</v>
      </c>
      <c r="AX61" s="48" t="s">
        <v>29</v>
      </c>
    </row>
    <row r="62" spans="2:50" ht="15.75" outlineLevel="1">
      <c r="B62" s="24">
        <f t="shared" si="108"/>
        <v>2020</v>
      </c>
      <c r="C62" s="39">
        <v>0</v>
      </c>
      <c r="D62" s="63">
        <v>0</v>
      </c>
      <c r="E62" s="178">
        <f>'הספק קיים ותחזית יצור'!J114-'הספק קיים ותחזית יצור'!J113</f>
        <v>1938.6682808157962</v>
      </c>
      <c r="F62" s="41">
        <v>0</v>
      </c>
      <c r="G62" s="400">
        <f>'הספק קיים ותחזית יצור'!M114-'הספק קיים ותחזית יצור'!M113</f>
        <v>8</v>
      </c>
      <c r="H62" s="382">
        <f>'הספק קיים ותחזית יצור'!N114-'הספק קיים ותחזית יצור'!N113</f>
        <v>0</v>
      </c>
      <c r="I62" s="382">
        <f>'הספק קיים ותחזית יצור'!O114-'הספק קיים ותחזית יצור'!O113</f>
        <v>0</v>
      </c>
      <c r="J62" s="41">
        <v>0</v>
      </c>
      <c r="K62" s="49">
        <f t="shared" ref="K62:K82" si="110">C62</f>
        <v>0</v>
      </c>
      <c r="L62" s="50">
        <f t="shared" ref="L62:L82" si="111">D62</f>
        <v>0</v>
      </c>
      <c r="M62" s="126">
        <v>0</v>
      </c>
      <c r="N62" s="51">
        <f t="shared" ref="N62:N82" si="112">E62</f>
        <v>1938.6682808157962</v>
      </c>
      <c r="O62" s="51">
        <f t="shared" ref="O62:O82" si="113">G62</f>
        <v>8</v>
      </c>
      <c r="P62" s="51">
        <f t="shared" ref="P62:P82" si="114">H62</f>
        <v>0</v>
      </c>
      <c r="Q62" s="51">
        <f t="shared" ref="Q62:R82" si="115">I62</f>
        <v>0</v>
      </c>
      <c r="R62" s="269">
        <f t="shared" si="115"/>
        <v>0</v>
      </c>
      <c r="S62" s="39">
        <v>0</v>
      </c>
      <c r="T62" s="63">
        <v>0</v>
      </c>
      <c r="U62" s="178">
        <f>'הספק קיים ותחזית יצור'!K114-'הספק קיים ותחזית יצור'!K113</f>
        <v>1938.6682808157962</v>
      </c>
      <c r="V62" s="41">
        <v>0</v>
      </c>
      <c r="W62" s="400">
        <f>'הספק קיים ותחזית יצור'!M114-'הספק קיים ותחזית יצור'!M113</f>
        <v>8</v>
      </c>
      <c r="X62" s="382">
        <f>'הספק קיים ותחזית יצור'!N114-'הספק קיים ותחזית יצור'!N113</f>
        <v>0</v>
      </c>
      <c r="Y62" s="382">
        <f>'הספק קיים ותחזית יצור'!O114-'הספק קיים ותחזית יצור'!O113</f>
        <v>0</v>
      </c>
      <c r="Z62" s="41">
        <v>0</v>
      </c>
      <c r="AA62" s="49">
        <f t="shared" ref="AA62:AA82" si="116">S62</f>
        <v>0</v>
      </c>
      <c r="AB62" s="50">
        <f t="shared" ref="AB62:AB82" si="117">T62</f>
        <v>0</v>
      </c>
      <c r="AC62" s="126">
        <v>0</v>
      </c>
      <c r="AD62" s="51">
        <f t="shared" ref="AD62:AD82" si="118">U62</f>
        <v>1938.6682808157962</v>
      </c>
      <c r="AE62" s="51">
        <f t="shared" ref="AE62:AE82" si="119">W62</f>
        <v>8</v>
      </c>
      <c r="AF62" s="51">
        <f t="shared" ref="AF62:AF82" si="120">X62</f>
        <v>0</v>
      </c>
      <c r="AG62" s="51">
        <f t="shared" ref="AG62:AH82" si="121">Y62</f>
        <v>0</v>
      </c>
      <c r="AH62" s="269">
        <f t="shared" si="121"/>
        <v>0</v>
      </c>
      <c r="AI62" s="39">
        <v>0</v>
      </c>
      <c r="AJ62" s="63">
        <v>0</v>
      </c>
      <c r="AK62" s="178">
        <f>'הספק קיים ותחזית יצור'!L114-'הספק קיים ותחזית יצור'!L113</f>
        <v>1938.6682808157962</v>
      </c>
      <c r="AL62" s="41">
        <v>0</v>
      </c>
      <c r="AM62" s="382">
        <f>'הספק קיים ותחזית יצור'!M114-'הספק קיים ותחזית יצור'!M113</f>
        <v>8</v>
      </c>
      <c r="AN62" s="382">
        <f>'הספק קיים ותחזית יצור'!N114-'הספק קיים ותחזית יצור'!N113</f>
        <v>0</v>
      </c>
      <c r="AO62" s="382">
        <f>'הספק קיים ותחזית יצור'!O114-'הספק קיים ותחזית יצור'!O113</f>
        <v>0</v>
      </c>
      <c r="AP62" s="41">
        <v>0</v>
      </c>
      <c r="AQ62" s="49">
        <f t="shared" ref="AQ62:AQ82" si="122">AI62</f>
        <v>0</v>
      </c>
      <c r="AR62" s="50">
        <f t="shared" ref="AR62:AR82" si="123">AJ62</f>
        <v>0</v>
      </c>
      <c r="AS62" s="126">
        <v>0</v>
      </c>
      <c r="AT62" s="51">
        <f t="shared" ref="AT62:AT82" si="124">AK62</f>
        <v>1938.6682808157962</v>
      </c>
      <c r="AU62" s="51">
        <f t="shared" ref="AU62:AU82" si="125">AM62</f>
        <v>8</v>
      </c>
      <c r="AV62" s="51">
        <f t="shared" ref="AV62:AV82" si="126">AN62</f>
        <v>0</v>
      </c>
      <c r="AW62" s="51">
        <f t="shared" ref="AW62:AX82" si="127">AO62</f>
        <v>0</v>
      </c>
      <c r="AX62" s="50">
        <f t="shared" si="127"/>
        <v>0</v>
      </c>
    </row>
    <row r="63" spans="2:50" ht="15.75" outlineLevel="1">
      <c r="B63" s="10">
        <f t="shared" si="108"/>
        <v>2021</v>
      </c>
      <c r="C63" s="42">
        <v>0</v>
      </c>
      <c r="D63" s="64">
        <v>0</v>
      </c>
      <c r="E63" s="179">
        <f>'הספק קיים ותחזית יצור'!J115-'הספק קיים ותחזית יצור'!J114</f>
        <v>323.91425072518769</v>
      </c>
      <c r="F63" s="44">
        <v>0</v>
      </c>
      <c r="G63" s="399">
        <f>'הספק קיים ותחזית יצור'!M115-'הספק קיים ותחזית יצור'!M114</f>
        <v>0</v>
      </c>
      <c r="H63" s="399">
        <f>'הספק קיים ותחזית יצור'!N115-'הספק קיים ותחזית יצור'!N114</f>
        <v>30</v>
      </c>
      <c r="I63" s="399">
        <f>'הספק קיים ותחזית יצור'!O115-'הספק קיים ותחזית יצור'!O114</f>
        <v>0</v>
      </c>
      <c r="J63" s="44">
        <v>0</v>
      </c>
      <c r="K63" s="52">
        <f t="shared" si="110"/>
        <v>0</v>
      </c>
      <c r="L63" s="53">
        <f t="shared" si="111"/>
        <v>0</v>
      </c>
      <c r="M63" s="127">
        <v>0</v>
      </c>
      <c r="N63" s="54">
        <f t="shared" si="112"/>
        <v>323.91425072518769</v>
      </c>
      <c r="O63" s="54">
        <f t="shared" si="113"/>
        <v>0</v>
      </c>
      <c r="P63" s="54">
        <f t="shared" si="114"/>
        <v>30</v>
      </c>
      <c r="Q63" s="54">
        <f t="shared" si="115"/>
        <v>0</v>
      </c>
      <c r="R63" s="270">
        <f t="shared" si="115"/>
        <v>0</v>
      </c>
      <c r="S63" s="42">
        <v>0</v>
      </c>
      <c r="T63" s="64">
        <v>0</v>
      </c>
      <c r="U63" s="179">
        <f>'הספק קיים ותחזית יצור'!K115-'הספק קיים ותחזית יצור'!K114</f>
        <v>740.8761744072458</v>
      </c>
      <c r="V63" s="44">
        <v>0</v>
      </c>
      <c r="W63" s="399">
        <f>'הספק קיים ותחזית יצור'!M115-'הספק קיים ותחזית יצור'!M114</f>
        <v>0</v>
      </c>
      <c r="X63" s="399">
        <f>'הספק קיים ותחזית יצור'!N115-'הספק קיים ותחזית יצור'!N114</f>
        <v>30</v>
      </c>
      <c r="Y63" s="399">
        <f>'הספק קיים ותחזית יצור'!O115-'הספק קיים ותחזית יצור'!O114</f>
        <v>0</v>
      </c>
      <c r="Z63" s="44">
        <v>0</v>
      </c>
      <c r="AA63" s="52">
        <f t="shared" si="116"/>
        <v>0</v>
      </c>
      <c r="AB63" s="53">
        <f t="shared" si="117"/>
        <v>0</v>
      </c>
      <c r="AC63" s="127">
        <v>0</v>
      </c>
      <c r="AD63" s="54">
        <f t="shared" si="118"/>
        <v>740.8761744072458</v>
      </c>
      <c r="AE63" s="54">
        <f t="shared" si="119"/>
        <v>0</v>
      </c>
      <c r="AF63" s="54">
        <f t="shared" si="120"/>
        <v>30</v>
      </c>
      <c r="AG63" s="54">
        <f t="shared" si="121"/>
        <v>0</v>
      </c>
      <c r="AH63" s="270">
        <f t="shared" si="121"/>
        <v>0</v>
      </c>
      <c r="AI63" s="42">
        <v>0</v>
      </c>
      <c r="AJ63" s="64">
        <v>0</v>
      </c>
      <c r="AK63" s="179">
        <f>'הספק קיים ותחזית יצור'!L115-'הספק קיים ותחזית יצור'!L114</f>
        <v>972.52168756394576</v>
      </c>
      <c r="AL63" s="44">
        <v>0</v>
      </c>
      <c r="AM63" s="381">
        <f>'הספק קיים ותחזית יצור'!M115-'הספק קיים ותחזית יצור'!M114</f>
        <v>0</v>
      </c>
      <c r="AN63" s="381">
        <f>'הספק קיים ותחזית יצור'!N115-'הספק קיים ותחזית יצור'!N114</f>
        <v>30</v>
      </c>
      <c r="AO63" s="381">
        <f>'הספק קיים ותחזית יצור'!O115-'הספק קיים ותחזית יצור'!O114</f>
        <v>0</v>
      </c>
      <c r="AP63" s="44">
        <v>0</v>
      </c>
      <c r="AQ63" s="52">
        <f t="shared" si="122"/>
        <v>0</v>
      </c>
      <c r="AR63" s="53">
        <f t="shared" si="123"/>
        <v>0</v>
      </c>
      <c r="AS63" s="127">
        <v>0</v>
      </c>
      <c r="AT63" s="54">
        <f t="shared" si="124"/>
        <v>972.52168756394576</v>
      </c>
      <c r="AU63" s="54">
        <f t="shared" si="125"/>
        <v>0</v>
      </c>
      <c r="AV63" s="54">
        <f t="shared" si="126"/>
        <v>30</v>
      </c>
      <c r="AW63" s="54">
        <f t="shared" si="127"/>
        <v>0</v>
      </c>
      <c r="AX63" s="53">
        <f t="shared" si="127"/>
        <v>0</v>
      </c>
    </row>
    <row r="64" spans="2:50" ht="15.75" outlineLevel="1">
      <c r="B64" s="10">
        <f t="shared" si="108"/>
        <v>2022</v>
      </c>
      <c r="C64" s="42">
        <v>1739</v>
      </c>
      <c r="D64" s="64">
        <v>0</v>
      </c>
      <c r="E64" s="179">
        <f>'הספק קיים ותחזית יצור'!J116-'הספק קיים ותחזית יצור'!J115</f>
        <v>114.79847958817481</v>
      </c>
      <c r="F64" s="44">
        <v>0</v>
      </c>
      <c r="G64" s="399">
        <f>'הספק קיים ותחזית יצור'!M116-'הספק קיים ותחזית יצור'!M115</f>
        <v>170</v>
      </c>
      <c r="H64" s="399">
        <f>'הספק קיים ותחזית יצור'!N116-'הספק קיים ותחזית יצור'!N115</f>
        <v>5</v>
      </c>
      <c r="I64" s="399">
        <f>'הספק קיים ותחזית יצור'!O116-'הספק קיים ותחזית יצור'!O115</f>
        <v>0</v>
      </c>
      <c r="J64" s="44">
        <v>344</v>
      </c>
      <c r="K64" s="52">
        <f t="shared" si="110"/>
        <v>1739</v>
      </c>
      <c r="L64" s="53">
        <f t="shared" si="111"/>
        <v>0</v>
      </c>
      <c r="M64" s="127">
        <v>0</v>
      </c>
      <c r="N64" s="54">
        <f t="shared" si="112"/>
        <v>114.79847958817481</v>
      </c>
      <c r="O64" s="54">
        <f t="shared" si="113"/>
        <v>170</v>
      </c>
      <c r="P64" s="54">
        <f t="shared" si="114"/>
        <v>5</v>
      </c>
      <c r="Q64" s="54">
        <f t="shared" si="115"/>
        <v>0</v>
      </c>
      <c r="R64" s="270">
        <f t="shared" si="115"/>
        <v>344</v>
      </c>
      <c r="S64" s="42">
        <v>1739</v>
      </c>
      <c r="T64" s="64">
        <v>0</v>
      </c>
      <c r="U64" s="179">
        <f>'הספק קיים ותחזית יצור'!K116-'הספק קיים ותחזית יצור'!K115</f>
        <v>557.09875473685315</v>
      </c>
      <c r="V64" s="44">
        <v>0</v>
      </c>
      <c r="W64" s="399">
        <f>'הספק קיים ותחזית יצור'!M116-'הספק קיים ותחזית יצור'!M115</f>
        <v>170</v>
      </c>
      <c r="X64" s="399">
        <f>'הספק קיים ותחזית יצור'!N116-'הספק קיים ותחזית יצור'!N115</f>
        <v>5</v>
      </c>
      <c r="Y64" s="399">
        <f>'הספק קיים ותחזית יצור'!O116-'הספק קיים ותחזית יצור'!O115</f>
        <v>0</v>
      </c>
      <c r="Z64" s="44">
        <v>344</v>
      </c>
      <c r="AA64" s="52">
        <f t="shared" si="116"/>
        <v>1739</v>
      </c>
      <c r="AB64" s="53">
        <f t="shared" si="117"/>
        <v>0</v>
      </c>
      <c r="AC64" s="127">
        <v>0</v>
      </c>
      <c r="AD64" s="54">
        <f t="shared" si="118"/>
        <v>557.09875473685315</v>
      </c>
      <c r="AE64" s="54">
        <f t="shared" si="119"/>
        <v>170</v>
      </c>
      <c r="AF64" s="54">
        <f t="shared" si="120"/>
        <v>5</v>
      </c>
      <c r="AG64" s="54">
        <f t="shared" si="121"/>
        <v>0</v>
      </c>
      <c r="AH64" s="270">
        <f t="shared" si="121"/>
        <v>344</v>
      </c>
      <c r="AI64" s="42">
        <v>1739</v>
      </c>
      <c r="AJ64" s="64">
        <v>0</v>
      </c>
      <c r="AK64" s="179">
        <f>'הספק קיים ותחזית יצור'!L116-'הספק קיים ותחזית יצור'!L115</f>
        <v>802.82112981945102</v>
      </c>
      <c r="AL64" s="44">
        <v>0</v>
      </c>
      <c r="AM64" s="381">
        <f>'הספק קיים ותחזית יצור'!M116-'הספק קיים ותחזית יצור'!M115</f>
        <v>170</v>
      </c>
      <c r="AN64" s="381">
        <f>'הספק קיים ותחזית יצור'!N116-'הספק קיים ותחזית יצור'!N115</f>
        <v>5</v>
      </c>
      <c r="AO64" s="381">
        <f>'הספק קיים ותחזית יצור'!O116-'הספק קיים ותחזית יצור'!O115</f>
        <v>0</v>
      </c>
      <c r="AP64" s="44">
        <v>344</v>
      </c>
      <c r="AQ64" s="52">
        <f t="shared" si="122"/>
        <v>1739</v>
      </c>
      <c r="AR64" s="53">
        <f t="shared" si="123"/>
        <v>0</v>
      </c>
      <c r="AS64" s="127">
        <v>0</v>
      </c>
      <c r="AT64" s="54">
        <f t="shared" si="124"/>
        <v>802.82112981945102</v>
      </c>
      <c r="AU64" s="54">
        <f t="shared" si="125"/>
        <v>170</v>
      </c>
      <c r="AV64" s="54">
        <f t="shared" si="126"/>
        <v>5</v>
      </c>
      <c r="AW64" s="54">
        <f t="shared" si="127"/>
        <v>0</v>
      </c>
      <c r="AX64" s="53">
        <f t="shared" si="127"/>
        <v>344</v>
      </c>
    </row>
    <row r="65" spans="2:50" ht="15.75" outlineLevel="1">
      <c r="B65" s="10">
        <f t="shared" si="108"/>
        <v>2023</v>
      </c>
      <c r="C65" s="42">
        <v>0</v>
      </c>
      <c r="D65" s="64">
        <v>650</v>
      </c>
      <c r="E65" s="179">
        <f>'הספק קיים ותחזית יצור'!J117-'הספק קיים ותחזית יצור'!J116</f>
        <v>122.1593918864919</v>
      </c>
      <c r="F65" s="44">
        <v>0</v>
      </c>
      <c r="G65" s="399">
        <f>'הספק קיים ותחזית יצור'!M117-'הספק קיים ותחזית יצור'!M116</f>
        <v>177</v>
      </c>
      <c r="H65" s="399">
        <f>'הספק קיים ותחזית יצור'!N117-'הספק קיים ותחזית יצור'!N116</f>
        <v>5</v>
      </c>
      <c r="I65" s="399">
        <f>'הספק קיים ותחזית יצור'!O117-'הספק קיים ותחזית יצור'!O116</f>
        <v>0</v>
      </c>
      <c r="J65" s="44">
        <v>0</v>
      </c>
      <c r="K65" s="52">
        <f t="shared" si="110"/>
        <v>0</v>
      </c>
      <c r="L65" s="53">
        <f t="shared" si="111"/>
        <v>650</v>
      </c>
      <c r="M65" s="127">
        <v>0</v>
      </c>
      <c r="N65" s="54">
        <f t="shared" si="112"/>
        <v>122.1593918864919</v>
      </c>
      <c r="O65" s="54">
        <f t="shared" si="113"/>
        <v>177</v>
      </c>
      <c r="P65" s="54">
        <f t="shared" si="114"/>
        <v>5</v>
      </c>
      <c r="Q65" s="54">
        <f t="shared" si="115"/>
        <v>0</v>
      </c>
      <c r="R65" s="270">
        <f t="shared" si="115"/>
        <v>0</v>
      </c>
      <c r="S65" s="42">
        <v>0</v>
      </c>
      <c r="T65" s="64">
        <v>650</v>
      </c>
      <c r="U65" s="179">
        <f>'הספק קיים ותחזית יצור'!K117-'הספק קיים ותחזית יצור'!K116</f>
        <v>590.95086326967066</v>
      </c>
      <c r="V65" s="44">
        <v>0</v>
      </c>
      <c r="W65" s="399">
        <f>'הספק קיים ותחזית יצור'!M117-'הספק קיים ותחזית יצור'!M116</f>
        <v>177</v>
      </c>
      <c r="X65" s="399">
        <f>'הספק קיים ותחזית יצור'!N117-'הספק קיים ותחזית יצור'!N116</f>
        <v>5</v>
      </c>
      <c r="Y65" s="399">
        <f>'הספק קיים ותחזית יצור'!O117-'הספק קיים ותחזית יצור'!O116</f>
        <v>0</v>
      </c>
      <c r="Z65" s="44">
        <v>0</v>
      </c>
      <c r="AA65" s="52">
        <f t="shared" si="116"/>
        <v>0</v>
      </c>
      <c r="AB65" s="53">
        <f t="shared" si="117"/>
        <v>650</v>
      </c>
      <c r="AC65" s="127">
        <v>0</v>
      </c>
      <c r="AD65" s="54">
        <f t="shared" si="118"/>
        <v>590.95086326967066</v>
      </c>
      <c r="AE65" s="54">
        <f t="shared" si="119"/>
        <v>177</v>
      </c>
      <c r="AF65" s="54">
        <f t="shared" si="120"/>
        <v>5</v>
      </c>
      <c r="AG65" s="54">
        <f t="shared" si="121"/>
        <v>0</v>
      </c>
      <c r="AH65" s="270">
        <f t="shared" si="121"/>
        <v>0</v>
      </c>
      <c r="AI65" s="42">
        <v>0</v>
      </c>
      <c r="AJ65" s="64">
        <v>650</v>
      </c>
      <c r="AK65" s="179">
        <f>'הספק קיים ותחזית יצור'!L117-'הספק קיים ותחזית יצור'!L116</f>
        <v>851.39056959365917</v>
      </c>
      <c r="AL65" s="44">
        <v>0</v>
      </c>
      <c r="AM65" s="381">
        <f>'הספק קיים ותחזית יצור'!M117-'הספק קיים ותחזית יצור'!M116</f>
        <v>177</v>
      </c>
      <c r="AN65" s="381">
        <f>'הספק קיים ותחזית יצור'!N117-'הספק קיים ותחזית יצור'!N116</f>
        <v>5</v>
      </c>
      <c r="AO65" s="381">
        <f>'הספק קיים ותחזית יצור'!O117-'הספק קיים ותחזית יצור'!O116</f>
        <v>0</v>
      </c>
      <c r="AP65" s="44">
        <v>0</v>
      </c>
      <c r="AQ65" s="52">
        <f t="shared" si="122"/>
        <v>0</v>
      </c>
      <c r="AR65" s="53">
        <f t="shared" si="123"/>
        <v>650</v>
      </c>
      <c r="AS65" s="127">
        <v>0</v>
      </c>
      <c r="AT65" s="54">
        <f t="shared" si="124"/>
        <v>851.39056959365917</v>
      </c>
      <c r="AU65" s="54">
        <f t="shared" si="125"/>
        <v>177</v>
      </c>
      <c r="AV65" s="54">
        <f t="shared" si="126"/>
        <v>5</v>
      </c>
      <c r="AW65" s="54">
        <f t="shared" si="127"/>
        <v>0</v>
      </c>
      <c r="AX65" s="53">
        <f t="shared" si="127"/>
        <v>0</v>
      </c>
    </row>
    <row r="66" spans="2:50" ht="15.75" outlineLevel="1">
      <c r="B66" s="10">
        <f t="shared" si="108"/>
        <v>2024</v>
      </c>
      <c r="C66" s="42">
        <v>200</v>
      </c>
      <c r="D66" s="64">
        <v>0</v>
      </c>
      <c r="E66" s="179">
        <f>'הספק קיים ותחזית יצור'!J118-'הספק קיים ותחזית יצור'!J117</f>
        <v>125.07243332363396</v>
      </c>
      <c r="F66" s="44">
        <v>0</v>
      </c>
      <c r="G66" s="399">
        <f>'הספק קיים ותחזית יצור'!M118-'הספק קיים ותחזית יצור'!M117</f>
        <v>178</v>
      </c>
      <c r="H66" s="399">
        <f>'הספק קיים ותחזית יצור'!N118-'הספק קיים ותחזית יצור'!N117</f>
        <v>5</v>
      </c>
      <c r="I66" s="399">
        <f>'הספק קיים ותחזית יצור'!O118-'הספק קיים ותחזית יצור'!O117</f>
        <v>0</v>
      </c>
      <c r="J66" s="44">
        <v>0</v>
      </c>
      <c r="K66" s="52">
        <f t="shared" si="110"/>
        <v>200</v>
      </c>
      <c r="L66" s="53">
        <f t="shared" si="111"/>
        <v>0</v>
      </c>
      <c r="M66" s="127">
        <v>0</v>
      </c>
      <c r="N66" s="54">
        <f t="shared" si="112"/>
        <v>125.07243332363396</v>
      </c>
      <c r="O66" s="54">
        <f t="shared" si="113"/>
        <v>178</v>
      </c>
      <c r="P66" s="54">
        <f t="shared" si="114"/>
        <v>5</v>
      </c>
      <c r="Q66" s="54">
        <f t="shared" si="115"/>
        <v>0</v>
      </c>
      <c r="R66" s="270">
        <f t="shared" si="115"/>
        <v>0</v>
      </c>
      <c r="S66" s="42">
        <v>200</v>
      </c>
      <c r="T66" s="64">
        <v>0</v>
      </c>
      <c r="U66" s="179">
        <f>'הספק קיים ותחזית יצור'!K118-'הספק קיים ותחזית יצור'!K117</f>
        <v>616.81891586728034</v>
      </c>
      <c r="V66" s="44">
        <v>0</v>
      </c>
      <c r="W66" s="399">
        <f>'הספק קיים ותחזית יצור'!M118-'הספק קיים ותחזית יצור'!M117</f>
        <v>178</v>
      </c>
      <c r="X66" s="399">
        <f>'הספק קיים ותחזית יצור'!N118-'הספק קיים ותחזית יצור'!N117</f>
        <v>5</v>
      </c>
      <c r="Y66" s="399">
        <f>'הספק קיים ותחזית יצור'!O118-'הספק קיים ותחזית יצור'!O117</f>
        <v>0</v>
      </c>
      <c r="Z66" s="44">
        <v>0</v>
      </c>
      <c r="AA66" s="52">
        <f t="shared" si="116"/>
        <v>200</v>
      </c>
      <c r="AB66" s="53">
        <f t="shared" si="117"/>
        <v>0</v>
      </c>
      <c r="AC66" s="127">
        <v>0</v>
      </c>
      <c r="AD66" s="54">
        <f t="shared" si="118"/>
        <v>616.81891586728034</v>
      </c>
      <c r="AE66" s="54">
        <f t="shared" si="119"/>
        <v>178</v>
      </c>
      <c r="AF66" s="54">
        <f t="shared" si="120"/>
        <v>5</v>
      </c>
      <c r="AG66" s="54">
        <f t="shared" si="121"/>
        <v>0</v>
      </c>
      <c r="AH66" s="270">
        <f t="shared" si="121"/>
        <v>0</v>
      </c>
      <c r="AI66" s="42">
        <v>200</v>
      </c>
      <c r="AJ66" s="64">
        <v>0</v>
      </c>
      <c r="AK66" s="179">
        <f>'הספק קיים ותחזית יצור'!L118-'הספק קיים ותחזית יצור'!L117</f>
        <v>890.01140616930752</v>
      </c>
      <c r="AL66" s="44">
        <v>0</v>
      </c>
      <c r="AM66" s="381">
        <f>'הספק קיים ותחזית יצור'!M118-'הספק קיים ותחזית יצור'!M117</f>
        <v>178</v>
      </c>
      <c r="AN66" s="381">
        <f>'הספק קיים ותחזית יצור'!N118-'הספק קיים ותחזית יצור'!N117</f>
        <v>5</v>
      </c>
      <c r="AO66" s="381">
        <f>'הספק קיים ותחזית יצור'!O118-'הספק קיים ותחזית יצור'!O117</f>
        <v>0</v>
      </c>
      <c r="AP66" s="44">
        <v>0</v>
      </c>
      <c r="AQ66" s="52">
        <f t="shared" si="122"/>
        <v>200</v>
      </c>
      <c r="AR66" s="53">
        <f t="shared" si="123"/>
        <v>0</v>
      </c>
      <c r="AS66" s="127">
        <v>0</v>
      </c>
      <c r="AT66" s="54">
        <f t="shared" si="124"/>
        <v>890.01140616930752</v>
      </c>
      <c r="AU66" s="54">
        <f t="shared" si="125"/>
        <v>178</v>
      </c>
      <c r="AV66" s="54">
        <f t="shared" si="126"/>
        <v>5</v>
      </c>
      <c r="AW66" s="54">
        <f t="shared" si="127"/>
        <v>0</v>
      </c>
      <c r="AX66" s="53">
        <f t="shared" si="127"/>
        <v>0</v>
      </c>
    </row>
    <row r="67" spans="2:50" ht="15.75" outlineLevel="1">
      <c r="B67" s="10">
        <f t="shared" si="108"/>
        <v>2025</v>
      </c>
      <c r="C67" s="42">
        <v>0</v>
      </c>
      <c r="D67" s="64">
        <v>0</v>
      </c>
      <c r="E67" s="179">
        <f>'הספק קיים ותחזית יצור'!J119-'הספק קיים ותחזית יצור'!J118</f>
        <v>181.19893508022506</v>
      </c>
      <c r="F67" s="44">
        <v>0</v>
      </c>
      <c r="G67" s="399">
        <f>'הספק קיים ותחזית יצור'!M119-'הספק קיים ותחזית יצור'!M118</f>
        <v>177</v>
      </c>
      <c r="H67" s="399">
        <f>'הספק קיים ותחזית יצור'!N119-'הספק קיים ותחזית יצור'!N118</f>
        <v>5</v>
      </c>
      <c r="I67" s="399">
        <f>'הספק קיים ותחזית יצור'!O119-'הספק קיים ותחזית יצור'!O118</f>
        <v>0</v>
      </c>
      <c r="J67" s="44">
        <v>156</v>
      </c>
      <c r="K67" s="52">
        <f t="shared" si="110"/>
        <v>0</v>
      </c>
      <c r="L67" s="53">
        <f t="shared" si="111"/>
        <v>0</v>
      </c>
      <c r="M67" s="127">
        <v>0</v>
      </c>
      <c r="N67" s="54">
        <f t="shared" si="112"/>
        <v>181.19893508022506</v>
      </c>
      <c r="O67" s="54">
        <f t="shared" si="113"/>
        <v>177</v>
      </c>
      <c r="P67" s="54">
        <f t="shared" si="114"/>
        <v>5</v>
      </c>
      <c r="Q67" s="54">
        <f t="shared" si="115"/>
        <v>0</v>
      </c>
      <c r="R67" s="270">
        <f t="shared" si="115"/>
        <v>156</v>
      </c>
      <c r="S67" s="42">
        <v>0</v>
      </c>
      <c r="T67" s="64">
        <v>0</v>
      </c>
      <c r="U67" s="179">
        <f>'הספק קיים ותחזית יצור'!K119-'הספק קיים ותחזית יצור'!K118</f>
        <v>711.23940972452419</v>
      </c>
      <c r="V67" s="44">
        <v>0</v>
      </c>
      <c r="W67" s="399">
        <f>'הספק קיים ותחזית יצור'!M119-'הספק קיים ותחזית יצור'!M118</f>
        <v>177</v>
      </c>
      <c r="X67" s="399">
        <f>'הספק קיים ותחזית יצור'!N119-'הספק קיים ותחזית יצור'!N118</f>
        <v>5</v>
      </c>
      <c r="Y67" s="399">
        <f>'הספק קיים ותחזית יצור'!O119-'הספק קיים ותחזית יצור'!O118</f>
        <v>0</v>
      </c>
      <c r="Z67" s="44">
        <v>156</v>
      </c>
      <c r="AA67" s="52">
        <f t="shared" si="116"/>
        <v>0</v>
      </c>
      <c r="AB67" s="53">
        <f t="shared" si="117"/>
        <v>0</v>
      </c>
      <c r="AC67" s="127">
        <v>0</v>
      </c>
      <c r="AD67" s="54">
        <f t="shared" si="118"/>
        <v>711.23940972452419</v>
      </c>
      <c r="AE67" s="54">
        <f t="shared" si="119"/>
        <v>177</v>
      </c>
      <c r="AF67" s="54">
        <f t="shared" si="120"/>
        <v>5</v>
      </c>
      <c r="AG67" s="54">
        <f t="shared" si="121"/>
        <v>0</v>
      </c>
      <c r="AH67" s="270">
        <f t="shared" si="121"/>
        <v>156</v>
      </c>
      <c r="AI67" s="42">
        <v>0</v>
      </c>
      <c r="AJ67" s="64">
        <v>0</v>
      </c>
      <c r="AK67" s="179">
        <f>'הספק קיים ותחזית יצור'!L119-'הספק קיים ותחזית יצור'!L118</f>
        <v>1005.7063400824682</v>
      </c>
      <c r="AL67" s="44">
        <v>0</v>
      </c>
      <c r="AM67" s="381">
        <f>'הספק קיים ותחזית יצור'!M119-'הספק קיים ותחזית יצור'!M118</f>
        <v>177</v>
      </c>
      <c r="AN67" s="381">
        <f>'הספק קיים ותחזית יצור'!N119-'הספק קיים ותחזית יצור'!N118</f>
        <v>5</v>
      </c>
      <c r="AO67" s="381">
        <f>'הספק קיים ותחזית יצור'!O119-'הספק קיים ותחזית יצור'!O118</f>
        <v>0</v>
      </c>
      <c r="AP67" s="44">
        <v>156</v>
      </c>
      <c r="AQ67" s="52">
        <f t="shared" si="122"/>
        <v>0</v>
      </c>
      <c r="AR67" s="53">
        <f t="shared" si="123"/>
        <v>0</v>
      </c>
      <c r="AS67" s="127">
        <v>0</v>
      </c>
      <c r="AT67" s="54">
        <f t="shared" si="124"/>
        <v>1005.7063400824682</v>
      </c>
      <c r="AU67" s="54">
        <f t="shared" si="125"/>
        <v>177</v>
      </c>
      <c r="AV67" s="54">
        <f t="shared" si="126"/>
        <v>5</v>
      </c>
      <c r="AW67" s="54">
        <f t="shared" si="127"/>
        <v>0</v>
      </c>
      <c r="AX67" s="53">
        <f t="shared" si="127"/>
        <v>156</v>
      </c>
    </row>
    <row r="68" spans="2:50" ht="15.75" outlineLevel="1">
      <c r="B68" s="10">
        <f t="shared" si="108"/>
        <v>2026</v>
      </c>
      <c r="C68" s="42">
        <v>0</v>
      </c>
      <c r="D68" s="64">
        <v>0</v>
      </c>
      <c r="E68" s="179">
        <f>'הספק קיים ותחזית יצור'!J120-'הספק קיים ותחזית יצור'!J119</f>
        <v>619.03221265441971</v>
      </c>
      <c r="F68" s="44">
        <v>0</v>
      </c>
      <c r="G68" s="399">
        <f>'הספק קיים ותחזית יצור'!M120-'הספק קיים ותחזית יצור'!M119</f>
        <v>0</v>
      </c>
      <c r="H68" s="399">
        <f>'הספק קיים ותחזית יצור'!N120-'הספק קיים ותחזית יצור'!N119</f>
        <v>5</v>
      </c>
      <c r="I68" s="399">
        <f>'הספק קיים ותחזית יצור'!O120-'הספק קיים ותחזית יצור'!O119</f>
        <v>0</v>
      </c>
      <c r="J68" s="44">
        <v>0</v>
      </c>
      <c r="K68" s="52">
        <f t="shared" si="110"/>
        <v>0</v>
      </c>
      <c r="L68" s="53">
        <f t="shared" si="111"/>
        <v>0</v>
      </c>
      <c r="M68" s="127">
        <v>0</v>
      </c>
      <c r="N68" s="54">
        <f t="shared" si="112"/>
        <v>619.03221265441971</v>
      </c>
      <c r="O68" s="54">
        <f t="shared" si="113"/>
        <v>0</v>
      </c>
      <c r="P68" s="54">
        <f t="shared" si="114"/>
        <v>5</v>
      </c>
      <c r="Q68" s="54">
        <f t="shared" si="115"/>
        <v>0</v>
      </c>
      <c r="R68" s="270">
        <f t="shared" si="115"/>
        <v>0</v>
      </c>
      <c r="S68" s="42">
        <v>450</v>
      </c>
      <c r="T68" s="64">
        <v>0</v>
      </c>
      <c r="U68" s="179">
        <f>'הספק קיים ותחזית יצור'!K120-'הספק קיים ותחזית יצור'!K119</f>
        <v>1068.5447022433837</v>
      </c>
      <c r="V68" s="44">
        <v>0</v>
      </c>
      <c r="W68" s="399">
        <f>'הספק קיים ותחזית יצור'!M120-'הספק קיים ותחזית יצור'!M119</f>
        <v>0</v>
      </c>
      <c r="X68" s="399">
        <f>'הספק קיים ותחזית יצור'!N120-'הספק קיים ותחזית יצור'!N119</f>
        <v>5</v>
      </c>
      <c r="Y68" s="399">
        <f>'הספק קיים ותחזית יצור'!O120-'הספק קיים ותחזית יצור'!O119</f>
        <v>0</v>
      </c>
      <c r="Z68" s="44">
        <v>0</v>
      </c>
      <c r="AA68" s="52">
        <f t="shared" si="116"/>
        <v>450</v>
      </c>
      <c r="AB68" s="53">
        <f t="shared" si="117"/>
        <v>0</v>
      </c>
      <c r="AC68" s="127">
        <v>0</v>
      </c>
      <c r="AD68" s="54">
        <f t="shared" si="118"/>
        <v>1068.5447022433837</v>
      </c>
      <c r="AE68" s="54">
        <f t="shared" si="119"/>
        <v>0</v>
      </c>
      <c r="AF68" s="54">
        <f t="shared" si="120"/>
        <v>5</v>
      </c>
      <c r="AG68" s="54">
        <f t="shared" si="121"/>
        <v>0</v>
      </c>
      <c r="AH68" s="270">
        <f t="shared" si="121"/>
        <v>0</v>
      </c>
      <c r="AI68" s="42">
        <v>0</v>
      </c>
      <c r="AJ68" s="64">
        <v>0</v>
      </c>
      <c r="AK68" s="179">
        <f>'הספק קיים ותחזית יצור'!L120-'הספק קיים ותחזית יצור'!L119</f>
        <v>1377.2273289442073</v>
      </c>
      <c r="AL68" s="44">
        <v>0</v>
      </c>
      <c r="AM68" s="381">
        <f>'הספק קיים ותחזית יצור'!M120-'הספק קיים ותחזית יצור'!M119</f>
        <v>0</v>
      </c>
      <c r="AN68" s="381">
        <f>'הספק קיים ותחזית יצור'!N120-'הספק קיים ותחזית יצור'!N119</f>
        <v>5</v>
      </c>
      <c r="AO68" s="381">
        <f>'הספק קיים ותחזית יצור'!O120-'הספק קיים ותחזית יצור'!O119</f>
        <v>0</v>
      </c>
      <c r="AP68" s="44">
        <v>0</v>
      </c>
      <c r="AQ68" s="52">
        <f t="shared" si="122"/>
        <v>0</v>
      </c>
      <c r="AR68" s="53">
        <f t="shared" si="123"/>
        <v>0</v>
      </c>
      <c r="AS68" s="127">
        <v>0</v>
      </c>
      <c r="AT68" s="54">
        <f t="shared" si="124"/>
        <v>1377.2273289442073</v>
      </c>
      <c r="AU68" s="54">
        <f t="shared" si="125"/>
        <v>0</v>
      </c>
      <c r="AV68" s="54">
        <f t="shared" si="126"/>
        <v>5</v>
      </c>
      <c r="AW68" s="54">
        <f t="shared" si="127"/>
        <v>0</v>
      </c>
      <c r="AX68" s="53">
        <f t="shared" si="127"/>
        <v>0</v>
      </c>
    </row>
    <row r="69" spans="2:50" ht="15.75" outlineLevel="1">
      <c r="B69" s="10">
        <f t="shared" si="108"/>
        <v>2027</v>
      </c>
      <c r="C69" s="42">
        <v>450</v>
      </c>
      <c r="D69" s="64">
        <v>0</v>
      </c>
      <c r="E69" s="179">
        <f>'הספק קיים ותחזית יצור'!J121-'הספק קיים ותחזית יצור'!J120</f>
        <v>651.56146328788145</v>
      </c>
      <c r="F69" s="44">
        <v>0</v>
      </c>
      <c r="G69" s="399">
        <f>'הספק קיים ותחזית יצור'!M121-'הספק קיים ותחזית יצור'!M120</f>
        <v>0</v>
      </c>
      <c r="H69" s="399">
        <f>'הספק קיים ותחזית יצור'!N121-'הספק קיים ותחזית יצור'!N120</f>
        <v>5</v>
      </c>
      <c r="I69" s="399">
        <f>'הספק קיים ותחזית יצור'!O121-'הספק קיים ותחזית יצור'!O120</f>
        <v>0</v>
      </c>
      <c r="J69" s="44">
        <v>0</v>
      </c>
      <c r="K69" s="52">
        <f t="shared" si="110"/>
        <v>450</v>
      </c>
      <c r="L69" s="53">
        <f t="shared" si="111"/>
        <v>0</v>
      </c>
      <c r="M69" s="127">
        <v>0</v>
      </c>
      <c r="N69" s="54">
        <f t="shared" si="112"/>
        <v>651.56146328788145</v>
      </c>
      <c r="O69" s="54">
        <f t="shared" si="113"/>
        <v>0</v>
      </c>
      <c r="P69" s="54">
        <f t="shared" si="114"/>
        <v>5</v>
      </c>
      <c r="Q69" s="54">
        <f t="shared" si="115"/>
        <v>0</v>
      </c>
      <c r="R69" s="270">
        <f t="shared" si="115"/>
        <v>0</v>
      </c>
      <c r="S69" s="42">
        <v>450</v>
      </c>
      <c r="T69" s="64">
        <v>0</v>
      </c>
      <c r="U69" s="179">
        <f>'הספק קיים ותחזית יצור'!K121-'הספק קיים ותחזית יצור'!K120</f>
        <v>1126.1423771989448</v>
      </c>
      <c r="V69" s="44">
        <v>0</v>
      </c>
      <c r="W69" s="399">
        <f>'הספק קיים ותחזית יצור'!M121-'הספק קיים ותחזית יצור'!M120</f>
        <v>0</v>
      </c>
      <c r="X69" s="399">
        <f>'הספק קיים ותחזית יצור'!N121-'הספק קיים ותחזית יצור'!N120</f>
        <v>5</v>
      </c>
      <c r="Y69" s="399">
        <f>'הספק קיים ותחזית יצור'!O121-'הספק קיים ותחזית יצור'!O120</f>
        <v>0</v>
      </c>
      <c r="Z69" s="44">
        <v>0</v>
      </c>
      <c r="AA69" s="52">
        <f t="shared" si="116"/>
        <v>450</v>
      </c>
      <c r="AB69" s="53">
        <f t="shared" si="117"/>
        <v>0</v>
      </c>
      <c r="AC69" s="127">
        <v>0</v>
      </c>
      <c r="AD69" s="54">
        <f t="shared" si="118"/>
        <v>1126.1423771989448</v>
      </c>
      <c r="AE69" s="54">
        <f t="shared" si="119"/>
        <v>0</v>
      </c>
      <c r="AF69" s="54">
        <f t="shared" si="120"/>
        <v>5</v>
      </c>
      <c r="AG69" s="54">
        <f t="shared" si="121"/>
        <v>0</v>
      </c>
      <c r="AH69" s="270">
        <f t="shared" si="121"/>
        <v>0</v>
      </c>
      <c r="AI69" s="42">
        <v>450</v>
      </c>
      <c r="AJ69" s="64">
        <v>0</v>
      </c>
      <c r="AK69" s="179">
        <f>'הספק קיים ותחזית יצור'!L121-'הספק קיים ותחזית יצור'!L120</f>
        <v>1452.3681486045189</v>
      </c>
      <c r="AL69" s="44">
        <v>0</v>
      </c>
      <c r="AM69" s="381">
        <f>'הספק קיים ותחזית יצור'!M121-'הספק קיים ותחזית יצור'!M120</f>
        <v>0</v>
      </c>
      <c r="AN69" s="381">
        <f>'הספק קיים ותחזית יצור'!N121-'הספק קיים ותחזית יצור'!N120</f>
        <v>5</v>
      </c>
      <c r="AO69" s="381">
        <f>'הספק קיים ותחזית יצור'!O121-'הספק קיים ותחזית יצור'!O120</f>
        <v>0</v>
      </c>
      <c r="AP69" s="44">
        <v>0</v>
      </c>
      <c r="AQ69" s="52">
        <f t="shared" si="122"/>
        <v>450</v>
      </c>
      <c r="AR69" s="53">
        <f t="shared" si="123"/>
        <v>0</v>
      </c>
      <c r="AS69" s="127">
        <v>0</v>
      </c>
      <c r="AT69" s="54">
        <f t="shared" si="124"/>
        <v>1452.3681486045189</v>
      </c>
      <c r="AU69" s="54">
        <f t="shared" si="125"/>
        <v>0</v>
      </c>
      <c r="AV69" s="54">
        <f t="shared" si="126"/>
        <v>5</v>
      </c>
      <c r="AW69" s="54">
        <f t="shared" si="127"/>
        <v>0</v>
      </c>
      <c r="AX69" s="53">
        <f t="shared" si="127"/>
        <v>0</v>
      </c>
    </row>
    <row r="70" spans="2:50" ht="15.75" outlineLevel="1">
      <c r="B70" s="10">
        <f t="shared" si="108"/>
        <v>2028</v>
      </c>
      <c r="C70" s="64">
        <f>466+450</f>
        <v>916</v>
      </c>
      <c r="D70" s="64">
        <v>0</v>
      </c>
      <c r="E70" s="179">
        <f>'הספק קיים ותחזית יצור'!J122-'הספק קיים ותחזית יצור'!J121</f>
        <v>662.48868657758612</v>
      </c>
      <c r="F70" s="44">
        <v>0</v>
      </c>
      <c r="G70" s="399">
        <f>'הספק קיים ותחזית יצור'!M122-'הספק קיים ותחזית יצור'!M121</f>
        <v>0</v>
      </c>
      <c r="H70" s="399">
        <f>'הספק קיים ותחזית יצור'!N122-'הספק קיים ותחזית יצור'!N121</f>
        <v>5</v>
      </c>
      <c r="I70" s="399">
        <f>'הספק קיים ותחזית יצור'!O122-'הספק קיים ותחזית יצור'!O121</f>
        <v>0</v>
      </c>
      <c r="J70" s="44">
        <v>0</v>
      </c>
      <c r="K70" s="52">
        <f t="shared" si="110"/>
        <v>916</v>
      </c>
      <c r="L70" s="53">
        <f t="shared" si="111"/>
        <v>0</v>
      </c>
      <c r="M70" s="127">
        <v>0</v>
      </c>
      <c r="N70" s="54">
        <f t="shared" si="112"/>
        <v>662.48868657758612</v>
      </c>
      <c r="O70" s="54">
        <f t="shared" si="113"/>
        <v>0</v>
      </c>
      <c r="P70" s="54">
        <f t="shared" si="114"/>
        <v>5</v>
      </c>
      <c r="Q70" s="54">
        <f t="shared" si="115"/>
        <v>0</v>
      </c>
      <c r="R70" s="270">
        <f t="shared" si="115"/>
        <v>0</v>
      </c>
      <c r="S70" s="64">
        <v>0</v>
      </c>
      <c r="T70" s="64">
        <v>226</v>
      </c>
      <c r="U70" s="179">
        <f>'הספק קיים ותחזית יצור'!K122-'הספק קיים ותחזית יצור'!K121</f>
        <v>1153.3928620654169</v>
      </c>
      <c r="V70" s="44">
        <v>0</v>
      </c>
      <c r="W70" s="399">
        <f>'הספק קיים ותחזית יצור'!M122-'הספק קיים ותחזית יצור'!M121</f>
        <v>0</v>
      </c>
      <c r="X70" s="399">
        <f>'הספק קיים ותחזית יצור'!N122-'הספק קיים ותחזית יצור'!N121</f>
        <v>5</v>
      </c>
      <c r="Y70" s="399">
        <f>'הספק קיים ותחזית יצור'!O122-'הספק קיים ותחזית יצור'!O121</f>
        <v>0</v>
      </c>
      <c r="Z70" s="44">
        <v>0</v>
      </c>
      <c r="AA70" s="52">
        <f t="shared" si="116"/>
        <v>0</v>
      </c>
      <c r="AB70" s="53">
        <f t="shared" si="117"/>
        <v>226</v>
      </c>
      <c r="AC70" s="127">
        <v>0</v>
      </c>
      <c r="AD70" s="54">
        <f t="shared" si="118"/>
        <v>1153.3928620654169</v>
      </c>
      <c r="AE70" s="54">
        <f t="shared" si="119"/>
        <v>0</v>
      </c>
      <c r="AF70" s="54">
        <f t="shared" si="120"/>
        <v>5</v>
      </c>
      <c r="AG70" s="54">
        <f t="shared" si="121"/>
        <v>0</v>
      </c>
      <c r="AH70" s="270">
        <f t="shared" si="121"/>
        <v>0</v>
      </c>
      <c r="AI70" s="42">
        <v>450</v>
      </c>
      <c r="AJ70" s="64">
        <v>226</v>
      </c>
      <c r="AK70" s="179">
        <f>'הספק קיים ותחזית יצור'!L122-'הספק קיים ותחזית יצור'!L121</f>
        <v>1491.9704656881022</v>
      </c>
      <c r="AL70" s="44">
        <v>0</v>
      </c>
      <c r="AM70" s="381">
        <f>'הספק קיים ותחזית יצור'!M122-'הספק קיים ותחזית יצור'!M121</f>
        <v>0</v>
      </c>
      <c r="AN70" s="381">
        <f>'הספק קיים ותחזית יצור'!N122-'הספק קיים ותחזית יצור'!N121</f>
        <v>5</v>
      </c>
      <c r="AO70" s="381">
        <f>'הספק קיים ותחזית יצור'!O122-'הספק קיים ותחזית יצור'!O121</f>
        <v>0</v>
      </c>
      <c r="AP70" s="44">
        <v>0</v>
      </c>
      <c r="AQ70" s="52">
        <f t="shared" si="122"/>
        <v>450</v>
      </c>
      <c r="AR70" s="53">
        <f t="shared" si="123"/>
        <v>226</v>
      </c>
      <c r="AS70" s="127">
        <v>0</v>
      </c>
      <c r="AT70" s="54">
        <f t="shared" si="124"/>
        <v>1491.9704656881022</v>
      </c>
      <c r="AU70" s="54">
        <f t="shared" si="125"/>
        <v>0</v>
      </c>
      <c r="AV70" s="54">
        <f t="shared" si="126"/>
        <v>5</v>
      </c>
      <c r="AW70" s="54">
        <f t="shared" si="127"/>
        <v>0</v>
      </c>
      <c r="AX70" s="53">
        <f t="shared" si="127"/>
        <v>0</v>
      </c>
    </row>
    <row r="71" spans="2:50" ht="15.75" outlineLevel="1">
      <c r="B71" s="10">
        <f t="shared" si="108"/>
        <v>2029</v>
      </c>
      <c r="C71" s="64">
        <v>466</v>
      </c>
      <c r="D71" s="64">
        <v>0</v>
      </c>
      <c r="E71" s="179">
        <f>'הספק קיים ותחזית יצור'!J123-'הספק קיים ותחזית יצור'!J122</f>
        <v>743.82022164536647</v>
      </c>
      <c r="F71" s="44">
        <v>0</v>
      </c>
      <c r="G71" s="399">
        <f>'הספק קיים ותחזית יצור'!M123-'הספק קיים ותחזית יצור'!M122</f>
        <v>0</v>
      </c>
      <c r="H71" s="399">
        <f>'הספק קיים ותחזית יצור'!N123-'הספק קיים ותחזית יצור'!N122</f>
        <v>5</v>
      </c>
      <c r="I71" s="399">
        <f>'הספק קיים ותחזית יצור'!O123-'הספק קיים ותחזית יצור'!O122</f>
        <v>0</v>
      </c>
      <c r="J71" s="44">
        <v>0</v>
      </c>
      <c r="K71" s="52">
        <f t="shared" si="110"/>
        <v>466</v>
      </c>
      <c r="L71" s="53">
        <f t="shared" si="111"/>
        <v>0</v>
      </c>
      <c r="M71" s="127">
        <v>0</v>
      </c>
      <c r="N71" s="54">
        <f t="shared" si="112"/>
        <v>743.82022164536647</v>
      </c>
      <c r="O71" s="54">
        <f t="shared" si="113"/>
        <v>0</v>
      </c>
      <c r="P71" s="54">
        <f t="shared" si="114"/>
        <v>5</v>
      </c>
      <c r="Q71" s="54">
        <f t="shared" si="115"/>
        <v>0</v>
      </c>
      <c r="R71" s="270">
        <f t="shared" si="115"/>
        <v>0</v>
      </c>
      <c r="S71" s="64">
        <v>466</v>
      </c>
      <c r="T71" s="64">
        <v>113</v>
      </c>
      <c r="U71" s="179">
        <f>'הספק קיים ותחזית יצור'!K123-'הספק קיים ותחזית יצור'!K122</f>
        <v>1281.7580523680226</v>
      </c>
      <c r="V71" s="44">
        <v>0</v>
      </c>
      <c r="W71" s="399">
        <f>'הספק קיים ותחזית יצור'!M123-'הספק קיים ותחזית יצור'!M122</f>
        <v>0</v>
      </c>
      <c r="X71" s="399">
        <f>'הספק קיים ותחזית יצור'!N123-'הספק קיים ותחזית יצור'!N122</f>
        <v>5</v>
      </c>
      <c r="Y71" s="399">
        <f>'הספק קיים ותחזית יצור'!O123-'הספק קיים ותחזית יצור'!O122</f>
        <v>0</v>
      </c>
      <c r="Z71" s="44">
        <v>0</v>
      </c>
      <c r="AA71" s="52">
        <f t="shared" si="116"/>
        <v>466</v>
      </c>
      <c r="AB71" s="53">
        <f t="shared" si="117"/>
        <v>113</v>
      </c>
      <c r="AC71" s="127">
        <v>0</v>
      </c>
      <c r="AD71" s="54">
        <f t="shared" si="118"/>
        <v>1281.7580523680226</v>
      </c>
      <c r="AE71" s="54">
        <f t="shared" si="119"/>
        <v>0</v>
      </c>
      <c r="AF71" s="54">
        <f t="shared" si="120"/>
        <v>5</v>
      </c>
      <c r="AG71" s="54">
        <f t="shared" si="121"/>
        <v>0</v>
      </c>
      <c r="AH71" s="270">
        <f t="shared" si="121"/>
        <v>0</v>
      </c>
      <c r="AI71" s="42">
        <v>466</v>
      </c>
      <c r="AJ71" s="64">
        <v>0</v>
      </c>
      <c r="AK71" s="179">
        <f>'הספק קיים ותחזית יצור'!L123-'הספק קיים ותחזית יצור'!L122</f>
        <v>1651.413781948213</v>
      </c>
      <c r="AL71" s="44">
        <v>0</v>
      </c>
      <c r="AM71" s="381">
        <f>'הספק קיים ותחזית יצור'!M123-'הספק קיים ותחזית יצור'!M122</f>
        <v>0</v>
      </c>
      <c r="AN71" s="381">
        <f>'הספק קיים ותחזית יצור'!N123-'הספק קיים ותחזית יצור'!N122</f>
        <v>5</v>
      </c>
      <c r="AO71" s="381">
        <f>'הספק קיים ותחזית יצור'!O123-'הספק קיים ותחזית יצור'!O122</f>
        <v>0</v>
      </c>
      <c r="AP71" s="44">
        <v>0</v>
      </c>
      <c r="AQ71" s="52">
        <f t="shared" si="122"/>
        <v>466</v>
      </c>
      <c r="AR71" s="53">
        <f t="shared" si="123"/>
        <v>0</v>
      </c>
      <c r="AS71" s="127">
        <v>0</v>
      </c>
      <c r="AT71" s="54">
        <f t="shared" si="124"/>
        <v>1651.413781948213</v>
      </c>
      <c r="AU71" s="54">
        <f t="shared" si="125"/>
        <v>0</v>
      </c>
      <c r="AV71" s="54">
        <f t="shared" si="126"/>
        <v>5</v>
      </c>
      <c r="AW71" s="54">
        <f t="shared" si="127"/>
        <v>0</v>
      </c>
      <c r="AX71" s="53">
        <f t="shared" si="127"/>
        <v>0</v>
      </c>
    </row>
    <row r="72" spans="2:50" ht="15.75" outlineLevel="1">
      <c r="B72" s="10">
        <f t="shared" si="108"/>
        <v>2030</v>
      </c>
      <c r="C72" s="64">
        <v>932</v>
      </c>
      <c r="D72" s="64">
        <v>113</v>
      </c>
      <c r="E72" s="179">
        <f>'הספק קיים ותחזית יצור'!J124-'הספק קיים ותחזית יצור'!J123</f>
        <v>758.00809086056142</v>
      </c>
      <c r="F72" s="44">
        <v>0</v>
      </c>
      <c r="G72" s="399">
        <f>'הספק קיים ותחזית יצור'!M124-'הספק קיים ותחזית יצור'!M123</f>
        <v>0</v>
      </c>
      <c r="H72" s="399">
        <f>'הספק קיים ותחזית יצור'!N124-'הספק קיים ותחזית יצור'!N123</f>
        <v>5</v>
      </c>
      <c r="I72" s="399">
        <f>'הספק קיים ותחזית יצור'!O124-'הספק קיים ותחזית יצור'!O123</f>
        <v>0</v>
      </c>
      <c r="J72" s="44">
        <v>0</v>
      </c>
      <c r="K72" s="52">
        <f t="shared" si="110"/>
        <v>932</v>
      </c>
      <c r="L72" s="53">
        <f t="shared" si="111"/>
        <v>113</v>
      </c>
      <c r="M72" s="127">
        <v>0</v>
      </c>
      <c r="N72" s="54">
        <f t="shared" si="112"/>
        <v>758.00809086056142</v>
      </c>
      <c r="O72" s="54">
        <f t="shared" si="113"/>
        <v>0</v>
      </c>
      <c r="P72" s="54">
        <f t="shared" si="114"/>
        <v>5</v>
      </c>
      <c r="Q72" s="54">
        <f t="shared" si="115"/>
        <v>0</v>
      </c>
      <c r="R72" s="270">
        <f t="shared" si="115"/>
        <v>0</v>
      </c>
      <c r="S72" s="64">
        <v>932</v>
      </c>
      <c r="T72" s="64">
        <v>113</v>
      </c>
      <c r="U72" s="179">
        <f>'הספק קיים ותחזית יצור'!K124-'הספק קיים ותחזית יצור'!K123</f>
        <v>1314.770052156533</v>
      </c>
      <c r="V72" s="44">
        <v>0</v>
      </c>
      <c r="W72" s="399">
        <f>'הספק קיים ותחזית יצור'!M124-'הספק קיים ותחזית יצור'!M123</f>
        <v>0</v>
      </c>
      <c r="X72" s="399">
        <f>'הספק קיים ותחזית יצור'!N124-'הספק קיים ותחזית יצור'!N123</f>
        <v>5</v>
      </c>
      <c r="Y72" s="399">
        <f>'הספק קיים ותחזית יצור'!O124-'הספק קיים ותחזית יצור'!O123</f>
        <v>0</v>
      </c>
      <c r="Z72" s="44">
        <v>0</v>
      </c>
      <c r="AA72" s="52">
        <f t="shared" si="116"/>
        <v>932</v>
      </c>
      <c r="AB72" s="53">
        <f t="shared" si="117"/>
        <v>113</v>
      </c>
      <c r="AC72" s="127">
        <v>0</v>
      </c>
      <c r="AD72" s="54">
        <f t="shared" si="118"/>
        <v>1314.770052156533</v>
      </c>
      <c r="AE72" s="54">
        <f t="shared" si="119"/>
        <v>0</v>
      </c>
      <c r="AF72" s="54">
        <f t="shared" si="120"/>
        <v>5</v>
      </c>
      <c r="AG72" s="54">
        <f t="shared" si="121"/>
        <v>0</v>
      </c>
      <c r="AH72" s="270">
        <f t="shared" si="121"/>
        <v>0</v>
      </c>
      <c r="AI72" s="42">
        <v>466</v>
      </c>
      <c r="AJ72" s="64">
        <v>565</v>
      </c>
      <c r="AK72" s="179">
        <f>'הספק קיים ותחזית יצור'!L124-'הספק קיים ותחזית יצור'!L123</f>
        <v>1698.5273571395901</v>
      </c>
      <c r="AL72" s="44">
        <v>0</v>
      </c>
      <c r="AM72" s="381">
        <f>'הספק קיים ותחזית יצור'!M124-'הספק קיים ותחזית יצור'!M123</f>
        <v>0</v>
      </c>
      <c r="AN72" s="381">
        <f>'הספק קיים ותחזית יצור'!N124-'הספק קיים ותחזית יצור'!N123</f>
        <v>5</v>
      </c>
      <c r="AO72" s="381">
        <f>'הספק קיים ותחזית יצור'!O124-'הספק קיים ותחזית יצור'!O123</f>
        <v>0</v>
      </c>
      <c r="AP72" s="44">
        <v>200</v>
      </c>
      <c r="AQ72" s="52">
        <f t="shared" si="122"/>
        <v>466</v>
      </c>
      <c r="AR72" s="53">
        <f t="shared" si="123"/>
        <v>565</v>
      </c>
      <c r="AS72" s="127">
        <v>0</v>
      </c>
      <c r="AT72" s="54">
        <f t="shared" si="124"/>
        <v>1698.5273571395901</v>
      </c>
      <c r="AU72" s="54">
        <f t="shared" si="125"/>
        <v>0</v>
      </c>
      <c r="AV72" s="54">
        <f t="shared" si="126"/>
        <v>5</v>
      </c>
      <c r="AW72" s="54">
        <f t="shared" si="127"/>
        <v>0</v>
      </c>
      <c r="AX72" s="53">
        <f t="shared" si="127"/>
        <v>200</v>
      </c>
    </row>
    <row r="73" spans="2:50" ht="15.75" outlineLevel="1">
      <c r="B73" s="10">
        <f t="shared" si="108"/>
        <v>2031</v>
      </c>
      <c r="C73" s="64">
        <v>0</v>
      </c>
      <c r="D73" s="64">
        <v>0</v>
      </c>
      <c r="E73" s="179">
        <f>'הספק קיים ותחזית יצור'!J125-'הספק קיים ותחזית יצור'!J124</f>
        <v>0</v>
      </c>
      <c r="F73" s="44">
        <v>0</v>
      </c>
      <c r="G73" s="399">
        <f>'הספק קיים ותחזית יצור'!M125-'הספק קיים ותחזית יצור'!M124</f>
        <v>0</v>
      </c>
      <c r="H73" s="399">
        <f>'הספק קיים ותחזית יצור'!N125-'הספק קיים ותחזית יצור'!N124</f>
        <v>0</v>
      </c>
      <c r="I73" s="399">
        <f>'הספק קיים ותחזית יצור'!O125-'הספק קיים ותחזית יצור'!O124</f>
        <v>0</v>
      </c>
      <c r="J73" s="44">
        <v>0</v>
      </c>
      <c r="K73" s="52">
        <f t="shared" si="110"/>
        <v>0</v>
      </c>
      <c r="L73" s="53">
        <f t="shared" si="111"/>
        <v>0</v>
      </c>
      <c r="M73" s="127">
        <v>0</v>
      </c>
      <c r="N73" s="54">
        <f t="shared" si="112"/>
        <v>0</v>
      </c>
      <c r="O73" s="54">
        <f t="shared" si="113"/>
        <v>0</v>
      </c>
      <c r="P73" s="54">
        <f t="shared" si="114"/>
        <v>0</v>
      </c>
      <c r="Q73" s="54">
        <f t="shared" si="115"/>
        <v>0</v>
      </c>
      <c r="R73" s="270">
        <f t="shared" si="115"/>
        <v>0</v>
      </c>
      <c r="S73" s="64">
        <v>0</v>
      </c>
      <c r="T73" s="64">
        <v>0</v>
      </c>
      <c r="U73" s="179">
        <f>'הספק קיים ותחזית יצור'!K125-'הספק קיים ותחזית יצור'!K124</f>
        <v>0</v>
      </c>
      <c r="V73" s="44">
        <v>0</v>
      </c>
      <c r="W73" s="399">
        <f>'הספק קיים ותחזית יצור'!M125-'הספק קיים ותחזית יצור'!M124</f>
        <v>0</v>
      </c>
      <c r="X73" s="399">
        <f>'הספק קיים ותחזית יצור'!N125-'הספק קיים ותחזית יצור'!N124</f>
        <v>0</v>
      </c>
      <c r="Y73" s="399">
        <f>'הספק קיים ותחזית יצור'!O125-'הספק קיים ותחזית יצור'!O124</f>
        <v>0</v>
      </c>
      <c r="Z73" s="44">
        <v>0</v>
      </c>
      <c r="AA73" s="52">
        <f t="shared" si="116"/>
        <v>0</v>
      </c>
      <c r="AB73" s="53">
        <f t="shared" si="117"/>
        <v>0</v>
      </c>
      <c r="AC73" s="127">
        <v>0</v>
      </c>
      <c r="AD73" s="54">
        <f t="shared" si="118"/>
        <v>0</v>
      </c>
      <c r="AE73" s="54">
        <f t="shared" si="119"/>
        <v>0</v>
      </c>
      <c r="AF73" s="54">
        <f t="shared" si="120"/>
        <v>0</v>
      </c>
      <c r="AG73" s="54">
        <f t="shared" si="121"/>
        <v>0</v>
      </c>
      <c r="AH73" s="270">
        <f t="shared" si="121"/>
        <v>0</v>
      </c>
      <c r="AI73" s="42">
        <v>0</v>
      </c>
      <c r="AJ73" s="64">
        <v>0</v>
      </c>
      <c r="AK73" s="179">
        <f>'הספק קיים ותחזית יצור'!L125-'הספק קיים ותחזית יצור'!L124</f>
        <v>0</v>
      </c>
      <c r="AL73" s="44">
        <v>0</v>
      </c>
      <c r="AM73" s="381">
        <f>'הספק קיים ותחזית יצור'!M125-'הספק קיים ותחזית יצור'!M124</f>
        <v>0</v>
      </c>
      <c r="AN73" s="381">
        <f>'הספק קיים ותחזית יצור'!N125-'הספק קיים ותחזית יצור'!N124</f>
        <v>0</v>
      </c>
      <c r="AO73" s="381">
        <f>'הספק קיים ותחזית יצור'!O125-'הספק קיים ותחזית יצור'!O124</f>
        <v>0</v>
      </c>
      <c r="AP73" s="44">
        <v>0</v>
      </c>
      <c r="AQ73" s="52">
        <f t="shared" si="122"/>
        <v>0</v>
      </c>
      <c r="AR73" s="53">
        <f t="shared" si="123"/>
        <v>0</v>
      </c>
      <c r="AS73" s="127">
        <v>0</v>
      </c>
      <c r="AT73" s="54">
        <f t="shared" si="124"/>
        <v>0</v>
      </c>
      <c r="AU73" s="54">
        <f t="shared" si="125"/>
        <v>0</v>
      </c>
      <c r="AV73" s="54">
        <f t="shared" si="126"/>
        <v>0</v>
      </c>
      <c r="AW73" s="54">
        <f t="shared" si="127"/>
        <v>0</v>
      </c>
      <c r="AX73" s="53">
        <f t="shared" si="127"/>
        <v>0</v>
      </c>
    </row>
    <row r="74" spans="2:50" ht="15.75" outlineLevel="1">
      <c r="B74" s="10">
        <f t="shared" si="108"/>
        <v>2032</v>
      </c>
      <c r="C74" s="64">
        <v>0</v>
      </c>
      <c r="D74" s="64">
        <v>0</v>
      </c>
      <c r="E74" s="179">
        <f>'הספק קיים ותחזית יצור'!J126-'הספק קיים ותחזית יצור'!J125</f>
        <v>0</v>
      </c>
      <c r="F74" s="44">
        <v>0</v>
      </c>
      <c r="G74" s="399">
        <f>'הספק קיים ותחזית יצור'!M126-'הספק קיים ותחזית יצור'!M125</f>
        <v>0</v>
      </c>
      <c r="H74" s="399">
        <f>'הספק קיים ותחזית יצור'!N126-'הספק קיים ותחזית יצור'!N125</f>
        <v>0</v>
      </c>
      <c r="I74" s="399">
        <f>'הספק קיים ותחזית יצור'!O126-'הספק קיים ותחזית יצור'!O125</f>
        <v>0</v>
      </c>
      <c r="J74" s="44">
        <v>0</v>
      </c>
      <c r="K74" s="52">
        <f t="shared" si="110"/>
        <v>0</v>
      </c>
      <c r="L74" s="53">
        <f t="shared" si="111"/>
        <v>0</v>
      </c>
      <c r="M74" s="127">
        <v>0</v>
      </c>
      <c r="N74" s="54">
        <f t="shared" si="112"/>
        <v>0</v>
      </c>
      <c r="O74" s="54">
        <f t="shared" si="113"/>
        <v>0</v>
      </c>
      <c r="P74" s="54">
        <f t="shared" si="114"/>
        <v>0</v>
      </c>
      <c r="Q74" s="54">
        <f t="shared" si="115"/>
        <v>0</v>
      </c>
      <c r="R74" s="270">
        <f t="shared" si="115"/>
        <v>0</v>
      </c>
      <c r="S74" s="64">
        <v>0</v>
      </c>
      <c r="T74" s="64">
        <v>0</v>
      </c>
      <c r="U74" s="179">
        <f>'הספק קיים ותחזית יצור'!K126-'הספק קיים ותחזית יצור'!K125</f>
        <v>0</v>
      </c>
      <c r="V74" s="44">
        <v>0</v>
      </c>
      <c r="W74" s="399">
        <f>'הספק קיים ותחזית יצור'!M126-'הספק קיים ותחזית יצור'!M125</f>
        <v>0</v>
      </c>
      <c r="X74" s="399">
        <f>'הספק קיים ותחזית יצור'!N126-'הספק קיים ותחזית יצור'!N125</f>
        <v>0</v>
      </c>
      <c r="Y74" s="399">
        <f>'הספק קיים ותחזית יצור'!O126-'הספק קיים ותחזית יצור'!O125</f>
        <v>0</v>
      </c>
      <c r="Z74" s="44">
        <v>0</v>
      </c>
      <c r="AA74" s="52">
        <f t="shared" si="116"/>
        <v>0</v>
      </c>
      <c r="AB74" s="53">
        <f t="shared" si="117"/>
        <v>0</v>
      </c>
      <c r="AC74" s="127">
        <v>0</v>
      </c>
      <c r="AD74" s="54">
        <f t="shared" si="118"/>
        <v>0</v>
      </c>
      <c r="AE74" s="54">
        <f t="shared" si="119"/>
        <v>0</v>
      </c>
      <c r="AF74" s="54">
        <f t="shared" si="120"/>
        <v>0</v>
      </c>
      <c r="AG74" s="54">
        <f t="shared" si="121"/>
        <v>0</v>
      </c>
      <c r="AH74" s="270">
        <f t="shared" si="121"/>
        <v>0</v>
      </c>
      <c r="AI74" s="42">
        <v>0</v>
      </c>
      <c r="AJ74" s="64">
        <v>0</v>
      </c>
      <c r="AK74" s="179">
        <f>'הספק קיים ותחזית יצור'!L126-'הספק קיים ותחזית יצור'!L125</f>
        <v>0</v>
      </c>
      <c r="AL74" s="44">
        <v>0</v>
      </c>
      <c r="AM74" s="381">
        <f>'הספק קיים ותחזית יצור'!M126-'הספק קיים ותחזית יצור'!M125</f>
        <v>0</v>
      </c>
      <c r="AN74" s="381">
        <f>'הספק קיים ותחזית יצור'!N126-'הספק קיים ותחזית יצור'!N125</f>
        <v>0</v>
      </c>
      <c r="AO74" s="381">
        <f>'הספק קיים ותחזית יצור'!O126-'הספק קיים ותחזית יצור'!O125</f>
        <v>0</v>
      </c>
      <c r="AP74" s="44">
        <v>0</v>
      </c>
      <c r="AQ74" s="52">
        <f t="shared" si="122"/>
        <v>0</v>
      </c>
      <c r="AR74" s="53">
        <f t="shared" si="123"/>
        <v>0</v>
      </c>
      <c r="AS74" s="127">
        <v>0</v>
      </c>
      <c r="AT74" s="54">
        <f t="shared" si="124"/>
        <v>0</v>
      </c>
      <c r="AU74" s="54">
        <f t="shared" si="125"/>
        <v>0</v>
      </c>
      <c r="AV74" s="54">
        <f t="shared" si="126"/>
        <v>0</v>
      </c>
      <c r="AW74" s="54">
        <f t="shared" si="127"/>
        <v>0</v>
      </c>
      <c r="AX74" s="53">
        <f t="shared" si="127"/>
        <v>0</v>
      </c>
    </row>
    <row r="75" spans="2:50" ht="15.75" outlineLevel="1">
      <c r="B75" s="10">
        <f t="shared" si="108"/>
        <v>2033</v>
      </c>
      <c r="C75" s="64">
        <v>0</v>
      </c>
      <c r="D75" s="64">
        <v>0</v>
      </c>
      <c r="E75" s="179">
        <f>'הספק קיים ותחזית יצור'!J127-'הספק קיים ותחזית יצור'!J126</f>
        <v>0</v>
      </c>
      <c r="F75" s="44">
        <v>0</v>
      </c>
      <c r="G75" s="399">
        <f>'הספק קיים ותחזית יצור'!M127-'הספק קיים ותחזית יצור'!M126</f>
        <v>0</v>
      </c>
      <c r="H75" s="399">
        <f>'הספק קיים ותחזית יצור'!N127-'הספק קיים ותחזית יצור'!N126</f>
        <v>0</v>
      </c>
      <c r="I75" s="399">
        <f>'הספק קיים ותחזית יצור'!O127-'הספק קיים ותחזית יצור'!O126</f>
        <v>0</v>
      </c>
      <c r="J75" s="44">
        <v>0</v>
      </c>
      <c r="K75" s="52">
        <f t="shared" si="110"/>
        <v>0</v>
      </c>
      <c r="L75" s="53">
        <f t="shared" si="111"/>
        <v>0</v>
      </c>
      <c r="M75" s="127">
        <v>0</v>
      </c>
      <c r="N75" s="54">
        <f t="shared" si="112"/>
        <v>0</v>
      </c>
      <c r="O75" s="54">
        <f t="shared" si="113"/>
        <v>0</v>
      </c>
      <c r="P75" s="54">
        <f t="shared" si="114"/>
        <v>0</v>
      </c>
      <c r="Q75" s="54">
        <f t="shared" si="115"/>
        <v>0</v>
      </c>
      <c r="R75" s="270">
        <f t="shared" si="115"/>
        <v>0</v>
      </c>
      <c r="S75" s="64">
        <v>0</v>
      </c>
      <c r="T75" s="64">
        <v>0</v>
      </c>
      <c r="U75" s="179">
        <f>'הספק קיים ותחזית יצור'!K127-'הספק קיים ותחזית יצור'!K126</f>
        <v>0</v>
      </c>
      <c r="V75" s="44">
        <v>0</v>
      </c>
      <c r="W75" s="399">
        <f>'הספק קיים ותחזית יצור'!M127-'הספק קיים ותחזית יצור'!M126</f>
        <v>0</v>
      </c>
      <c r="X75" s="399">
        <f>'הספק קיים ותחזית יצור'!N127-'הספק קיים ותחזית יצור'!N126</f>
        <v>0</v>
      </c>
      <c r="Y75" s="399">
        <f>'הספק קיים ותחזית יצור'!O127-'הספק קיים ותחזית יצור'!O126</f>
        <v>0</v>
      </c>
      <c r="Z75" s="44">
        <v>0</v>
      </c>
      <c r="AA75" s="52">
        <f t="shared" si="116"/>
        <v>0</v>
      </c>
      <c r="AB75" s="53">
        <f t="shared" si="117"/>
        <v>0</v>
      </c>
      <c r="AC75" s="127">
        <v>0</v>
      </c>
      <c r="AD75" s="54">
        <f t="shared" si="118"/>
        <v>0</v>
      </c>
      <c r="AE75" s="54">
        <f t="shared" si="119"/>
        <v>0</v>
      </c>
      <c r="AF75" s="54">
        <f t="shared" si="120"/>
        <v>0</v>
      </c>
      <c r="AG75" s="54">
        <f t="shared" si="121"/>
        <v>0</v>
      </c>
      <c r="AH75" s="270">
        <f t="shared" si="121"/>
        <v>0</v>
      </c>
      <c r="AI75" s="42">
        <v>0</v>
      </c>
      <c r="AJ75" s="64">
        <v>0</v>
      </c>
      <c r="AK75" s="179">
        <f>'הספק קיים ותחזית יצור'!L127-'הספק קיים ותחזית יצור'!L126</f>
        <v>0</v>
      </c>
      <c r="AL75" s="44">
        <v>0</v>
      </c>
      <c r="AM75" s="381">
        <f>'הספק קיים ותחזית יצור'!M127-'הספק קיים ותחזית יצור'!M126</f>
        <v>0</v>
      </c>
      <c r="AN75" s="381">
        <f>'הספק קיים ותחזית יצור'!N127-'הספק קיים ותחזית יצור'!N126</f>
        <v>0</v>
      </c>
      <c r="AO75" s="381">
        <f>'הספק קיים ותחזית יצור'!O127-'הספק קיים ותחזית יצור'!O126</f>
        <v>0</v>
      </c>
      <c r="AP75" s="44">
        <v>0</v>
      </c>
      <c r="AQ75" s="52">
        <f t="shared" si="122"/>
        <v>0</v>
      </c>
      <c r="AR75" s="53">
        <f t="shared" si="123"/>
        <v>0</v>
      </c>
      <c r="AS75" s="127">
        <v>0</v>
      </c>
      <c r="AT75" s="54">
        <f t="shared" si="124"/>
        <v>0</v>
      </c>
      <c r="AU75" s="54">
        <f t="shared" si="125"/>
        <v>0</v>
      </c>
      <c r="AV75" s="54">
        <f t="shared" si="126"/>
        <v>0</v>
      </c>
      <c r="AW75" s="54">
        <f t="shared" si="127"/>
        <v>0</v>
      </c>
      <c r="AX75" s="53">
        <f t="shared" si="127"/>
        <v>0</v>
      </c>
    </row>
    <row r="76" spans="2:50" ht="15.75" outlineLevel="1">
      <c r="B76" s="10">
        <f t="shared" si="108"/>
        <v>2034</v>
      </c>
      <c r="C76" s="64">
        <v>0</v>
      </c>
      <c r="D76" s="64">
        <v>0</v>
      </c>
      <c r="E76" s="179">
        <f>'הספק קיים ותחזית יצור'!J128-'הספק קיים ותחזית יצור'!J127</f>
        <v>0</v>
      </c>
      <c r="F76" s="44">
        <v>0</v>
      </c>
      <c r="G76" s="399">
        <f>'הספק קיים ותחזית יצור'!M128-'הספק קיים ותחזית יצור'!M127</f>
        <v>0</v>
      </c>
      <c r="H76" s="399">
        <f>'הספק קיים ותחזית יצור'!N128-'הספק קיים ותחזית יצור'!N127</f>
        <v>0</v>
      </c>
      <c r="I76" s="399">
        <f>'הספק קיים ותחזית יצור'!O128-'הספק קיים ותחזית יצור'!O127</f>
        <v>0</v>
      </c>
      <c r="J76" s="44">
        <v>0</v>
      </c>
      <c r="K76" s="52">
        <f t="shared" si="110"/>
        <v>0</v>
      </c>
      <c r="L76" s="53">
        <f t="shared" si="111"/>
        <v>0</v>
      </c>
      <c r="M76" s="127">
        <v>0</v>
      </c>
      <c r="N76" s="54">
        <f t="shared" si="112"/>
        <v>0</v>
      </c>
      <c r="O76" s="54">
        <f t="shared" si="113"/>
        <v>0</v>
      </c>
      <c r="P76" s="54">
        <f t="shared" si="114"/>
        <v>0</v>
      </c>
      <c r="Q76" s="54">
        <f t="shared" si="115"/>
        <v>0</v>
      </c>
      <c r="R76" s="270">
        <f t="shared" si="115"/>
        <v>0</v>
      </c>
      <c r="S76" s="64">
        <v>0</v>
      </c>
      <c r="T76" s="64">
        <v>0</v>
      </c>
      <c r="U76" s="179">
        <f>'הספק קיים ותחזית יצור'!K128-'הספק קיים ותחזית יצור'!K127</f>
        <v>0</v>
      </c>
      <c r="V76" s="44">
        <v>0</v>
      </c>
      <c r="W76" s="399">
        <f>'הספק קיים ותחזית יצור'!M128-'הספק קיים ותחזית יצור'!M127</f>
        <v>0</v>
      </c>
      <c r="X76" s="399">
        <f>'הספק קיים ותחזית יצור'!N128-'הספק קיים ותחזית יצור'!N127</f>
        <v>0</v>
      </c>
      <c r="Y76" s="399">
        <f>'הספק קיים ותחזית יצור'!O128-'הספק קיים ותחזית יצור'!O127</f>
        <v>0</v>
      </c>
      <c r="Z76" s="44">
        <v>0</v>
      </c>
      <c r="AA76" s="52">
        <f t="shared" si="116"/>
        <v>0</v>
      </c>
      <c r="AB76" s="53">
        <f t="shared" si="117"/>
        <v>0</v>
      </c>
      <c r="AC76" s="127">
        <v>0</v>
      </c>
      <c r="AD76" s="54">
        <f t="shared" si="118"/>
        <v>0</v>
      </c>
      <c r="AE76" s="54">
        <f t="shared" si="119"/>
        <v>0</v>
      </c>
      <c r="AF76" s="54">
        <f t="shared" si="120"/>
        <v>0</v>
      </c>
      <c r="AG76" s="54">
        <f t="shared" si="121"/>
        <v>0</v>
      </c>
      <c r="AH76" s="270">
        <f t="shared" si="121"/>
        <v>0</v>
      </c>
      <c r="AI76" s="42">
        <v>0</v>
      </c>
      <c r="AJ76" s="64">
        <v>0</v>
      </c>
      <c r="AK76" s="179">
        <f>'הספק קיים ותחזית יצור'!L128-'הספק קיים ותחזית יצור'!L127</f>
        <v>0</v>
      </c>
      <c r="AL76" s="44">
        <v>0</v>
      </c>
      <c r="AM76" s="381">
        <f>'הספק קיים ותחזית יצור'!M128-'הספק קיים ותחזית יצור'!M127</f>
        <v>0</v>
      </c>
      <c r="AN76" s="381">
        <f>'הספק קיים ותחזית יצור'!N128-'הספק קיים ותחזית יצור'!N127</f>
        <v>0</v>
      </c>
      <c r="AO76" s="381">
        <f>'הספק קיים ותחזית יצור'!O128-'הספק קיים ותחזית יצור'!O127</f>
        <v>0</v>
      </c>
      <c r="AP76" s="44">
        <v>0</v>
      </c>
      <c r="AQ76" s="52">
        <f t="shared" si="122"/>
        <v>0</v>
      </c>
      <c r="AR76" s="53">
        <f t="shared" si="123"/>
        <v>0</v>
      </c>
      <c r="AS76" s="127">
        <v>0</v>
      </c>
      <c r="AT76" s="54">
        <f t="shared" si="124"/>
        <v>0</v>
      </c>
      <c r="AU76" s="54">
        <f t="shared" si="125"/>
        <v>0</v>
      </c>
      <c r="AV76" s="54">
        <f t="shared" si="126"/>
        <v>0</v>
      </c>
      <c r="AW76" s="54">
        <f t="shared" si="127"/>
        <v>0</v>
      </c>
      <c r="AX76" s="53">
        <f t="shared" si="127"/>
        <v>0</v>
      </c>
    </row>
    <row r="77" spans="2:50" ht="15.75" outlineLevel="1">
      <c r="B77" s="10">
        <f t="shared" si="108"/>
        <v>2035</v>
      </c>
      <c r="C77" s="64">
        <v>0</v>
      </c>
      <c r="D77" s="64">
        <v>0</v>
      </c>
      <c r="E77" s="179">
        <f>'הספק קיים ותחזית יצור'!J129-'הספק קיים ותחזית יצור'!J128</f>
        <v>0</v>
      </c>
      <c r="F77" s="44">
        <v>0</v>
      </c>
      <c r="G77" s="399">
        <f>'הספק קיים ותחזית יצור'!M129-'הספק קיים ותחזית יצור'!M128</f>
        <v>0</v>
      </c>
      <c r="H77" s="399">
        <f>'הספק קיים ותחזית יצור'!N129-'הספק קיים ותחזית יצור'!N128</f>
        <v>0</v>
      </c>
      <c r="I77" s="399">
        <f>'הספק קיים ותחזית יצור'!O129-'הספק קיים ותחזית יצור'!O128</f>
        <v>0</v>
      </c>
      <c r="J77" s="44">
        <v>0</v>
      </c>
      <c r="K77" s="52">
        <f t="shared" si="110"/>
        <v>0</v>
      </c>
      <c r="L77" s="53">
        <f t="shared" si="111"/>
        <v>0</v>
      </c>
      <c r="M77" s="127">
        <v>0</v>
      </c>
      <c r="N77" s="54">
        <f t="shared" si="112"/>
        <v>0</v>
      </c>
      <c r="O77" s="54">
        <f t="shared" si="113"/>
        <v>0</v>
      </c>
      <c r="P77" s="54">
        <f t="shared" si="114"/>
        <v>0</v>
      </c>
      <c r="Q77" s="54">
        <f t="shared" si="115"/>
        <v>0</v>
      </c>
      <c r="R77" s="270">
        <f t="shared" si="115"/>
        <v>0</v>
      </c>
      <c r="S77" s="64">
        <v>0</v>
      </c>
      <c r="T77" s="64">
        <v>0</v>
      </c>
      <c r="U77" s="179">
        <f>'הספק קיים ותחזית יצור'!K129-'הספק קיים ותחזית יצור'!K128</f>
        <v>0</v>
      </c>
      <c r="V77" s="44">
        <v>0</v>
      </c>
      <c r="W77" s="399">
        <f>'הספק קיים ותחזית יצור'!M129-'הספק קיים ותחזית יצור'!M128</f>
        <v>0</v>
      </c>
      <c r="X77" s="399">
        <f>'הספק קיים ותחזית יצור'!N129-'הספק קיים ותחזית יצור'!N128</f>
        <v>0</v>
      </c>
      <c r="Y77" s="399">
        <f>'הספק קיים ותחזית יצור'!O129-'הספק קיים ותחזית יצור'!O128</f>
        <v>0</v>
      </c>
      <c r="Z77" s="44">
        <v>0</v>
      </c>
      <c r="AA77" s="52">
        <f t="shared" si="116"/>
        <v>0</v>
      </c>
      <c r="AB77" s="53">
        <f t="shared" si="117"/>
        <v>0</v>
      </c>
      <c r="AC77" s="127">
        <v>0</v>
      </c>
      <c r="AD77" s="54">
        <f t="shared" si="118"/>
        <v>0</v>
      </c>
      <c r="AE77" s="54">
        <f t="shared" si="119"/>
        <v>0</v>
      </c>
      <c r="AF77" s="54">
        <f t="shared" si="120"/>
        <v>0</v>
      </c>
      <c r="AG77" s="54">
        <f t="shared" si="121"/>
        <v>0</v>
      </c>
      <c r="AH77" s="270">
        <f t="shared" si="121"/>
        <v>0</v>
      </c>
      <c r="AI77" s="42">
        <v>0</v>
      </c>
      <c r="AJ77" s="64">
        <v>0</v>
      </c>
      <c r="AK77" s="179">
        <f>'הספק קיים ותחזית יצור'!L129-'הספק קיים ותחזית יצור'!L128</f>
        <v>0</v>
      </c>
      <c r="AL77" s="44">
        <v>0</v>
      </c>
      <c r="AM77" s="381">
        <f>'הספק קיים ותחזית יצור'!M129-'הספק קיים ותחזית יצור'!M128</f>
        <v>0</v>
      </c>
      <c r="AN77" s="381">
        <f>'הספק קיים ותחזית יצור'!N129-'הספק קיים ותחזית יצור'!N128</f>
        <v>0</v>
      </c>
      <c r="AO77" s="381">
        <f>'הספק קיים ותחזית יצור'!O129-'הספק קיים ותחזית יצור'!O128</f>
        <v>0</v>
      </c>
      <c r="AP77" s="44">
        <v>0</v>
      </c>
      <c r="AQ77" s="52">
        <f t="shared" si="122"/>
        <v>0</v>
      </c>
      <c r="AR77" s="53">
        <f t="shared" si="123"/>
        <v>0</v>
      </c>
      <c r="AS77" s="127">
        <v>0</v>
      </c>
      <c r="AT77" s="54">
        <f t="shared" si="124"/>
        <v>0</v>
      </c>
      <c r="AU77" s="54">
        <f t="shared" si="125"/>
        <v>0</v>
      </c>
      <c r="AV77" s="54">
        <f t="shared" si="126"/>
        <v>0</v>
      </c>
      <c r="AW77" s="54">
        <f t="shared" si="127"/>
        <v>0</v>
      </c>
      <c r="AX77" s="53">
        <f t="shared" si="127"/>
        <v>0</v>
      </c>
    </row>
    <row r="78" spans="2:50" ht="15.75" outlineLevel="1">
      <c r="B78" s="10">
        <f t="shared" si="108"/>
        <v>2036</v>
      </c>
      <c r="C78" s="64">
        <v>0</v>
      </c>
      <c r="D78" s="64">
        <v>0</v>
      </c>
      <c r="E78" s="179">
        <f>'הספק קיים ותחזית יצור'!J130-'הספק קיים ותחזית יצור'!J129</f>
        <v>0</v>
      </c>
      <c r="F78" s="44">
        <v>0</v>
      </c>
      <c r="G78" s="399">
        <f>'הספק קיים ותחזית יצור'!M130-'הספק קיים ותחזית יצור'!M129</f>
        <v>0</v>
      </c>
      <c r="H78" s="399">
        <f>'הספק קיים ותחזית יצור'!N130-'הספק קיים ותחזית יצור'!N129</f>
        <v>0</v>
      </c>
      <c r="I78" s="399">
        <f>'הספק קיים ותחזית יצור'!O130-'הספק קיים ותחזית יצור'!O129</f>
        <v>0</v>
      </c>
      <c r="J78" s="44">
        <v>0</v>
      </c>
      <c r="K78" s="52">
        <f t="shared" si="110"/>
        <v>0</v>
      </c>
      <c r="L78" s="53">
        <f t="shared" si="111"/>
        <v>0</v>
      </c>
      <c r="M78" s="127">
        <v>0</v>
      </c>
      <c r="N78" s="54">
        <f t="shared" si="112"/>
        <v>0</v>
      </c>
      <c r="O78" s="54">
        <f t="shared" si="113"/>
        <v>0</v>
      </c>
      <c r="P78" s="54">
        <f t="shared" si="114"/>
        <v>0</v>
      </c>
      <c r="Q78" s="54">
        <f t="shared" si="115"/>
        <v>0</v>
      </c>
      <c r="R78" s="270">
        <f t="shared" si="115"/>
        <v>0</v>
      </c>
      <c r="S78" s="64">
        <v>0</v>
      </c>
      <c r="T78" s="64">
        <v>0</v>
      </c>
      <c r="U78" s="179">
        <f>'הספק קיים ותחזית יצור'!K130-'הספק קיים ותחזית יצור'!K129</f>
        <v>0</v>
      </c>
      <c r="V78" s="44">
        <v>0</v>
      </c>
      <c r="W78" s="399">
        <f>'הספק קיים ותחזית יצור'!M130-'הספק קיים ותחזית יצור'!M129</f>
        <v>0</v>
      </c>
      <c r="X78" s="399">
        <f>'הספק קיים ותחזית יצור'!N130-'הספק קיים ותחזית יצור'!N129</f>
        <v>0</v>
      </c>
      <c r="Y78" s="399">
        <f>'הספק קיים ותחזית יצור'!O130-'הספק קיים ותחזית יצור'!O129</f>
        <v>0</v>
      </c>
      <c r="Z78" s="44">
        <v>0</v>
      </c>
      <c r="AA78" s="52">
        <f t="shared" si="116"/>
        <v>0</v>
      </c>
      <c r="AB78" s="53">
        <f t="shared" si="117"/>
        <v>0</v>
      </c>
      <c r="AC78" s="127">
        <v>0</v>
      </c>
      <c r="AD78" s="54">
        <f t="shared" si="118"/>
        <v>0</v>
      </c>
      <c r="AE78" s="54">
        <f t="shared" si="119"/>
        <v>0</v>
      </c>
      <c r="AF78" s="54">
        <f t="shared" si="120"/>
        <v>0</v>
      </c>
      <c r="AG78" s="54">
        <f t="shared" si="121"/>
        <v>0</v>
      </c>
      <c r="AH78" s="270">
        <f t="shared" si="121"/>
        <v>0</v>
      </c>
      <c r="AI78" s="42">
        <v>0</v>
      </c>
      <c r="AJ78" s="64">
        <v>0</v>
      </c>
      <c r="AK78" s="179">
        <f>'הספק קיים ותחזית יצור'!L130-'הספק קיים ותחזית יצור'!L129</f>
        <v>0</v>
      </c>
      <c r="AL78" s="44">
        <v>0</v>
      </c>
      <c r="AM78" s="381">
        <f>'הספק קיים ותחזית יצור'!M130-'הספק קיים ותחזית יצור'!M129</f>
        <v>0</v>
      </c>
      <c r="AN78" s="381">
        <f>'הספק קיים ותחזית יצור'!N130-'הספק קיים ותחזית יצור'!N129</f>
        <v>0</v>
      </c>
      <c r="AO78" s="381">
        <f>'הספק קיים ותחזית יצור'!O130-'הספק קיים ותחזית יצור'!O129</f>
        <v>0</v>
      </c>
      <c r="AP78" s="44">
        <v>0</v>
      </c>
      <c r="AQ78" s="52">
        <f t="shared" si="122"/>
        <v>0</v>
      </c>
      <c r="AR78" s="53">
        <f t="shared" si="123"/>
        <v>0</v>
      </c>
      <c r="AS78" s="127">
        <v>0</v>
      </c>
      <c r="AT78" s="54">
        <f t="shared" si="124"/>
        <v>0</v>
      </c>
      <c r="AU78" s="54">
        <f t="shared" si="125"/>
        <v>0</v>
      </c>
      <c r="AV78" s="54">
        <f t="shared" si="126"/>
        <v>0</v>
      </c>
      <c r="AW78" s="54">
        <f t="shared" si="127"/>
        <v>0</v>
      </c>
      <c r="AX78" s="53">
        <f t="shared" si="127"/>
        <v>0</v>
      </c>
    </row>
    <row r="79" spans="2:50" ht="15.75" outlineLevel="1">
      <c r="B79" s="10">
        <f t="shared" si="108"/>
        <v>2037</v>
      </c>
      <c r="C79" s="64">
        <v>0</v>
      </c>
      <c r="D79" s="64">
        <v>0</v>
      </c>
      <c r="E79" s="179">
        <f>'הספק קיים ותחזית יצור'!J131-'הספק קיים ותחזית יצור'!J130</f>
        <v>0</v>
      </c>
      <c r="F79" s="44">
        <v>0</v>
      </c>
      <c r="G79" s="399">
        <f>'הספק קיים ותחזית יצור'!M131-'הספק קיים ותחזית יצור'!M130</f>
        <v>0</v>
      </c>
      <c r="H79" s="399">
        <f>'הספק קיים ותחזית יצור'!N131-'הספק קיים ותחזית יצור'!N130</f>
        <v>0</v>
      </c>
      <c r="I79" s="399">
        <f>'הספק קיים ותחזית יצור'!O131-'הספק קיים ותחזית יצור'!O130</f>
        <v>0</v>
      </c>
      <c r="J79" s="44">
        <v>0</v>
      </c>
      <c r="K79" s="52">
        <f t="shared" si="110"/>
        <v>0</v>
      </c>
      <c r="L79" s="53">
        <f t="shared" si="111"/>
        <v>0</v>
      </c>
      <c r="M79" s="127">
        <v>0</v>
      </c>
      <c r="N79" s="54">
        <f t="shared" si="112"/>
        <v>0</v>
      </c>
      <c r="O79" s="54">
        <f t="shared" si="113"/>
        <v>0</v>
      </c>
      <c r="P79" s="54">
        <f t="shared" si="114"/>
        <v>0</v>
      </c>
      <c r="Q79" s="54">
        <f t="shared" si="115"/>
        <v>0</v>
      </c>
      <c r="R79" s="270">
        <f t="shared" si="115"/>
        <v>0</v>
      </c>
      <c r="S79" s="64">
        <v>0</v>
      </c>
      <c r="T79" s="64">
        <v>0</v>
      </c>
      <c r="U79" s="179">
        <f>'הספק קיים ותחזית יצור'!K131-'הספק קיים ותחזית יצור'!K130</f>
        <v>0</v>
      </c>
      <c r="V79" s="44">
        <v>0</v>
      </c>
      <c r="W79" s="399">
        <f>'הספק קיים ותחזית יצור'!M131-'הספק קיים ותחזית יצור'!M130</f>
        <v>0</v>
      </c>
      <c r="X79" s="399">
        <f>'הספק קיים ותחזית יצור'!N131-'הספק קיים ותחזית יצור'!N130</f>
        <v>0</v>
      </c>
      <c r="Y79" s="399">
        <f>'הספק קיים ותחזית יצור'!O131-'הספק קיים ותחזית יצור'!O130</f>
        <v>0</v>
      </c>
      <c r="Z79" s="44">
        <v>0</v>
      </c>
      <c r="AA79" s="52">
        <f t="shared" si="116"/>
        <v>0</v>
      </c>
      <c r="AB79" s="53">
        <f t="shared" si="117"/>
        <v>0</v>
      </c>
      <c r="AC79" s="127">
        <v>0</v>
      </c>
      <c r="AD79" s="54">
        <f t="shared" si="118"/>
        <v>0</v>
      </c>
      <c r="AE79" s="54">
        <f t="shared" si="119"/>
        <v>0</v>
      </c>
      <c r="AF79" s="54">
        <f t="shared" si="120"/>
        <v>0</v>
      </c>
      <c r="AG79" s="54">
        <f t="shared" si="121"/>
        <v>0</v>
      </c>
      <c r="AH79" s="270">
        <f t="shared" si="121"/>
        <v>0</v>
      </c>
      <c r="AI79" s="42">
        <v>0</v>
      </c>
      <c r="AJ79" s="64">
        <v>0</v>
      </c>
      <c r="AK79" s="179">
        <f>'הספק קיים ותחזית יצור'!L131-'הספק קיים ותחזית יצור'!L130</f>
        <v>0</v>
      </c>
      <c r="AL79" s="44">
        <v>0</v>
      </c>
      <c r="AM79" s="381">
        <f>'הספק קיים ותחזית יצור'!M131-'הספק קיים ותחזית יצור'!M130</f>
        <v>0</v>
      </c>
      <c r="AN79" s="381">
        <f>'הספק קיים ותחזית יצור'!N131-'הספק קיים ותחזית יצור'!N130</f>
        <v>0</v>
      </c>
      <c r="AO79" s="381">
        <f>'הספק קיים ותחזית יצור'!O131-'הספק קיים ותחזית יצור'!O130</f>
        <v>0</v>
      </c>
      <c r="AP79" s="44">
        <v>0</v>
      </c>
      <c r="AQ79" s="52">
        <f t="shared" si="122"/>
        <v>0</v>
      </c>
      <c r="AR79" s="53">
        <f t="shared" si="123"/>
        <v>0</v>
      </c>
      <c r="AS79" s="127">
        <v>0</v>
      </c>
      <c r="AT79" s="54">
        <f t="shared" si="124"/>
        <v>0</v>
      </c>
      <c r="AU79" s="54">
        <f t="shared" si="125"/>
        <v>0</v>
      </c>
      <c r="AV79" s="54">
        <f t="shared" si="126"/>
        <v>0</v>
      </c>
      <c r="AW79" s="54">
        <f t="shared" si="127"/>
        <v>0</v>
      </c>
      <c r="AX79" s="53">
        <f t="shared" si="127"/>
        <v>0</v>
      </c>
    </row>
    <row r="80" spans="2:50" ht="15.75" outlineLevel="1">
      <c r="B80" s="10">
        <f t="shared" si="108"/>
        <v>2038</v>
      </c>
      <c r="C80" s="64">
        <v>0</v>
      </c>
      <c r="D80" s="64">
        <v>0</v>
      </c>
      <c r="E80" s="179">
        <f>'הספק קיים ותחזית יצור'!J132-'הספק קיים ותחזית יצור'!J131</f>
        <v>0</v>
      </c>
      <c r="F80" s="44">
        <v>0</v>
      </c>
      <c r="G80" s="399">
        <f>'הספק קיים ותחזית יצור'!M132-'הספק קיים ותחזית יצור'!M131</f>
        <v>0</v>
      </c>
      <c r="H80" s="399">
        <f>'הספק קיים ותחזית יצור'!N132-'הספק קיים ותחזית יצור'!N131</f>
        <v>0</v>
      </c>
      <c r="I80" s="399">
        <f>'הספק קיים ותחזית יצור'!O132-'הספק קיים ותחזית יצור'!O131</f>
        <v>0</v>
      </c>
      <c r="J80" s="44">
        <v>0</v>
      </c>
      <c r="K80" s="52">
        <f t="shared" si="110"/>
        <v>0</v>
      </c>
      <c r="L80" s="53">
        <f t="shared" si="111"/>
        <v>0</v>
      </c>
      <c r="M80" s="127">
        <v>0</v>
      </c>
      <c r="N80" s="54">
        <f t="shared" si="112"/>
        <v>0</v>
      </c>
      <c r="O80" s="54">
        <f t="shared" si="113"/>
        <v>0</v>
      </c>
      <c r="P80" s="54">
        <f t="shared" si="114"/>
        <v>0</v>
      </c>
      <c r="Q80" s="54">
        <f t="shared" si="115"/>
        <v>0</v>
      </c>
      <c r="R80" s="270">
        <f t="shared" si="115"/>
        <v>0</v>
      </c>
      <c r="S80" s="64">
        <v>0</v>
      </c>
      <c r="T80" s="64">
        <v>0</v>
      </c>
      <c r="U80" s="179">
        <f>'הספק קיים ותחזית יצור'!K132-'הספק קיים ותחזית יצור'!K131</f>
        <v>0</v>
      </c>
      <c r="V80" s="44">
        <v>0</v>
      </c>
      <c r="W80" s="399">
        <f>'הספק קיים ותחזית יצור'!M132-'הספק קיים ותחזית יצור'!M131</f>
        <v>0</v>
      </c>
      <c r="X80" s="399">
        <f>'הספק קיים ותחזית יצור'!N132-'הספק קיים ותחזית יצור'!N131</f>
        <v>0</v>
      </c>
      <c r="Y80" s="399">
        <f>'הספק קיים ותחזית יצור'!O132-'הספק קיים ותחזית יצור'!O131</f>
        <v>0</v>
      </c>
      <c r="Z80" s="44">
        <v>0</v>
      </c>
      <c r="AA80" s="52">
        <f t="shared" si="116"/>
        <v>0</v>
      </c>
      <c r="AB80" s="53">
        <f t="shared" si="117"/>
        <v>0</v>
      </c>
      <c r="AC80" s="127">
        <v>0</v>
      </c>
      <c r="AD80" s="54">
        <f t="shared" si="118"/>
        <v>0</v>
      </c>
      <c r="AE80" s="54">
        <f t="shared" si="119"/>
        <v>0</v>
      </c>
      <c r="AF80" s="54">
        <f t="shared" si="120"/>
        <v>0</v>
      </c>
      <c r="AG80" s="54">
        <f t="shared" si="121"/>
        <v>0</v>
      </c>
      <c r="AH80" s="270">
        <f t="shared" si="121"/>
        <v>0</v>
      </c>
      <c r="AI80" s="42">
        <v>0</v>
      </c>
      <c r="AJ80" s="64">
        <v>0</v>
      </c>
      <c r="AK80" s="179">
        <f>'הספק קיים ותחזית יצור'!L132-'הספק קיים ותחזית יצור'!L131</f>
        <v>0</v>
      </c>
      <c r="AL80" s="44">
        <v>0</v>
      </c>
      <c r="AM80" s="381">
        <f>'הספק קיים ותחזית יצור'!M132-'הספק קיים ותחזית יצור'!M131</f>
        <v>0</v>
      </c>
      <c r="AN80" s="381">
        <f>'הספק קיים ותחזית יצור'!N132-'הספק קיים ותחזית יצור'!N131</f>
        <v>0</v>
      </c>
      <c r="AO80" s="381">
        <f>'הספק קיים ותחזית יצור'!O132-'הספק קיים ותחזית יצור'!O131</f>
        <v>0</v>
      </c>
      <c r="AP80" s="44">
        <v>0</v>
      </c>
      <c r="AQ80" s="52">
        <f t="shared" si="122"/>
        <v>0</v>
      </c>
      <c r="AR80" s="53">
        <f t="shared" si="123"/>
        <v>0</v>
      </c>
      <c r="AS80" s="127">
        <v>0</v>
      </c>
      <c r="AT80" s="54">
        <f t="shared" si="124"/>
        <v>0</v>
      </c>
      <c r="AU80" s="54">
        <f t="shared" si="125"/>
        <v>0</v>
      </c>
      <c r="AV80" s="54">
        <f t="shared" si="126"/>
        <v>0</v>
      </c>
      <c r="AW80" s="54">
        <f t="shared" si="127"/>
        <v>0</v>
      </c>
      <c r="AX80" s="53">
        <f t="shared" si="127"/>
        <v>0</v>
      </c>
    </row>
    <row r="81" spans="2:50" ht="15.75" outlineLevel="1">
      <c r="B81" s="10">
        <f t="shared" si="108"/>
        <v>2039</v>
      </c>
      <c r="C81" s="64">
        <v>0</v>
      </c>
      <c r="D81" s="64">
        <v>0</v>
      </c>
      <c r="E81" s="179">
        <f>'הספק קיים ותחזית יצור'!J133-'הספק קיים ותחזית יצור'!J132</f>
        <v>0</v>
      </c>
      <c r="F81" s="44">
        <v>0</v>
      </c>
      <c r="G81" s="399">
        <f>'הספק קיים ותחזית יצור'!M133-'הספק קיים ותחזית יצור'!M132</f>
        <v>0</v>
      </c>
      <c r="H81" s="399">
        <f>'הספק קיים ותחזית יצור'!N133-'הספק קיים ותחזית יצור'!N132</f>
        <v>0</v>
      </c>
      <c r="I81" s="399">
        <f>'הספק קיים ותחזית יצור'!O133-'הספק קיים ותחזית יצור'!O132</f>
        <v>0</v>
      </c>
      <c r="J81" s="44">
        <v>0</v>
      </c>
      <c r="K81" s="52">
        <f t="shared" si="110"/>
        <v>0</v>
      </c>
      <c r="L81" s="53">
        <f t="shared" si="111"/>
        <v>0</v>
      </c>
      <c r="M81" s="127">
        <v>0</v>
      </c>
      <c r="N81" s="54">
        <f t="shared" si="112"/>
        <v>0</v>
      </c>
      <c r="O81" s="54">
        <f t="shared" si="113"/>
        <v>0</v>
      </c>
      <c r="P81" s="54">
        <f t="shared" si="114"/>
        <v>0</v>
      </c>
      <c r="Q81" s="54">
        <f t="shared" si="115"/>
        <v>0</v>
      </c>
      <c r="R81" s="270">
        <f t="shared" si="115"/>
        <v>0</v>
      </c>
      <c r="S81" s="64">
        <v>0</v>
      </c>
      <c r="T81" s="64">
        <v>0</v>
      </c>
      <c r="U81" s="179">
        <f>'הספק קיים ותחזית יצור'!K133-'הספק קיים ותחזית יצור'!K132</f>
        <v>0</v>
      </c>
      <c r="V81" s="44">
        <v>0</v>
      </c>
      <c r="W81" s="399">
        <f>'הספק קיים ותחזית יצור'!M133-'הספק קיים ותחזית יצור'!M132</f>
        <v>0</v>
      </c>
      <c r="X81" s="399">
        <f>'הספק קיים ותחזית יצור'!N133-'הספק קיים ותחזית יצור'!N132</f>
        <v>0</v>
      </c>
      <c r="Y81" s="399">
        <f>'הספק קיים ותחזית יצור'!O133-'הספק קיים ותחזית יצור'!O132</f>
        <v>0</v>
      </c>
      <c r="Z81" s="44">
        <v>0</v>
      </c>
      <c r="AA81" s="52">
        <f t="shared" si="116"/>
        <v>0</v>
      </c>
      <c r="AB81" s="53">
        <f t="shared" si="117"/>
        <v>0</v>
      </c>
      <c r="AC81" s="127">
        <v>0</v>
      </c>
      <c r="AD81" s="54">
        <f t="shared" si="118"/>
        <v>0</v>
      </c>
      <c r="AE81" s="54">
        <f t="shared" si="119"/>
        <v>0</v>
      </c>
      <c r="AF81" s="54">
        <f t="shared" si="120"/>
        <v>0</v>
      </c>
      <c r="AG81" s="54">
        <f t="shared" si="121"/>
        <v>0</v>
      </c>
      <c r="AH81" s="270">
        <f t="shared" si="121"/>
        <v>0</v>
      </c>
      <c r="AI81" s="42">
        <v>0</v>
      </c>
      <c r="AJ81" s="64">
        <v>0</v>
      </c>
      <c r="AK81" s="179">
        <f>'הספק קיים ותחזית יצור'!L133-'הספק קיים ותחזית יצור'!L132</f>
        <v>0</v>
      </c>
      <c r="AL81" s="44">
        <v>0</v>
      </c>
      <c r="AM81" s="381">
        <f>'הספק קיים ותחזית יצור'!M133-'הספק קיים ותחזית יצור'!M132</f>
        <v>0</v>
      </c>
      <c r="AN81" s="381">
        <f>'הספק קיים ותחזית יצור'!N133-'הספק קיים ותחזית יצור'!N132</f>
        <v>0</v>
      </c>
      <c r="AO81" s="381">
        <f>'הספק קיים ותחזית יצור'!O133-'הספק קיים ותחזית יצור'!O132</f>
        <v>0</v>
      </c>
      <c r="AP81" s="44">
        <v>0</v>
      </c>
      <c r="AQ81" s="52">
        <f t="shared" si="122"/>
        <v>0</v>
      </c>
      <c r="AR81" s="53">
        <f t="shared" si="123"/>
        <v>0</v>
      </c>
      <c r="AS81" s="127">
        <v>0</v>
      </c>
      <c r="AT81" s="54">
        <f t="shared" si="124"/>
        <v>0</v>
      </c>
      <c r="AU81" s="54">
        <f t="shared" si="125"/>
        <v>0</v>
      </c>
      <c r="AV81" s="54">
        <f t="shared" si="126"/>
        <v>0</v>
      </c>
      <c r="AW81" s="54">
        <f t="shared" si="127"/>
        <v>0</v>
      </c>
      <c r="AX81" s="53">
        <f t="shared" si="127"/>
        <v>0</v>
      </c>
    </row>
    <row r="82" spans="2:50" ht="16.5" outlineLevel="1" thickBot="1">
      <c r="B82" s="11">
        <f t="shared" si="108"/>
        <v>2040</v>
      </c>
      <c r="C82" s="558">
        <v>0</v>
      </c>
      <c r="D82" s="558">
        <v>0</v>
      </c>
      <c r="E82" s="719">
        <f>'הספק קיים ותחזית יצור'!J134-'הספק קיים ותחזית יצור'!J133</f>
        <v>0</v>
      </c>
      <c r="F82" s="47">
        <v>0</v>
      </c>
      <c r="G82" s="720">
        <f>'הספק קיים ותחזית יצור'!M134-'הספק קיים ותחזית יצור'!M133</f>
        <v>0</v>
      </c>
      <c r="H82" s="720">
        <f>'הספק קיים ותחזית יצור'!N134-'הספק קיים ותחזית יצור'!N133</f>
        <v>0</v>
      </c>
      <c r="I82" s="720">
        <f>'הספק קיים ותחזית יצור'!O134-'הספק קיים ותחזית יצור'!O133</f>
        <v>0</v>
      </c>
      <c r="J82" s="47">
        <v>0</v>
      </c>
      <c r="K82" s="55">
        <f t="shared" si="110"/>
        <v>0</v>
      </c>
      <c r="L82" s="56">
        <f t="shared" si="111"/>
        <v>0</v>
      </c>
      <c r="M82" s="128">
        <v>0</v>
      </c>
      <c r="N82" s="57">
        <f t="shared" si="112"/>
        <v>0</v>
      </c>
      <c r="O82" s="57">
        <f t="shared" si="113"/>
        <v>0</v>
      </c>
      <c r="P82" s="57">
        <f t="shared" si="114"/>
        <v>0</v>
      </c>
      <c r="Q82" s="57">
        <f t="shared" si="115"/>
        <v>0</v>
      </c>
      <c r="R82" s="652">
        <f t="shared" si="115"/>
        <v>0</v>
      </c>
      <c r="S82" s="558">
        <v>0</v>
      </c>
      <c r="T82" s="558">
        <v>0</v>
      </c>
      <c r="U82" s="719">
        <f>'הספק קיים ותחזית יצור'!K134-'הספק קיים ותחזית יצור'!K133</f>
        <v>0</v>
      </c>
      <c r="V82" s="47">
        <v>0</v>
      </c>
      <c r="W82" s="720">
        <f>'הספק קיים ותחזית יצור'!M134-'הספק קיים ותחזית יצור'!M133</f>
        <v>0</v>
      </c>
      <c r="X82" s="720">
        <f>'הספק קיים ותחזית יצור'!N134-'הספק קיים ותחזית יצור'!N133</f>
        <v>0</v>
      </c>
      <c r="Y82" s="720">
        <f>'הספק קיים ותחזית יצור'!O134-'הספק קיים ותחזית יצור'!O133</f>
        <v>0</v>
      </c>
      <c r="Z82" s="47">
        <v>0</v>
      </c>
      <c r="AA82" s="55">
        <f t="shared" si="116"/>
        <v>0</v>
      </c>
      <c r="AB82" s="56">
        <f t="shared" si="117"/>
        <v>0</v>
      </c>
      <c r="AC82" s="128">
        <v>0</v>
      </c>
      <c r="AD82" s="57">
        <f t="shared" si="118"/>
        <v>0</v>
      </c>
      <c r="AE82" s="57">
        <f t="shared" si="119"/>
        <v>0</v>
      </c>
      <c r="AF82" s="57">
        <f t="shared" si="120"/>
        <v>0</v>
      </c>
      <c r="AG82" s="57">
        <f t="shared" si="121"/>
        <v>0</v>
      </c>
      <c r="AH82" s="652">
        <f t="shared" si="121"/>
        <v>0</v>
      </c>
      <c r="AI82" s="45">
        <v>0</v>
      </c>
      <c r="AJ82" s="558">
        <v>0</v>
      </c>
      <c r="AK82" s="719">
        <f>'הספק קיים ותחזית יצור'!L134-'הספק קיים ותחזית יצור'!L133</f>
        <v>0</v>
      </c>
      <c r="AL82" s="47">
        <v>0</v>
      </c>
      <c r="AM82" s="721">
        <f>'הספק קיים ותחזית יצור'!M134-'הספק קיים ותחזית יצור'!M133</f>
        <v>0</v>
      </c>
      <c r="AN82" s="721">
        <f>'הספק קיים ותחזית יצור'!N134-'הספק קיים ותחזית יצור'!N133</f>
        <v>0</v>
      </c>
      <c r="AO82" s="721">
        <f>'הספק קיים ותחזית יצור'!O134-'הספק קיים ותחזית יצור'!O133</f>
        <v>0</v>
      </c>
      <c r="AP82" s="47">
        <v>0</v>
      </c>
      <c r="AQ82" s="55">
        <f t="shared" si="122"/>
        <v>0</v>
      </c>
      <c r="AR82" s="56">
        <f t="shared" si="123"/>
        <v>0</v>
      </c>
      <c r="AS82" s="128">
        <v>0</v>
      </c>
      <c r="AT82" s="57">
        <f t="shared" si="124"/>
        <v>0</v>
      </c>
      <c r="AU82" s="57">
        <f t="shared" si="125"/>
        <v>0</v>
      </c>
      <c r="AV82" s="57">
        <f t="shared" si="126"/>
        <v>0</v>
      </c>
      <c r="AW82" s="57">
        <f t="shared" si="127"/>
        <v>0</v>
      </c>
      <c r="AX82" s="56">
        <f t="shared" si="127"/>
        <v>0</v>
      </c>
    </row>
    <row r="83" spans="2:50" ht="15.75" outlineLevel="1" thickBot="1"/>
    <row r="84" spans="2:50" ht="16.5" outlineLevel="1" thickBot="1">
      <c r="B84" s="1294" t="s">
        <v>389</v>
      </c>
      <c r="C84" s="1243" t="s">
        <v>17</v>
      </c>
      <c r="D84" s="1244"/>
      <c r="E84" s="1244"/>
      <c r="F84" s="1244"/>
      <c r="G84" s="1244"/>
      <c r="H84" s="1244"/>
      <c r="I84" s="1244"/>
      <c r="J84" s="1244"/>
      <c r="K84" s="1244"/>
      <c r="L84" s="1244"/>
      <c r="M84" s="1244"/>
      <c r="N84" s="1244"/>
      <c r="O84" s="1244"/>
      <c r="P84" s="1244"/>
      <c r="Q84" s="1244"/>
      <c r="R84" s="1244"/>
      <c r="S84" s="1244"/>
      <c r="T84" s="1244"/>
      <c r="U84" s="1244"/>
      <c r="V84" s="1244"/>
      <c r="W84" s="1244"/>
      <c r="X84" s="1244"/>
      <c r="Y84" s="1244"/>
      <c r="Z84" s="1244"/>
      <c r="AA84" s="1244"/>
      <c r="AB84" s="1244"/>
      <c r="AC84" s="1244"/>
      <c r="AD84" s="1244"/>
      <c r="AE84" s="1244"/>
      <c r="AF84" s="1244"/>
      <c r="AG84" s="1244"/>
      <c r="AH84" s="1244"/>
      <c r="AI84" s="1244"/>
      <c r="AJ84" s="1244"/>
      <c r="AK84" s="1244"/>
      <c r="AL84" s="1244"/>
      <c r="AM84" s="1244"/>
      <c r="AN84" s="1244"/>
      <c r="AO84" s="1244"/>
      <c r="AP84" s="1244"/>
      <c r="AQ84" s="1244"/>
      <c r="AR84" s="1244"/>
      <c r="AS84" s="1244"/>
      <c r="AT84" s="1244"/>
      <c r="AU84" s="1244"/>
      <c r="AV84" s="1244"/>
      <c r="AW84" s="1244"/>
      <c r="AX84" s="1245"/>
    </row>
    <row r="85" spans="2:50" ht="16.5" outlineLevel="1" thickBot="1">
      <c r="B85" s="1295"/>
      <c r="C85" s="1289" t="s">
        <v>46</v>
      </c>
      <c r="D85" s="1290"/>
      <c r="E85" s="1290"/>
      <c r="F85" s="1290"/>
      <c r="G85" s="1290"/>
      <c r="H85" s="1290"/>
      <c r="I85" s="1290"/>
      <c r="J85" s="1296"/>
      <c r="K85" s="1291" t="s">
        <v>47</v>
      </c>
      <c r="L85" s="1292"/>
      <c r="M85" s="1292"/>
      <c r="N85" s="1292"/>
      <c r="O85" s="1292"/>
      <c r="P85" s="1292"/>
      <c r="Q85" s="1292"/>
      <c r="R85" s="1293"/>
      <c r="S85" s="1289" t="s">
        <v>342</v>
      </c>
      <c r="T85" s="1290"/>
      <c r="U85" s="1290"/>
      <c r="V85" s="1290"/>
      <c r="W85" s="1290"/>
      <c r="X85" s="1290"/>
      <c r="Y85" s="1290"/>
      <c r="Z85" s="1296"/>
      <c r="AA85" s="1291" t="s">
        <v>343</v>
      </c>
      <c r="AB85" s="1292"/>
      <c r="AC85" s="1292"/>
      <c r="AD85" s="1292"/>
      <c r="AE85" s="1292"/>
      <c r="AF85" s="1292"/>
      <c r="AG85" s="1292"/>
      <c r="AH85" s="1293"/>
      <c r="AI85" s="1289" t="s">
        <v>344</v>
      </c>
      <c r="AJ85" s="1290"/>
      <c r="AK85" s="1290"/>
      <c r="AL85" s="1290"/>
      <c r="AM85" s="1290"/>
      <c r="AN85" s="1290"/>
      <c r="AO85" s="1290"/>
      <c r="AP85" s="1296"/>
      <c r="AQ85" s="1291" t="s">
        <v>345</v>
      </c>
      <c r="AR85" s="1292"/>
      <c r="AS85" s="1292"/>
      <c r="AT85" s="1292"/>
      <c r="AU85" s="1292"/>
      <c r="AV85" s="1292"/>
      <c r="AW85" s="1292"/>
      <c r="AX85" s="1293"/>
    </row>
    <row r="86" spans="2:50" ht="32.25" outlineLevel="1" thickBot="1">
      <c r="B86" s="4" t="str">
        <f>B60</f>
        <v>שנה</v>
      </c>
      <c r="C86" s="38" t="str">
        <f t="shared" ref="C86:AX86" ca="1" si="128">C60</f>
        <v>גז במחזמים חדשים</v>
      </c>
      <c r="D86" s="38" t="str">
        <f t="shared" ca="1" si="128"/>
        <v>גז בפיקרים חדשים</v>
      </c>
      <c r="E86" s="38" t="str">
        <f t="shared" ca="1" si="128"/>
        <v>מוטה קרקע PV</v>
      </c>
      <c r="F86" s="38" t="str">
        <f t="shared" ca="1" si="128"/>
        <v>מוטה דואלי PV</v>
      </c>
      <c r="G86" s="38" t="str">
        <f t="shared" ca="1" si="128"/>
        <v>רוח</v>
      </c>
      <c r="H86" s="38" t="str">
        <f t="shared" ca="1" si="128"/>
        <v>ביומסה/ביוגז</v>
      </c>
      <c r="I86" s="38" t="str">
        <f t="shared" ca="1" si="128"/>
        <v>תרמו סולארי</v>
      </c>
      <c r="J86" s="38" t="str">
        <f t="shared" ca="1" si="128"/>
        <v>סוללות לית'יום-יון</v>
      </c>
      <c r="K86" s="48" t="str">
        <f t="shared" ca="1" si="128"/>
        <v>גז במחזמים חדשים</v>
      </c>
      <c r="L86" s="48" t="str">
        <f t="shared" ca="1" si="128"/>
        <v>גז בפיקרים חדשים</v>
      </c>
      <c r="M86" s="48" t="str">
        <f t="shared" ca="1" si="128"/>
        <v>מוטה קרקע PV</v>
      </c>
      <c r="N86" s="48" t="str">
        <f t="shared" ca="1" si="128"/>
        <v>מוטה דואלי PV</v>
      </c>
      <c r="O86" s="48" t="str">
        <f t="shared" ca="1" si="128"/>
        <v>רוח</v>
      </c>
      <c r="P86" s="48" t="str">
        <f t="shared" ca="1" si="128"/>
        <v>ביומסה/ביוגז</v>
      </c>
      <c r="Q86" s="48" t="str">
        <f t="shared" ca="1" si="128"/>
        <v>תרמו סולארי</v>
      </c>
      <c r="R86" s="48" t="str">
        <f t="shared" ca="1" si="128"/>
        <v>סוללות לית'יום-יון</v>
      </c>
      <c r="S86" s="38" t="str">
        <f t="shared" ca="1" si="128"/>
        <v>גז במחזמים חדשים</v>
      </c>
      <c r="T86" s="38" t="str">
        <f t="shared" ca="1" si="128"/>
        <v>גז בפיקרים חדשים</v>
      </c>
      <c r="U86" s="38" t="str">
        <f t="shared" ca="1" si="128"/>
        <v>מוטה קרקע PV</v>
      </c>
      <c r="V86" s="38" t="str">
        <f t="shared" ca="1" si="128"/>
        <v>מוטה דואלי PV</v>
      </c>
      <c r="W86" s="38" t="str">
        <f t="shared" ca="1" si="128"/>
        <v>רוח</v>
      </c>
      <c r="X86" s="38" t="str">
        <f t="shared" ca="1" si="128"/>
        <v>ביומסה/ביוגז</v>
      </c>
      <c r="Y86" s="38" t="str">
        <f t="shared" ca="1" si="128"/>
        <v>תרמו סולארי</v>
      </c>
      <c r="Z86" s="38" t="str">
        <f t="shared" ca="1" si="128"/>
        <v>סוללות לית'יום-יון</v>
      </c>
      <c r="AA86" s="48" t="str">
        <f t="shared" ca="1" si="128"/>
        <v>גז במחזמים חדשים</v>
      </c>
      <c r="AB86" s="48" t="str">
        <f t="shared" ca="1" si="128"/>
        <v>גז בפיקרים חדשים</v>
      </c>
      <c r="AC86" s="48" t="str">
        <f t="shared" ca="1" si="128"/>
        <v>מוטה קרקע PV</v>
      </c>
      <c r="AD86" s="48" t="str">
        <f t="shared" ca="1" si="128"/>
        <v>מוטה דואלי PV</v>
      </c>
      <c r="AE86" s="48" t="str">
        <f t="shared" ca="1" si="128"/>
        <v>רוח</v>
      </c>
      <c r="AF86" s="48" t="str">
        <f t="shared" ca="1" si="128"/>
        <v>ביומסה/ביוגז</v>
      </c>
      <c r="AG86" s="48" t="str">
        <f t="shared" ca="1" si="128"/>
        <v>תרמו סולארי</v>
      </c>
      <c r="AH86" s="48" t="str">
        <f t="shared" ca="1" si="128"/>
        <v>סוללות לית'יום-יון</v>
      </c>
      <c r="AI86" s="38" t="str">
        <f t="shared" ca="1" si="128"/>
        <v>גז במחזמים חדשים</v>
      </c>
      <c r="AJ86" s="38" t="str">
        <f t="shared" ca="1" si="128"/>
        <v>גז בפיקרים חדשים</v>
      </c>
      <c r="AK86" s="38" t="str">
        <f t="shared" ca="1" si="128"/>
        <v>מוטה קרקע PV</v>
      </c>
      <c r="AL86" s="38" t="str">
        <f t="shared" ca="1" si="128"/>
        <v>מוטה דואלי PV</v>
      </c>
      <c r="AM86" s="38" t="str">
        <f t="shared" ca="1" si="128"/>
        <v>רוח</v>
      </c>
      <c r="AN86" s="38" t="str">
        <f t="shared" ca="1" si="128"/>
        <v>ביומסה/ביוגז</v>
      </c>
      <c r="AO86" s="38" t="str">
        <f t="shared" ca="1" si="128"/>
        <v>תרמו סולארי</v>
      </c>
      <c r="AP86" s="38" t="str">
        <f t="shared" ca="1" si="128"/>
        <v>סוללות לית'יום-יון</v>
      </c>
      <c r="AQ86" s="48" t="str">
        <f t="shared" ca="1" si="128"/>
        <v>גז במחזמים חדשים</v>
      </c>
      <c r="AR86" s="48" t="str">
        <f t="shared" ca="1" si="128"/>
        <v>גז בפיקרים חדשים</v>
      </c>
      <c r="AS86" s="48" t="str">
        <f t="shared" ca="1" si="128"/>
        <v>מוטה קרקע PV</v>
      </c>
      <c r="AT86" s="48" t="str">
        <f t="shared" ca="1" si="128"/>
        <v>מוטה דואלי PV</v>
      </c>
      <c r="AU86" s="48" t="str">
        <f t="shared" ca="1" si="128"/>
        <v>רוח</v>
      </c>
      <c r="AV86" s="48" t="str">
        <f t="shared" ca="1" si="128"/>
        <v>ביומסה/ביוגז</v>
      </c>
      <c r="AW86" s="48" t="str">
        <f t="shared" ca="1" si="128"/>
        <v>תרמו סולארי</v>
      </c>
      <c r="AX86" s="48" t="str">
        <f t="shared" ca="1" si="128"/>
        <v>סוללות לית'יום-יון</v>
      </c>
    </row>
    <row r="87" spans="2:50" ht="16.5" outlineLevel="1" thickBot="1">
      <c r="B87" s="62" t="str">
        <f t="shared" ref="B87:B108" si="129">B61</f>
        <v>יחידות</v>
      </c>
      <c r="C87" s="38" t="s">
        <v>29</v>
      </c>
      <c r="D87" s="38" t="s">
        <v>29</v>
      </c>
      <c r="E87" s="38" t="s">
        <v>29</v>
      </c>
      <c r="F87" s="38" t="s">
        <v>29</v>
      </c>
      <c r="G87" s="38" t="s">
        <v>29</v>
      </c>
      <c r="H87" s="38" t="s">
        <v>29</v>
      </c>
      <c r="I87" s="38" t="s">
        <v>29</v>
      </c>
      <c r="J87" s="38" t="s">
        <v>29</v>
      </c>
      <c r="K87" s="48" t="s">
        <v>29</v>
      </c>
      <c r="L87" s="48" t="s">
        <v>29</v>
      </c>
      <c r="M87" s="48" t="s">
        <v>29</v>
      </c>
      <c r="N87" s="48" t="s">
        <v>29</v>
      </c>
      <c r="O87" s="48" t="s">
        <v>29</v>
      </c>
      <c r="P87" s="48" t="s">
        <v>29</v>
      </c>
      <c r="Q87" s="48" t="s">
        <v>29</v>
      </c>
      <c r="R87" s="48" t="s">
        <v>29</v>
      </c>
      <c r="S87" s="38" t="s">
        <v>29</v>
      </c>
      <c r="T87" s="38" t="s">
        <v>29</v>
      </c>
      <c r="U87" s="38" t="s">
        <v>29</v>
      </c>
      <c r="V87" s="38" t="s">
        <v>29</v>
      </c>
      <c r="W87" s="38" t="s">
        <v>29</v>
      </c>
      <c r="X87" s="38" t="s">
        <v>29</v>
      </c>
      <c r="Y87" s="38" t="s">
        <v>29</v>
      </c>
      <c r="Z87" s="38" t="s">
        <v>29</v>
      </c>
      <c r="AA87" s="48" t="s">
        <v>29</v>
      </c>
      <c r="AB87" s="48" t="s">
        <v>29</v>
      </c>
      <c r="AC87" s="48" t="s">
        <v>29</v>
      </c>
      <c r="AD87" s="48" t="s">
        <v>29</v>
      </c>
      <c r="AE87" s="48" t="s">
        <v>29</v>
      </c>
      <c r="AF87" s="48" t="s">
        <v>29</v>
      </c>
      <c r="AG87" s="48" t="s">
        <v>29</v>
      </c>
      <c r="AH87" s="48" t="s">
        <v>29</v>
      </c>
      <c r="AI87" s="38" t="s">
        <v>29</v>
      </c>
      <c r="AJ87" s="38" t="s">
        <v>29</v>
      </c>
      <c r="AK87" s="287" t="s">
        <v>29</v>
      </c>
      <c r="AL87" s="38" t="s">
        <v>29</v>
      </c>
      <c r="AM87" s="38" t="s">
        <v>29</v>
      </c>
      <c r="AN87" s="38" t="s">
        <v>29</v>
      </c>
      <c r="AO87" s="38" t="s">
        <v>29</v>
      </c>
      <c r="AP87" s="38" t="s">
        <v>29</v>
      </c>
      <c r="AQ87" s="48" t="s">
        <v>29</v>
      </c>
      <c r="AR87" s="48" t="s">
        <v>29</v>
      </c>
      <c r="AS87" s="48" t="s">
        <v>29</v>
      </c>
      <c r="AT87" s="48" t="s">
        <v>29</v>
      </c>
      <c r="AU87" s="48" t="s">
        <v>29</v>
      </c>
      <c r="AV87" s="48" t="s">
        <v>29</v>
      </c>
      <c r="AW87" s="48" t="s">
        <v>29</v>
      </c>
      <c r="AX87" s="48" t="s">
        <v>29</v>
      </c>
    </row>
    <row r="88" spans="2:50" ht="15.75" outlineLevel="1">
      <c r="B88" s="24">
        <f t="shared" si="129"/>
        <v>2020</v>
      </c>
      <c r="C88" s="39">
        <v>0</v>
      </c>
      <c r="D88" s="63">
        <v>0</v>
      </c>
      <c r="E88" s="178">
        <f>'הספק קיים ותחזית יצור'!J114-'הספק קיים ותחזית יצור'!J113</f>
        <v>1938.6682808157962</v>
      </c>
      <c r="F88" s="41">
        <v>0</v>
      </c>
      <c r="G88" s="400">
        <f>'הספק קיים ותחזית יצור'!M114-'הספק קיים ותחזית יצור'!M113</f>
        <v>8</v>
      </c>
      <c r="H88" s="382">
        <f>'הספק קיים ותחזית יצור'!N114-'הספק קיים ותחזית יצור'!N113</f>
        <v>0</v>
      </c>
      <c r="I88" s="382">
        <f>'הספק קיים ותחזית יצור'!O114-'הספק קיים ותחזית יצור'!O113</f>
        <v>0</v>
      </c>
      <c r="J88" s="41">
        <v>0</v>
      </c>
      <c r="K88" s="49">
        <f t="shared" ref="K88:K108" si="130">C88</f>
        <v>0</v>
      </c>
      <c r="L88" s="50">
        <f t="shared" ref="L88:L108" si="131">D88</f>
        <v>0</v>
      </c>
      <c r="M88" s="126">
        <v>0</v>
      </c>
      <c r="N88" s="51">
        <f t="shared" ref="N88:N108" si="132">E88</f>
        <v>1938.6682808157962</v>
      </c>
      <c r="O88" s="51">
        <f t="shared" ref="O88:O108" si="133">G88</f>
        <v>8</v>
      </c>
      <c r="P88" s="51">
        <f t="shared" ref="P88:P108" si="134">H88</f>
        <v>0</v>
      </c>
      <c r="Q88" s="51">
        <f t="shared" ref="Q88:Q108" si="135">I88</f>
        <v>0</v>
      </c>
      <c r="R88" s="50">
        <f t="shared" ref="R88:R108" si="136">J88</f>
        <v>0</v>
      </c>
      <c r="S88" s="271">
        <v>0</v>
      </c>
      <c r="T88" s="63">
        <v>0</v>
      </c>
      <c r="U88" s="178">
        <f>'הספק קיים ותחזית יצור'!K114-'הספק קיים ותחזית יצור'!K113</f>
        <v>1938.6682808157962</v>
      </c>
      <c r="V88" s="41">
        <v>0</v>
      </c>
      <c r="W88" s="400">
        <f>'הספק קיים ותחזית יצור'!M114-'הספק קיים ותחזית יצור'!M113</f>
        <v>8</v>
      </c>
      <c r="X88" s="382">
        <f>'הספק קיים ותחזית יצור'!N114-'הספק קיים ותחזית יצור'!N113</f>
        <v>0</v>
      </c>
      <c r="Y88" s="382">
        <f>'הספק קיים ותחזית יצור'!O114-'הספק קיים ותחזית יצור'!O113</f>
        <v>0</v>
      </c>
      <c r="Z88" s="41">
        <v>0</v>
      </c>
      <c r="AA88" s="49">
        <f t="shared" ref="AA88:AA108" si="137">S88</f>
        <v>0</v>
      </c>
      <c r="AB88" s="50">
        <f t="shared" ref="AB88:AB108" si="138">T88</f>
        <v>0</v>
      </c>
      <c r="AC88" s="126">
        <v>0</v>
      </c>
      <c r="AD88" s="51">
        <f t="shared" ref="AD88:AD108" si="139">U88</f>
        <v>1938.6682808157962</v>
      </c>
      <c r="AE88" s="51">
        <f t="shared" ref="AE88:AE108" si="140">W88</f>
        <v>8</v>
      </c>
      <c r="AF88" s="51">
        <f t="shared" ref="AF88:AF108" si="141">X88</f>
        <v>0</v>
      </c>
      <c r="AG88" s="51">
        <f t="shared" ref="AG88:AG108" si="142">Y88</f>
        <v>0</v>
      </c>
      <c r="AH88" s="269">
        <f t="shared" ref="AH88:AH108" si="143">Z88</f>
        <v>0</v>
      </c>
      <c r="AI88" s="39">
        <v>0</v>
      </c>
      <c r="AJ88" s="63">
        <v>0</v>
      </c>
      <c r="AK88" s="401">
        <f>'הספק קיים ותחזית יצור'!L114-'הספק קיים ותחזית יצור'!L113</f>
        <v>1938.6682808157962</v>
      </c>
      <c r="AL88" s="41">
        <v>0</v>
      </c>
      <c r="AM88" s="382">
        <f>'הספק קיים ותחזית יצור'!M114-'הספק קיים ותחזית יצור'!M113</f>
        <v>8</v>
      </c>
      <c r="AN88" s="382">
        <f>'הספק קיים ותחזית יצור'!N114-'הספק קיים ותחזית יצור'!N113</f>
        <v>0</v>
      </c>
      <c r="AO88" s="382">
        <f>'הספק קיים ותחזית יצור'!O114-'הספק קיים ותחזית יצור'!O113</f>
        <v>0</v>
      </c>
      <c r="AP88" s="41">
        <v>0</v>
      </c>
      <c r="AQ88" s="49">
        <f t="shared" ref="AQ88:AQ108" si="144">AI88</f>
        <v>0</v>
      </c>
      <c r="AR88" s="50">
        <f t="shared" ref="AR88:AR108" si="145">AJ88</f>
        <v>0</v>
      </c>
      <c r="AS88" s="126">
        <v>0</v>
      </c>
      <c r="AT88" s="51">
        <f t="shared" ref="AT88:AT108" si="146">AK88</f>
        <v>1938.6682808157962</v>
      </c>
      <c r="AU88" s="51">
        <f t="shared" ref="AU88:AU108" si="147">AM88</f>
        <v>8</v>
      </c>
      <c r="AV88" s="51">
        <f t="shared" ref="AV88:AV108" si="148">AN88</f>
        <v>0</v>
      </c>
      <c r="AW88" s="51">
        <f t="shared" ref="AW88:AW108" si="149">AO88</f>
        <v>0</v>
      </c>
      <c r="AX88" s="50">
        <f t="shared" ref="AX88:AX108" si="150">AP88</f>
        <v>0</v>
      </c>
    </row>
    <row r="89" spans="2:50" ht="15.75" outlineLevel="1">
      <c r="B89" s="10">
        <f t="shared" si="129"/>
        <v>2021</v>
      </c>
      <c r="C89" s="42">
        <v>0</v>
      </c>
      <c r="D89" s="64">
        <v>0</v>
      </c>
      <c r="E89" s="179">
        <f>'הספק קיים ותחזית יצור'!J115-'הספק קיים ותחזית יצור'!J114</f>
        <v>323.91425072518769</v>
      </c>
      <c r="F89" s="44">
        <v>0</v>
      </c>
      <c r="G89" s="399">
        <f>'הספק קיים ותחזית יצור'!M115-'הספק קיים ותחזית יצור'!M114</f>
        <v>0</v>
      </c>
      <c r="H89" s="399">
        <f>'הספק קיים ותחזית יצור'!N115-'הספק קיים ותחזית יצור'!N114</f>
        <v>30</v>
      </c>
      <c r="I89" s="399">
        <f>'הספק קיים ותחזית יצור'!O115-'הספק קיים ותחזית יצור'!O114</f>
        <v>0</v>
      </c>
      <c r="J89" s="44">
        <v>0</v>
      </c>
      <c r="K89" s="52">
        <f t="shared" si="130"/>
        <v>0</v>
      </c>
      <c r="L89" s="53">
        <f t="shared" si="131"/>
        <v>0</v>
      </c>
      <c r="M89" s="127">
        <v>0</v>
      </c>
      <c r="N89" s="54">
        <f t="shared" si="132"/>
        <v>323.91425072518769</v>
      </c>
      <c r="O89" s="54">
        <f t="shared" si="133"/>
        <v>0</v>
      </c>
      <c r="P89" s="54">
        <f t="shared" si="134"/>
        <v>30</v>
      </c>
      <c r="Q89" s="54">
        <f t="shared" si="135"/>
        <v>0</v>
      </c>
      <c r="R89" s="53">
        <f t="shared" si="136"/>
        <v>0</v>
      </c>
      <c r="S89" s="832">
        <v>0</v>
      </c>
      <c r="T89" s="64">
        <v>0</v>
      </c>
      <c r="U89" s="179">
        <f>'הספק קיים ותחזית יצור'!K115-'הספק קיים ותחזית יצור'!K114</f>
        <v>740.8761744072458</v>
      </c>
      <c r="V89" s="44">
        <v>0</v>
      </c>
      <c r="W89" s="399">
        <f>'הספק קיים ותחזית יצור'!M115-'הספק קיים ותחזית יצור'!M114</f>
        <v>0</v>
      </c>
      <c r="X89" s="399">
        <f>'הספק קיים ותחזית יצור'!N115-'הספק קיים ותחזית יצור'!N114</f>
        <v>30</v>
      </c>
      <c r="Y89" s="399">
        <f>'הספק קיים ותחזית יצור'!O115-'הספק קיים ותחזית יצור'!O114</f>
        <v>0</v>
      </c>
      <c r="Z89" s="44">
        <v>0</v>
      </c>
      <c r="AA89" s="52">
        <f t="shared" si="137"/>
        <v>0</v>
      </c>
      <c r="AB89" s="53">
        <f t="shared" si="138"/>
        <v>0</v>
      </c>
      <c r="AC89" s="127">
        <v>0</v>
      </c>
      <c r="AD89" s="54">
        <f t="shared" si="139"/>
        <v>740.8761744072458</v>
      </c>
      <c r="AE89" s="54">
        <f t="shared" si="140"/>
        <v>0</v>
      </c>
      <c r="AF89" s="54">
        <f t="shared" si="141"/>
        <v>30</v>
      </c>
      <c r="AG89" s="54">
        <f t="shared" si="142"/>
        <v>0</v>
      </c>
      <c r="AH89" s="270">
        <f t="shared" si="143"/>
        <v>0</v>
      </c>
      <c r="AI89" s="42">
        <v>0</v>
      </c>
      <c r="AJ89" s="64">
        <v>0</v>
      </c>
      <c r="AK89" s="179">
        <f>'הספק קיים ותחזית יצור'!L115-'הספק קיים ותחזית יצור'!L114</f>
        <v>972.52168756394576</v>
      </c>
      <c r="AL89" s="44">
        <v>0</v>
      </c>
      <c r="AM89" s="381">
        <f>'הספק קיים ותחזית יצור'!M115-'הספק קיים ותחזית יצור'!M114</f>
        <v>0</v>
      </c>
      <c r="AN89" s="381">
        <f>'הספק קיים ותחזית יצור'!N115-'הספק קיים ותחזית יצור'!N114</f>
        <v>30</v>
      </c>
      <c r="AO89" s="381">
        <f>'הספק קיים ותחזית יצור'!O115-'הספק קיים ותחזית יצור'!O114</f>
        <v>0</v>
      </c>
      <c r="AP89" s="44">
        <v>0</v>
      </c>
      <c r="AQ89" s="52">
        <f t="shared" si="144"/>
        <v>0</v>
      </c>
      <c r="AR89" s="53">
        <f t="shared" si="145"/>
        <v>0</v>
      </c>
      <c r="AS89" s="127">
        <v>0</v>
      </c>
      <c r="AT89" s="54">
        <f t="shared" si="146"/>
        <v>972.52168756394576</v>
      </c>
      <c r="AU89" s="54">
        <f t="shared" si="147"/>
        <v>0</v>
      </c>
      <c r="AV89" s="54">
        <f t="shared" si="148"/>
        <v>30</v>
      </c>
      <c r="AW89" s="54">
        <f t="shared" si="149"/>
        <v>0</v>
      </c>
      <c r="AX89" s="53">
        <f t="shared" si="150"/>
        <v>0</v>
      </c>
    </row>
    <row r="90" spans="2:50" ht="15.75" outlineLevel="1">
      <c r="B90" s="10">
        <f t="shared" si="129"/>
        <v>2022</v>
      </c>
      <c r="C90" s="42">
        <v>1739</v>
      </c>
      <c r="D90" s="64">
        <v>0</v>
      </c>
      <c r="E90" s="179">
        <f>'הספק קיים ותחזית יצור'!J116-'הספק קיים ותחזית יצור'!J115</f>
        <v>114.79847958817481</v>
      </c>
      <c r="F90" s="44">
        <v>0</v>
      </c>
      <c r="G90" s="399">
        <f>'הספק קיים ותחזית יצור'!M116-'הספק קיים ותחזית יצור'!M115</f>
        <v>170</v>
      </c>
      <c r="H90" s="399">
        <f>'הספק קיים ותחזית יצור'!N116-'הספק קיים ותחזית יצור'!N115</f>
        <v>5</v>
      </c>
      <c r="I90" s="399">
        <f>'הספק קיים ותחזית יצור'!O116-'הספק קיים ותחזית יצור'!O115</f>
        <v>0</v>
      </c>
      <c r="J90" s="44">
        <v>344</v>
      </c>
      <c r="K90" s="52">
        <f t="shared" si="130"/>
        <v>1739</v>
      </c>
      <c r="L90" s="53">
        <f t="shared" si="131"/>
        <v>0</v>
      </c>
      <c r="M90" s="127">
        <v>0</v>
      </c>
      <c r="N90" s="54">
        <f t="shared" si="132"/>
        <v>114.79847958817481</v>
      </c>
      <c r="O90" s="54">
        <f t="shared" si="133"/>
        <v>170</v>
      </c>
      <c r="P90" s="54">
        <f t="shared" si="134"/>
        <v>5</v>
      </c>
      <c r="Q90" s="54">
        <f t="shared" si="135"/>
        <v>0</v>
      </c>
      <c r="R90" s="53">
        <f t="shared" si="136"/>
        <v>344</v>
      </c>
      <c r="S90" s="42">
        <v>1739</v>
      </c>
      <c r="T90" s="64">
        <v>0</v>
      </c>
      <c r="U90" s="179">
        <f>'הספק קיים ותחזית יצור'!K116-'הספק קיים ותחזית יצור'!K115</f>
        <v>557.09875473685315</v>
      </c>
      <c r="V90" s="44">
        <v>0</v>
      </c>
      <c r="W90" s="399">
        <f>'הספק קיים ותחזית יצור'!M116-'הספק קיים ותחזית יצור'!M115</f>
        <v>170</v>
      </c>
      <c r="X90" s="399">
        <f>'הספק קיים ותחזית יצור'!N116-'הספק קיים ותחזית יצור'!N115</f>
        <v>5</v>
      </c>
      <c r="Y90" s="399">
        <f>'הספק קיים ותחזית יצור'!O116-'הספק קיים ותחזית יצור'!O115</f>
        <v>0</v>
      </c>
      <c r="Z90" s="44">
        <v>344</v>
      </c>
      <c r="AA90" s="52">
        <f t="shared" si="137"/>
        <v>1739</v>
      </c>
      <c r="AB90" s="53">
        <f t="shared" si="138"/>
        <v>0</v>
      </c>
      <c r="AC90" s="127">
        <v>0</v>
      </c>
      <c r="AD90" s="54">
        <f t="shared" si="139"/>
        <v>557.09875473685315</v>
      </c>
      <c r="AE90" s="54">
        <f t="shared" si="140"/>
        <v>170</v>
      </c>
      <c r="AF90" s="54">
        <f t="shared" si="141"/>
        <v>5</v>
      </c>
      <c r="AG90" s="54">
        <f t="shared" si="142"/>
        <v>0</v>
      </c>
      <c r="AH90" s="270">
        <f t="shared" si="143"/>
        <v>344</v>
      </c>
      <c r="AI90" s="42">
        <v>1739</v>
      </c>
      <c r="AJ90" s="64">
        <v>0</v>
      </c>
      <c r="AK90" s="179">
        <f>'הספק קיים ותחזית יצור'!L116-'הספק קיים ותחזית יצור'!L115</f>
        <v>802.82112981945102</v>
      </c>
      <c r="AL90" s="44">
        <v>0</v>
      </c>
      <c r="AM90" s="381">
        <f>'הספק קיים ותחזית יצור'!M116-'הספק קיים ותחזית יצור'!M115</f>
        <v>170</v>
      </c>
      <c r="AN90" s="381">
        <f>'הספק קיים ותחזית יצור'!N116-'הספק קיים ותחזית יצור'!N115</f>
        <v>5</v>
      </c>
      <c r="AO90" s="381">
        <f>'הספק קיים ותחזית יצור'!O116-'הספק קיים ותחזית יצור'!O115</f>
        <v>0</v>
      </c>
      <c r="AP90" s="44">
        <v>344</v>
      </c>
      <c r="AQ90" s="52">
        <f t="shared" si="144"/>
        <v>1739</v>
      </c>
      <c r="AR90" s="53">
        <f t="shared" si="145"/>
        <v>0</v>
      </c>
      <c r="AS90" s="127">
        <v>0</v>
      </c>
      <c r="AT90" s="54">
        <f t="shared" si="146"/>
        <v>802.82112981945102</v>
      </c>
      <c r="AU90" s="54">
        <f t="shared" si="147"/>
        <v>170</v>
      </c>
      <c r="AV90" s="54">
        <f t="shared" si="148"/>
        <v>5</v>
      </c>
      <c r="AW90" s="54">
        <f t="shared" si="149"/>
        <v>0</v>
      </c>
      <c r="AX90" s="53">
        <f t="shared" si="150"/>
        <v>344</v>
      </c>
    </row>
    <row r="91" spans="2:50" ht="15.75" outlineLevel="1">
      <c r="B91" s="10">
        <f t="shared" si="129"/>
        <v>2023</v>
      </c>
      <c r="C91" s="42">
        <v>0</v>
      </c>
      <c r="D91" s="64">
        <v>650</v>
      </c>
      <c r="E91" s="179">
        <f>'הספק קיים ותחזית יצור'!J117-'הספק קיים ותחזית יצור'!J116</f>
        <v>122.1593918864919</v>
      </c>
      <c r="F91" s="44">
        <v>0</v>
      </c>
      <c r="G91" s="399">
        <f>'הספק קיים ותחזית יצור'!M117-'הספק קיים ותחזית יצור'!M116</f>
        <v>177</v>
      </c>
      <c r="H91" s="399">
        <f>'הספק קיים ותחזית יצור'!N117-'הספק קיים ותחזית יצור'!N116</f>
        <v>5</v>
      </c>
      <c r="I91" s="399">
        <f>'הספק קיים ותחזית יצור'!O117-'הספק קיים ותחזית יצור'!O116</f>
        <v>0</v>
      </c>
      <c r="J91" s="44">
        <v>0</v>
      </c>
      <c r="K91" s="52">
        <f t="shared" si="130"/>
        <v>0</v>
      </c>
      <c r="L91" s="53">
        <f t="shared" si="131"/>
        <v>650</v>
      </c>
      <c r="M91" s="127">
        <v>0</v>
      </c>
      <c r="N91" s="54">
        <f t="shared" si="132"/>
        <v>122.1593918864919</v>
      </c>
      <c r="O91" s="54">
        <f t="shared" si="133"/>
        <v>177</v>
      </c>
      <c r="P91" s="54">
        <f t="shared" si="134"/>
        <v>5</v>
      </c>
      <c r="Q91" s="54">
        <f t="shared" si="135"/>
        <v>0</v>
      </c>
      <c r="R91" s="53">
        <f t="shared" si="136"/>
        <v>0</v>
      </c>
      <c r="S91" s="42">
        <v>0</v>
      </c>
      <c r="T91" s="64">
        <v>650</v>
      </c>
      <c r="U91" s="179">
        <f>'הספק קיים ותחזית יצור'!K117-'הספק קיים ותחזית יצור'!K116</f>
        <v>590.95086326967066</v>
      </c>
      <c r="V91" s="44">
        <v>0</v>
      </c>
      <c r="W91" s="399">
        <f>'הספק קיים ותחזית יצור'!M117-'הספק קיים ותחזית יצור'!M116</f>
        <v>177</v>
      </c>
      <c r="X91" s="399">
        <f>'הספק קיים ותחזית יצור'!N117-'הספק קיים ותחזית יצור'!N116</f>
        <v>5</v>
      </c>
      <c r="Y91" s="399">
        <f>'הספק קיים ותחזית יצור'!O117-'הספק קיים ותחזית יצור'!O116</f>
        <v>0</v>
      </c>
      <c r="Z91" s="44">
        <v>0</v>
      </c>
      <c r="AA91" s="52">
        <f t="shared" si="137"/>
        <v>0</v>
      </c>
      <c r="AB91" s="53">
        <f t="shared" si="138"/>
        <v>650</v>
      </c>
      <c r="AC91" s="127">
        <v>0</v>
      </c>
      <c r="AD91" s="54">
        <f t="shared" si="139"/>
        <v>590.95086326967066</v>
      </c>
      <c r="AE91" s="54">
        <f t="shared" si="140"/>
        <v>177</v>
      </c>
      <c r="AF91" s="54">
        <f t="shared" si="141"/>
        <v>5</v>
      </c>
      <c r="AG91" s="54">
        <f t="shared" si="142"/>
        <v>0</v>
      </c>
      <c r="AH91" s="270">
        <f t="shared" si="143"/>
        <v>0</v>
      </c>
      <c r="AI91" s="42">
        <v>0</v>
      </c>
      <c r="AJ91" s="64">
        <v>650</v>
      </c>
      <c r="AK91" s="179">
        <f>'הספק קיים ותחזית יצור'!L117-'הספק קיים ותחזית יצור'!L116</f>
        <v>851.39056959365917</v>
      </c>
      <c r="AL91" s="44">
        <v>0</v>
      </c>
      <c r="AM91" s="381">
        <f>'הספק קיים ותחזית יצור'!M117-'הספק קיים ותחזית יצור'!M116</f>
        <v>177</v>
      </c>
      <c r="AN91" s="381">
        <f>'הספק קיים ותחזית יצור'!N117-'הספק קיים ותחזית יצור'!N116</f>
        <v>5</v>
      </c>
      <c r="AO91" s="381">
        <f>'הספק קיים ותחזית יצור'!O117-'הספק קיים ותחזית יצור'!O116</f>
        <v>0</v>
      </c>
      <c r="AP91" s="44">
        <v>0</v>
      </c>
      <c r="AQ91" s="52">
        <f t="shared" si="144"/>
        <v>0</v>
      </c>
      <c r="AR91" s="53">
        <f t="shared" si="145"/>
        <v>650</v>
      </c>
      <c r="AS91" s="127">
        <v>0</v>
      </c>
      <c r="AT91" s="54">
        <f t="shared" si="146"/>
        <v>851.39056959365917</v>
      </c>
      <c r="AU91" s="54">
        <f t="shared" si="147"/>
        <v>177</v>
      </c>
      <c r="AV91" s="54">
        <f t="shared" si="148"/>
        <v>5</v>
      </c>
      <c r="AW91" s="54">
        <f t="shared" si="149"/>
        <v>0</v>
      </c>
      <c r="AX91" s="53">
        <f t="shared" si="150"/>
        <v>0</v>
      </c>
    </row>
    <row r="92" spans="2:50" ht="15.75" outlineLevel="1">
      <c r="B92" s="10">
        <f t="shared" si="129"/>
        <v>2024</v>
      </c>
      <c r="C92" s="42">
        <v>200</v>
      </c>
      <c r="D92" s="64">
        <v>0</v>
      </c>
      <c r="E92" s="179">
        <f>'הספק קיים ותחזית יצור'!J118-'הספק קיים ותחזית יצור'!J117</f>
        <v>125.07243332363396</v>
      </c>
      <c r="F92" s="44">
        <v>0</v>
      </c>
      <c r="G92" s="399">
        <f>'הספק קיים ותחזית יצור'!M118-'הספק קיים ותחזית יצור'!M117</f>
        <v>178</v>
      </c>
      <c r="H92" s="399">
        <f>'הספק קיים ותחזית יצור'!N118-'הספק קיים ותחזית יצור'!N117</f>
        <v>5</v>
      </c>
      <c r="I92" s="399">
        <f>'הספק קיים ותחזית יצור'!O118-'הספק קיים ותחזית יצור'!O117</f>
        <v>0</v>
      </c>
      <c r="J92" s="44">
        <v>0</v>
      </c>
      <c r="K92" s="52">
        <f t="shared" si="130"/>
        <v>200</v>
      </c>
      <c r="L92" s="53">
        <f t="shared" si="131"/>
        <v>0</v>
      </c>
      <c r="M92" s="127">
        <v>0</v>
      </c>
      <c r="N92" s="54">
        <f t="shared" si="132"/>
        <v>125.07243332363396</v>
      </c>
      <c r="O92" s="54">
        <f t="shared" si="133"/>
        <v>178</v>
      </c>
      <c r="P92" s="54">
        <f t="shared" si="134"/>
        <v>5</v>
      </c>
      <c r="Q92" s="54">
        <f t="shared" si="135"/>
        <v>0</v>
      </c>
      <c r="R92" s="53">
        <f t="shared" si="136"/>
        <v>0</v>
      </c>
      <c r="S92" s="42">
        <v>200</v>
      </c>
      <c r="T92" s="64">
        <v>0</v>
      </c>
      <c r="U92" s="179">
        <f>'הספק קיים ותחזית יצור'!K118-'הספק קיים ותחזית יצור'!K117</f>
        <v>616.81891586728034</v>
      </c>
      <c r="V92" s="44">
        <v>0</v>
      </c>
      <c r="W92" s="399">
        <f>'הספק קיים ותחזית יצור'!M118-'הספק קיים ותחזית יצור'!M117</f>
        <v>178</v>
      </c>
      <c r="X92" s="399">
        <f>'הספק קיים ותחזית יצור'!N118-'הספק קיים ותחזית יצור'!N117</f>
        <v>5</v>
      </c>
      <c r="Y92" s="399">
        <f>'הספק קיים ותחזית יצור'!O118-'הספק קיים ותחזית יצור'!O117</f>
        <v>0</v>
      </c>
      <c r="Z92" s="44">
        <v>0</v>
      </c>
      <c r="AA92" s="52">
        <f t="shared" si="137"/>
        <v>200</v>
      </c>
      <c r="AB92" s="53">
        <f t="shared" si="138"/>
        <v>0</v>
      </c>
      <c r="AC92" s="127">
        <v>0</v>
      </c>
      <c r="AD92" s="54">
        <f t="shared" si="139"/>
        <v>616.81891586728034</v>
      </c>
      <c r="AE92" s="54">
        <f t="shared" si="140"/>
        <v>178</v>
      </c>
      <c r="AF92" s="54">
        <f t="shared" si="141"/>
        <v>5</v>
      </c>
      <c r="AG92" s="54">
        <f t="shared" si="142"/>
        <v>0</v>
      </c>
      <c r="AH92" s="270">
        <f t="shared" si="143"/>
        <v>0</v>
      </c>
      <c r="AI92" s="42">
        <v>200</v>
      </c>
      <c r="AJ92" s="64">
        <v>0</v>
      </c>
      <c r="AK92" s="179">
        <f>'הספק קיים ותחזית יצור'!L118-'הספק קיים ותחזית יצור'!L117</f>
        <v>890.01140616930752</v>
      </c>
      <c r="AL92" s="44">
        <v>0</v>
      </c>
      <c r="AM92" s="381">
        <f>'הספק קיים ותחזית יצור'!M118-'הספק קיים ותחזית יצור'!M117</f>
        <v>178</v>
      </c>
      <c r="AN92" s="381">
        <f>'הספק קיים ותחזית יצור'!N118-'הספק קיים ותחזית יצור'!N117</f>
        <v>5</v>
      </c>
      <c r="AO92" s="381">
        <f>'הספק קיים ותחזית יצור'!O118-'הספק קיים ותחזית יצור'!O117</f>
        <v>0</v>
      </c>
      <c r="AP92" s="44">
        <v>0</v>
      </c>
      <c r="AQ92" s="52">
        <f t="shared" si="144"/>
        <v>200</v>
      </c>
      <c r="AR92" s="53">
        <f t="shared" si="145"/>
        <v>0</v>
      </c>
      <c r="AS92" s="127">
        <v>0</v>
      </c>
      <c r="AT92" s="54">
        <f t="shared" si="146"/>
        <v>890.01140616930752</v>
      </c>
      <c r="AU92" s="54">
        <f t="shared" si="147"/>
        <v>178</v>
      </c>
      <c r="AV92" s="54">
        <f t="shared" si="148"/>
        <v>5</v>
      </c>
      <c r="AW92" s="54">
        <f t="shared" si="149"/>
        <v>0</v>
      </c>
      <c r="AX92" s="53">
        <f t="shared" si="150"/>
        <v>0</v>
      </c>
    </row>
    <row r="93" spans="2:50" ht="15.75" outlineLevel="1">
      <c r="B93" s="10">
        <f t="shared" si="129"/>
        <v>2025</v>
      </c>
      <c r="C93" s="42">
        <v>0</v>
      </c>
      <c r="D93" s="64">
        <v>0</v>
      </c>
      <c r="E93" s="179">
        <f>'הספק קיים ותחזית יצור'!J119-'הספק קיים ותחזית יצור'!J118</f>
        <v>181.19893508022506</v>
      </c>
      <c r="F93" s="44">
        <v>0</v>
      </c>
      <c r="G93" s="399">
        <f>'הספק קיים ותחזית יצור'!M119-'הספק קיים ותחזית יצור'!M118</f>
        <v>177</v>
      </c>
      <c r="H93" s="399">
        <f>'הספק קיים ותחזית יצור'!N119-'הספק קיים ותחזית יצור'!N118</f>
        <v>5</v>
      </c>
      <c r="I93" s="399">
        <f>'הספק קיים ותחזית יצור'!O119-'הספק קיים ותחזית יצור'!O118</f>
        <v>0</v>
      </c>
      <c r="J93" s="44">
        <v>156</v>
      </c>
      <c r="K93" s="52">
        <f t="shared" si="130"/>
        <v>0</v>
      </c>
      <c r="L93" s="53">
        <f t="shared" si="131"/>
        <v>0</v>
      </c>
      <c r="M93" s="127">
        <v>0</v>
      </c>
      <c r="N93" s="54">
        <f t="shared" si="132"/>
        <v>181.19893508022506</v>
      </c>
      <c r="O93" s="54">
        <f t="shared" si="133"/>
        <v>177</v>
      </c>
      <c r="P93" s="54">
        <f t="shared" si="134"/>
        <v>5</v>
      </c>
      <c r="Q93" s="54">
        <f t="shared" si="135"/>
        <v>0</v>
      </c>
      <c r="R93" s="53">
        <f t="shared" si="136"/>
        <v>156</v>
      </c>
      <c r="S93" s="42">
        <v>0</v>
      </c>
      <c r="T93" s="64">
        <v>0</v>
      </c>
      <c r="U93" s="179">
        <f>'הספק קיים ותחזית יצור'!K119-'הספק קיים ותחזית יצור'!K118</f>
        <v>711.23940972452419</v>
      </c>
      <c r="V93" s="44">
        <v>0</v>
      </c>
      <c r="W93" s="399">
        <f>'הספק קיים ותחזית יצור'!M119-'הספק קיים ותחזית יצור'!M118</f>
        <v>177</v>
      </c>
      <c r="X93" s="399">
        <f>'הספק קיים ותחזית יצור'!N119-'הספק קיים ותחזית יצור'!N118</f>
        <v>5</v>
      </c>
      <c r="Y93" s="399">
        <f>'הספק קיים ותחזית יצור'!O119-'הספק קיים ותחזית יצור'!O118</f>
        <v>0</v>
      </c>
      <c r="Z93" s="44">
        <v>156</v>
      </c>
      <c r="AA93" s="52">
        <f t="shared" si="137"/>
        <v>0</v>
      </c>
      <c r="AB93" s="53">
        <f t="shared" si="138"/>
        <v>0</v>
      </c>
      <c r="AC93" s="127">
        <v>0</v>
      </c>
      <c r="AD93" s="54">
        <f t="shared" si="139"/>
        <v>711.23940972452419</v>
      </c>
      <c r="AE93" s="54">
        <f t="shared" si="140"/>
        <v>177</v>
      </c>
      <c r="AF93" s="54">
        <f t="shared" si="141"/>
        <v>5</v>
      </c>
      <c r="AG93" s="54">
        <f t="shared" si="142"/>
        <v>0</v>
      </c>
      <c r="AH93" s="270">
        <f t="shared" si="143"/>
        <v>156</v>
      </c>
      <c r="AI93" s="42">
        <v>0</v>
      </c>
      <c r="AJ93" s="64">
        <v>0</v>
      </c>
      <c r="AK93" s="179">
        <f>'הספק קיים ותחזית יצור'!L119-'הספק קיים ותחזית יצור'!L118</f>
        <v>1005.7063400824682</v>
      </c>
      <c r="AL93" s="44">
        <v>0</v>
      </c>
      <c r="AM93" s="381">
        <f>'הספק קיים ותחזית יצור'!M119-'הספק קיים ותחזית יצור'!M118</f>
        <v>177</v>
      </c>
      <c r="AN93" s="381">
        <f>'הספק קיים ותחזית יצור'!N119-'הספק קיים ותחזית יצור'!N118</f>
        <v>5</v>
      </c>
      <c r="AO93" s="381">
        <f>'הספק קיים ותחזית יצור'!O119-'הספק קיים ותחזית יצור'!O118</f>
        <v>0</v>
      </c>
      <c r="AP93" s="44">
        <v>156</v>
      </c>
      <c r="AQ93" s="52">
        <f t="shared" si="144"/>
        <v>0</v>
      </c>
      <c r="AR93" s="53">
        <f t="shared" si="145"/>
        <v>0</v>
      </c>
      <c r="AS93" s="127">
        <v>0</v>
      </c>
      <c r="AT93" s="54">
        <f t="shared" si="146"/>
        <v>1005.7063400824682</v>
      </c>
      <c r="AU93" s="54">
        <f t="shared" si="147"/>
        <v>177</v>
      </c>
      <c r="AV93" s="54">
        <f t="shared" si="148"/>
        <v>5</v>
      </c>
      <c r="AW93" s="54">
        <f t="shared" si="149"/>
        <v>0</v>
      </c>
      <c r="AX93" s="53">
        <f t="shared" si="150"/>
        <v>156</v>
      </c>
    </row>
    <row r="94" spans="2:50" ht="15.75" outlineLevel="1">
      <c r="B94" s="10">
        <f t="shared" si="129"/>
        <v>2026</v>
      </c>
      <c r="C94" s="42">
        <v>0</v>
      </c>
      <c r="D94" s="64">
        <v>0</v>
      </c>
      <c r="E94" s="179">
        <f>'הספק קיים ותחזית יצור'!J120-'הספק קיים ותחזית יצור'!J119</f>
        <v>619.03221265441971</v>
      </c>
      <c r="F94" s="44">
        <v>0</v>
      </c>
      <c r="G94" s="399">
        <f>'הספק קיים ותחזית יצור'!M120-'הספק קיים ותחזית יצור'!M119</f>
        <v>0</v>
      </c>
      <c r="H94" s="399">
        <f>'הספק קיים ותחזית יצור'!N120-'הספק קיים ותחזית יצור'!N119</f>
        <v>5</v>
      </c>
      <c r="I94" s="399">
        <f>'הספק קיים ותחזית יצור'!O120-'הספק קיים ותחזית יצור'!O119</f>
        <v>0</v>
      </c>
      <c r="J94" s="44">
        <v>0</v>
      </c>
      <c r="K94" s="52">
        <f t="shared" si="130"/>
        <v>0</v>
      </c>
      <c r="L94" s="53">
        <f t="shared" si="131"/>
        <v>0</v>
      </c>
      <c r="M94" s="127">
        <v>0</v>
      </c>
      <c r="N94" s="54">
        <f t="shared" si="132"/>
        <v>619.03221265441971</v>
      </c>
      <c r="O94" s="54">
        <f t="shared" si="133"/>
        <v>0</v>
      </c>
      <c r="P94" s="54">
        <f t="shared" si="134"/>
        <v>5</v>
      </c>
      <c r="Q94" s="54">
        <f t="shared" si="135"/>
        <v>0</v>
      </c>
      <c r="R94" s="53">
        <f t="shared" si="136"/>
        <v>0</v>
      </c>
      <c r="S94" s="832">
        <v>450</v>
      </c>
      <c r="T94" s="64">
        <v>0</v>
      </c>
      <c r="U94" s="179">
        <f>'הספק קיים ותחזית יצור'!K120-'הספק קיים ותחזית יצור'!K119</f>
        <v>1068.5447022433837</v>
      </c>
      <c r="V94" s="44">
        <v>0</v>
      </c>
      <c r="W94" s="399">
        <f>'הספק קיים ותחזית יצור'!M120-'הספק קיים ותחזית יצור'!M119</f>
        <v>0</v>
      </c>
      <c r="X94" s="399">
        <f>'הספק קיים ותחזית יצור'!N120-'הספק קיים ותחזית יצור'!N119</f>
        <v>5</v>
      </c>
      <c r="Y94" s="399">
        <f>'הספק קיים ותחזית יצור'!O120-'הספק קיים ותחזית יצור'!O119</f>
        <v>0</v>
      </c>
      <c r="Z94" s="44">
        <v>0</v>
      </c>
      <c r="AA94" s="52">
        <f t="shared" si="137"/>
        <v>450</v>
      </c>
      <c r="AB94" s="53">
        <f t="shared" si="138"/>
        <v>0</v>
      </c>
      <c r="AC94" s="127">
        <v>0</v>
      </c>
      <c r="AD94" s="54">
        <f t="shared" si="139"/>
        <v>1068.5447022433837</v>
      </c>
      <c r="AE94" s="54">
        <f t="shared" si="140"/>
        <v>0</v>
      </c>
      <c r="AF94" s="54">
        <f t="shared" si="141"/>
        <v>5</v>
      </c>
      <c r="AG94" s="54">
        <f t="shared" si="142"/>
        <v>0</v>
      </c>
      <c r="AH94" s="270">
        <f t="shared" si="143"/>
        <v>0</v>
      </c>
      <c r="AI94" s="42">
        <v>0</v>
      </c>
      <c r="AJ94" s="64">
        <v>0</v>
      </c>
      <c r="AK94" s="179">
        <f>'הספק קיים ותחזית יצור'!L120-'הספק קיים ותחזית יצור'!L119</f>
        <v>1377.2273289442073</v>
      </c>
      <c r="AL94" s="44">
        <v>0</v>
      </c>
      <c r="AM94" s="381">
        <f>'הספק קיים ותחזית יצור'!M120-'הספק קיים ותחזית יצור'!M119</f>
        <v>0</v>
      </c>
      <c r="AN94" s="381">
        <f>'הספק קיים ותחזית יצור'!N120-'הספק קיים ותחזית יצור'!N119</f>
        <v>5</v>
      </c>
      <c r="AO94" s="381">
        <f>'הספק קיים ותחזית יצור'!O120-'הספק קיים ותחזית יצור'!O119</f>
        <v>0</v>
      </c>
      <c r="AP94" s="44">
        <v>0</v>
      </c>
      <c r="AQ94" s="52">
        <f t="shared" si="144"/>
        <v>0</v>
      </c>
      <c r="AR94" s="53">
        <f t="shared" si="145"/>
        <v>0</v>
      </c>
      <c r="AS94" s="127">
        <v>0</v>
      </c>
      <c r="AT94" s="54">
        <f t="shared" si="146"/>
        <v>1377.2273289442073</v>
      </c>
      <c r="AU94" s="54">
        <f t="shared" si="147"/>
        <v>0</v>
      </c>
      <c r="AV94" s="54">
        <f t="shared" si="148"/>
        <v>5</v>
      </c>
      <c r="AW94" s="54">
        <f t="shared" si="149"/>
        <v>0</v>
      </c>
      <c r="AX94" s="53">
        <f t="shared" si="150"/>
        <v>0</v>
      </c>
    </row>
    <row r="95" spans="2:50" ht="15.75" outlineLevel="1">
      <c r="B95" s="10">
        <f t="shared" si="129"/>
        <v>2027</v>
      </c>
      <c r="C95" s="42">
        <v>450</v>
      </c>
      <c r="D95" s="64">
        <v>0</v>
      </c>
      <c r="E95" s="179">
        <f>'הספק קיים ותחזית יצור'!J121-'הספק קיים ותחזית יצור'!J120</f>
        <v>651.56146328788145</v>
      </c>
      <c r="F95" s="44">
        <v>0</v>
      </c>
      <c r="G95" s="399">
        <f>'הספק קיים ותחזית יצור'!M121-'הספק קיים ותחזית יצור'!M120</f>
        <v>0</v>
      </c>
      <c r="H95" s="399">
        <f>'הספק קיים ותחזית יצור'!N121-'הספק קיים ותחזית יצור'!N120</f>
        <v>5</v>
      </c>
      <c r="I95" s="399">
        <f>'הספק קיים ותחזית יצור'!O121-'הספק קיים ותחזית יצור'!O120</f>
        <v>0</v>
      </c>
      <c r="J95" s="44">
        <v>0</v>
      </c>
      <c r="K95" s="52">
        <f t="shared" si="130"/>
        <v>450</v>
      </c>
      <c r="L95" s="53">
        <f t="shared" si="131"/>
        <v>0</v>
      </c>
      <c r="M95" s="127">
        <v>0</v>
      </c>
      <c r="N95" s="54">
        <f t="shared" si="132"/>
        <v>651.56146328788145</v>
      </c>
      <c r="O95" s="54">
        <f t="shared" si="133"/>
        <v>0</v>
      </c>
      <c r="P95" s="54">
        <f t="shared" si="134"/>
        <v>5</v>
      </c>
      <c r="Q95" s="54">
        <f t="shared" si="135"/>
        <v>0</v>
      </c>
      <c r="R95" s="53">
        <f t="shared" si="136"/>
        <v>0</v>
      </c>
      <c r="S95" s="832">
        <v>450</v>
      </c>
      <c r="T95" s="64">
        <v>0</v>
      </c>
      <c r="U95" s="179">
        <f>'הספק קיים ותחזית יצור'!K121-'הספק קיים ותחזית יצור'!K120</f>
        <v>1126.1423771989448</v>
      </c>
      <c r="V95" s="44">
        <v>0</v>
      </c>
      <c r="W95" s="399">
        <f>'הספק קיים ותחזית יצור'!M121-'הספק קיים ותחזית יצור'!M120</f>
        <v>0</v>
      </c>
      <c r="X95" s="399">
        <f>'הספק קיים ותחזית יצור'!N121-'הספק קיים ותחזית יצור'!N120</f>
        <v>5</v>
      </c>
      <c r="Y95" s="399">
        <f>'הספק קיים ותחזית יצור'!O121-'הספק קיים ותחזית יצור'!O120</f>
        <v>0</v>
      </c>
      <c r="Z95" s="44">
        <v>0</v>
      </c>
      <c r="AA95" s="52">
        <f t="shared" si="137"/>
        <v>450</v>
      </c>
      <c r="AB95" s="53">
        <f t="shared" si="138"/>
        <v>0</v>
      </c>
      <c r="AC95" s="127">
        <v>0</v>
      </c>
      <c r="AD95" s="54">
        <f t="shared" si="139"/>
        <v>1126.1423771989448</v>
      </c>
      <c r="AE95" s="54">
        <f t="shared" si="140"/>
        <v>0</v>
      </c>
      <c r="AF95" s="54">
        <f t="shared" si="141"/>
        <v>5</v>
      </c>
      <c r="AG95" s="54">
        <f t="shared" si="142"/>
        <v>0</v>
      </c>
      <c r="AH95" s="270">
        <f t="shared" si="143"/>
        <v>0</v>
      </c>
      <c r="AI95" s="42">
        <v>450</v>
      </c>
      <c r="AJ95" s="64">
        <v>0</v>
      </c>
      <c r="AK95" s="179">
        <f>'הספק קיים ותחזית יצור'!L121-'הספק קיים ותחזית יצור'!L120</f>
        <v>1452.3681486045189</v>
      </c>
      <c r="AL95" s="44">
        <v>0</v>
      </c>
      <c r="AM95" s="381">
        <f>'הספק קיים ותחזית יצור'!M121-'הספק קיים ותחזית יצור'!M120</f>
        <v>0</v>
      </c>
      <c r="AN95" s="381">
        <f>'הספק קיים ותחזית יצור'!N121-'הספק קיים ותחזית יצור'!N120</f>
        <v>5</v>
      </c>
      <c r="AO95" s="381">
        <f>'הספק קיים ותחזית יצור'!O121-'הספק קיים ותחזית יצור'!O120</f>
        <v>0</v>
      </c>
      <c r="AP95" s="44">
        <v>0</v>
      </c>
      <c r="AQ95" s="52">
        <f t="shared" si="144"/>
        <v>450</v>
      </c>
      <c r="AR95" s="53">
        <f t="shared" si="145"/>
        <v>0</v>
      </c>
      <c r="AS95" s="127">
        <v>0</v>
      </c>
      <c r="AT95" s="54">
        <f t="shared" si="146"/>
        <v>1452.3681486045189</v>
      </c>
      <c r="AU95" s="54">
        <f t="shared" si="147"/>
        <v>0</v>
      </c>
      <c r="AV95" s="54">
        <f t="shared" si="148"/>
        <v>5</v>
      </c>
      <c r="AW95" s="54">
        <f t="shared" si="149"/>
        <v>0</v>
      </c>
      <c r="AX95" s="53">
        <f t="shared" si="150"/>
        <v>0</v>
      </c>
    </row>
    <row r="96" spans="2:50" ht="15.75" outlineLevel="1">
      <c r="B96" s="10">
        <f t="shared" si="129"/>
        <v>2028</v>
      </c>
      <c r="C96" s="64">
        <f>466+450</f>
        <v>916</v>
      </c>
      <c r="D96" s="64">
        <v>0</v>
      </c>
      <c r="E96" s="179">
        <f>'הספק קיים ותחזית יצור'!J122-'הספק קיים ותחזית יצור'!J121</f>
        <v>662.48868657758612</v>
      </c>
      <c r="F96" s="44">
        <v>0</v>
      </c>
      <c r="G96" s="399">
        <f>'הספק קיים ותחזית יצור'!M122-'הספק קיים ותחזית יצור'!M121</f>
        <v>0</v>
      </c>
      <c r="H96" s="399">
        <f>'הספק קיים ותחזית יצור'!N122-'הספק קיים ותחזית יצור'!N121</f>
        <v>5</v>
      </c>
      <c r="I96" s="399">
        <f>'הספק קיים ותחזית יצור'!O122-'הספק קיים ותחזית יצור'!O121</f>
        <v>0</v>
      </c>
      <c r="J96" s="44">
        <v>0</v>
      </c>
      <c r="K96" s="52">
        <f t="shared" si="130"/>
        <v>916</v>
      </c>
      <c r="L96" s="53">
        <f t="shared" si="131"/>
        <v>0</v>
      </c>
      <c r="M96" s="127">
        <v>0</v>
      </c>
      <c r="N96" s="54">
        <f t="shared" si="132"/>
        <v>662.48868657758612</v>
      </c>
      <c r="O96" s="54">
        <f t="shared" si="133"/>
        <v>0</v>
      </c>
      <c r="P96" s="54">
        <f t="shared" si="134"/>
        <v>5</v>
      </c>
      <c r="Q96" s="54">
        <f t="shared" si="135"/>
        <v>0</v>
      </c>
      <c r="R96" s="53">
        <f t="shared" si="136"/>
        <v>0</v>
      </c>
      <c r="S96" s="833">
        <v>0</v>
      </c>
      <c r="T96" s="64">
        <v>0</v>
      </c>
      <c r="U96" s="179">
        <f>'הספק קיים ותחזית יצור'!K122-'הספק קיים ותחזית יצור'!K121</f>
        <v>1153.3928620654169</v>
      </c>
      <c r="V96" s="44">
        <v>0</v>
      </c>
      <c r="W96" s="399">
        <f>'הספק קיים ותחזית יצור'!M122-'הספק קיים ותחזית יצור'!M121</f>
        <v>0</v>
      </c>
      <c r="X96" s="399">
        <f>'הספק קיים ותחזית יצור'!N122-'הספק קיים ותחזית יצור'!N121</f>
        <v>5</v>
      </c>
      <c r="Y96" s="399">
        <f>'הספק קיים ותחזית יצור'!O122-'הספק קיים ותחזית יצור'!O121</f>
        <v>0</v>
      </c>
      <c r="Z96" s="44">
        <v>200</v>
      </c>
      <c r="AA96" s="52">
        <f t="shared" si="137"/>
        <v>0</v>
      </c>
      <c r="AB96" s="53">
        <f t="shared" si="138"/>
        <v>0</v>
      </c>
      <c r="AC96" s="127">
        <v>0</v>
      </c>
      <c r="AD96" s="54">
        <f t="shared" si="139"/>
        <v>1153.3928620654169</v>
      </c>
      <c r="AE96" s="54">
        <f t="shared" si="140"/>
        <v>0</v>
      </c>
      <c r="AF96" s="54">
        <f t="shared" si="141"/>
        <v>5</v>
      </c>
      <c r="AG96" s="54">
        <f t="shared" si="142"/>
        <v>0</v>
      </c>
      <c r="AH96" s="270">
        <f t="shared" si="143"/>
        <v>200</v>
      </c>
      <c r="AI96" s="42">
        <v>450</v>
      </c>
      <c r="AJ96" s="64">
        <v>0</v>
      </c>
      <c r="AK96" s="179">
        <f>'הספק קיים ותחזית יצור'!L122-'הספק קיים ותחזית יצור'!L121</f>
        <v>1491.9704656881022</v>
      </c>
      <c r="AL96" s="44">
        <v>0</v>
      </c>
      <c r="AM96" s="381">
        <f>'הספק קיים ותחזית יצור'!M122-'הספק קיים ותחזית יצור'!M121</f>
        <v>0</v>
      </c>
      <c r="AN96" s="381">
        <f>'הספק קיים ותחזית יצור'!N122-'הספק קיים ותחזית יצור'!N121</f>
        <v>5</v>
      </c>
      <c r="AO96" s="381">
        <f>'הספק קיים ותחזית יצור'!O122-'הספק קיים ותחזית יצור'!O121</f>
        <v>0</v>
      </c>
      <c r="AP96" s="44">
        <v>1000</v>
      </c>
      <c r="AQ96" s="52">
        <f t="shared" si="144"/>
        <v>450</v>
      </c>
      <c r="AR96" s="53">
        <f t="shared" si="145"/>
        <v>0</v>
      </c>
      <c r="AS96" s="127">
        <v>0</v>
      </c>
      <c r="AT96" s="54">
        <f t="shared" si="146"/>
        <v>1491.9704656881022</v>
      </c>
      <c r="AU96" s="54">
        <f t="shared" si="147"/>
        <v>0</v>
      </c>
      <c r="AV96" s="54">
        <f t="shared" si="148"/>
        <v>5</v>
      </c>
      <c r="AW96" s="54">
        <f t="shared" si="149"/>
        <v>0</v>
      </c>
      <c r="AX96" s="53">
        <f t="shared" si="150"/>
        <v>1000</v>
      </c>
    </row>
    <row r="97" spans="2:50" ht="15.75" outlineLevel="1">
      <c r="B97" s="10">
        <f t="shared" si="129"/>
        <v>2029</v>
      </c>
      <c r="C97" s="64">
        <v>466</v>
      </c>
      <c r="D97" s="64">
        <v>0</v>
      </c>
      <c r="E97" s="179">
        <f>'הספק קיים ותחזית יצור'!J123-'הספק קיים ותחזית יצור'!J122</f>
        <v>743.82022164536647</v>
      </c>
      <c r="F97" s="44">
        <v>0</v>
      </c>
      <c r="G97" s="399">
        <f>'הספק קיים ותחזית יצור'!M123-'הספק קיים ותחזית יצור'!M122</f>
        <v>0</v>
      </c>
      <c r="H97" s="399">
        <f>'הספק קיים ותחזית יצור'!N123-'הספק קיים ותחזית יצור'!N122</f>
        <v>5</v>
      </c>
      <c r="I97" s="399">
        <f>'הספק קיים ותחזית יצור'!O123-'הספק קיים ותחזית יצור'!O122</f>
        <v>0</v>
      </c>
      <c r="J97" s="44">
        <v>0</v>
      </c>
      <c r="K97" s="52">
        <f t="shared" si="130"/>
        <v>466</v>
      </c>
      <c r="L97" s="53">
        <f t="shared" si="131"/>
        <v>0</v>
      </c>
      <c r="M97" s="127">
        <v>0</v>
      </c>
      <c r="N97" s="54">
        <f t="shared" si="132"/>
        <v>743.82022164536647</v>
      </c>
      <c r="O97" s="54">
        <f t="shared" si="133"/>
        <v>0</v>
      </c>
      <c r="P97" s="54">
        <f t="shared" si="134"/>
        <v>5</v>
      </c>
      <c r="Q97" s="54">
        <f t="shared" si="135"/>
        <v>0</v>
      </c>
      <c r="R97" s="53">
        <f t="shared" si="136"/>
        <v>0</v>
      </c>
      <c r="S97" s="833">
        <v>466</v>
      </c>
      <c r="T97" s="64">
        <v>0</v>
      </c>
      <c r="U97" s="179">
        <f>'הספק קיים ותחזית יצור'!K123-'הספק קיים ותחזית יצור'!K122</f>
        <v>1281.7580523680226</v>
      </c>
      <c r="V97" s="44">
        <v>0</v>
      </c>
      <c r="W97" s="399">
        <f>'הספק קיים ותחזית יצור'!M123-'הספק קיים ותחזית יצור'!M122</f>
        <v>0</v>
      </c>
      <c r="X97" s="399">
        <f>'הספק קיים ותחזית יצור'!N123-'הספק קיים ותחזית יצור'!N122</f>
        <v>5</v>
      </c>
      <c r="Y97" s="399">
        <f>'הספק קיים ותחזית יצור'!O123-'הספק קיים ותחזית יצור'!O122</f>
        <v>0</v>
      </c>
      <c r="Z97" s="44">
        <v>200</v>
      </c>
      <c r="AA97" s="52">
        <f t="shared" si="137"/>
        <v>466</v>
      </c>
      <c r="AB97" s="53">
        <f t="shared" si="138"/>
        <v>0</v>
      </c>
      <c r="AC97" s="127">
        <v>0</v>
      </c>
      <c r="AD97" s="54">
        <f t="shared" si="139"/>
        <v>1281.7580523680226</v>
      </c>
      <c r="AE97" s="54">
        <f t="shared" si="140"/>
        <v>0</v>
      </c>
      <c r="AF97" s="54">
        <f t="shared" si="141"/>
        <v>5</v>
      </c>
      <c r="AG97" s="54">
        <f t="shared" si="142"/>
        <v>0</v>
      </c>
      <c r="AH97" s="270">
        <f t="shared" si="143"/>
        <v>200</v>
      </c>
      <c r="AI97" s="42">
        <v>0</v>
      </c>
      <c r="AJ97" s="64">
        <v>0</v>
      </c>
      <c r="AK97" s="179">
        <f>'הספק קיים ותחזית יצור'!L123-'הספק קיים ותחזית יצור'!L122</f>
        <v>1651.413781948213</v>
      </c>
      <c r="AL97" s="44">
        <v>0</v>
      </c>
      <c r="AM97" s="381">
        <f>'הספק קיים ותחזית יצור'!M123-'הספק קיים ותחזית יצור'!M122</f>
        <v>0</v>
      </c>
      <c r="AN97" s="381">
        <f>'הספק קיים ותחזית יצור'!N123-'הספק קיים ותחזית יצור'!N122</f>
        <v>5</v>
      </c>
      <c r="AO97" s="381">
        <f>'הספק קיים ותחזית יצור'!O123-'הספק קיים ותחזית יצור'!O122</f>
        <v>0</v>
      </c>
      <c r="AP97" s="44">
        <v>200</v>
      </c>
      <c r="AQ97" s="52">
        <f t="shared" si="144"/>
        <v>0</v>
      </c>
      <c r="AR97" s="53">
        <f t="shared" si="145"/>
        <v>0</v>
      </c>
      <c r="AS97" s="127">
        <v>0</v>
      </c>
      <c r="AT97" s="54">
        <f t="shared" si="146"/>
        <v>1651.413781948213</v>
      </c>
      <c r="AU97" s="54">
        <f t="shared" si="147"/>
        <v>0</v>
      </c>
      <c r="AV97" s="54">
        <f t="shared" si="148"/>
        <v>5</v>
      </c>
      <c r="AW97" s="54">
        <f t="shared" si="149"/>
        <v>0</v>
      </c>
      <c r="AX97" s="53">
        <f t="shared" si="150"/>
        <v>200</v>
      </c>
    </row>
    <row r="98" spans="2:50" ht="15.75" outlineLevel="1">
      <c r="B98" s="10">
        <f t="shared" si="129"/>
        <v>2030</v>
      </c>
      <c r="C98" s="64">
        <v>466</v>
      </c>
      <c r="D98" s="64">
        <v>113</v>
      </c>
      <c r="E98" s="179">
        <f>'הספק קיים ותחזית יצור'!J124-'הספק קיים ותחזית יצור'!J123</f>
        <v>758.00809086056142</v>
      </c>
      <c r="F98" s="44">
        <v>0</v>
      </c>
      <c r="G98" s="399">
        <f>'הספק קיים ותחזית יצור'!M124-'הספק קיים ותחזית יצור'!M123</f>
        <v>0</v>
      </c>
      <c r="H98" s="399">
        <f>'הספק קיים ותחזית יצור'!N124-'הספק קיים ותחזית יצור'!N123</f>
        <v>5</v>
      </c>
      <c r="I98" s="399">
        <f>'הספק קיים ותחזית יצור'!O124-'הספק קיים ותחזית יצור'!O123</f>
        <v>0</v>
      </c>
      <c r="J98" s="44">
        <v>400</v>
      </c>
      <c r="K98" s="52">
        <f t="shared" si="130"/>
        <v>466</v>
      </c>
      <c r="L98" s="53">
        <f t="shared" si="131"/>
        <v>113</v>
      </c>
      <c r="M98" s="127">
        <v>0</v>
      </c>
      <c r="N98" s="54">
        <f t="shared" si="132"/>
        <v>758.00809086056142</v>
      </c>
      <c r="O98" s="54">
        <f t="shared" si="133"/>
        <v>0</v>
      </c>
      <c r="P98" s="54">
        <f t="shared" si="134"/>
        <v>5</v>
      </c>
      <c r="Q98" s="54">
        <f t="shared" si="135"/>
        <v>0</v>
      </c>
      <c r="R98" s="53">
        <f t="shared" si="136"/>
        <v>400</v>
      </c>
      <c r="S98" s="833">
        <v>0</v>
      </c>
      <c r="T98" s="64">
        <v>0</v>
      </c>
      <c r="U98" s="179">
        <f>'הספק קיים ותחזית יצור'!K124-'הספק קיים ותחזית יצור'!K123</f>
        <v>1314.770052156533</v>
      </c>
      <c r="V98" s="44">
        <v>0</v>
      </c>
      <c r="W98" s="399">
        <f>'הספק קיים ותחזית יצור'!M124-'הספק קיים ותחזית יצור'!M123</f>
        <v>0</v>
      </c>
      <c r="X98" s="399">
        <f>'הספק קיים ותחזית יצור'!N124-'הספק קיים ותחזית יצור'!N123</f>
        <v>5</v>
      </c>
      <c r="Y98" s="399">
        <f>'הספק קיים ותחזית יצור'!O124-'הספק קיים ותחזית יצור'!O123</f>
        <v>0</v>
      </c>
      <c r="Z98" s="44">
        <v>800</v>
      </c>
      <c r="AA98" s="52">
        <f t="shared" si="137"/>
        <v>0</v>
      </c>
      <c r="AB98" s="53">
        <f t="shared" si="138"/>
        <v>0</v>
      </c>
      <c r="AC98" s="127">
        <v>0</v>
      </c>
      <c r="AD98" s="54">
        <f t="shared" si="139"/>
        <v>1314.770052156533</v>
      </c>
      <c r="AE98" s="54">
        <f t="shared" si="140"/>
        <v>0</v>
      </c>
      <c r="AF98" s="54">
        <f t="shared" si="141"/>
        <v>5</v>
      </c>
      <c r="AG98" s="54">
        <f t="shared" si="142"/>
        <v>0</v>
      </c>
      <c r="AH98" s="270">
        <f t="shared" si="143"/>
        <v>800</v>
      </c>
      <c r="AI98" s="42">
        <v>0</v>
      </c>
      <c r="AJ98" s="64">
        <v>0</v>
      </c>
      <c r="AK98" s="179">
        <f>'הספק קיים ותחזית יצור'!L124-'הספק קיים ותחזית יצור'!L123</f>
        <v>1698.5273571395901</v>
      </c>
      <c r="AL98" s="44">
        <v>0</v>
      </c>
      <c r="AM98" s="381">
        <f>'הספק קיים ותחזית יצור'!M124-'הספק קיים ותחזית יצור'!M123</f>
        <v>0</v>
      </c>
      <c r="AN98" s="381">
        <f>'הספק קיים ותחזית יצור'!N124-'הספק קיים ותחזית יצור'!N123</f>
        <v>5</v>
      </c>
      <c r="AO98" s="381">
        <f>'הספק קיים ותחזית יצור'!O124-'הספק קיים ותחזית יצור'!O123</f>
        <v>0</v>
      </c>
      <c r="AP98" s="44">
        <v>1000</v>
      </c>
      <c r="AQ98" s="52">
        <f t="shared" si="144"/>
        <v>0</v>
      </c>
      <c r="AR98" s="53">
        <f t="shared" si="145"/>
        <v>0</v>
      </c>
      <c r="AS98" s="127">
        <v>0</v>
      </c>
      <c r="AT98" s="54">
        <f t="shared" si="146"/>
        <v>1698.5273571395901</v>
      </c>
      <c r="AU98" s="54">
        <f t="shared" si="147"/>
        <v>0</v>
      </c>
      <c r="AV98" s="54">
        <f t="shared" si="148"/>
        <v>5</v>
      </c>
      <c r="AW98" s="54">
        <f t="shared" si="149"/>
        <v>0</v>
      </c>
      <c r="AX98" s="53">
        <f t="shared" si="150"/>
        <v>1000</v>
      </c>
    </row>
    <row r="99" spans="2:50" ht="15.75" outlineLevel="1">
      <c r="B99" s="10">
        <f t="shared" si="129"/>
        <v>2031</v>
      </c>
      <c r="C99" s="64">
        <v>0</v>
      </c>
      <c r="D99" s="64">
        <v>0</v>
      </c>
      <c r="E99" s="179">
        <f>'הספק קיים ותחזית יצור'!J125-'הספק קיים ותחזית יצור'!J124</f>
        <v>0</v>
      </c>
      <c r="F99" s="44">
        <v>0</v>
      </c>
      <c r="G99" s="399">
        <f>'הספק קיים ותחזית יצור'!M125-'הספק קיים ותחזית יצור'!M124</f>
        <v>0</v>
      </c>
      <c r="H99" s="399">
        <f>'הספק קיים ותחזית יצור'!N125-'הספק קיים ותחזית יצור'!N124</f>
        <v>0</v>
      </c>
      <c r="I99" s="399">
        <f>'הספק קיים ותחזית יצור'!O125-'הספק קיים ותחזית יצור'!O124</f>
        <v>0</v>
      </c>
      <c r="J99" s="44">
        <v>0</v>
      </c>
      <c r="K99" s="52">
        <f t="shared" si="130"/>
        <v>0</v>
      </c>
      <c r="L99" s="53">
        <f t="shared" si="131"/>
        <v>0</v>
      </c>
      <c r="M99" s="127">
        <v>0</v>
      </c>
      <c r="N99" s="54">
        <f t="shared" si="132"/>
        <v>0</v>
      </c>
      <c r="O99" s="54">
        <f t="shared" si="133"/>
        <v>0</v>
      </c>
      <c r="P99" s="54">
        <f t="shared" si="134"/>
        <v>0</v>
      </c>
      <c r="Q99" s="54">
        <f t="shared" si="135"/>
        <v>0</v>
      </c>
      <c r="R99" s="53">
        <f t="shared" si="136"/>
        <v>0</v>
      </c>
      <c r="S99" s="833">
        <v>0</v>
      </c>
      <c r="T99" s="64">
        <v>0</v>
      </c>
      <c r="U99" s="179">
        <f>'הספק קיים ותחזית יצור'!K125-'הספק קיים ותחזית יצור'!K124</f>
        <v>0</v>
      </c>
      <c r="V99" s="44">
        <v>0</v>
      </c>
      <c r="W99" s="399">
        <f>'הספק קיים ותחזית יצור'!M125-'הספק קיים ותחזית יצור'!M124</f>
        <v>0</v>
      </c>
      <c r="X99" s="399">
        <f>'הספק קיים ותחזית יצור'!N125-'הספק קיים ותחזית יצור'!N124</f>
        <v>0</v>
      </c>
      <c r="Y99" s="399">
        <f>'הספק קיים ותחזית יצור'!O125-'הספק קיים ותחזית יצור'!O124</f>
        <v>0</v>
      </c>
      <c r="Z99" s="44">
        <v>0</v>
      </c>
      <c r="AA99" s="52">
        <f t="shared" si="137"/>
        <v>0</v>
      </c>
      <c r="AB99" s="53">
        <f t="shared" si="138"/>
        <v>0</v>
      </c>
      <c r="AC99" s="127">
        <v>0</v>
      </c>
      <c r="AD99" s="54">
        <f t="shared" si="139"/>
        <v>0</v>
      </c>
      <c r="AE99" s="54">
        <f t="shared" si="140"/>
        <v>0</v>
      </c>
      <c r="AF99" s="54">
        <f t="shared" si="141"/>
        <v>0</v>
      </c>
      <c r="AG99" s="54">
        <f t="shared" si="142"/>
        <v>0</v>
      </c>
      <c r="AH99" s="270">
        <f t="shared" si="143"/>
        <v>0</v>
      </c>
      <c r="AI99" s="42">
        <v>0</v>
      </c>
      <c r="AJ99" s="64">
        <v>0</v>
      </c>
      <c r="AK99" s="179">
        <f>'הספק קיים ותחזית יצור'!L125-'הספק קיים ותחזית יצור'!L124</f>
        <v>0</v>
      </c>
      <c r="AL99" s="44">
        <v>0</v>
      </c>
      <c r="AM99" s="381">
        <f>'הספק קיים ותחזית יצור'!M125-'הספק קיים ותחזית יצור'!M124</f>
        <v>0</v>
      </c>
      <c r="AN99" s="381">
        <f>'הספק קיים ותחזית יצור'!N125-'הספק קיים ותחזית יצור'!N124</f>
        <v>0</v>
      </c>
      <c r="AO99" s="381">
        <f>'הספק קיים ותחזית יצור'!O125-'הספק קיים ותחזית יצור'!O124</f>
        <v>0</v>
      </c>
      <c r="AP99" s="44">
        <v>0</v>
      </c>
      <c r="AQ99" s="52">
        <f t="shared" si="144"/>
        <v>0</v>
      </c>
      <c r="AR99" s="53">
        <f t="shared" si="145"/>
        <v>0</v>
      </c>
      <c r="AS99" s="127">
        <v>0</v>
      </c>
      <c r="AT99" s="54">
        <f t="shared" si="146"/>
        <v>0</v>
      </c>
      <c r="AU99" s="54">
        <f t="shared" si="147"/>
        <v>0</v>
      </c>
      <c r="AV99" s="54">
        <f t="shared" si="148"/>
        <v>0</v>
      </c>
      <c r="AW99" s="54">
        <f t="shared" si="149"/>
        <v>0</v>
      </c>
      <c r="AX99" s="53">
        <f t="shared" si="150"/>
        <v>0</v>
      </c>
    </row>
    <row r="100" spans="2:50" ht="15.75" outlineLevel="1">
      <c r="B100" s="10">
        <f t="shared" si="129"/>
        <v>2032</v>
      </c>
      <c r="C100" s="64">
        <v>0</v>
      </c>
      <c r="D100" s="64">
        <v>0</v>
      </c>
      <c r="E100" s="179">
        <f>'הספק קיים ותחזית יצור'!J126-'הספק קיים ותחזית יצור'!J125</f>
        <v>0</v>
      </c>
      <c r="F100" s="44">
        <v>0</v>
      </c>
      <c r="G100" s="399">
        <f>'הספק קיים ותחזית יצור'!M126-'הספק קיים ותחזית יצור'!M125</f>
        <v>0</v>
      </c>
      <c r="H100" s="399">
        <f>'הספק קיים ותחזית יצור'!N126-'הספק קיים ותחזית יצור'!N125</f>
        <v>0</v>
      </c>
      <c r="I100" s="399">
        <f>'הספק קיים ותחזית יצור'!O126-'הספק קיים ותחזית יצור'!O125</f>
        <v>0</v>
      </c>
      <c r="J100" s="44">
        <v>0</v>
      </c>
      <c r="K100" s="52">
        <f t="shared" si="130"/>
        <v>0</v>
      </c>
      <c r="L100" s="53">
        <f t="shared" si="131"/>
        <v>0</v>
      </c>
      <c r="M100" s="127">
        <v>0</v>
      </c>
      <c r="N100" s="54">
        <f t="shared" si="132"/>
        <v>0</v>
      </c>
      <c r="O100" s="54">
        <f t="shared" si="133"/>
        <v>0</v>
      </c>
      <c r="P100" s="54">
        <f t="shared" si="134"/>
        <v>0</v>
      </c>
      <c r="Q100" s="54">
        <f t="shared" si="135"/>
        <v>0</v>
      </c>
      <c r="R100" s="53">
        <f t="shared" si="136"/>
        <v>0</v>
      </c>
      <c r="S100" s="833">
        <v>0</v>
      </c>
      <c r="T100" s="64">
        <v>0</v>
      </c>
      <c r="U100" s="179">
        <f>'הספק קיים ותחזית יצור'!K126-'הספק קיים ותחזית יצור'!K125</f>
        <v>0</v>
      </c>
      <c r="V100" s="44">
        <v>0</v>
      </c>
      <c r="W100" s="399">
        <f>'הספק קיים ותחזית יצור'!M126-'הספק קיים ותחזית יצור'!M125</f>
        <v>0</v>
      </c>
      <c r="X100" s="399">
        <f>'הספק קיים ותחזית יצור'!N126-'הספק קיים ותחזית יצור'!N125</f>
        <v>0</v>
      </c>
      <c r="Y100" s="399">
        <f>'הספק קיים ותחזית יצור'!O126-'הספק קיים ותחזית יצור'!O125</f>
        <v>0</v>
      </c>
      <c r="Z100" s="44">
        <v>0</v>
      </c>
      <c r="AA100" s="52">
        <f t="shared" si="137"/>
        <v>0</v>
      </c>
      <c r="AB100" s="53">
        <f t="shared" si="138"/>
        <v>0</v>
      </c>
      <c r="AC100" s="127">
        <v>0</v>
      </c>
      <c r="AD100" s="54">
        <f t="shared" si="139"/>
        <v>0</v>
      </c>
      <c r="AE100" s="54">
        <f t="shared" si="140"/>
        <v>0</v>
      </c>
      <c r="AF100" s="54">
        <f t="shared" si="141"/>
        <v>0</v>
      </c>
      <c r="AG100" s="54">
        <f t="shared" si="142"/>
        <v>0</v>
      </c>
      <c r="AH100" s="270">
        <f t="shared" si="143"/>
        <v>0</v>
      </c>
      <c r="AI100" s="42">
        <v>0</v>
      </c>
      <c r="AJ100" s="64">
        <v>0</v>
      </c>
      <c r="AK100" s="179">
        <f>'הספק קיים ותחזית יצור'!L126-'הספק קיים ותחזית יצור'!L125</f>
        <v>0</v>
      </c>
      <c r="AL100" s="44">
        <v>0</v>
      </c>
      <c r="AM100" s="381">
        <f>'הספק קיים ותחזית יצור'!M126-'הספק קיים ותחזית יצור'!M125</f>
        <v>0</v>
      </c>
      <c r="AN100" s="381">
        <f>'הספק קיים ותחזית יצור'!N126-'הספק קיים ותחזית יצור'!N125</f>
        <v>0</v>
      </c>
      <c r="AO100" s="381">
        <f>'הספק קיים ותחזית יצור'!O126-'הספק קיים ותחזית יצור'!O125</f>
        <v>0</v>
      </c>
      <c r="AP100" s="44">
        <v>0</v>
      </c>
      <c r="AQ100" s="52">
        <f t="shared" si="144"/>
        <v>0</v>
      </c>
      <c r="AR100" s="53">
        <f t="shared" si="145"/>
        <v>0</v>
      </c>
      <c r="AS100" s="127">
        <v>0</v>
      </c>
      <c r="AT100" s="54">
        <f t="shared" si="146"/>
        <v>0</v>
      </c>
      <c r="AU100" s="54">
        <f t="shared" si="147"/>
        <v>0</v>
      </c>
      <c r="AV100" s="54">
        <f t="shared" si="148"/>
        <v>0</v>
      </c>
      <c r="AW100" s="54">
        <f t="shared" si="149"/>
        <v>0</v>
      </c>
      <c r="AX100" s="53">
        <f t="shared" si="150"/>
        <v>0</v>
      </c>
    </row>
    <row r="101" spans="2:50" ht="15.75" outlineLevel="1">
      <c r="B101" s="10">
        <f t="shared" si="129"/>
        <v>2033</v>
      </c>
      <c r="C101" s="64">
        <v>0</v>
      </c>
      <c r="D101" s="64">
        <v>0</v>
      </c>
      <c r="E101" s="179">
        <f>'הספק קיים ותחזית יצור'!J127-'הספק קיים ותחזית יצור'!J126</f>
        <v>0</v>
      </c>
      <c r="F101" s="44">
        <v>0</v>
      </c>
      <c r="G101" s="399">
        <f>'הספק קיים ותחזית יצור'!M127-'הספק קיים ותחזית יצור'!M126</f>
        <v>0</v>
      </c>
      <c r="H101" s="399">
        <f>'הספק קיים ותחזית יצור'!N127-'הספק קיים ותחזית יצור'!N126</f>
        <v>0</v>
      </c>
      <c r="I101" s="399">
        <f>'הספק קיים ותחזית יצור'!O127-'הספק קיים ותחזית יצור'!O126</f>
        <v>0</v>
      </c>
      <c r="J101" s="44">
        <v>0</v>
      </c>
      <c r="K101" s="52">
        <f t="shared" si="130"/>
        <v>0</v>
      </c>
      <c r="L101" s="53">
        <f t="shared" si="131"/>
        <v>0</v>
      </c>
      <c r="M101" s="127">
        <v>0</v>
      </c>
      <c r="N101" s="54">
        <f t="shared" si="132"/>
        <v>0</v>
      </c>
      <c r="O101" s="54">
        <f t="shared" si="133"/>
        <v>0</v>
      </c>
      <c r="P101" s="54">
        <f t="shared" si="134"/>
        <v>0</v>
      </c>
      <c r="Q101" s="54">
        <f t="shared" si="135"/>
        <v>0</v>
      </c>
      <c r="R101" s="53">
        <f t="shared" si="136"/>
        <v>0</v>
      </c>
      <c r="S101" s="833">
        <v>0</v>
      </c>
      <c r="T101" s="64">
        <v>0</v>
      </c>
      <c r="U101" s="179">
        <f>'הספק קיים ותחזית יצור'!K127-'הספק קיים ותחזית יצור'!K126</f>
        <v>0</v>
      </c>
      <c r="V101" s="44">
        <v>0</v>
      </c>
      <c r="W101" s="399">
        <f>'הספק קיים ותחזית יצור'!M127-'הספק קיים ותחזית יצור'!M126</f>
        <v>0</v>
      </c>
      <c r="X101" s="399">
        <f>'הספק קיים ותחזית יצור'!N127-'הספק קיים ותחזית יצור'!N126</f>
        <v>0</v>
      </c>
      <c r="Y101" s="399">
        <f>'הספק קיים ותחזית יצור'!O127-'הספק קיים ותחזית יצור'!O126</f>
        <v>0</v>
      </c>
      <c r="Z101" s="44">
        <v>0</v>
      </c>
      <c r="AA101" s="52">
        <f t="shared" si="137"/>
        <v>0</v>
      </c>
      <c r="AB101" s="53">
        <f t="shared" si="138"/>
        <v>0</v>
      </c>
      <c r="AC101" s="127">
        <v>0</v>
      </c>
      <c r="AD101" s="54">
        <f t="shared" si="139"/>
        <v>0</v>
      </c>
      <c r="AE101" s="54">
        <f t="shared" si="140"/>
        <v>0</v>
      </c>
      <c r="AF101" s="54">
        <f t="shared" si="141"/>
        <v>0</v>
      </c>
      <c r="AG101" s="54">
        <f t="shared" si="142"/>
        <v>0</v>
      </c>
      <c r="AH101" s="270">
        <f t="shared" si="143"/>
        <v>0</v>
      </c>
      <c r="AI101" s="42">
        <v>0</v>
      </c>
      <c r="AJ101" s="64">
        <v>0</v>
      </c>
      <c r="AK101" s="179">
        <f>'הספק קיים ותחזית יצור'!L127-'הספק קיים ותחזית יצור'!L126</f>
        <v>0</v>
      </c>
      <c r="AL101" s="44">
        <v>0</v>
      </c>
      <c r="AM101" s="381">
        <f>'הספק קיים ותחזית יצור'!M127-'הספק קיים ותחזית יצור'!M126</f>
        <v>0</v>
      </c>
      <c r="AN101" s="381">
        <f>'הספק קיים ותחזית יצור'!N127-'הספק קיים ותחזית יצור'!N126</f>
        <v>0</v>
      </c>
      <c r="AO101" s="381">
        <f>'הספק קיים ותחזית יצור'!O127-'הספק קיים ותחזית יצור'!O126</f>
        <v>0</v>
      </c>
      <c r="AP101" s="44">
        <v>0</v>
      </c>
      <c r="AQ101" s="52">
        <f t="shared" si="144"/>
        <v>0</v>
      </c>
      <c r="AR101" s="53">
        <f t="shared" si="145"/>
        <v>0</v>
      </c>
      <c r="AS101" s="127">
        <v>0</v>
      </c>
      <c r="AT101" s="54">
        <f t="shared" si="146"/>
        <v>0</v>
      </c>
      <c r="AU101" s="54">
        <f t="shared" si="147"/>
        <v>0</v>
      </c>
      <c r="AV101" s="54">
        <f t="shared" si="148"/>
        <v>0</v>
      </c>
      <c r="AW101" s="54">
        <f t="shared" si="149"/>
        <v>0</v>
      </c>
      <c r="AX101" s="53">
        <f t="shared" si="150"/>
        <v>0</v>
      </c>
    </row>
    <row r="102" spans="2:50" ht="15.75" outlineLevel="1">
      <c r="B102" s="10">
        <f t="shared" si="129"/>
        <v>2034</v>
      </c>
      <c r="C102" s="64">
        <v>0</v>
      </c>
      <c r="D102" s="64">
        <v>0</v>
      </c>
      <c r="E102" s="179">
        <f>'הספק קיים ותחזית יצור'!J128-'הספק קיים ותחזית יצור'!J127</f>
        <v>0</v>
      </c>
      <c r="F102" s="44">
        <v>0</v>
      </c>
      <c r="G102" s="399">
        <f>'הספק קיים ותחזית יצור'!M128-'הספק קיים ותחזית יצור'!M127</f>
        <v>0</v>
      </c>
      <c r="H102" s="399">
        <f>'הספק קיים ותחזית יצור'!N128-'הספק קיים ותחזית יצור'!N127</f>
        <v>0</v>
      </c>
      <c r="I102" s="399">
        <f>'הספק קיים ותחזית יצור'!O128-'הספק קיים ותחזית יצור'!O127</f>
        <v>0</v>
      </c>
      <c r="J102" s="44">
        <v>0</v>
      </c>
      <c r="K102" s="52">
        <f t="shared" si="130"/>
        <v>0</v>
      </c>
      <c r="L102" s="53">
        <f t="shared" si="131"/>
        <v>0</v>
      </c>
      <c r="M102" s="127">
        <v>0</v>
      </c>
      <c r="N102" s="54">
        <f t="shared" si="132"/>
        <v>0</v>
      </c>
      <c r="O102" s="54">
        <f t="shared" si="133"/>
        <v>0</v>
      </c>
      <c r="P102" s="54">
        <f t="shared" si="134"/>
        <v>0</v>
      </c>
      <c r="Q102" s="54">
        <f t="shared" si="135"/>
        <v>0</v>
      </c>
      <c r="R102" s="53">
        <f t="shared" si="136"/>
        <v>0</v>
      </c>
      <c r="S102" s="833">
        <v>0</v>
      </c>
      <c r="T102" s="64">
        <v>0</v>
      </c>
      <c r="U102" s="179">
        <f>'הספק קיים ותחזית יצור'!K128-'הספק קיים ותחזית יצור'!K127</f>
        <v>0</v>
      </c>
      <c r="V102" s="44">
        <v>0</v>
      </c>
      <c r="W102" s="399">
        <f>'הספק קיים ותחזית יצור'!M128-'הספק קיים ותחזית יצור'!M127</f>
        <v>0</v>
      </c>
      <c r="X102" s="399">
        <f>'הספק קיים ותחזית יצור'!N128-'הספק קיים ותחזית יצור'!N127</f>
        <v>0</v>
      </c>
      <c r="Y102" s="399">
        <f>'הספק קיים ותחזית יצור'!O128-'הספק קיים ותחזית יצור'!O127</f>
        <v>0</v>
      </c>
      <c r="Z102" s="44">
        <v>0</v>
      </c>
      <c r="AA102" s="52">
        <f t="shared" si="137"/>
        <v>0</v>
      </c>
      <c r="AB102" s="53">
        <f t="shared" si="138"/>
        <v>0</v>
      </c>
      <c r="AC102" s="127">
        <v>0</v>
      </c>
      <c r="AD102" s="54">
        <f t="shared" si="139"/>
        <v>0</v>
      </c>
      <c r="AE102" s="54">
        <f t="shared" si="140"/>
        <v>0</v>
      </c>
      <c r="AF102" s="54">
        <f t="shared" si="141"/>
        <v>0</v>
      </c>
      <c r="AG102" s="54">
        <f t="shared" si="142"/>
        <v>0</v>
      </c>
      <c r="AH102" s="270">
        <f t="shared" si="143"/>
        <v>0</v>
      </c>
      <c r="AI102" s="42">
        <v>0</v>
      </c>
      <c r="AJ102" s="64">
        <v>0</v>
      </c>
      <c r="AK102" s="179">
        <f>'הספק קיים ותחזית יצור'!L128-'הספק קיים ותחזית יצור'!L127</f>
        <v>0</v>
      </c>
      <c r="AL102" s="44">
        <v>0</v>
      </c>
      <c r="AM102" s="381">
        <f>'הספק קיים ותחזית יצור'!M128-'הספק קיים ותחזית יצור'!M127</f>
        <v>0</v>
      </c>
      <c r="AN102" s="381">
        <f>'הספק קיים ותחזית יצור'!N128-'הספק קיים ותחזית יצור'!N127</f>
        <v>0</v>
      </c>
      <c r="AO102" s="381">
        <f>'הספק קיים ותחזית יצור'!O128-'הספק קיים ותחזית יצור'!O127</f>
        <v>0</v>
      </c>
      <c r="AP102" s="44">
        <v>0</v>
      </c>
      <c r="AQ102" s="52">
        <f t="shared" si="144"/>
        <v>0</v>
      </c>
      <c r="AR102" s="53">
        <f t="shared" si="145"/>
        <v>0</v>
      </c>
      <c r="AS102" s="127">
        <v>0</v>
      </c>
      <c r="AT102" s="54">
        <f t="shared" si="146"/>
        <v>0</v>
      </c>
      <c r="AU102" s="54">
        <f t="shared" si="147"/>
        <v>0</v>
      </c>
      <c r="AV102" s="54">
        <f t="shared" si="148"/>
        <v>0</v>
      </c>
      <c r="AW102" s="54">
        <f t="shared" si="149"/>
        <v>0</v>
      </c>
      <c r="AX102" s="53">
        <f t="shared" si="150"/>
        <v>0</v>
      </c>
    </row>
    <row r="103" spans="2:50" ht="15.75" outlineLevel="1">
      <c r="B103" s="10">
        <f t="shared" si="129"/>
        <v>2035</v>
      </c>
      <c r="C103" s="64">
        <v>0</v>
      </c>
      <c r="D103" s="64">
        <v>0</v>
      </c>
      <c r="E103" s="179">
        <f>'הספק קיים ותחזית יצור'!J129-'הספק קיים ותחזית יצור'!J128</f>
        <v>0</v>
      </c>
      <c r="F103" s="44">
        <v>0</v>
      </c>
      <c r="G103" s="399">
        <f>'הספק קיים ותחזית יצור'!M129-'הספק קיים ותחזית יצור'!M128</f>
        <v>0</v>
      </c>
      <c r="H103" s="399">
        <f>'הספק קיים ותחזית יצור'!N129-'הספק קיים ותחזית יצור'!N128</f>
        <v>0</v>
      </c>
      <c r="I103" s="399">
        <f>'הספק קיים ותחזית יצור'!O129-'הספק קיים ותחזית יצור'!O128</f>
        <v>0</v>
      </c>
      <c r="J103" s="44">
        <v>0</v>
      </c>
      <c r="K103" s="52">
        <f t="shared" si="130"/>
        <v>0</v>
      </c>
      <c r="L103" s="53">
        <f t="shared" si="131"/>
        <v>0</v>
      </c>
      <c r="M103" s="127">
        <v>0</v>
      </c>
      <c r="N103" s="54">
        <f t="shared" si="132"/>
        <v>0</v>
      </c>
      <c r="O103" s="54">
        <f t="shared" si="133"/>
        <v>0</v>
      </c>
      <c r="P103" s="54">
        <f t="shared" si="134"/>
        <v>0</v>
      </c>
      <c r="Q103" s="54">
        <f t="shared" si="135"/>
        <v>0</v>
      </c>
      <c r="R103" s="53">
        <f t="shared" si="136"/>
        <v>0</v>
      </c>
      <c r="S103" s="833">
        <v>0</v>
      </c>
      <c r="T103" s="64">
        <v>0</v>
      </c>
      <c r="U103" s="179">
        <f>'הספק קיים ותחזית יצור'!K129-'הספק קיים ותחזית יצור'!K128</f>
        <v>0</v>
      </c>
      <c r="V103" s="44">
        <v>0</v>
      </c>
      <c r="W103" s="399">
        <f>'הספק קיים ותחזית יצור'!M129-'הספק קיים ותחזית יצור'!M128</f>
        <v>0</v>
      </c>
      <c r="X103" s="399">
        <f>'הספק קיים ותחזית יצור'!N129-'הספק קיים ותחזית יצור'!N128</f>
        <v>0</v>
      </c>
      <c r="Y103" s="399">
        <f>'הספק קיים ותחזית יצור'!O129-'הספק קיים ותחזית יצור'!O128</f>
        <v>0</v>
      </c>
      <c r="Z103" s="44">
        <v>0</v>
      </c>
      <c r="AA103" s="52">
        <f t="shared" si="137"/>
        <v>0</v>
      </c>
      <c r="AB103" s="53">
        <f t="shared" si="138"/>
        <v>0</v>
      </c>
      <c r="AC103" s="127">
        <v>0</v>
      </c>
      <c r="AD103" s="54">
        <f t="shared" si="139"/>
        <v>0</v>
      </c>
      <c r="AE103" s="54">
        <f t="shared" si="140"/>
        <v>0</v>
      </c>
      <c r="AF103" s="54">
        <f t="shared" si="141"/>
        <v>0</v>
      </c>
      <c r="AG103" s="54">
        <f t="shared" si="142"/>
        <v>0</v>
      </c>
      <c r="AH103" s="270">
        <f t="shared" si="143"/>
        <v>0</v>
      </c>
      <c r="AI103" s="42">
        <v>0</v>
      </c>
      <c r="AJ103" s="64">
        <v>0</v>
      </c>
      <c r="AK103" s="179">
        <f>'הספק קיים ותחזית יצור'!L129-'הספק קיים ותחזית יצור'!L128</f>
        <v>0</v>
      </c>
      <c r="AL103" s="44">
        <v>0</v>
      </c>
      <c r="AM103" s="381">
        <f>'הספק קיים ותחזית יצור'!M129-'הספק קיים ותחזית יצור'!M128</f>
        <v>0</v>
      </c>
      <c r="AN103" s="381">
        <f>'הספק קיים ותחזית יצור'!N129-'הספק קיים ותחזית יצור'!N128</f>
        <v>0</v>
      </c>
      <c r="AO103" s="381">
        <f>'הספק קיים ותחזית יצור'!O129-'הספק קיים ותחזית יצור'!O128</f>
        <v>0</v>
      </c>
      <c r="AP103" s="44">
        <v>0</v>
      </c>
      <c r="AQ103" s="52">
        <f t="shared" si="144"/>
        <v>0</v>
      </c>
      <c r="AR103" s="53">
        <f t="shared" si="145"/>
        <v>0</v>
      </c>
      <c r="AS103" s="127">
        <v>0</v>
      </c>
      <c r="AT103" s="54">
        <f t="shared" si="146"/>
        <v>0</v>
      </c>
      <c r="AU103" s="54">
        <f t="shared" si="147"/>
        <v>0</v>
      </c>
      <c r="AV103" s="54">
        <f t="shared" si="148"/>
        <v>0</v>
      </c>
      <c r="AW103" s="54">
        <f t="shared" si="149"/>
        <v>0</v>
      </c>
      <c r="AX103" s="53">
        <f t="shared" si="150"/>
        <v>0</v>
      </c>
    </row>
    <row r="104" spans="2:50" ht="15.75" outlineLevel="1">
      <c r="B104" s="10">
        <f t="shared" si="129"/>
        <v>2036</v>
      </c>
      <c r="C104" s="64">
        <v>0</v>
      </c>
      <c r="D104" s="64">
        <v>0</v>
      </c>
      <c r="E104" s="179">
        <f>'הספק קיים ותחזית יצור'!J130-'הספק קיים ותחזית יצור'!J129</f>
        <v>0</v>
      </c>
      <c r="F104" s="44">
        <v>0</v>
      </c>
      <c r="G104" s="399">
        <f>'הספק קיים ותחזית יצור'!M130-'הספק קיים ותחזית יצור'!M129</f>
        <v>0</v>
      </c>
      <c r="H104" s="399">
        <f>'הספק קיים ותחזית יצור'!N130-'הספק קיים ותחזית יצור'!N129</f>
        <v>0</v>
      </c>
      <c r="I104" s="399">
        <f>'הספק קיים ותחזית יצור'!O130-'הספק קיים ותחזית יצור'!O129</f>
        <v>0</v>
      </c>
      <c r="J104" s="44">
        <v>0</v>
      </c>
      <c r="K104" s="52">
        <f t="shared" si="130"/>
        <v>0</v>
      </c>
      <c r="L104" s="53">
        <f t="shared" si="131"/>
        <v>0</v>
      </c>
      <c r="M104" s="127">
        <v>0</v>
      </c>
      <c r="N104" s="54">
        <f t="shared" si="132"/>
        <v>0</v>
      </c>
      <c r="O104" s="54">
        <f t="shared" si="133"/>
        <v>0</v>
      </c>
      <c r="P104" s="54">
        <f t="shared" si="134"/>
        <v>0</v>
      </c>
      <c r="Q104" s="54">
        <f t="shared" si="135"/>
        <v>0</v>
      </c>
      <c r="R104" s="53">
        <f t="shared" si="136"/>
        <v>0</v>
      </c>
      <c r="S104" s="833">
        <v>0</v>
      </c>
      <c r="T104" s="64">
        <v>0</v>
      </c>
      <c r="U104" s="179">
        <f>'הספק קיים ותחזית יצור'!K130-'הספק קיים ותחזית יצור'!K129</f>
        <v>0</v>
      </c>
      <c r="V104" s="44">
        <v>0</v>
      </c>
      <c r="W104" s="399">
        <f>'הספק קיים ותחזית יצור'!M130-'הספק קיים ותחזית יצור'!M129</f>
        <v>0</v>
      </c>
      <c r="X104" s="399">
        <f>'הספק קיים ותחזית יצור'!N130-'הספק קיים ותחזית יצור'!N129</f>
        <v>0</v>
      </c>
      <c r="Y104" s="399">
        <f>'הספק קיים ותחזית יצור'!O130-'הספק קיים ותחזית יצור'!O129</f>
        <v>0</v>
      </c>
      <c r="Z104" s="44">
        <v>0</v>
      </c>
      <c r="AA104" s="52">
        <f t="shared" si="137"/>
        <v>0</v>
      </c>
      <c r="AB104" s="53">
        <f t="shared" si="138"/>
        <v>0</v>
      </c>
      <c r="AC104" s="127">
        <v>0</v>
      </c>
      <c r="AD104" s="54">
        <f t="shared" si="139"/>
        <v>0</v>
      </c>
      <c r="AE104" s="54">
        <f t="shared" si="140"/>
        <v>0</v>
      </c>
      <c r="AF104" s="54">
        <f t="shared" si="141"/>
        <v>0</v>
      </c>
      <c r="AG104" s="54">
        <f t="shared" si="142"/>
        <v>0</v>
      </c>
      <c r="AH104" s="270">
        <f t="shared" si="143"/>
        <v>0</v>
      </c>
      <c r="AI104" s="42">
        <v>0</v>
      </c>
      <c r="AJ104" s="64">
        <v>0</v>
      </c>
      <c r="AK104" s="179">
        <f>'הספק קיים ותחזית יצור'!L130-'הספק קיים ותחזית יצור'!L129</f>
        <v>0</v>
      </c>
      <c r="AL104" s="44">
        <v>0</v>
      </c>
      <c r="AM104" s="381">
        <f>'הספק קיים ותחזית יצור'!M130-'הספק קיים ותחזית יצור'!M129</f>
        <v>0</v>
      </c>
      <c r="AN104" s="381">
        <f>'הספק קיים ותחזית יצור'!N130-'הספק קיים ותחזית יצור'!N129</f>
        <v>0</v>
      </c>
      <c r="AO104" s="381">
        <f>'הספק קיים ותחזית יצור'!O130-'הספק קיים ותחזית יצור'!O129</f>
        <v>0</v>
      </c>
      <c r="AP104" s="44">
        <v>0</v>
      </c>
      <c r="AQ104" s="52">
        <f t="shared" si="144"/>
        <v>0</v>
      </c>
      <c r="AR104" s="53">
        <f t="shared" si="145"/>
        <v>0</v>
      </c>
      <c r="AS104" s="127">
        <v>0</v>
      </c>
      <c r="AT104" s="54">
        <f t="shared" si="146"/>
        <v>0</v>
      </c>
      <c r="AU104" s="54">
        <f t="shared" si="147"/>
        <v>0</v>
      </c>
      <c r="AV104" s="54">
        <f t="shared" si="148"/>
        <v>0</v>
      </c>
      <c r="AW104" s="54">
        <f t="shared" si="149"/>
        <v>0</v>
      </c>
      <c r="AX104" s="53">
        <f t="shared" si="150"/>
        <v>0</v>
      </c>
    </row>
    <row r="105" spans="2:50" ht="15.75" outlineLevel="1">
      <c r="B105" s="10">
        <f t="shared" si="129"/>
        <v>2037</v>
      </c>
      <c r="C105" s="64">
        <v>0</v>
      </c>
      <c r="D105" s="64">
        <v>0</v>
      </c>
      <c r="E105" s="179">
        <f>'הספק קיים ותחזית יצור'!J131-'הספק קיים ותחזית יצור'!J130</f>
        <v>0</v>
      </c>
      <c r="F105" s="44">
        <v>0</v>
      </c>
      <c r="G105" s="399">
        <f>'הספק קיים ותחזית יצור'!M131-'הספק קיים ותחזית יצור'!M130</f>
        <v>0</v>
      </c>
      <c r="H105" s="399">
        <f>'הספק קיים ותחזית יצור'!N131-'הספק קיים ותחזית יצור'!N130</f>
        <v>0</v>
      </c>
      <c r="I105" s="399">
        <f>'הספק קיים ותחזית יצור'!O131-'הספק קיים ותחזית יצור'!O130</f>
        <v>0</v>
      </c>
      <c r="J105" s="44">
        <v>0</v>
      </c>
      <c r="K105" s="52">
        <f t="shared" si="130"/>
        <v>0</v>
      </c>
      <c r="L105" s="53">
        <f t="shared" si="131"/>
        <v>0</v>
      </c>
      <c r="M105" s="127">
        <v>0</v>
      </c>
      <c r="N105" s="54">
        <f t="shared" si="132"/>
        <v>0</v>
      </c>
      <c r="O105" s="54">
        <f t="shared" si="133"/>
        <v>0</v>
      </c>
      <c r="P105" s="54">
        <f t="shared" si="134"/>
        <v>0</v>
      </c>
      <c r="Q105" s="54">
        <f t="shared" si="135"/>
        <v>0</v>
      </c>
      <c r="R105" s="53">
        <f t="shared" si="136"/>
        <v>0</v>
      </c>
      <c r="S105" s="833">
        <v>0</v>
      </c>
      <c r="T105" s="64">
        <v>0</v>
      </c>
      <c r="U105" s="179">
        <f>'הספק קיים ותחזית יצור'!K131-'הספק קיים ותחזית יצור'!K130</f>
        <v>0</v>
      </c>
      <c r="V105" s="44">
        <v>0</v>
      </c>
      <c r="W105" s="399">
        <f>'הספק קיים ותחזית יצור'!M131-'הספק קיים ותחזית יצור'!M130</f>
        <v>0</v>
      </c>
      <c r="X105" s="399">
        <f>'הספק קיים ותחזית יצור'!N131-'הספק קיים ותחזית יצור'!N130</f>
        <v>0</v>
      </c>
      <c r="Y105" s="399">
        <f>'הספק קיים ותחזית יצור'!O131-'הספק קיים ותחזית יצור'!O130</f>
        <v>0</v>
      </c>
      <c r="Z105" s="44">
        <v>0</v>
      </c>
      <c r="AA105" s="52">
        <f t="shared" si="137"/>
        <v>0</v>
      </c>
      <c r="AB105" s="53">
        <f t="shared" si="138"/>
        <v>0</v>
      </c>
      <c r="AC105" s="127">
        <v>0</v>
      </c>
      <c r="AD105" s="54">
        <f t="shared" si="139"/>
        <v>0</v>
      </c>
      <c r="AE105" s="54">
        <f t="shared" si="140"/>
        <v>0</v>
      </c>
      <c r="AF105" s="54">
        <f t="shared" si="141"/>
        <v>0</v>
      </c>
      <c r="AG105" s="54">
        <f t="shared" si="142"/>
        <v>0</v>
      </c>
      <c r="AH105" s="270">
        <f t="shared" si="143"/>
        <v>0</v>
      </c>
      <c r="AI105" s="42">
        <v>0</v>
      </c>
      <c r="AJ105" s="64">
        <v>0</v>
      </c>
      <c r="AK105" s="179">
        <f>'הספק קיים ותחזית יצור'!L131-'הספק קיים ותחזית יצור'!L130</f>
        <v>0</v>
      </c>
      <c r="AL105" s="44">
        <v>0</v>
      </c>
      <c r="AM105" s="381">
        <f>'הספק קיים ותחזית יצור'!M131-'הספק קיים ותחזית יצור'!M130</f>
        <v>0</v>
      </c>
      <c r="AN105" s="381">
        <f>'הספק קיים ותחזית יצור'!N131-'הספק קיים ותחזית יצור'!N130</f>
        <v>0</v>
      </c>
      <c r="AO105" s="381">
        <f>'הספק קיים ותחזית יצור'!O131-'הספק קיים ותחזית יצור'!O130</f>
        <v>0</v>
      </c>
      <c r="AP105" s="44">
        <v>0</v>
      </c>
      <c r="AQ105" s="52">
        <f t="shared" si="144"/>
        <v>0</v>
      </c>
      <c r="AR105" s="53">
        <f t="shared" si="145"/>
        <v>0</v>
      </c>
      <c r="AS105" s="127">
        <v>0</v>
      </c>
      <c r="AT105" s="54">
        <f t="shared" si="146"/>
        <v>0</v>
      </c>
      <c r="AU105" s="54">
        <f t="shared" si="147"/>
        <v>0</v>
      </c>
      <c r="AV105" s="54">
        <f t="shared" si="148"/>
        <v>0</v>
      </c>
      <c r="AW105" s="54">
        <f t="shared" si="149"/>
        <v>0</v>
      </c>
      <c r="AX105" s="53">
        <f t="shared" si="150"/>
        <v>0</v>
      </c>
    </row>
    <row r="106" spans="2:50" ht="15.75" outlineLevel="1">
      <c r="B106" s="10">
        <f t="shared" si="129"/>
        <v>2038</v>
      </c>
      <c r="C106" s="64">
        <v>0</v>
      </c>
      <c r="D106" s="64">
        <v>0</v>
      </c>
      <c r="E106" s="179">
        <f>'הספק קיים ותחזית יצור'!J132-'הספק קיים ותחזית יצור'!J131</f>
        <v>0</v>
      </c>
      <c r="F106" s="44">
        <v>0</v>
      </c>
      <c r="G106" s="399">
        <f>'הספק קיים ותחזית יצור'!M132-'הספק קיים ותחזית יצור'!M131</f>
        <v>0</v>
      </c>
      <c r="H106" s="399">
        <f>'הספק קיים ותחזית יצור'!N132-'הספק קיים ותחזית יצור'!N131</f>
        <v>0</v>
      </c>
      <c r="I106" s="399">
        <f>'הספק קיים ותחזית יצור'!O132-'הספק קיים ותחזית יצור'!O131</f>
        <v>0</v>
      </c>
      <c r="J106" s="44">
        <v>0</v>
      </c>
      <c r="K106" s="52">
        <f t="shared" si="130"/>
        <v>0</v>
      </c>
      <c r="L106" s="53">
        <f t="shared" si="131"/>
        <v>0</v>
      </c>
      <c r="M106" s="127">
        <v>0</v>
      </c>
      <c r="N106" s="54">
        <f t="shared" si="132"/>
        <v>0</v>
      </c>
      <c r="O106" s="54">
        <f t="shared" si="133"/>
        <v>0</v>
      </c>
      <c r="P106" s="54">
        <f t="shared" si="134"/>
        <v>0</v>
      </c>
      <c r="Q106" s="54">
        <f t="shared" si="135"/>
        <v>0</v>
      </c>
      <c r="R106" s="53">
        <f t="shared" si="136"/>
        <v>0</v>
      </c>
      <c r="S106" s="833">
        <v>0</v>
      </c>
      <c r="T106" s="64">
        <v>0</v>
      </c>
      <c r="U106" s="179">
        <f>'הספק קיים ותחזית יצור'!K132-'הספק קיים ותחזית יצור'!K131</f>
        <v>0</v>
      </c>
      <c r="V106" s="44">
        <v>0</v>
      </c>
      <c r="W106" s="399">
        <f>'הספק קיים ותחזית יצור'!M132-'הספק קיים ותחזית יצור'!M131</f>
        <v>0</v>
      </c>
      <c r="X106" s="399">
        <f>'הספק קיים ותחזית יצור'!N132-'הספק קיים ותחזית יצור'!N131</f>
        <v>0</v>
      </c>
      <c r="Y106" s="399">
        <f>'הספק קיים ותחזית יצור'!O132-'הספק קיים ותחזית יצור'!O131</f>
        <v>0</v>
      </c>
      <c r="Z106" s="44">
        <v>0</v>
      </c>
      <c r="AA106" s="52">
        <f t="shared" si="137"/>
        <v>0</v>
      </c>
      <c r="AB106" s="53">
        <f t="shared" si="138"/>
        <v>0</v>
      </c>
      <c r="AC106" s="127">
        <v>0</v>
      </c>
      <c r="AD106" s="54">
        <f t="shared" si="139"/>
        <v>0</v>
      </c>
      <c r="AE106" s="54">
        <f t="shared" si="140"/>
        <v>0</v>
      </c>
      <c r="AF106" s="54">
        <f t="shared" si="141"/>
        <v>0</v>
      </c>
      <c r="AG106" s="54">
        <f t="shared" si="142"/>
        <v>0</v>
      </c>
      <c r="AH106" s="270">
        <f t="shared" si="143"/>
        <v>0</v>
      </c>
      <c r="AI106" s="42">
        <v>0</v>
      </c>
      <c r="AJ106" s="64">
        <v>0</v>
      </c>
      <c r="AK106" s="179">
        <f>'הספק קיים ותחזית יצור'!L132-'הספק קיים ותחזית יצור'!L131</f>
        <v>0</v>
      </c>
      <c r="AL106" s="44">
        <v>0</v>
      </c>
      <c r="AM106" s="381">
        <f>'הספק קיים ותחזית יצור'!M132-'הספק קיים ותחזית יצור'!M131</f>
        <v>0</v>
      </c>
      <c r="AN106" s="381">
        <f>'הספק קיים ותחזית יצור'!N132-'הספק קיים ותחזית יצור'!N131</f>
        <v>0</v>
      </c>
      <c r="AO106" s="381">
        <f>'הספק קיים ותחזית יצור'!O132-'הספק קיים ותחזית יצור'!O131</f>
        <v>0</v>
      </c>
      <c r="AP106" s="44">
        <v>0</v>
      </c>
      <c r="AQ106" s="52">
        <f t="shared" si="144"/>
        <v>0</v>
      </c>
      <c r="AR106" s="53">
        <f t="shared" si="145"/>
        <v>0</v>
      </c>
      <c r="AS106" s="127">
        <v>0</v>
      </c>
      <c r="AT106" s="54">
        <f t="shared" si="146"/>
        <v>0</v>
      </c>
      <c r="AU106" s="54">
        <f t="shared" si="147"/>
        <v>0</v>
      </c>
      <c r="AV106" s="54">
        <f t="shared" si="148"/>
        <v>0</v>
      </c>
      <c r="AW106" s="54">
        <f t="shared" si="149"/>
        <v>0</v>
      </c>
      <c r="AX106" s="53">
        <f t="shared" si="150"/>
        <v>0</v>
      </c>
    </row>
    <row r="107" spans="2:50" ht="15.75" outlineLevel="1">
      <c r="B107" s="10">
        <f t="shared" si="129"/>
        <v>2039</v>
      </c>
      <c r="C107" s="64">
        <v>0</v>
      </c>
      <c r="D107" s="64">
        <v>0</v>
      </c>
      <c r="E107" s="179">
        <f>'הספק קיים ותחזית יצור'!J133-'הספק קיים ותחזית יצור'!J132</f>
        <v>0</v>
      </c>
      <c r="F107" s="44">
        <v>0</v>
      </c>
      <c r="G107" s="399">
        <f>'הספק קיים ותחזית יצור'!M133-'הספק קיים ותחזית יצור'!M132</f>
        <v>0</v>
      </c>
      <c r="H107" s="399">
        <f>'הספק קיים ותחזית יצור'!N133-'הספק קיים ותחזית יצור'!N132</f>
        <v>0</v>
      </c>
      <c r="I107" s="399">
        <f>'הספק קיים ותחזית יצור'!O133-'הספק קיים ותחזית יצור'!O132</f>
        <v>0</v>
      </c>
      <c r="J107" s="44">
        <v>0</v>
      </c>
      <c r="K107" s="52">
        <f t="shared" si="130"/>
        <v>0</v>
      </c>
      <c r="L107" s="53">
        <f t="shared" si="131"/>
        <v>0</v>
      </c>
      <c r="M107" s="127">
        <v>0</v>
      </c>
      <c r="N107" s="54">
        <f t="shared" si="132"/>
        <v>0</v>
      </c>
      <c r="O107" s="54">
        <f t="shared" si="133"/>
        <v>0</v>
      </c>
      <c r="P107" s="54">
        <f t="shared" si="134"/>
        <v>0</v>
      </c>
      <c r="Q107" s="54">
        <f t="shared" si="135"/>
        <v>0</v>
      </c>
      <c r="R107" s="53">
        <f t="shared" si="136"/>
        <v>0</v>
      </c>
      <c r="S107" s="833">
        <v>0</v>
      </c>
      <c r="T107" s="64">
        <v>0</v>
      </c>
      <c r="U107" s="179">
        <f>'הספק קיים ותחזית יצור'!K133-'הספק קיים ותחזית יצור'!K132</f>
        <v>0</v>
      </c>
      <c r="V107" s="44">
        <v>0</v>
      </c>
      <c r="W107" s="399">
        <f>'הספק קיים ותחזית יצור'!M133-'הספק קיים ותחזית יצור'!M132</f>
        <v>0</v>
      </c>
      <c r="X107" s="399">
        <f>'הספק קיים ותחזית יצור'!N133-'הספק קיים ותחזית יצור'!N132</f>
        <v>0</v>
      </c>
      <c r="Y107" s="399">
        <f>'הספק קיים ותחזית יצור'!O133-'הספק קיים ותחזית יצור'!O132</f>
        <v>0</v>
      </c>
      <c r="Z107" s="44">
        <v>0</v>
      </c>
      <c r="AA107" s="52">
        <f t="shared" si="137"/>
        <v>0</v>
      </c>
      <c r="AB107" s="53">
        <f t="shared" si="138"/>
        <v>0</v>
      </c>
      <c r="AC107" s="127">
        <v>0</v>
      </c>
      <c r="AD107" s="54">
        <f t="shared" si="139"/>
        <v>0</v>
      </c>
      <c r="AE107" s="54">
        <f t="shared" si="140"/>
        <v>0</v>
      </c>
      <c r="AF107" s="54">
        <f t="shared" si="141"/>
        <v>0</v>
      </c>
      <c r="AG107" s="54">
        <f t="shared" si="142"/>
        <v>0</v>
      </c>
      <c r="AH107" s="270">
        <f t="shared" si="143"/>
        <v>0</v>
      </c>
      <c r="AI107" s="42">
        <v>0</v>
      </c>
      <c r="AJ107" s="64">
        <v>0</v>
      </c>
      <c r="AK107" s="179">
        <f>'הספק קיים ותחזית יצור'!L133-'הספק קיים ותחזית יצור'!L132</f>
        <v>0</v>
      </c>
      <c r="AL107" s="44">
        <v>0</v>
      </c>
      <c r="AM107" s="381">
        <f>'הספק קיים ותחזית יצור'!M133-'הספק קיים ותחזית יצור'!M132</f>
        <v>0</v>
      </c>
      <c r="AN107" s="381">
        <f>'הספק קיים ותחזית יצור'!N133-'הספק קיים ותחזית יצור'!N132</f>
        <v>0</v>
      </c>
      <c r="AO107" s="381">
        <f>'הספק קיים ותחזית יצור'!O133-'הספק קיים ותחזית יצור'!O132</f>
        <v>0</v>
      </c>
      <c r="AP107" s="44">
        <v>0</v>
      </c>
      <c r="AQ107" s="52">
        <f t="shared" si="144"/>
        <v>0</v>
      </c>
      <c r="AR107" s="53">
        <f t="shared" si="145"/>
        <v>0</v>
      </c>
      <c r="AS107" s="127">
        <v>0</v>
      </c>
      <c r="AT107" s="54">
        <f t="shared" si="146"/>
        <v>0</v>
      </c>
      <c r="AU107" s="54">
        <f t="shared" si="147"/>
        <v>0</v>
      </c>
      <c r="AV107" s="54">
        <f t="shared" si="148"/>
        <v>0</v>
      </c>
      <c r="AW107" s="54">
        <f t="shared" si="149"/>
        <v>0</v>
      </c>
      <c r="AX107" s="53">
        <f t="shared" si="150"/>
        <v>0</v>
      </c>
    </row>
    <row r="108" spans="2:50" ht="16.5" outlineLevel="1" thickBot="1">
      <c r="B108" s="11">
        <f t="shared" si="129"/>
        <v>2040</v>
      </c>
      <c r="C108" s="558">
        <v>0</v>
      </c>
      <c r="D108" s="558">
        <v>0</v>
      </c>
      <c r="E108" s="719">
        <f>'הספק קיים ותחזית יצור'!J134-'הספק קיים ותחזית יצור'!J133</f>
        <v>0</v>
      </c>
      <c r="F108" s="47">
        <v>0</v>
      </c>
      <c r="G108" s="720">
        <f>'הספק קיים ותחזית יצור'!M134-'הספק קיים ותחזית יצור'!M133</f>
        <v>0</v>
      </c>
      <c r="H108" s="720">
        <f>'הספק קיים ותחזית יצור'!N134-'הספק קיים ותחזית יצור'!N133</f>
        <v>0</v>
      </c>
      <c r="I108" s="720">
        <f>'הספק קיים ותחזית יצור'!O134-'הספק קיים ותחזית יצור'!O133</f>
        <v>0</v>
      </c>
      <c r="J108" s="47">
        <v>0</v>
      </c>
      <c r="K108" s="55">
        <f t="shared" si="130"/>
        <v>0</v>
      </c>
      <c r="L108" s="56">
        <f t="shared" si="131"/>
        <v>0</v>
      </c>
      <c r="M108" s="128">
        <v>0</v>
      </c>
      <c r="N108" s="57">
        <f t="shared" si="132"/>
        <v>0</v>
      </c>
      <c r="O108" s="57">
        <f t="shared" si="133"/>
        <v>0</v>
      </c>
      <c r="P108" s="57">
        <f t="shared" si="134"/>
        <v>0</v>
      </c>
      <c r="Q108" s="57">
        <f t="shared" si="135"/>
        <v>0</v>
      </c>
      <c r="R108" s="56">
        <f t="shared" si="136"/>
        <v>0</v>
      </c>
      <c r="S108" s="834">
        <v>0</v>
      </c>
      <c r="T108" s="558">
        <v>0</v>
      </c>
      <c r="U108" s="719">
        <f>'הספק קיים ותחזית יצור'!K134-'הספק קיים ותחזית יצור'!K133</f>
        <v>0</v>
      </c>
      <c r="V108" s="47">
        <v>0</v>
      </c>
      <c r="W108" s="720">
        <f>'הספק קיים ותחזית יצור'!M134-'הספק קיים ותחזית יצור'!M133</f>
        <v>0</v>
      </c>
      <c r="X108" s="720">
        <f>'הספק קיים ותחזית יצור'!N134-'הספק קיים ותחזית יצור'!N133</f>
        <v>0</v>
      </c>
      <c r="Y108" s="720">
        <f>'הספק קיים ותחזית יצור'!O134-'הספק קיים ותחזית יצור'!O133</f>
        <v>0</v>
      </c>
      <c r="Z108" s="47">
        <v>0</v>
      </c>
      <c r="AA108" s="55">
        <f t="shared" si="137"/>
        <v>0</v>
      </c>
      <c r="AB108" s="56">
        <f t="shared" si="138"/>
        <v>0</v>
      </c>
      <c r="AC108" s="128">
        <v>0</v>
      </c>
      <c r="AD108" s="57">
        <f t="shared" si="139"/>
        <v>0</v>
      </c>
      <c r="AE108" s="57">
        <f t="shared" si="140"/>
        <v>0</v>
      </c>
      <c r="AF108" s="57">
        <f t="shared" si="141"/>
        <v>0</v>
      </c>
      <c r="AG108" s="57">
        <f t="shared" si="142"/>
        <v>0</v>
      </c>
      <c r="AH108" s="652">
        <f t="shared" si="143"/>
        <v>0</v>
      </c>
      <c r="AI108" s="45">
        <v>0</v>
      </c>
      <c r="AJ108" s="558">
        <v>0</v>
      </c>
      <c r="AK108" s="719">
        <f>'הספק קיים ותחזית יצור'!L134-'הספק קיים ותחזית יצור'!L133</f>
        <v>0</v>
      </c>
      <c r="AL108" s="47">
        <v>0</v>
      </c>
      <c r="AM108" s="721">
        <f>'הספק קיים ותחזית יצור'!M134-'הספק קיים ותחזית יצור'!M133</f>
        <v>0</v>
      </c>
      <c r="AN108" s="721">
        <f>'הספק קיים ותחזית יצור'!N134-'הספק קיים ותחזית יצור'!N133</f>
        <v>0</v>
      </c>
      <c r="AO108" s="721">
        <f>'הספק קיים ותחזית יצור'!O134-'הספק קיים ותחזית יצור'!O133</f>
        <v>0</v>
      </c>
      <c r="AP108" s="47">
        <v>0</v>
      </c>
      <c r="AQ108" s="55">
        <f t="shared" si="144"/>
        <v>0</v>
      </c>
      <c r="AR108" s="56">
        <f t="shared" si="145"/>
        <v>0</v>
      </c>
      <c r="AS108" s="128">
        <v>0</v>
      </c>
      <c r="AT108" s="57">
        <f t="shared" si="146"/>
        <v>0</v>
      </c>
      <c r="AU108" s="57">
        <f t="shared" si="147"/>
        <v>0</v>
      </c>
      <c r="AV108" s="57">
        <f t="shared" si="148"/>
        <v>0</v>
      </c>
      <c r="AW108" s="57">
        <f t="shared" si="149"/>
        <v>0</v>
      </c>
      <c r="AX108" s="56">
        <f t="shared" si="150"/>
        <v>0</v>
      </c>
    </row>
    <row r="111" spans="2:50">
      <c r="AK111" s="243"/>
      <c r="AL111" s="243"/>
    </row>
    <row r="112" spans="2:50">
      <c r="AK112" s="243"/>
    </row>
  </sheetData>
  <mergeCells count="31">
    <mergeCell ref="B31:B32"/>
    <mergeCell ref="C31:AX31"/>
    <mergeCell ref="C32:J32"/>
    <mergeCell ref="K32:R32"/>
    <mergeCell ref="S32:Z32"/>
    <mergeCell ref="AA32:AH32"/>
    <mergeCell ref="AI32:AP32"/>
    <mergeCell ref="AQ32:AX32"/>
    <mergeCell ref="B58:B59"/>
    <mergeCell ref="B84:B85"/>
    <mergeCell ref="C84:AX84"/>
    <mergeCell ref="C85:J85"/>
    <mergeCell ref="K85:R85"/>
    <mergeCell ref="S85:Z85"/>
    <mergeCell ref="AA85:AH85"/>
    <mergeCell ref="AI85:AP85"/>
    <mergeCell ref="AQ85:AX85"/>
    <mergeCell ref="C58:AX58"/>
    <mergeCell ref="C59:J59"/>
    <mergeCell ref="K59:R59"/>
    <mergeCell ref="S59:Z59"/>
    <mergeCell ref="AA59:AH59"/>
    <mergeCell ref="AI59:AP59"/>
    <mergeCell ref="AQ59:AX59"/>
    <mergeCell ref="C4:AX4"/>
    <mergeCell ref="C5:J5"/>
    <mergeCell ref="K5:R5"/>
    <mergeCell ref="AI5:AP5"/>
    <mergeCell ref="AQ5:AX5"/>
    <mergeCell ref="S5:Z5"/>
    <mergeCell ref="AA5:AH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K245"/>
  <sheetViews>
    <sheetView rightToLeft="1" topLeftCell="H34" zoomScaleNormal="100" workbookViewId="0">
      <selection activeCell="AC88" sqref="AC88"/>
    </sheetView>
  </sheetViews>
  <sheetFormatPr defaultColWidth="17.28515625" defaultRowHeight="15" outlineLevelRow="1"/>
  <cols>
    <col min="1" max="1" width="2.28515625" bestFit="1" customWidth="1"/>
    <col min="2" max="2" width="26.28515625" customWidth="1"/>
    <col min="3" max="3" width="20.28515625" customWidth="1"/>
    <col min="4" max="4" width="17.140625" bestFit="1" customWidth="1"/>
    <col min="5" max="5" width="17" bestFit="1" customWidth="1"/>
    <col min="6" max="6" width="9.5703125" bestFit="1" customWidth="1"/>
    <col min="7" max="7" width="14.28515625" bestFit="1" customWidth="1"/>
    <col min="8" max="8" width="16.42578125" bestFit="1" customWidth="1"/>
    <col min="9" max="10" width="17.140625" bestFit="1" customWidth="1"/>
    <col min="11" max="11" width="19.140625" bestFit="1" customWidth="1"/>
    <col min="12" max="12" width="18.140625" bestFit="1" customWidth="1"/>
    <col min="13" max="13" width="17" bestFit="1" customWidth="1"/>
    <col min="14" max="14" width="20.28515625" bestFit="1" customWidth="1"/>
    <col min="15" max="26" width="17" customWidth="1"/>
    <col min="27" max="27" width="19.140625" bestFit="1" customWidth="1"/>
    <col min="28" max="28" width="17.140625" bestFit="1" customWidth="1"/>
    <col min="29" max="29" width="17" bestFit="1" customWidth="1"/>
    <col min="30" max="30" width="14.140625" bestFit="1" customWidth="1"/>
    <col min="31" max="31" width="7.42578125" bestFit="1" customWidth="1"/>
    <col min="32" max="32" width="7.28515625" bestFit="1" customWidth="1"/>
    <col min="33" max="34" width="17.140625" bestFit="1" customWidth="1"/>
    <col min="35" max="35" width="14.7109375" bestFit="1" customWidth="1"/>
    <col min="36" max="36" width="16" bestFit="1" customWidth="1"/>
    <col min="37" max="37" width="11.140625" bestFit="1" customWidth="1"/>
    <col min="38" max="38" width="18.140625" bestFit="1" customWidth="1"/>
    <col min="39" max="39" width="16.42578125" bestFit="1" customWidth="1"/>
    <col min="40" max="40" width="17" bestFit="1" customWidth="1"/>
    <col min="41" max="41" width="15.7109375" bestFit="1" customWidth="1"/>
    <col min="42" max="42" width="6.5703125" bestFit="1" customWidth="1"/>
    <col min="43" max="44" width="14.140625" bestFit="1" customWidth="1"/>
    <col min="45" max="46" width="8.7109375" bestFit="1" customWidth="1"/>
    <col min="47" max="47" width="9.5703125" bestFit="1" customWidth="1"/>
    <col min="48" max="48" width="11.5703125" bestFit="1" customWidth="1"/>
    <col min="49" max="49" width="14.7109375" bestFit="1" customWidth="1"/>
    <col min="50" max="50" width="16" bestFit="1" customWidth="1"/>
    <col min="51" max="51" width="11.140625" bestFit="1" customWidth="1"/>
    <col min="52" max="52" width="18.140625" bestFit="1" customWidth="1"/>
    <col min="53" max="53" width="16.42578125" bestFit="1" customWidth="1"/>
    <col min="54" max="54" width="17" bestFit="1" customWidth="1"/>
    <col min="55" max="55" width="6.5703125" bestFit="1" customWidth="1"/>
    <col min="56" max="56" width="7.42578125" bestFit="1" customWidth="1"/>
    <col min="57" max="58" width="14.140625" bestFit="1" customWidth="1"/>
    <col min="59" max="59" width="10.28515625" bestFit="1" customWidth="1"/>
    <col min="60" max="60" width="7.28515625" bestFit="1" customWidth="1"/>
    <col min="61" max="61" width="6.42578125" bestFit="1" customWidth="1"/>
    <col min="62" max="62" width="11.5703125" bestFit="1" customWidth="1"/>
    <col min="63" max="63" width="14.7109375" bestFit="1" customWidth="1"/>
    <col min="64" max="64" width="16" bestFit="1" customWidth="1"/>
    <col min="65" max="65" width="11.140625" bestFit="1" customWidth="1"/>
    <col min="66" max="66" width="18.140625" bestFit="1" customWidth="1"/>
    <col min="67" max="67" width="16.42578125" bestFit="1" customWidth="1"/>
    <col min="68" max="68" width="17" bestFit="1" customWidth="1"/>
    <col min="69" max="69" width="9.28515625" customWidth="1"/>
    <col min="70" max="70" width="15.42578125" bestFit="1" customWidth="1"/>
  </cols>
  <sheetData>
    <row r="1" spans="1:89" ht="15.75" thickBot="1"/>
    <row r="2" spans="1:89" s="3" customFormat="1" ht="16.5" thickBot="1">
      <c r="A2" s="2">
        <v>1</v>
      </c>
      <c r="B2" s="2">
        <f>+A2+1</f>
        <v>2</v>
      </c>
      <c r="C2" s="2">
        <f t="shared" ref="C2:BO2" si="0">+B2+1</f>
        <v>3</v>
      </c>
      <c r="D2" s="2">
        <f t="shared" si="0"/>
        <v>4</v>
      </c>
      <c r="E2" s="2">
        <f t="shared" si="0"/>
        <v>5</v>
      </c>
      <c r="F2" s="2">
        <f t="shared" si="0"/>
        <v>6</v>
      </c>
      <c r="G2" s="2">
        <f t="shared" si="0"/>
        <v>7</v>
      </c>
      <c r="H2" s="2">
        <f t="shared" ref="H2" si="1">+G2+1</f>
        <v>8</v>
      </c>
      <c r="I2" s="2">
        <f t="shared" ref="I2" si="2">+H2+1</f>
        <v>9</v>
      </c>
      <c r="J2" s="2">
        <f t="shared" ref="J2" si="3">+I2+1</f>
        <v>10</v>
      </c>
      <c r="K2" s="2">
        <f t="shared" ref="K2" si="4">+J2+1</f>
        <v>11</v>
      </c>
      <c r="L2" s="2">
        <f t="shared" ref="L2" si="5">+K2+1</f>
        <v>12</v>
      </c>
      <c r="M2" s="2">
        <f t="shared" ref="M2" si="6">+L2+1</f>
        <v>13</v>
      </c>
      <c r="N2" s="2">
        <f t="shared" ref="N2" si="7">+M2+1</f>
        <v>14</v>
      </c>
      <c r="O2" s="2">
        <f t="shared" ref="O2" si="8">+N2+1</f>
        <v>15</v>
      </c>
      <c r="P2" s="2">
        <f t="shared" ref="P2" si="9">+O2+1</f>
        <v>16</v>
      </c>
      <c r="Q2" s="2">
        <f t="shared" ref="Q2" si="10">+P2+1</f>
        <v>17</v>
      </c>
      <c r="R2" s="2">
        <f t="shared" ref="R2" si="11">+Q2+1</f>
        <v>18</v>
      </c>
      <c r="S2" s="2">
        <f t="shared" ref="S2" si="12">+R2+1</f>
        <v>19</v>
      </c>
      <c r="T2" s="2">
        <f t="shared" ref="T2" si="13">+S2+1</f>
        <v>20</v>
      </c>
      <c r="U2" s="2">
        <f t="shared" ref="U2" si="14">+T2+1</f>
        <v>21</v>
      </c>
      <c r="V2" s="2">
        <f t="shared" ref="V2" si="15">+U2+1</f>
        <v>22</v>
      </c>
      <c r="W2" s="2">
        <f t="shared" ref="W2" si="16">+V2+1</f>
        <v>23</v>
      </c>
      <c r="X2" s="2">
        <f t="shared" ref="X2" si="17">+W2+1</f>
        <v>24</v>
      </c>
      <c r="Y2" s="2">
        <f t="shared" ref="Y2" si="18">+X2+1</f>
        <v>25</v>
      </c>
      <c r="Z2" s="2">
        <f t="shared" ref="Z2" si="19">+Y2+1</f>
        <v>26</v>
      </c>
      <c r="AA2" s="2">
        <f t="shared" ref="AA2" si="20">+Z2+1</f>
        <v>27</v>
      </c>
      <c r="AB2" s="2">
        <f t="shared" ref="AB2" si="21">+AA2+1</f>
        <v>28</v>
      </c>
      <c r="AC2" s="2">
        <f t="shared" ref="AC2" si="22">+AB2+1</f>
        <v>29</v>
      </c>
      <c r="AD2" s="2">
        <f t="shared" ref="AD2" si="23">+AC2+1</f>
        <v>30</v>
      </c>
      <c r="AE2" s="2">
        <f t="shared" ref="AE2" si="24">+AD2+1</f>
        <v>31</v>
      </c>
      <c r="AF2" s="2">
        <f t="shared" ref="AF2" si="25">+AE2+1</f>
        <v>32</v>
      </c>
      <c r="AG2" s="2">
        <f t="shared" ref="AG2" si="26">+AF2+1</f>
        <v>33</v>
      </c>
      <c r="AH2" s="2">
        <f t="shared" ref="AH2" si="27">+AG2+1</f>
        <v>34</v>
      </c>
      <c r="AI2" s="2">
        <f t="shared" ref="AI2" si="28">+AH2+1</f>
        <v>35</v>
      </c>
      <c r="AJ2" s="2">
        <f t="shared" ref="AJ2" si="29">+AI2+1</f>
        <v>36</v>
      </c>
      <c r="AK2" s="2">
        <f t="shared" ref="AK2" si="30">+AJ2+1</f>
        <v>37</v>
      </c>
      <c r="AL2" s="2">
        <f t="shared" ref="AL2" si="31">+AK2+1</f>
        <v>38</v>
      </c>
      <c r="AM2" s="2">
        <f t="shared" ref="AM2" si="32">+AL2+1</f>
        <v>39</v>
      </c>
      <c r="AN2" s="2">
        <f t="shared" ref="AN2" si="33">+AM2+1</f>
        <v>40</v>
      </c>
      <c r="AO2" s="2">
        <f t="shared" ref="AO2" si="34">+AN2+1</f>
        <v>41</v>
      </c>
      <c r="AP2" s="2">
        <f t="shared" ref="AP2" si="35">+AO2+1</f>
        <v>42</v>
      </c>
      <c r="AQ2" s="2">
        <f t="shared" ref="AQ2" si="36">+AP2+1</f>
        <v>43</v>
      </c>
      <c r="AR2" s="2">
        <f t="shared" ref="AR2" si="37">+AQ2+1</f>
        <v>44</v>
      </c>
      <c r="AS2" s="2">
        <f t="shared" ref="AS2" si="38">+AR2+1</f>
        <v>45</v>
      </c>
      <c r="AT2" s="2">
        <f t="shared" ref="AT2" si="39">+AS2+1</f>
        <v>46</v>
      </c>
      <c r="AU2" s="2">
        <f t="shared" ref="AU2" si="40">+AT2+1</f>
        <v>47</v>
      </c>
      <c r="AV2" s="2">
        <f t="shared" ref="AV2" si="41">+AU2+1</f>
        <v>48</v>
      </c>
      <c r="AW2" s="2">
        <f t="shared" ref="AW2" si="42">+AV2+1</f>
        <v>49</v>
      </c>
      <c r="AX2" s="2">
        <f t="shared" ref="AX2" si="43">+AW2+1</f>
        <v>50</v>
      </c>
      <c r="AY2" s="2">
        <f t="shared" ref="AY2" si="44">+AX2+1</f>
        <v>51</v>
      </c>
      <c r="AZ2" s="2">
        <f t="shared" si="0"/>
        <v>52</v>
      </c>
      <c r="BA2" s="2">
        <f t="shared" si="0"/>
        <v>53</v>
      </c>
      <c r="BB2" s="2">
        <f t="shared" si="0"/>
        <v>54</v>
      </c>
      <c r="BC2" s="2">
        <f t="shared" si="0"/>
        <v>55</v>
      </c>
      <c r="BD2" s="2">
        <f t="shared" si="0"/>
        <v>56</v>
      </c>
      <c r="BE2" s="2">
        <f t="shared" si="0"/>
        <v>57</v>
      </c>
      <c r="BF2" s="2">
        <f t="shared" si="0"/>
        <v>58</v>
      </c>
      <c r="BG2" s="2">
        <f t="shared" si="0"/>
        <v>59</v>
      </c>
      <c r="BH2" s="2">
        <f t="shared" si="0"/>
        <v>60</v>
      </c>
      <c r="BI2" s="2">
        <f t="shared" si="0"/>
        <v>61</v>
      </c>
      <c r="BJ2" s="2">
        <f t="shared" si="0"/>
        <v>62</v>
      </c>
      <c r="BK2" s="2">
        <f t="shared" si="0"/>
        <v>63</v>
      </c>
      <c r="BL2" s="2">
        <f t="shared" si="0"/>
        <v>64</v>
      </c>
      <c r="BM2" s="2">
        <f t="shared" si="0"/>
        <v>65</v>
      </c>
      <c r="BN2" s="2">
        <f t="shared" si="0"/>
        <v>66</v>
      </c>
      <c r="BO2" s="2">
        <f t="shared" si="0"/>
        <v>67</v>
      </c>
      <c r="BP2" s="2">
        <f t="shared" ref="BP2" si="45">+BO2+1</f>
        <v>68</v>
      </c>
      <c r="BQ2" s="2">
        <f t="shared" ref="BQ2" si="46">+BP2+1</f>
        <v>69</v>
      </c>
      <c r="BR2" s="2">
        <f t="shared" ref="BR2" si="47">+BQ2+1</f>
        <v>70</v>
      </c>
      <c r="BS2" s="2">
        <f t="shared" ref="BS2" si="48">+BR2+1</f>
        <v>71</v>
      </c>
      <c r="BT2" s="2">
        <f t="shared" ref="BT2" si="49">+BS2+1</f>
        <v>72</v>
      </c>
      <c r="BU2" s="2">
        <f t="shared" ref="BU2" si="50">+BT2+1</f>
        <v>73</v>
      </c>
      <c r="BV2" s="2">
        <f t="shared" ref="BV2" si="51">+BU2+1</f>
        <v>74</v>
      </c>
      <c r="BW2" s="2">
        <f t="shared" ref="BW2" si="52">+BV2+1</f>
        <v>75</v>
      </c>
      <c r="BX2" s="2">
        <f t="shared" ref="BX2" si="53">+BW2+1</f>
        <v>76</v>
      </c>
      <c r="BY2" s="2">
        <f t="shared" ref="BY2" si="54">+BX2+1</f>
        <v>77</v>
      </c>
      <c r="BZ2" s="2">
        <f t="shared" ref="BZ2" si="55">+BY2+1</f>
        <v>78</v>
      </c>
      <c r="CA2" s="2">
        <f t="shared" ref="CA2" si="56">+BZ2+1</f>
        <v>79</v>
      </c>
      <c r="CB2" s="2">
        <f t="shared" ref="CB2" si="57">+CA2+1</f>
        <v>80</v>
      </c>
      <c r="CC2" s="2">
        <f t="shared" ref="CC2" si="58">+CB2+1</f>
        <v>81</v>
      </c>
      <c r="CD2" s="2">
        <f t="shared" ref="CD2" si="59">+CC2+1</f>
        <v>82</v>
      </c>
      <c r="CE2" s="2">
        <f t="shared" ref="CE2" si="60">+CD2+1</f>
        <v>83</v>
      </c>
      <c r="CF2" s="2">
        <f t="shared" ref="CF2" si="61">+CE2+1</f>
        <v>84</v>
      </c>
      <c r="CG2" s="2">
        <f t="shared" ref="CG2" si="62">+CF2+1</f>
        <v>85</v>
      </c>
      <c r="CH2" s="2">
        <f t="shared" ref="CH2" si="63">+CG2+1</f>
        <v>86</v>
      </c>
      <c r="CI2" s="2">
        <f t="shared" ref="CI2" si="64">+CH2+1</f>
        <v>87</v>
      </c>
      <c r="CJ2" s="2">
        <f t="shared" ref="CJ2" si="65">+CI2+1</f>
        <v>88</v>
      </c>
      <c r="CK2" s="2">
        <f t="shared" ref="CK2" si="66">+CJ2+1</f>
        <v>89</v>
      </c>
    </row>
    <row r="3" spans="1:89" ht="15.75" thickBot="1"/>
    <row r="4" spans="1:89" ht="16.5" thickBot="1">
      <c r="C4" s="1243" t="s">
        <v>221</v>
      </c>
      <c r="D4" s="1244"/>
      <c r="E4" s="1244"/>
      <c r="F4" s="1244"/>
      <c r="G4" s="1244"/>
      <c r="H4" s="1244"/>
      <c r="I4" s="1244"/>
      <c r="J4" s="1244"/>
      <c r="K4" s="1244"/>
      <c r="L4" s="1244"/>
      <c r="M4" s="1244"/>
      <c r="N4" s="1244"/>
      <c r="O4" s="1244"/>
      <c r="P4" s="1244"/>
      <c r="Q4" s="1244"/>
      <c r="R4" s="1244"/>
      <c r="S4" s="1244"/>
      <c r="T4" s="1244"/>
      <c r="U4" s="1244"/>
      <c r="V4" s="1244"/>
      <c r="W4" s="1244"/>
      <c r="X4" s="1244"/>
      <c r="Y4" s="1244"/>
      <c r="Z4" s="1244"/>
      <c r="AA4" s="1244"/>
      <c r="AB4" s="1244"/>
      <c r="AC4" s="1244"/>
      <c r="AD4" s="1244"/>
      <c r="AE4" s="1244"/>
      <c r="AF4" s="1244"/>
      <c r="AG4" s="1244"/>
      <c r="AH4" s="1244"/>
      <c r="AI4" s="1244"/>
      <c r="AJ4" s="1244"/>
      <c r="AK4" s="1244"/>
      <c r="AL4" s="1245"/>
      <c r="AM4" s="1"/>
      <c r="AN4" s="1"/>
      <c r="AO4" s="1"/>
      <c r="AP4" s="1"/>
      <c r="AQ4" s="1"/>
      <c r="AR4" s="1"/>
      <c r="AS4" s="1"/>
      <c r="AT4" s="1"/>
      <c r="AU4" s="1"/>
    </row>
    <row r="5" spans="1:89" ht="16.5" thickBot="1">
      <c r="C5" s="1289" t="s">
        <v>46</v>
      </c>
      <c r="D5" s="1290"/>
      <c r="E5" s="1290"/>
      <c r="F5" s="1290"/>
      <c r="G5" s="1290"/>
      <c r="H5" s="1296"/>
      <c r="I5" s="1291" t="s">
        <v>47</v>
      </c>
      <c r="J5" s="1292"/>
      <c r="K5" s="1292"/>
      <c r="L5" s="1292"/>
      <c r="M5" s="1292"/>
      <c r="N5" s="1293"/>
      <c r="O5" s="1289" t="s">
        <v>342</v>
      </c>
      <c r="P5" s="1290"/>
      <c r="Q5" s="1290"/>
      <c r="R5" s="1290"/>
      <c r="S5" s="1290"/>
      <c r="T5" s="1296"/>
      <c r="U5" s="1291" t="s">
        <v>343</v>
      </c>
      <c r="V5" s="1292"/>
      <c r="W5" s="1292"/>
      <c r="X5" s="1292"/>
      <c r="Y5" s="1292"/>
      <c r="Z5" s="1293"/>
      <c r="AA5" s="1289" t="s">
        <v>344</v>
      </c>
      <c r="AB5" s="1290"/>
      <c r="AC5" s="1290"/>
      <c r="AD5" s="1290"/>
      <c r="AE5" s="1290"/>
      <c r="AF5" s="1296"/>
      <c r="AG5" s="1291" t="s">
        <v>345</v>
      </c>
      <c r="AH5" s="1292"/>
      <c r="AI5" s="1292"/>
      <c r="AJ5" s="1292"/>
      <c r="AK5" s="1292"/>
      <c r="AL5" s="1293"/>
      <c r="AM5" s="1"/>
      <c r="AN5" s="1"/>
      <c r="AO5" s="1"/>
      <c r="AP5" s="1"/>
      <c r="AQ5" s="1"/>
      <c r="AR5" s="1"/>
      <c r="AS5" s="1"/>
      <c r="AT5" s="1"/>
      <c r="AU5" s="1"/>
    </row>
    <row r="6" spans="1:89" ht="47.1" customHeight="1" thickBot="1">
      <c r="B6" s="4" t="s">
        <v>0</v>
      </c>
      <c r="C6" s="38" t="s">
        <v>104</v>
      </c>
      <c r="D6" s="38" t="s">
        <v>105</v>
      </c>
      <c r="E6" s="38" t="s">
        <v>392</v>
      </c>
      <c r="F6" s="38" t="s">
        <v>31</v>
      </c>
      <c r="G6" s="38" t="s">
        <v>30</v>
      </c>
      <c r="H6" s="38" t="s">
        <v>353</v>
      </c>
      <c r="I6" s="48" t="str">
        <f>C6</f>
        <v>אנרגיות מתחדשות מוטה קרקע</v>
      </c>
      <c r="J6" s="48" t="str">
        <f t="shared" ref="J6:N6" si="67">D6</f>
        <v>אנרגיות מתחדשות מוטה דואלי</v>
      </c>
      <c r="K6" s="48" t="str">
        <f t="shared" si="67"/>
        <v>אחר</v>
      </c>
      <c r="L6" s="48" t="str">
        <f t="shared" si="67"/>
        <v>גז טבעי</v>
      </c>
      <c r="M6" s="48" t="str">
        <f t="shared" si="67"/>
        <v>פחם</v>
      </c>
      <c r="N6" s="48" t="str">
        <f t="shared" si="67"/>
        <v>סולר ופצלי שמן</v>
      </c>
      <c r="O6" s="38" t="str">
        <f>I6</f>
        <v>אנרגיות מתחדשות מוטה קרקע</v>
      </c>
      <c r="P6" s="38" t="str">
        <f t="shared" ref="P6:T6" si="68">J6</f>
        <v>אנרגיות מתחדשות מוטה דואלי</v>
      </c>
      <c r="Q6" s="38" t="str">
        <f t="shared" si="68"/>
        <v>אחר</v>
      </c>
      <c r="R6" s="38" t="str">
        <f t="shared" si="68"/>
        <v>גז טבעי</v>
      </c>
      <c r="S6" s="38" t="str">
        <f t="shared" si="68"/>
        <v>פחם</v>
      </c>
      <c r="T6" s="38" t="str">
        <f t="shared" si="68"/>
        <v>סולר ופצלי שמן</v>
      </c>
      <c r="U6" s="48" t="str">
        <f>O6</f>
        <v>אנרגיות מתחדשות מוטה קרקע</v>
      </c>
      <c r="V6" s="48" t="str">
        <f t="shared" ref="V6:Z6" si="69">P6</f>
        <v>אנרגיות מתחדשות מוטה דואלי</v>
      </c>
      <c r="W6" s="48" t="str">
        <f t="shared" si="69"/>
        <v>אחר</v>
      </c>
      <c r="X6" s="48" t="str">
        <f t="shared" si="69"/>
        <v>גז טבעי</v>
      </c>
      <c r="Y6" s="48" t="str">
        <f t="shared" si="69"/>
        <v>פחם</v>
      </c>
      <c r="Z6" s="48" t="str">
        <f t="shared" si="69"/>
        <v>סולר ופצלי שמן</v>
      </c>
      <c r="AA6" s="38" t="str">
        <f>U6</f>
        <v>אנרגיות מתחדשות מוטה קרקע</v>
      </c>
      <c r="AB6" s="38" t="str">
        <f t="shared" ref="AB6:AF6" si="70">V6</f>
        <v>אנרגיות מתחדשות מוטה דואלי</v>
      </c>
      <c r="AC6" s="38" t="str">
        <f t="shared" si="70"/>
        <v>אחר</v>
      </c>
      <c r="AD6" s="38" t="str">
        <f t="shared" si="70"/>
        <v>גז טבעי</v>
      </c>
      <c r="AE6" s="38" t="str">
        <f t="shared" si="70"/>
        <v>פחם</v>
      </c>
      <c r="AF6" s="38" t="str">
        <f t="shared" si="70"/>
        <v>סולר ופצלי שמן</v>
      </c>
      <c r="AG6" s="48" t="str">
        <f>AA6</f>
        <v>אנרגיות מתחדשות מוטה קרקע</v>
      </c>
      <c r="AH6" s="48" t="str">
        <f t="shared" ref="AH6:AL6" si="71">AB6</f>
        <v>אנרגיות מתחדשות מוטה דואלי</v>
      </c>
      <c r="AI6" s="48" t="str">
        <f t="shared" si="71"/>
        <v>אחר</v>
      </c>
      <c r="AJ6" s="48" t="str">
        <f t="shared" si="71"/>
        <v>גז טבעי</v>
      </c>
      <c r="AK6" s="48" t="str">
        <f t="shared" si="71"/>
        <v>פחם</v>
      </c>
      <c r="AL6" s="48" t="str">
        <f t="shared" si="71"/>
        <v>סולר ופצלי שמן</v>
      </c>
      <c r="AM6" s="1"/>
      <c r="AN6" s="1"/>
      <c r="AO6" s="1"/>
      <c r="AP6" s="1"/>
      <c r="AQ6" s="1"/>
      <c r="AR6" s="1"/>
      <c r="AS6" s="1"/>
    </row>
    <row r="7" spans="1:89" ht="16.5" thickBot="1">
      <c r="B7" s="62" t="s">
        <v>28</v>
      </c>
      <c r="C7" s="38" t="s">
        <v>33</v>
      </c>
      <c r="D7" s="38" t="s">
        <v>33</v>
      </c>
      <c r="E7" s="38" t="s">
        <v>33</v>
      </c>
      <c r="F7" s="38" t="s">
        <v>33</v>
      </c>
      <c r="G7" s="38" t="s">
        <v>33</v>
      </c>
      <c r="H7" s="38" t="s">
        <v>33</v>
      </c>
      <c r="I7" s="48" t="s">
        <v>33</v>
      </c>
      <c r="J7" s="48" t="s">
        <v>33</v>
      </c>
      <c r="K7" s="48" t="s">
        <v>33</v>
      </c>
      <c r="L7" s="48" t="s">
        <v>33</v>
      </c>
      <c r="M7" s="48" t="s">
        <v>33</v>
      </c>
      <c r="N7" s="48" t="s">
        <v>33</v>
      </c>
      <c r="O7" s="38" t="s">
        <v>33</v>
      </c>
      <c r="P7" s="38" t="s">
        <v>33</v>
      </c>
      <c r="Q7" s="38" t="s">
        <v>33</v>
      </c>
      <c r="R7" s="38" t="s">
        <v>33</v>
      </c>
      <c r="S7" s="38" t="s">
        <v>33</v>
      </c>
      <c r="T7" s="38" t="s">
        <v>33</v>
      </c>
      <c r="U7" s="48" t="s">
        <v>33</v>
      </c>
      <c r="V7" s="48" t="s">
        <v>33</v>
      </c>
      <c r="W7" s="48" t="s">
        <v>33</v>
      </c>
      <c r="X7" s="48" t="s">
        <v>33</v>
      </c>
      <c r="Y7" s="48" t="s">
        <v>33</v>
      </c>
      <c r="Z7" s="48" t="s">
        <v>33</v>
      </c>
      <c r="AA7" s="38" t="s">
        <v>33</v>
      </c>
      <c r="AB7" s="38" t="s">
        <v>33</v>
      </c>
      <c r="AC7" s="38" t="s">
        <v>33</v>
      </c>
      <c r="AD7" s="38" t="s">
        <v>33</v>
      </c>
      <c r="AE7" s="38" t="s">
        <v>33</v>
      </c>
      <c r="AF7" s="38" t="s">
        <v>33</v>
      </c>
      <c r="AG7" s="48" t="s">
        <v>33</v>
      </c>
      <c r="AH7" s="48" t="s">
        <v>33</v>
      </c>
      <c r="AI7" s="48" t="s">
        <v>33</v>
      </c>
      <c r="AJ7" s="48" t="s">
        <v>33</v>
      </c>
      <c r="AK7" s="48" t="s">
        <v>33</v>
      </c>
      <c r="AL7" s="48" t="s">
        <v>33</v>
      </c>
      <c r="AM7" s="1"/>
      <c r="AN7" s="1"/>
      <c r="AO7" s="1"/>
      <c r="AP7" s="1"/>
      <c r="AQ7" s="1"/>
      <c r="AR7" s="1"/>
      <c r="AS7" s="1"/>
    </row>
    <row r="8" spans="1:89" ht="15.75">
      <c r="B8" s="24">
        <f>'הנחות עבודה'!B69</f>
        <v>2020</v>
      </c>
      <c r="C8" s="39">
        <f ca="1">SUM(C64:G64)</f>
        <v>7.3902080999999988</v>
      </c>
      <c r="D8" s="41">
        <f>D64</f>
        <v>0</v>
      </c>
      <c r="E8" s="41">
        <f>H64</f>
        <v>0</v>
      </c>
      <c r="F8" s="41">
        <f ca="1">SUM(I64:L64)</f>
        <v>48.709192899999998</v>
      </c>
      <c r="G8" s="41">
        <f>M64</f>
        <v>17.459679999999999</v>
      </c>
      <c r="H8" s="40">
        <f>N64</f>
        <v>0.34300000000000003</v>
      </c>
      <c r="I8" s="49">
        <f>O64</f>
        <v>0</v>
      </c>
      <c r="J8" s="51">
        <f ca="1">SUM(P64:S64)</f>
        <v>7.3902080999999988</v>
      </c>
      <c r="K8" s="51">
        <f>T64</f>
        <v>0</v>
      </c>
      <c r="L8" s="51">
        <f ca="1">SUM(U64:X64)</f>
        <v>48.709192899999998</v>
      </c>
      <c r="M8" s="51">
        <f>Y64</f>
        <v>17.459679999999999</v>
      </c>
      <c r="N8" s="269">
        <f>Z64</f>
        <v>0.34300000000000003</v>
      </c>
      <c r="O8" s="39">
        <f ca="1">SUM(AA64:AE64)</f>
        <v>7.3902080999999988</v>
      </c>
      <c r="P8" s="41">
        <f>AB64</f>
        <v>0</v>
      </c>
      <c r="Q8" s="41">
        <f>AF64</f>
        <v>0</v>
      </c>
      <c r="R8" s="41">
        <f ca="1">SUM(AG64:AJ64)</f>
        <v>48.709192899999998</v>
      </c>
      <c r="S8" s="41">
        <f>AK64</f>
        <v>17.459679999999999</v>
      </c>
      <c r="T8" s="63">
        <f>AL64</f>
        <v>0.34300000000000003</v>
      </c>
      <c r="U8" s="49">
        <f>AM64</f>
        <v>0</v>
      </c>
      <c r="V8" s="51">
        <f ca="1">SUM(AN64:AQ64)</f>
        <v>7.3902080999999988</v>
      </c>
      <c r="W8" s="51">
        <f>AR64</f>
        <v>0</v>
      </c>
      <c r="X8" s="51">
        <f ca="1">SUM(AS64:AV64)</f>
        <v>48.709192899999998</v>
      </c>
      <c r="Y8" s="51">
        <f>AW64</f>
        <v>17.459679999999999</v>
      </c>
      <c r="Z8" s="269">
        <f>AX64</f>
        <v>0.34300000000000003</v>
      </c>
      <c r="AA8" s="39">
        <f ca="1">SUM(AY64:BC64)</f>
        <v>7.3902080999999988</v>
      </c>
      <c r="AB8" s="41">
        <f>AZ64</f>
        <v>0</v>
      </c>
      <c r="AC8" s="41">
        <f>BD64</f>
        <v>0</v>
      </c>
      <c r="AD8" s="41">
        <f ca="1">SUM(BE64:BH64)</f>
        <v>48.709192899999998</v>
      </c>
      <c r="AE8" s="41">
        <f>BI64</f>
        <v>17.459679999999999</v>
      </c>
      <c r="AF8" s="63">
        <f>BJ64</f>
        <v>0.34300000000000003</v>
      </c>
      <c r="AG8" s="49">
        <f>BK64</f>
        <v>0</v>
      </c>
      <c r="AH8" s="51">
        <f ca="1">SUM(BK64:BO64)</f>
        <v>7.3902080999999988</v>
      </c>
      <c r="AI8" s="51">
        <f>BP64</f>
        <v>0</v>
      </c>
      <c r="AJ8" s="51">
        <f ca="1">SUM(BQ64:BT64)</f>
        <v>48.709192899999998</v>
      </c>
      <c r="AK8" s="51">
        <f>BU64</f>
        <v>17.459679999999999</v>
      </c>
      <c r="AL8" s="50">
        <f>BV64</f>
        <v>0.34300000000000003</v>
      </c>
      <c r="AM8" s="1"/>
      <c r="AN8" s="703"/>
      <c r="AO8" s="703"/>
      <c r="AP8" s="702"/>
      <c r="AQ8" s="1"/>
      <c r="AR8" s="1"/>
      <c r="AS8" s="1"/>
    </row>
    <row r="9" spans="1:89" ht="15.75">
      <c r="B9" s="10">
        <f t="shared" ref="B9:B10" si="72">+B8+1</f>
        <v>2021</v>
      </c>
      <c r="C9" s="42">
        <f ca="1">SUM(C65:G65)</f>
        <v>8.0678202719999987</v>
      </c>
      <c r="D9" s="44">
        <f t="shared" ref="D9:D28" si="73">D65</f>
        <v>0</v>
      </c>
      <c r="E9" s="44">
        <f t="shared" ref="E9:E28" si="74">H65</f>
        <v>0</v>
      </c>
      <c r="F9" s="44">
        <f ca="1">SUM(I65:L65)</f>
        <v>50.241011728000004</v>
      </c>
      <c r="G9" s="44">
        <f t="shared" ref="G9:G28" si="75">M65</f>
        <v>17.459679999999999</v>
      </c>
      <c r="H9" s="43">
        <f t="shared" ref="H9:H28" si="76">N65</f>
        <v>0.34300000000000003</v>
      </c>
      <c r="I9" s="52">
        <f t="shared" ref="I9:I28" si="77">O65</f>
        <v>0</v>
      </c>
      <c r="J9" s="54">
        <f t="shared" ref="J9:J28" ca="1" si="78">SUM(P65:S65)</f>
        <v>8.0678202719999987</v>
      </c>
      <c r="K9" s="54">
        <f t="shared" ref="K9:K28" si="79">T65</f>
        <v>0</v>
      </c>
      <c r="L9" s="54">
        <f t="shared" ref="L9:L28" ca="1" si="80">SUM(U65:X65)</f>
        <v>50.241011728000004</v>
      </c>
      <c r="M9" s="54">
        <f t="shared" ref="M9:N9" si="81">Y65</f>
        <v>17.459679999999999</v>
      </c>
      <c r="N9" s="270">
        <f t="shared" si="81"/>
        <v>0.34300000000000003</v>
      </c>
      <c r="O9" s="42">
        <f t="shared" ref="O9:O28" ca="1" si="82">SUM(AA65:AE65)</f>
        <v>8.7528238800000011</v>
      </c>
      <c r="P9" s="44">
        <f t="shared" ref="P9:P28" si="83">AB65</f>
        <v>0</v>
      </c>
      <c r="Q9" s="44">
        <f t="shared" ref="Q9:Q28" si="84">AF65</f>
        <v>0</v>
      </c>
      <c r="R9" s="44">
        <f t="shared" ref="R9:R28" ca="1" si="85">SUM(AG65:AJ65)</f>
        <v>49.556008120000001</v>
      </c>
      <c r="S9" s="44">
        <f t="shared" ref="S9:U9" si="86">AK65</f>
        <v>17.459679999999999</v>
      </c>
      <c r="T9" s="64">
        <f t="shared" si="86"/>
        <v>0.34300000000000003</v>
      </c>
      <c r="U9" s="52">
        <f t="shared" si="86"/>
        <v>0</v>
      </c>
      <c r="V9" s="54">
        <f t="shared" ref="V9:V28" ca="1" si="87">SUM(AN65:AQ65)</f>
        <v>8.7528238800000011</v>
      </c>
      <c r="W9" s="54">
        <f t="shared" ref="W9:W28" si="88">AR65</f>
        <v>0</v>
      </c>
      <c r="X9" s="54">
        <f t="shared" ref="X9:X28" ca="1" si="89">SUM(AS65:AV65)</f>
        <v>49.556008120000001</v>
      </c>
      <c r="Y9" s="54">
        <f t="shared" ref="Y9:Z9" si="90">AW65</f>
        <v>17.459679999999999</v>
      </c>
      <c r="Z9" s="270">
        <f t="shared" si="90"/>
        <v>0.34300000000000003</v>
      </c>
      <c r="AA9" s="42">
        <f t="shared" ref="AA9:AA28" ca="1" si="91">SUM(AY65:BC65)</f>
        <v>8.949421440000032</v>
      </c>
      <c r="AB9" s="44">
        <f t="shared" ref="AB9:AB28" si="92">AZ65</f>
        <v>0</v>
      </c>
      <c r="AC9" s="44">
        <f t="shared" ref="AC9:AC28" si="93">BD65</f>
        <v>0</v>
      </c>
      <c r="AD9" s="44">
        <f t="shared" ref="AD9:AD28" ca="1" si="94">SUM(BE65:BH65)</f>
        <v>49.359410559999972</v>
      </c>
      <c r="AE9" s="44">
        <f t="shared" ref="AE9:AG9" si="95">BI65</f>
        <v>17.459679999999999</v>
      </c>
      <c r="AF9" s="64">
        <f t="shared" si="95"/>
        <v>0.34300000000000003</v>
      </c>
      <c r="AG9" s="52">
        <f t="shared" si="95"/>
        <v>0</v>
      </c>
      <c r="AH9" s="54">
        <f t="shared" ref="AH9:AH28" ca="1" si="96">SUM(BK65:BO65)</f>
        <v>8.949421440000032</v>
      </c>
      <c r="AI9" s="54">
        <f t="shared" ref="AI9:AI28" si="97">BP65</f>
        <v>0</v>
      </c>
      <c r="AJ9" s="54">
        <f t="shared" ref="AJ9:AJ28" ca="1" si="98">SUM(BQ65:BT65)</f>
        <v>49.359410559999972</v>
      </c>
      <c r="AK9" s="54">
        <f t="shared" ref="AK9:AL9" si="99">BU65</f>
        <v>17.459679999999999</v>
      </c>
      <c r="AL9" s="53">
        <f t="shared" si="99"/>
        <v>0.34300000000000003</v>
      </c>
      <c r="AM9" s="1"/>
      <c r="AN9" s="703"/>
      <c r="AO9" s="703"/>
      <c r="AP9" s="702"/>
      <c r="AQ9" s="1"/>
      <c r="AR9" s="1"/>
      <c r="AS9" s="1"/>
    </row>
    <row r="10" spans="1:89" ht="15.75">
      <c r="B10" s="10">
        <f t="shared" si="72"/>
        <v>2022</v>
      </c>
      <c r="C10" s="42">
        <f t="shared" ref="C10:C28" ca="1" si="100">SUM(C66:G66)</f>
        <v>8.7579281439999992</v>
      </c>
      <c r="D10" s="44">
        <f t="shared" si="73"/>
        <v>0</v>
      </c>
      <c r="E10" s="44">
        <f t="shared" si="74"/>
        <v>0</v>
      </c>
      <c r="F10" s="44">
        <f t="shared" ref="F10:F28" ca="1" si="101">SUM(I66:L66)</f>
        <v>52.891418855999994</v>
      </c>
      <c r="G10" s="44">
        <f t="shared" si="75"/>
        <v>16.202909999999999</v>
      </c>
      <c r="H10" s="43">
        <f t="shared" si="76"/>
        <v>0.34353</v>
      </c>
      <c r="I10" s="52">
        <f t="shared" si="77"/>
        <v>0</v>
      </c>
      <c r="J10" s="54">
        <f t="shared" ca="1" si="78"/>
        <v>8.7579281439999992</v>
      </c>
      <c r="K10" s="54">
        <f t="shared" si="79"/>
        <v>0</v>
      </c>
      <c r="L10" s="54">
        <f t="shared" ca="1" si="80"/>
        <v>52.891418855999994</v>
      </c>
      <c r="M10" s="54">
        <f t="shared" ref="M10:N10" si="102">Y66</f>
        <v>16.202909999999999</v>
      </c>
      <c r="N10" s="270">
        <f t="shared" si="102"/>
        <v>0.34353</v>
      </c>
      <c r="O10" s="42">
        <f t="shared" ca="1" si="82"/>
        <v>10.165452309999997</v>
      </c>
      <c r="P10" s="44">
        <f t="shared" si="83"/>
        <v>0</v>
      </c>
      <c r="Q10" s="44">
        <f t="shared" si="84"/>
        <v>0</v>
      </c>
      <c r="R10" s="44">
        <f t="shared" ca="1" si="85"/>
        <v>51.483864689999997</v>
      </c>
      <c r="S10" s="44">
        <f t="shared" ref="S10:U10" si="103">AK66</f>
        <v>16.203489999999999</v>
      </c>
      <c r="T10" s="64">
        <f t="shared" si="103"/>
        <v>0.34298000000000001</v>
      </c>
      <c r="U10" s="52">
        <f t="shared" si="103"/>
        <v>0</v>
      </c>
      <c r="V10" s="54">
        <f t="shared" ca="1" si="87"/>
        <v>10.165452309999997</v>
      </c>
      <c r="W10" s="54">
        <f t="shared" si="88"/>
        <v>0</v>
      </c>
      <c r="X10" s="54">
        <f t="shared" ca="1" si="89"/>
        <v>51.483864689999997</v>
      </c>
      <c r="Y10" s="54">
        <f t="shared" ref="Y10:Z10" si="104">AW66</f>
        <v>16.203489999999999</v>
      </c>
      <c r="Z10" s="270">
        <f t="shared" si="104"/>
        <v>0.34298000000000001</v>
      </c>
      <c r="AA10" s="42">
        <f t="shared" ca="1" si="91"/>
        <v>10.916750180000001</v>
      </c>
      <c r="AB10" s="44">
        <f t="shared" si="92"/>
        <v>0</v>
      </c>
      <c r="AC10" s="44">
        <f t="shared" si="93"/>
        <v>0</v>
      </c>
      <c r="AD10" s="44">
        <f t="shared" ca="1" si="94"/>
        <v>50.733146819999995</v>
      </c>
      <c r="AE10" s="44">
        <f t="shared" ref="AE10:AG10" si="105">BI66</f>
        <v>16.20289</v>
      </c>
      <c r="AF10" s="64">
        <f t="shared" si="105"/>
        <v>0.34300000000000003</v>
      </c>
      <c r="AG10" s="52">
        <f t="shared" si="105"/>
        <v>0</v>
      </c>
      <c r="AH10" s="54">
        <f t="shared" ca="1" si="96"/>
        <v>10.916750180000001</v>
      </c>
      <c r="AI10" s="54">
        <f t="shared" si="97"/>
        <v>0</v>
      </c>
      <c r="AJ10" s="54">
        <f t="shared" ca="1" si="98"/>
        <v>50.733146819999995</v>
      </c>
      <c r="AK10" s="54">
        <f t="shared" ref="AK10:AL10" si="106">BU66</f>
        <v>16.20289</v>
      </c>
      <c r="AL10" s="53">
        <f t="shared" si="106"/>
        <v>0.34300000000000003</v>
      </c>
      <c r="AM10" s="1"/>
      <c r="AN10" s="703"/>
      <c r="AO10" s="703"/>
      <c r="AP10" s="702"/>
      <c r="AQ10" s="1"/>
      <c r="AR10" s="1"/>
      <c r="AS10" s="1"/>
    </row>
    <row r="11" spans="1:89" ht="15.75">
      <c r="B11" s="10">
        <f>+B10+1</f>
        <v>2023</v>
      </c>
      <c r="C11" s="42">
        <f t="shared" ca="1" si="100"/>
        <v>9.4803407780000022</v>
      </c>
      <c r="D11" s="44">
        <f t="shared" si="73"/>
        <v>0</v>
      </c>
      <c r="E11" s="44">
        <f t="shared" si="74"/>
        <v>0</v>
      </c>
      <c r="F11" s="44">
        <f t="shared" ca="1" si="101"/>
        <v>59.259930221999994</v>
      </c>
      <c r="G11" s="44">
        <f t="shared" si="75"/>
        <v>11.26074</v>
      </c>
      <c r="H11" s="43">
        <f t="shared" si="76"/>
        <v>0.34086</v>
      </c>
      <c r="I11" s="52">
        <f t="shared" si="77"/>
        <v>0</v>
      </c>
      <c r="J11" s="54">
        <f t="shared" ca="1" si="78"/>
        <v>9.4803407780000022</v>
      </c>
      <c r="K11" s="54">
        <f t="shared" si="79"/>
        <v>0</v>
      </c>
      <c r="L11" s="54">
        <f t="shared" ca="1" si="80"/>
        <v>59.259930221999994</v>
      </c>
      <c r="M11" s="54">
        <f t="shared" ref="M11:N11" si="107">Y67</f>
        <v>11.26074</v>
      </c>
      <c r="N11" s="270">
        <f t="shared" si="107"/>
        <v>0.34086</v>
      </c>
      <c r="O11" s="42">
        <f t="shared" ca="1" si="82"/>
        <v>11.649571294999999</v>
      </c>
      <c r="P11" s="44">
        <f t="shared" si="83"/>
        <v>0</v>
      </c>
      <c r="Q11" s="44">
        <f t="shared" si="84"/>
        <v>0</v>
      </c>
      <c r="R11" s="44">
        <f t="shared" ca="1" si="85"/>
        <v>57.094219704999993</v>
      </c>
      <c r="S11" s="44">
        <f t="shared" ref="S11:U11" si="108">AK67</f>
        <v>11.256959999999999</v>
      </c>
      <c r="T11" s="64">
        <f t="shared" si="108"/>
        <v>0.34111999999999998</v>
      </c>
      <c r="U11" s="52">
        <f t="shared" si="108"/>
        <v>0</v>
      </c>
      <c r="V11" s="54">
        <f t="shared" ca="1" si="87"/>
        <v>11.649571294999999</v>
      </c>
      <c r="W11" s="54">
        <f t="shared" si="88"/>
        <v>0</v>
      </c>
      <c r="X11" s="54">
        <f t="shared" ca="1" si="89"/>
        <v>57.094219704999993</v>
      </c>
      <c r="Y11" s="54">
        <f t="shared" ref="Y11:Z11" si="109">AW67</f>
        <v>11.256959999999999</v>
      </c>
      <c r="Z11" s="270">
        <f t="shared" si="109"/>
        <v>0.34111999999999998</v>
      </c>
      <c r="AA11" s="42">
        <f t="shared" ca="1" si="91"/>
        <v>12.82403936</v>
      </c>
      <c r="AB11" s="44">
        <f t="shared" si="92"/>
        <v>0</v>
      </c>
      <c r="AC11" s="44">
        <f t="shared" si="93"/>
        <v>0</v>
      </c>
      <c r="AD11" s="44">
        <f t="shared" ca="1" si="94"/>
        <v>55.919831639999991</v>
      </c>
      <c r="AE11" s="44">
        <f t="shared" ref="AE11:AG11" si="110">BI67</f>
        <v>11.257200000000001</v>
      </c>
      <c r="AF11" s="64">
        <f t="shared" si="110"/>
        <v>0.34079999999999999</v>
      </c>
      <c r="AG11" s="52">
        <f t="shared" si="110"/>
        <v>0</v>
      </c>
      <c r="AH11" s="54">
        <f t="shared" ca="1" si="96"/>
        <v>12.82403936</v>
      </c>
      <c r="AI11" s="54">
        <f t="shared" si="97"/>
        <v>0</v>
      </c>
      <c r="AJ11" s="54">
        <f t="shared" ca="1" si="98"/>
        <v>55.919831639999991</v>
      </c>
      <c r="AK11" s="54">
        <f t="shared" ref="AK11:AL11" si="111">BU67</f>
        <v>11.257200000000001</v>
      </c>
      <c r="AL11" s="53">
        <f t="shared" si="111"/>
        <v>0.34079999999999999</v>
      </c>
      <c r="AM11" s="1"/>
      <c r="AN11" s="703"/>
      <c r="AO11" s="703"/>
      <c r="AP11" s="702"/>
      <c r="AQ11" s="1"/>
      <c r="AR11" s="1"/>
      <c r="AS11" s="1"/>
    </row>
    <row r="12" spans="1:89" ht="15.75">
      <c r="B12" s="10">
        <f t="shared" ref="B12:B28" si="112">+B11+1</f>
        <v>2024</v>
      </c>
      <c r="C12" s="42">
        <f t="shared" ca="1" si="100"/>
        <v>10.209602496000004</v>
      </c>
      <c r="D12" s="44">
        <f t="shared" si="73"/>
        <v>0</v>
      </c>
      <c r="E12" s="44">
        <f t="shared" si="74"/>
        <v>0</v>
      </c>
      <c r="F12" s="44">
        <f t="shared" ca="1" si="101"/>
        <v>62.219511503999996</v>
      </c>
      <c r="G12" s="44">
        <f t="shared" si="75"/>
        <v>9.5552499999999991</v>
      </c>
      <c r="H12" s="43">
        <f t="shared" si="76"/>
        <v>0.35113999999999995</v>
      </c>
      <c r="I12" s="52">
        <f t="shared" si="77"/>
        <v>0</v>
      </c>
      <c r="J12" s="54">
        <f t="shared" ca="1" si="78"/>
        <v>10.209602496000004</v>
      </c>
      <c r="K12" s="54">
        <f t="shared" si="79"/>
        <v>0</v>
      </c>
      <c r="L12" s="54">
        <f t="shared" ca="1" si="80"/>
        <v>62.219511503999996</v>
      </c>
      <c r="M12" s="54">
        <f t="shared" ref="M12:N12" si="113">Y68</f>
        <v>9.5552499999999991</v>
      </c>
      <c r="N12" s="270">
        <f t="shared" si="113"/>
        <v>0.35113999999999995</v>
      </c>
      <c r="O12" s="42">
        <f t="shared" ca="1" si="82"/>
        <v>13.173680639999999</v>
      </c>
      <c r="P12" s="44">
        <f t="shared" si="83"/>
        <v>0</v>
      </c>
      <c r="Q12" s="44">
        <f t="shared" si="84"/>
        <v>0</v>
      </c>
      <c r="R12" s="44">
        <f t="shared" ca="1" si="85"/>
        <v>59.278543360000008</v>
      </c>
      <c r="S12" s="44">
        <f t="shared" ref="S12:U12" si="114">AK68</f>
        <v>9.5328900000000001</v>
      </c>
      <c r="T12" s="64">
        <f t="shared" si="114"/>
        <v>0.35038999999999998</v>
      </c>
      <c r="U12" s="52">
        <f t="shared" si="114"/>
        <v>0</v>
      </c>
      <c r="V12" s="54">
        <f t="shared" ca="1" si="87"/>
        <v>13.173680639999999</v>
      </c>
      <c r="W12" s="54">
        <f t="shared" si="88"/>
        <v>0</v>
      </c>
      <c r="X12" s="54">
        <f t="shared" ca="1" si="89"/>
        <v>59.278543360000008</v>
      </c>
      <c r="Y12" s="54">
        <f t="shared" ref="Y12:Z12" si="115">AW68</f>
        <v>9.5328900000000001</v>
      </c>
      <c r="Z12" s="270">
        <f t="shared" si="115"/>
        <v>0.35038999999999998</v>
      </c>
      <c r="AA12" s="42">
        <f t="shared" ca="1" si="91"/>
        <v>14.789730720000001</v>
      </c>
      <c r="AB12" s="44">
        <f t="shared" si="92"/>
        <v>0</v>
      </c>
      <c r="AC12" s="44">
        <f t="shared" si="93"/>
        <v>0</v>
      </c>
      <c r="AD12" s="44">
        <f t="shared" ca="1" si="94"/>
        <v>57.667803280000001</v>
      </c>
      <c r="AE12" s="44">
        <f t="shared" ref="AE12:AG12" si="116">BI68</f>
        <v>9.5279799999999994</v>
      </c>
      <c r="AF12" s="64">
        <f t="shared" si="116"/>
        <v>0.34998999999999997</v>
      </c>
      <c r="AG12" s="52">
        <f t="shared" si="116"/>
        <v>0</v>
      </c>
      <c r="AH12" s="54">
        <f t="shared" ca="1" si="96"/>
        <v>14.789730720000001</v>
      </c>
      <c r="AI12" s="54">
        <f t="shared" si="97"/>
        <v>0</v>
      </c>
      <c r="AJ12" s="54">
        <f t="shared" ca="1" si="98"/>
        <v>57.667803280000001</v>
      </c>
      <c r="AK12" s="54">
        <f t="shared" ref="AK12:AL12" si="117">BU68</f>
        <v>9.5279799999999994</v>
      </c>
      <c r="AL12" s="53">
        <f t="shared" si="117"/>
        <v>0.34998999999999997</v>
      </c>
      <c r="AM12" s="1"/>
      <c r="AN12" s="703"/>
      <c r="AO12" s="703"/>
      <c r="AP12" s="702"/>
      <c r="AQ12" s="1"/>
      <c r="AR12" s="1"/>
      <c r="AS12" s="1"/>
    </row>
    <row r="13" spans="1:89" ht="15.75">
      <c r="B13" s="10">
        <f t="shared" si="112"/>
        <v>2025</v>
      </c>
      <c r="C13" s="42">
        <f t="shared" ca="1" si="100"/>
        <v>11.027084639999998</v>
      </c>
      <c r="D13" s="44">
        <f t="shared" si="73"/>
        <v>0</v>
      </c>
      <c r="E13" s="44">
        <f t="shared" si="74"/>
        <v>0</v>
      </c>
      <c r="F13" s="44">
        <f t="shared" ca="1" si="101"/>
        <v>70.66848336000001</v>
      </c>
      <c r="G13" s="44">
        <f t="shared" si="75"/>
        <v>2.7700200000000001</v>
      </c>
      <c r="H13" s="43">
        <f t="shared" si="76"/>
        <v>0.35813999999999996</v>
      </c>
      <c r="I13" s="52">
        <f t="shared" si="77"/>
        <v>0</v>
      </c>
      <c r="J13" s="54">
        <f t="shared" ca="1" si="78"/>
        <v>11.027084639999998</v>
      </c>
      <c r="K13" s="54">
        <f t="shared" si="79"/>
        <v>0</v>
      </c>
      <c r="L13" s="54">
        <f t="shared" ca="1" si="80"/>
        <v>70.66848336000001</v>
      </c>
      <c r="M13" s="54">
        <f t="shared" ref="M13:N13" si="118">Y69</f>
        <v>2.7700200000000001</v>
      </c>
      <c r="N13" s="270">
        <f t="shared" si="118"/>
        <v>0.35813999999999996</v>
      </c>
      <c r="O13" s="42">
        <f t="shared" ca="1" si="82"/>
        <v>14.844152399999995</v>
      </c>
      <c r="P13" s="44">
        <f t="shared" si="83"/>
        <v>0</v>
      </c>
      <c r="Q13" s="44">
        <f t="shared" si="84"/>
        <v>0</v>
      </c>
      <c r="R13" s="44">
        <f t="shared" ca="1" si="85"/>
        <v>66.858815600000014</v>
      </c>
      <c r="S13" s="44">
        <f t="shared" ref="S13:U13" si="119">AK69</f>
        <v>2.7658299999999998</v>
      </c>
      <c r="T13" s="64">
        <f t="shared" si="119"/>
        <v>0.35492999999999997</v>
      </c>
      <c r="U13" s="52">
        <f t="shared" si="119"/>
        <v>0</v>
      </c>
      <c r="V13" s="54">
        <f t="shared" ca="1" si="87"/>
        <v>14.844152399999995</v>
      </c>
      <c r="W13" s="54">
        <f t="shared" si="88"/>
        <v>0</v>
      </c>
      <c r="X13" s="54">
        <f t="shared" ca="1" si="89"/>
        <v>66.858815600000014</v>
      </c>
      <c r="Y13" s="54">
        <f t="shared" ref="Y13:Z13" si="120">AW69</f>
        <v>2.7658299999999998</v>
      </c>
      <c r="Z13" s="270">
        <f t="shared" si="120"/>
        <v>0.35492999999999997</v>
      </c>
      <c r="AA13" s="42">
        <f t="shared" ca="1" si="91"/>
        <v>16.934085600000003</v>
      </c>
      <c r="AB13" s="44">
        <f t="shared" si="92"/>
        <v>0</v>
      </c>
      <c r="AC13" s="44">
        <f t="shared" si="93"/>
        <v>0</v>
      </c>
      <c r="AD13" s="44">
        <f t="shared" ca="1" si="94"/>
        <v>64.774692400000006</v>
      </c>
      <c r="AE13" s="44">
        <f t="shared" ref="AE13:AG13" si="121">BI69</f>
        <v>2.7608999999999999</v>
      </c>
      <c r="AF13" s="64">
        <f t="shared" si="121"/>
        <v>0.35405000000000003</v>
      </c>
      <c r="AG13" s="52">
        <f t="shared" si="121"/>
        <v>0</v>
      </c>
      <c r="AH13" s="54">
        <f t="shared" ca="1" si="96"/>
        <v>16.934085600000003</v>
      </c>
      <c r="AI13" s="54">
        <f t="shared" si="97"/>
        <v>0</v>
      </c>
      <c r="AJ13" s="54">
        <f t="shared" ca="1" si="98"/>
        <v>64.774692400000006</v>
      </c>
      <c r="AK13" s="54">
        <f t="shared" ref="AK13:AL13" si="122">BU69</f>
        <v>2.7608999999999999</v>
      </c>
      <c r="AL13" s="53">
        <f t="shared" si="122"/>
        <v>0.35405000000000003</v>
      </c>
      <c r="AM13" s="1"/>
      <c r="AN13" s="703"/>
      <c r="AO13" s="703"/>
      <c r="AP13" s="702"/>
      <c r="AQ13" s="1"/>
      <c r="AR13" s="1"/>
      <c r="AS13" s="1"/>
    </row>
    <row r="14" spans="1:89" ht="15.75">
      <c r="B14" s="10">
        <f t="shared" si="112"/>
        <v>2026</v>
      </c>
      <c r="C14" s="42">
        <f t="shared" ca="1" si="100"/>
        <v>12.028941119999999</v>
      </c>
      <c r="D14" s="44">
        <f t="shared" si="73"/>
        <v>0</v>
      </c>
      <c r="E14" s="44">
        <f t="shared" si="74"/>
        <v>0</v>
      </c>
      <c r="F14" s="44">
        <f t="shared" ca="1" si="101"/>
        <v>74.778218879999997</v>
      </c>
      <c r="G14" s="44">
        <f t="shared" si="75"/>
        <v>0</v>
      </c>
      <c r="H14" s="43">
        <f t="shared" si="76"/>
        <v>0.35907999999999995</v>
      </c>
      <c r="I14" s="52">
        <f t="shared" si="77"/>
        <v>0</v>
      </c>
      <c r="J14" s="54">
        <f t="shared" ca="1" si="78"/>
        <v>12.028941119999999</v>
      </c>
      <c r="K14" s="54">
        <f t="shared" si="79"/>
        <v>0</v>
      </c>
      <c r="L14" s="54">
        <f t="shared" ca="1" si="80"/>
        <v>74.778218879999997</v>
      </c>
      <c r="M14" s="54">
        <f t="shared" ref="M14:N14" si="123">Y70</f>
        <v>0</v>
      </c>
      <c r="N14" s="270">
        <f t="shared" si="123"/>
        <v>0.35907999999999995</v>
      </c>
      <c r="O14" s="42">
        <f t="shared" ca="1" si="82"/>
        <v>16.561585599999997</v>
      </c>
      <c r="P14" s="44">
        <f t="shared" si="83"/>
        <v>0</v>
      </c>
      <c r="Q14" s="44">
        <f t="shared" si="84"/>
        <v>0</v>
      </c>
      <c r="R14" s="44">
        <f t="shared" ca="1" si="85"/>
        <v>70.248654399999992</v>
      </c>
      <c r="S14" s="44">
        <f t="shared" ref="S14:U14" si="124">AK70</f>
        <v>0</v>
      </c>
      <c r="T14" s="64">
        <f t="shared" si="124"/>
        <v>0.35600000000000004</v>
      </c>
      <c r="U14" s="52">
        <f t="shared" si="124"/>
        <v>0</v>
      </c>
      <c r="V14" s="54">
        <f t="shared" ca="1" si="87"/>
        <v>16.561585599999997</v>
      </c>
      <c r="W14" s="54">
        <f t="shared" si="88"/>
        <v>0</v>
      </c>
      <c r="X14" s="54">
        <f t="shared" ca="1" si="89"/>
        <v>70.248654399999992</v>
      </c>
      <c r="Y14" s="54">
        <f t="shared" ref="Y14:Z14" si="125">AW70</f>
        <v>0</v>
      </c>
      <c r="Z14" s="270">
        <f t="shared" si="125"/>
        <v>0.35600000000000004</v>
      </c>
      <c r="AA14" s="42">
        <f t="shared" ca="1" si="91"/>
        <v>19.145912800000001</v>
      </c>
      <c r="AB14" s="44">
        <f t="shared" si="92"/>
        <v>0</v>
      </c>
      <c r="AC14" s="44">
        <f t="shared" si="93"/>
        <v>0</v>
      </c>
      <c r="AD14" s="44">
        <f t="shared" ca="1" si="94"/>
        <v>67.665027199999997</v>
      </c>
      <c r="AE14" s="44">
        <f t="shared" ref="AE14:AG14" si="126">BI70</f>
        <v>0</v>
      </c>
      <c r="AF14" s="64">
        <f t="shared" si="126"/>
        <v>0.35529999999999995</v>
      </c>
      <c r="AG14" s="52">
        <f t="shared" si="126"/>
        <v>0</v>
      </c>
      <c r="AH14" s="54">
        <f t="shared" ca="1" si="96"/>
        <v>19.145912800000001</v>
      </c>
      <c r="AI14" s="54">
        <f t="shared" si="97"/>
        <v>0</v>
      </c>
      <c r="AJ14" s="54">
        <f t="shared" ca="1" si="98"/>
        <v>67.665027199999997</v>
      </c>
      <c r="AK14" s="54">
        <f t="shared" ref="AK14:AL14" si="127">BU70</f>
        <v>0</v>
      </c>
      <c r="AL14" s="53">
        <f t="shared" si="127"/>
        <v>0.35529999999999995</v>
      </c>
      <c r="AM14" s="1"/>
      <c r="AN14" s="703"/>
      <c r="AO14" s="703"/>
      <c r="AP14" s="702"/>
      <c r="AQ14" s="1"/>
      <c r="AR14" s="1"/>
      <c r="AS14" s="1"/>
    </row>
    <row r="15" spans="1:89" ht="15.75">
      <c r="B15" s="10">
        <f t="shared" si="112"/>
        <v>2027</v>
      </c>
      <c r="C15" s="42">
        <f t="shared" ca="1" si="100"/>
        <v>13.078410922</v>
      </c>
      <c r="D15" s="44">
        <f t="shared" si="73"/>
        <v>0</v>
      </c>
      <c r="E15" s="44">
        <f t="shared" si="74"/>
        <v>0</v>
      </c>
      <c r="F15" s="44">
        <f t="shared" ca="1" si="101"/>
        <v>76.147676078000003</v>
      </c>
      <c r="G15" s="44">
        <f t="shared" si="75"/>
        <v>0</v>
      </c>
      <c r="H15" s="43">
        <f t="shared" si="76"/>
        <v>0.35207000000000005</v>
      </c>
      <c r="I15" s="52">
        <f t="shared" si="77"/>
        <v>0</v>
      </c>
      <c r="J15" s="54">
        <f t="shared" ca="1" si="78"/>
        <v>13.078410922</v>
      </c>
      <c r="K15" s="54">
        <f t="shared" si="79"/>
        <v>0</v>
      </c>
      <c r="L15" s="54">
        <f t="shared" ca="1" si="80"/>
        <v>76.147676078000003</v>
      </c>
      <c r="M15" s="54">
        <f t="shared" ref="M15:N15" si="128">Y71</f>
        <v>0</v>
      </c>
      <c r="N15" s="270">
        <f t="shared" si="128"/>
        <v>0.35207000000000005</v>
      </c>
      <c r="O15" s="42">
        <f t="shared" ca="1" si="82"/>
        <v>18.363522185000001</v>
      </c>
      <c r="P15" s="44">
        <f t="shared" si="83"/>
        <v>0</v>
      </c>
      <c r="Q15" s="44">
        <f t="shared" si="84"/>
        <v>0</v>
      </c>
      <c r="R15" s="44">
        <f t="shared" ca="1" si="85"/>
        <v>70.864014815000004</v>
      </c>
      <c r="S15" s="44">
        <f t="shared" ref="S15:U15" si="129">AK71</f>
        <v>0</v>
      </c>
      <c r="T15" s="64">
        <f t="shared" si="129"/>
        <v>0.35062000000000004</v>
      </c>
      <c r="U15" s="52">
        <f t="shared" si="129"/>
        <v>0</v>
      </c>
      <c r="V15" s="54">
        <f t="shared" ca="1" si="87"/>
        <v>18.363522185000001</v>
      </c>
      <c r="W15" s="54">
        <f t="shared" si="88"/>
        <v>0</v>
      </c>
      <c r="X15" s="54">
        <f t="shared" ca="1" si="89"/>
        <v>70.864014815000004</v>
      </c>
      <c r="Y15" s="54">
        <f t="shared" ref="Y15:Z15" si="130">AW71</f>
        <v>0</v>
      </c>
      <c r="Z15" s="270">
        <f t="shared" si="130"/>
        <v>0.35062000000000004</v>
      </c>
      <c r="AA15" s="42">
        <f t="shared" ca="1" si="91"/>
        <v>21.46809768</v>
      </c>
      <c r="AB15" s="44">
        <f t="shared" si="92"/>
        <v>0</v>
      </c>
      <c r="AC15" s="44">
        <f t="shared" si="93"/>
        <v>0</v>
      </c>
      <c r="AD15" s="44">
        <f t="shared" ca="1" si="94"/>
        <v>67.76015932</v>
      </c>
      <c r="AE15" s="44">
        <f t="shared" ref="AE15:AG15" si="131">BI71</f>
        <v>0</v>
      </c>
      <c r="AF15" s="64">
        <f t="shared" si="131"/>
        <v>0.34989999999999999</v>
      </c>
      <c r="AG15" s="52">
        <f t="shared" si="131"/>
        <v>0</v>
      </c>
      <c r="AH15" s="54">
        <f t="shared" ca="1" si="96"/>
        <v>21.46809768</v>
      </c>
      <c r="AI15" s="54">
        <f t="shared" si="97"/>
        <v>0</v>
      </c>
      <c r="AJ15" s="54">
        <f t="shared" ca="1" si="98"/>
        <v>67.76015932</v>
      </c>
      <c r="AK15" s="54">
        <f t="shared" ref="AK15:AL15" si="132">BU71</f>
        <v>0</v>
      </c>
      <c r="AL15" s="53">
        <f t="shared" si="132"/>
        <v>0.34989999999999999</v>
      </c>
      <c r="AM15" s="1"/>
      <c r="AN15" s="703"/>
      <c r="AO15" s="703"/>
      <c r="AP15" s="702"/>
      <c r="AQ15" s="1"/>
      <c r="AR15" s="1"/>
      <c r="AS15" s="1"/>
    </row>
    <row r="16" spans="1:89" ht="15.75">
      <c r="B16" s="10">
        <f t="shared" si="112"/>
        <v>2028</v>
      </c>
      <c r="C16" s="42">
        <f t="shared" ca="1" si="100"/>
        <v>14.139719594000004</v>
      </c>
      <c r="D16" s="44">
        <f t="shared" si="73"/>
        <v>0</v>
      </c>
      <c r="E16" s="44">
        <f t="shared" si="74"/>
        <v>0</v>
      </c>
      <c r="F16" s="44">
        <f t="shared" ca="1" si="101"/>
        <v>77.320751405999999</v>
      </c>
      <c r="G16" s="44">
        <f t="shared" si="75"/>
        <v>0</v>
      </c>
      <c r="H16" s="43">
        <f t="shared" si="76"/>
        <v>0.35589000000000004</v>
      </c>
      <c r="I16" s="52">
        <f t="shared" si="77"/>
        <v>0</v>
      </c>
      <c r="J16" s="54">
        <f t="shared" ca="1" si="78"/>
        <v>14.139719594000004</v>
      </c>
      <c r="K16" s="54">
        <f t="shared" si="79"/>
        <v>0</v>
      </c>
      <c r="L16" s="54">
        <f t="shared" ca="1" si="80"/>
        <v>77.320751405999999</v>
      </c>
      <c r="M16" s="54">
        <f t="shared" ref="M16:N16" si="133">Y72</f>
        <v>0</v>
      </c>
      <c r="N16" s="270">
        <f t="shared" si="133"/>
        <v>0.35589000000000004</v>
      </c>
      <c r="O16" s="42">
        <f t="shared" ca="1" si="82"/>
        <v>20.199599420000006</v>
      </c>
      <c r="P16" s="44">
        <f t="shared" si="83"/>
        <v>0</v>
      </c>
      <c r="Q16" s="44">
        <f t="shared" si="84"/>
        <v>0</v>
      </c>
      <c r="R16" s="44">
        <f t="shared" ca="1" si="85"/>
        <v>71.25926158</v>
      </c>
      <c r="S16" s="44">
        <f t="shared" ref="S16:U16" si="134">AK72</f>
        <v>0</v>
      </c>
      <c r="T16" s="64">
        <f t="shared" si="134"/>
        <v>0.35749999999999998</v>
      </c>
      <c r="U16" s="52">
        <f t="shared" si="134"/>
        <v>0</v>
      </c>
      <c r="V16" s="54">
        <f t="shared" ca="1" si="87"/>
        <v>20.199599420000006</v>
      </c>
      <c r="W16" s="54">
        <f t="shared" si="88"/>
        <v>0</v>
      </c>
      <c r="X16" s="54">
        <f t="shared" ca="1" si="89"/>
        <v>71.25926158</v>
      </c>
      <c r="Y16" s="54">
        <f t="shared" ref="Y16:Z16" si="135">AW72</f>
        <v>0</v>
      </c>
      <c r="Z16" s="270">
        <f t="shared" si="135"/>
        <v>0.35749999999999998</v>
      </c>
      <c r="AA16" s="42">
        <f t="shared" ca="1" si="91"/>
        <v>23.841593860000003</v>
      </c>
      <c r="AB16" s="44">
        <f t="shared" si="92"/>
        <v>0</v>
      </c>
      <c r="AC16" s="44">
        <f t="shared" si="93"/>
        <v>0</v>
      </c>
      <c r="AD16" s="44">
        <f t="shared" ca="1" si="94"/>
        <v>67.616667140000004</v>
      </c>
      <c r="AE16" s="44">
        <f t="shared" ref="AE16:AG16" si="136">BI72</f>
        <v>0</v>
      </c>
      <c r="AF16" s="64">
        <f t="shared" si="136"/>
        <v>0.35809999999999997</v>
      </c>
      <c r="AG16" s="52">
        <f t="shared" si="136"/>
        <v>0</v>
      </c>
      <c r="AH16" s="54">
        <f t="shared" ca="1" si="96"/>
        <v>23.841593860000003</v>
      </c>
      <c r="AI16" s="54">
        <f t="shared" si="97"/>
        <v>0</v>
      </c>
      <c r="AJ16" s="54">
        <f t="shared" ca="1" si="98"/>
        <v>67.616667140000004</v>
      </c>
      <c r="AK16" s="54">
        <f t="shared" ref="AK16:AL16" si="137">BU72</f>
        <v>0</v>
      </c>
      <c r="AL16" s="53">
        <f t="shared" si="137"/>
        <v>0.35809999999999997</v>
      </c>
      <c r="AM16" s="1"/>
      <c r="AN16" s="703"/>
      <c r="AO16" s="703"/>
      <c r="AP16" s="702"/>
      <c r="AQ16" s="1"/>
      <c r="AR16" s="1"/>
      <c r="AS16" s="1"/>
    </row>
    <row r="17" spans="2:47" ht="15.75">
      <c r="B17" s="10">
        <f t="shared" si="112"/>
        <v>2029</v>
      </c>
      <c r="C17" s="42">
        <f t="shared" ca="1" si="100"/>
        <v>15.328459440000003</v>
      </c>
      <c r="D17" s="44">
        <f t="shared" si="73"/>
        <v>0</v>
      </c>
      <c r="E17" s="44">
        <f t="shared" si="74"/>
        <v>0</v>
      </c>
      <c r="F17" s="44">
        <f t="shared" ca="1" si="101"/>
        <v>78.933140559999998</v>
      </c>
      <c r="G17" s="44">
        <f t="shared" si="75"/>
        <v>0</v>
      </c>
      <c r="H17" s="43">
        <f t="shared" si="76"/>
        <v>0.35852000000000001</v>
      </c>
      <c r="I17" s="52">
        <f t="shared" si="77"/>
        <v>0</v>
      </c>
      <c r="J17" s="54">
        <f t="shared" ca="1" si="78"/>
        <v>15.328459440000003</v>
      </c>
      <c r="K17" s="54">
        <f t="shared" si="79"/>
        <v>0</v>
      </c>
      <c r="L17" s="54">
        <f t="shared" ca="1" si="80"/>
        <v>78.933140559999998</v>
      </c>
      <c r="M17" s="54">
        <f t="shared" ref="M17:N17" si="138">Y73</f>
        <v>0</v>
      </c>
      <c r="N17" s="270">
        <f t="shared" si="138"/>
        <v>0.35852000000000001</v>
      </c>
      <c r="O17" s="42">
        <f t="shared" ca="1" si="82"/>
        <v>22.235728200000004</v>
      </c>
      <c r="P17" s="44">
        <f t="shared" si="83"/>
        <v>0</v>
      </c>
      <c r="Q17" s="44">
        <f t="shared" si="84"/>
        <v>0</v>
      </c>
      <c r="R17" s="44">
        <f t="shared" ca="1" si="85"/>
        <v>72.02475179999999</v>
      </c>
      <c r="S17" s="44">
        <f t="shared" ref="S17:U17" si="139">AK73</f>
        <v>0</v>
      </c>
      <c r="T17" s="64">
        <f t="shared" si="139"/>
        <v>0.35964000000000002</v>
      </c>
      <c r="U17" s="52">
        <f t="shared" si="139"/>
        <v>0</v>
      </c>
      <c r="V17" s="54">
        <f t="shared" ca="1" si="87"/>
        <v>22.235728200000004</v>
      </c>
      <c r="W17" s="54">
        <f t="shared" si="88"/>
        <v>0</v>
      </c>
      <c r="X17" s="54">
        <f t="shared" ca="1" si="89"/>
        <v>72.02475179999999</v>
      </c>
      <c r="Y17" s="54">
        <f t="shared" ref="Y17:Z17" si="140">AW73</f>
        <v>0</v>
      </c>
      <c r="Z17" s="270">
        <f t="shared" si="140"/>
        <v>0.35964000000000002</v>
      </c>
      <c r="AA17" s="42">
        <f t="shared" ca="1" si="91"/>
        <v>26.462973600000002</v>
      </c>
      <c r="AB17" s="44">
        <f t="shared" si="92"/>
        <v>0</v>
      </c>
      <c r="AC17" s="44">
        <f t="shared" si="93"/>
        <v>0</v>
      </c>
      <c r="AD17" s="44">
        <f t="shared" ca="1" si="94"/>
        <v>67.792646399999995</v>
      </c>
      <c r="AE17" s="44">
        <f t="shared" ref="AE17:AG17" si="141">BI73</f>
        <v>0</v>
      </c>
      <c r="AF17" s="64">
        <f t="shared" si="141"/>
        <v>0.36449999999999999</v>
      </c>
      <c r="AG17" s="52">
        <f t="shared" si="141"/>
        <v>0</v>
      </c>
      <c r="AH17" s="54">
        <f t="shared" ca="1" si="96"/>
        <v>26.462973600000002</v>
      </c>
      <c r="AI17" s="54">
        <f t="shared" si="97"/>
        <v>0</v>
      </c>
      <c r="AJ17" s="54">
        <f t="shared" ca="1" si="98"/>
        <v>67.792646399999995</v>
      </c>
      <c r="AK17" s="54">
        <f t="shared" ref="AK17:AL17" si="142">BU73</f>
        <v>0</v>
      </c>
      <c r="AL17" s="53">
        <f t="shared" si="142"/>
        <v>0.36449999999999999</v>
      </c>
      <c r="AM17" s="1"/>
      <c r="AN17" s="703"/>
      <c r="AO17" s="703"/>
      <c r="AP17" s="702"/>
      <c r="AQ17" s="1"/>
      <c r="AR17" s="1"/>
      <c r="AS17" s="1"/>
    </row>
    <row r="18" spans="2:47" ht="15.75">
      <c r="B18" s="10">
        <f t="shared" si="112"/>
        <v>2030</v>
      </c>
      <c r="C18" s="42">
        <f t="shared" ca="1" si="100"/>
        <v>16.533559269999998</v>
      </c>
      <c r="D18" s="44">
        <f t="shared" si="73"/>
        <v>0</v>
      </c>
      <c r="E18" s="44">
        <f t="shared" si="74"/>
        <v>0</v>
      </c>
      <c r="F18" s="44">
        <f t="shared" ca="1" si="101"/>
        <v>80.368911729999994</v>
      </c>
      <c r="G18" s="44">
        <f t="shared" si="75"/>
        <v>0</v>
      </c>
      <c r="H18" s="43">
        <f t="shared" si="76"/>
        <v>0.35375999999999996</v>
      </c>
      <c r="I18" s="52">
        <f t="shared" si="77"/>
        <v>0</v>
      </c>
      <c r="J18" s="54">
        <f t="shared" ca="1" si="78"/>
        <v>16.533559269999998</v>
      </c>
      <c r="K18" s="54">
        <f t="shared" si="79"/>
        <v>0</v>
      </c>
      <c r="L18" s="54">
        <f t="shared" ca="1" si="80"/>
        <v>80.368911729999994</v>
      </c>
      <c r="M18" s="54">
        <f t="shared" ref="M18:N18" si="143">Y74</f>
        <v>0</v>
      </c>
      <c r="N18" s="270">
        <f t="shared" si="143"/>
        <v>0.35375999999999996</v>
      </c>
      <c r="O18" s="42">
        <f t="shared" ca="1" si="82"/>
        <v>24.314057750000007</v>
      </c>
      <c r="P18" s="44">
        <f t="shared" si="83"/>
        <v>0</v>
      </c>
      <c r="Q18" s="44">
        <f t="shared" si="84"/>
        <v>0</v>
      </c>
      <c r="R18" s="44">
        <f t="shared" ca="1" si="85"/>
        <v>72.584343249999989</v>
      </c>
      <c r="S18" s="44">
        <f t="shared" ref="S18:U18" si="144">AK74</f>
        <v>0</v>
      </c>
      <c r="T18" s="64">
        <f t="shared" si="144"/>
        <v>0.35783000000000004</v>
      </c>
      <c r="U18" s="52">
        <f t="shared" si="144"/>
        <v>0</v>
      </c>
      <c r="V18" s="54">
        <f t="shared" ca="1" si="87"/>
        <v>24.314057750000007</v>
      </c>
      <c r="W18" s="54">
        <f t="shared" si="88"/>
        <v>0</v>
      </c>
      <c r="X18" s="54">
        <f t="shared" ca="1" si="89"/>
        <v>72.584343249999989</v>
      </c>
      <c r="Y18" s="54">
        <f t="shared" ref="Y18:Z18" si="145">AW74</f>
        <v>0</v>
      </c>
      <c r="Z18" s="270">
        <f t="shared" si="145"/>
        <v>0.35783000000000004</v>
      </c>
      <c r="AA18" s="42">
        <f t="shared" ca="1" si="91"/>
        <v>29.146209300000013</v>
      </c>
      <c r="AB18" s="44">
        <f t="shared" si="92"/>
        <v>0</v>
      </c>
      <c r="AC18" s="44">
        <f t="shared" si="93"/>
        <v>0</v>
      </c>
      <c r="AD18" s="44">
        <f t="shared" ca="1" si="94"/>
        <v>67.753221699999983</v>
      </c>
      <c r="AE18" s="44">
        <f t="shared" ref="AE18:AG18" si="146">BI74</f>
        <v>0</v>
      </c>
      <c r="AF18" s="64">
        <f t="shared" si="146"/>
        <v>0.35680000000000001</v>
      </c>
      <c r="AG18" s="52">
        <f t="shared" si="146"/>
        <v>0</v>
      </c>
      <c r="AH18" s="54">
        <f t="shared" ca="1" si="96"/>
        <v>29.146209300000013</v>
      </c>
      <c r="AI18" s="54">
        <f t="shared" si="97"/>
        <v>0</v>
      </c>
      <c r="AJ18" s="54">
        <f t="shared" ca="1" si="98"/>
        <v>67.753221699999983</v>
      </c>
      <c r="AK18" s="54">
        <f t="shared" ref="AK18:AL18" si="147">BU74</f>
        <v>0</v>
      </c>
      <c r="AL18" s="53">
        <f t="shared" si="147"/>
        <v>0.35680000000000001</v>
      </c>
      <c r="AM18" s="1"/>
      <c r="AN18" s="703"/>
      <c r="AO18" s="703"/>
      <c r="AP18" s="702"/>
      <c r="AQ18" s="1"/>
      <c r="AR18" s="1"/>
      <c r="AS18" s="1"/>
    </row>
    <row r="19" spans="2:47" ht="15.75">
      <c r="B19" s="10">
        <f t="shared" si="112"/>
        <v>2031</v>
      </c>
      <c r="C19" s="42">
        <f t="shared" ca="1" si="100"/>
        <v>16.455663028959997</v>
      </c>
      <c r="D19" s="44">
        <f t="shared" si="73"/>
        <v>0</v>
      </c>
      <c r="E19" s="44">
        <f t="shared" si="74"/>
        <v>0</v>
      </c>
      <c r="F19" s="44">
        <f t="shared" ca="1" si="101"/>
        <v>83.369044901040013</v>
      </c>
      <c r="G19" s="44">
        <f t="shared" si="75"/>
        <v>0</v>
      </c>
      <c r="H19" s="43">
        <f t="shared" si="76"/>
        <v>0.34921000000000002</v>
      </c>
      <c r="I19" s="52">
        <f t="shared" si="77"/>
        <v>0</v>
      </c>
      <c r="J19" s="54">
        <f t="shared" ca="1" si="78"/>
        <v>16.455663028959997</v>
      </c>
      <c r="K19" s="54">
        <f t="shared" si="79"/>
        <v>0</v>
      </c>
      <c r="L19" s="54">
        <f t="shared" ca="1" si="80"/>
        <v>83.369044901040013</v>
      </c>
      <c r="M19" s="54">
        <f t="shared" ref="M19:N19" si="148">Y75</f>
        <v>0</v>
      </c>
      <c r="N19" s="270">
        <f t="shared" si="148"/>
        <v>0.34921000000000002</v>
      </c>
      <c r="O19" s="42">
        <f t="shared" ca="1" si="82"/>
        <v>24.189478518080005</v>
      </c>
      <c r="P19" s="44">
        <f t="shared" si="83"/>
        <v>0</v>
      </c>
      <c r="Q19" s="44">
        <f t="shared" si="84"/>
        <v>0</v>
      </c>
      <c r="R19" s="44">
        <f t="shared" ca="1" si="85"/>
        <v>75.635499411919994</v>
      </c>
      <c r="S19" s="44">
        <f t="shared" ref="S19:U19" si="149">AK75</f>
        <v>0</v>
      </c>
      <c r="T19" s="64">
        <f t="shared" si="149"/>
        <v>0.34894000000000003</v>
      </c>
      <c r="U19" s="52">
        <f t="shared" si="149"/>
        <v>0</v>
      </c>
      <c r="V19" s="54">
        <f t="shared" ca="1" si="87"/>
        <v>24.189478518080005</v>
      </c>
      <c r="W19" s="54">
        <f t="shared" si="88"/>
        <v>0</v>
      </c>
      <c r="X19" s="54">
        <f t="shared" ca="1" si="89"/>
        <v>75.635499411919994</v>
      </c>
      <c r="Y19" s="54">
        <f t="shared" ref="Y19:Z19" si="150">AW75</f>
        <v>0</v>
      </c>
      <c r="Z19" s="270">
        <f t="shared" si="150"/>
        <v>0.34894000000000003</v>
      </c>
      <c r="AA19" s="42">
        <f t="shared" ca="1" si="91"/>
        <v>29.023113198780006</v>
      </c>
      <c r="AB19" s="44">
        <f t="shared" si="92"/>
        <v>0</v>
      </c>
      <c r="AC19" s="44">
        <f t="shared" si="93"/>
        <v>0</v>
      </c>
      <c r="AD19" s="44">
        <f t="shared" ca="1" si="94"/>
        <v>70.804504731219993</v>
      </c>
      <c r="AE19" s="44">
        <f t="shared" ref="AE19:AG19" si="151">BI75</f>
        <v>0</v>
      </c>
      <c r="AF19" s="64">
        <f t="shared" si="151"/>
        <v>0.3463</v>
      </c>
      <c r="AG19" s="52">
        <f t="shared" si="151"/>
        <v>0</v>
      </c>
      <c r="AH19" s="54">
        <f t="shared" ca="1" si="96"/>
        <v>29.023113198780006</v>
      </c>
      <c r="AI19" s="54">
        <f t="shared" si="97"/>
        <v>0</v>
      </c>
      <c r="AJ19" s="54">
        <f t="shared" ca="1" si="98"/>
        <v>70.804504731219993</v>
      </c>
      <c r="AK19" s="54">
        <f t="shared" ref="AK19:AL19" si="152">BU75</f>
        <v>0</v>
      </c>
      <c r="AL19" s="53">
        <f t="shared" si="152"/>
        <v>0.3463</v>
      </c>
      <c r="AM19" s="1"/>
      <c r="AN19" s="703"/>
      <c r="AO19" s="703"/>
      <c r="AP19" s="702"/>
      <c r="AQ19" s="1"/>
      <c r="AR19" s="1"/>
      <c r="AS19" s="1"/>
    </row>
    <row r="20" spans="2:47" ht="15.75">
      <c r="B20" s="10">
        <f t="shared" si="112"/>
        <v>2032</v>
      </c>
      <c r="C20" s="42">
        <f t="shared" ca="1" si="100"/>
        <v>16.378234165366244</v>
      </c>
      <c r="D20" s="44">
        <f t="shared" si="73"/>
        <v>0</v>
      </c>
      <c r="E20" s="44">
        <f t="shared" si="74"/>
        <v>0</v>
      </c>
      <c r="F20" s="44">
        <f t="shared" ca="1" si="101"/>
        <v>86.455791302533768</v>
      </c>
      <c r="G20" s="44">
        <f t="shared" si="75"/>
        <v>0</v>
      </c>
      <c r="H20" s="43">
        <f t="shared" si="76"/>
        <v>0.34510999999999997</v>
      </c>
      <c r="I20" s="52">
        <f t="shared" si="77"/>
        <v>0</v>
      </c>
      <c r="J20" s="54">
        <f t="shared" ca="1" si="78"/>
        <v>16.378234165366244</v>
      </c>
      <c r="K20" s="54">
        <f t="shared" si="79"/>
        <v>0</v>
      </c>
      <c r="L20" s="54">
        <f t="shared" ca="1" si="80"/>
        <v>86.455791302533768</v>
      </c>
      <c r="M20" s="54">
        <f t="shared" ref="M20:N20" si="153">Y76</f>
        <v>0</v>
      </c>
      <c r="N20" s="270">
        <f t="shared" si="153"/>
        <v>0.34510999999999997</v>
      </c>
      <c r="O20" s="42">
        <f t="shared" ca="1" si="82"/>
        <v>24.06564676155152</v>
      </c>
      <c r="P20" s="44">
        <f t="shared" si="83"/>
        <v>0</v>
      </c>
      <c r="Q20" s="44">
        <f t="shared" si="84"/>
        <v>0</v>
      </c>
      <c r="R20" s="44">
        <f t="shared" ca="1" si="85"/>
        <v>78.767668706348488</v>
      </c>
      <c r="S20" s="44">
        <f t="shared" ref="S20:U20" si="154">AK76</f>
        <v>0</v>
      </c>
      <c r="T20" s="64">
        <f t="shared" si="154"/>
        <v>0.34581999999999996</v>
      </c>
      <c r="U20" s="52">
        <f t="shared" si="154"/>
        <v>0</v>
      </c>
      <c r="V20" s="54">
        <f t="shared" ca="1" si="87"/>
        <v>24.06564676155152</v>
      </c>
      <c r="W20" s="54">
        <f t="shared" si="88"/>
        <v>0</v>
      </c>
      <c r="X20" s="54">
        <f t="shared" ca="1" si="89"/>
        <v>78.767668706348488</v>
      </c>
      <c r="Y20" s="54">
        <f t="shared" ref="Y20:Z20" si="155">AW76</f>
        <v>0</v>
      </c>
      <c r="Z20" s="270">
        <f t="shared" si="155"/>
        <v>0.34581999999999996</v>
      </c>
      <c r="AA20" s="42">
        <f t="shared" ca="1" si="91"/>
        <v>28.870279634167321</v>
      </c>
      <c r="AB20" s="44">
        <f t="shared" si="92"/>
        <v>0</v>
      </c>
      <c r="AC20" s="44">
        <f t="shared" si="93"/>
        <v>0</v>
      </c>
      <c r="AD20" s="44">
        <f t="shared" ca="1" si="94"/>
        <v>73.968855833732675</v>
      </c>
      <c r="AE20" s="44">
        <f t="shared" ref="AE20:AG20" si="156">BI76</f>
        <v>0</v>
      </c>
      <c r="AF20" s="64">
        <f t="shared" si="156"/>
        <v>0.34</v>
      </c>
      <c r="AG20" s="52">
        <f t="shared" si="156"/>
        <v>0</v>
      </c>
      <c r="AH20" s="54">
        <f t="shared" ca="1" si="96"/>
        <v>28.870279634167321</v>
      </c>
      <c r="AI20" s="54">
        <f t="shared" si="97"/>
        <v>0</v>
      </c>
      <c r="AJ20" s="54">
        <f t="shared" ca="1" si="98"/>
        <v>73.968855833732675</v>
      </c>
      <c r="AK20" s="54">
        <f t="shared" ref="AK20:AL20" si="157">BU76</f>
        <v>0</v>
      </c>
      <c r="AL20" s="53">
        <f t="shared" si="157"/>
        <v>0.34</v>
      </c>
      <c r="AM20" s="1"/>
      <c r="AN20" s="703"/>
      <c r="AO20" s="703"/>
      <c r="AP20" s="702"/>
      <c r="AQ20" s="1"/>
      <c r="AR20" s="1"/>
      <c r="AS20" s="1"/>
    </row>
    <row r="21" spans="2:47" ht="15.75">
      <c r="B21" s="10">
        <f t="shared" si="112"/>
        <v>2033</v>
      </c>
      <c r="C21" s="42">
        <f t="shared" ca="1" si="100"/>
        <v>16.301269874954045</v>
      </c>
      <c r="D21" s="44">
        <f t="shared" si="73"/>
        <v>0</v>
      </c>
      <c r="E21" s="44">
        <f t="shared" si="74"/>
        <v>0</v>
      </c>
      <c r="F21" s="44">
        <f t="shared" ca="1" si="101"/>
        <v>89.621359656982975</v>
      </c>
      <c r="G21" s="44">
        <f t="shared" si="75"/>
        <v>0</v>
      </c>
      <c r="H21" s="43">
        <f t="shared" si="76"/>
        <v>0.35187999999999997</v>
      </c>
      <c r="I21" s="52">
        <f t="shared" si="77"/>
        <v>0</v>
      </c>
      <c r="J21" s="54">
        <f t="shared" ca="1" si="78"/>
        <v>16.301269874954045</v>
      </c>
      <c r="K21" s="54">
        <f t="shared" si="79"/>
        <v>0</v>
      </c>
      <c r="L21" s="54">
        <f t="shared" ca="1" si="80"/>
        <v>89.621359656982975</v>
      </c>
      <c r="M21" s="54">
        <f t="shared" ref="M21:N21" si="158">Y77</f>
        <v>0</v>
      </c>
      <c r="N21" s="270">
        <f t="shared" si="158"/>
        <v>0.35187999999999997</v>
      </c>
      <c r="O21" s="42">
        <f t="shared" ca="1" si="82"/>
        <v>23.942557995562215</v>
      </c>
      <c r="P21" s="44">
        <f t="shared" si="83"/>
        <v>0</v>
      </c>
      <c r="Q21" s="44">
        <f t="shared" si="84"/>
        <v>0</v>
      </c>
      <c r="R21" s="44">
        <f t="shared" ca="1" si="85"/>
        <v>81.976041536374794</v>
      </c>
      <c r="S21" s="44">
        <f t="shared" ref="S21:U21" si="159">AK77</f>
        <v>0</v>
      </c>
      <c r="T21" s="64">
        <f t="shared" si="159"/>
        <v>0.35591</v>
      </c>
      <c r="U21" s="52">
        <f t="shared" si="159"/>
        <v>0</v>
      </c>
      <c r="V21" s="54">
        <f t="shared" ca="1" si="87"/>
        <v>23.942557995562215</v>
      </c>
      <c r="W21" s="54">
        <f t="shared" si="88"/>
        <v>0</v>
      </c>
      <c r="X21" s="54">
        <f t="shared" ca="1" si="89"/>
        <v>81.976041536374794</v>
      </c>
      <c r="Y21" s="54">
        <f t="shared" ref="Y21:Z21" si="160">AW77</f>
        <v>0</v>
      </c>
      <c r="Z21" s="270">
        <f t="shared" si="160"/>
        <v>0.35591</v>
      </c>
      <c r="AA21" s="42">
        <f t="shared" ca="1" si="91"/>
        <v>28.718363070942317</v>
      </c>
      <c r="AB21" s="44">
        <f t="shared" si="92"/>
        <v>0</v>
      </c>
      <c r="AC21" s="44">
        <f t="shared" si="93"/>
        <v>0</v>
      </c>
      <c r="AD21" s="44">
        <f t="shared" ca="1" si="94"/>
        <v>77.206046460994699</v>
      </c>
      <c r="AE21" s="44">
        <f t="shared" ref="AE21:AG21" si="161">BI77</f>
        <v>0</v>
      </c>
      <c r="AF21" s="64">
        <f t="shared" si="161"/>
        <v>0.35010000000000002</v>
      </c>
      <c r="AG21" s="52">
        <f t="shared" si="161"/>
        <v>0</v>
      </c>
      <c r="AH21" s="54">
        <f t="shared" ca="1" si="96"/>
        <v>28.718363070942317</v>
      </c>
      <c r="AI21" s="54">
        <f t="shared" si="97"/>
        <v>0</v>
      </c>
      <c r="AJ21" s="54">
        <f t="shared" ca="1" si="98"/>
        <v>77.206046460994699</v>
      </c>
      <c r="AK21" s="54">
        <f t="shared" ref="AK21:AL21" si="162">BU77</f>
        <v>0</v>
      </c>
      <c r="AL21" s="53">
        <f t="shared" si="162"/>
        <v>0.35010000000000002</v>
      </c>
      <c r="AM21" s="1"/>
      <c r="AN21" s="703"/>
      <c r="AO21" s="703"/>
      <c r="AP21" s="702"/>
      <c r="AQ21" s="1"/>
      <c r="AR21" s="1"/>
      <c r="AS21" s="1"/>
    </row>
    <row r="22" spans="2:47" ht="15.75">
      <c r="B22" s="10">
        <f t="shared" si="112"/>
        <v>2034</v>
      </c>
      <c r="C22" s="42">
        <f t="shared" ca="1" si="100"/>
        <v>16.224767370284315</v>
      </c>
      <c r="D22" s="44">
        <f t="shared" si="73"/>
        <v>0</v>
      </c>
      <c r="E22" s="44">
        <f t="shared" si="74"/>
        <v>0</v>
      </c>
      <c r="F22" s="44">
        <f t="shared" ca="1" si="101"/>
        <v>92.891617447610813</v>
      </c>
      <c r="G22" s="44">
        <f t="shared" si="75"/>
        <v>0</v>
      </c>
      <c r="H22" s="43">
        <f t="shared" si="76"/>
        <v>0.34636</v>
      </c>
      <c r="I22" s="52">
        <f t="shared" si="77"/>
        <v>0</v>
      </c>
      <c r="J22" s="54">
        <f t="shared" ca="1" si="78"/>
        <v>16.224767370284315</v>
      </c>
      <c r="K22" s="54">
        <f t="shared" si="79"/>
        <v>0</v>
      </c>
      <c r="L22" s="54">
        <f t="shared" ca="1" si="80"/>
        <v>92.891617447610813</v>
      </c>
      <c r="M22" s="54">
        <f t="shared" ref="M22:N22" si="163">Y78</f>
        <v>0</v>
      </c>
      <c r="N22" s="270">
        <f t="shared" si="163"/>
        <v>0.34636</v>
      </c>
      <c r="O22" s="42">
        <f t="shared" ca="1" si="82"/>
        <v>23.820207762168842</v>
      </c>
      <c r="P22" s="44">
        <f t="shared" si="83"/>
        <v>0</v>
      </c>
      <c r="Q22" s="44">
        <f t="shared" si="84"/>
        <v>0</v>
      </c>
      <c r="R22" s="44">
        <f t="shared" ca="1" si="85"/>
        <v>85.291137055726296</v>
      </c>
      <c r="S22" s="44">
        <f t="shared" ref="S22:U22" si="164">AK78</f>
        <v>0</v>
      </c>
      <c r="T22" s="64">
        <f t="shared" si="164"/>
        <v>0.35139999999999999</v>
      </c>
      <c r="U22" s="52">
        <f t="shared" si="164"/>
        <v>0</v>
      </c>
      <c r="V22" s="54">
        <f t="shared" ca="1" si="87"/>
        <v>23.820207762168842</v>
      </c>
      <c r="W22" s="54">
        <f t="shared" si="88"/>
        <v>0</v>
      </c>
      <c r="X22" s="54">
        <f t="shared" ca="1" si="89"/>
        <v>85.291137055726296</v>
      </c>
      <c r="Y22" s="54">
        <f t="shared" ref="Y22:Z22" si="165">AW78</f>
        <v>0</v>
      </c>
      <c r="Z22" s="270">
        <f t="shared" si="165"/>
        <v>0.35139999999999999</v>
      </c>
      <c r="AA22" s="42">
        <f t="shared" ca="1" si="91"/>
        <v>28.567358007096665</v>
      </c>
      <c r="AB22" s="44">
        <f t="shared" si="92"/>
        <v>0</v>
      </c>
      <c r="AC22" s="44">
        <f t="shared" si="93"/>
        <v>0</v>
      </c>
      <c r="AD22" s="44">
        <f t="shared" ca="1" si="94"/>
        <v>80.552086810798457</v>
      </c>
      <c r="AE22" s="44">
        <f t="shared" ref="AE22:AG22" si="166">BI78</f>
        <v>0</v>
      </c>
      <c r="AF22" s="64">
        <f t="shared" si="166"/>
        <v>0.34329999999999999</v>
      </c>
      <c r="AG22" s="52">
        <f t="shared" si="166"/>
        <v>0</v>
      </c>
      <c r="AH22" s="54">
        <f t="shared" ca="1" si="96"/>
        <v>28.567358007096665</v>
      </c>
      <c r="AI22" s="54">
        <f t="shared" si="97"/>
        <v>0</v>
      </c>
      <c r="AJ22" s="54">
        <f t="shared" ca="1" si="98"/>
        <v>80.552086810798457</v>
      </c>
      <c r="AK22" s="54">
        <f t="shared" ref="AK22:AL22" si="167">BU78</f>
        <v>0</v>
      </c>
      <c r="AL22" s="53">
        <f t="shared" si="167"/>
        <v>0.34329999999999999</v>
      </c>
      <c r="AM22" s="1"/>
      <c r="AN22" s="703"/>
      <c r="AO22" s="703"/>
      <c r="AP22" s="702"/>
      <c r="AQ22" s="1"/>
      <c r="AR22" s="1"/>
      <c r="AS22" s="1"/>
    </row>
    <row r="23" spans="2:47" ht="15.75">
      <c r="B23" s="10">
        <f t="shared" si="112"/>
        <v>2035</v>
      </c>
      <c r="C23" s="42">
        <f t="shared" ca="1" si="100"/>
        <v>16.14872388064261</v>
      </c>
      <c r="D23" s="44">
        <f t="shared" si="73"/>
        <v>0</v>
      </c>
      <c r="E23" s="44">
        <f t="shared" si="74"/>
        <v>0</v>
      </c>
      <c r="F23" s="44">
        <f t="shared" ca="1" si="101"/>
        <v>96.252573281789381</v>
      </c>
      <c r="G23" s="44">
        <f t="shared" si="75"/>
        <v>0</v>
      </c>
      <c r="H23" s="43">
        <f t="shared" si="76"/>
        <v>0.34532999999999997</v>
      </c>
      <c r="I23" s="52">
        <f t="shared" si="77"/>
        <v>0</v>
      </c>
      <c r="J23" s="54">
        <f t="shared" ca="1" si="78"/>
        <v>16.14872388064261</v>
      </c>
      <c r="K23" s="54">
        <f t="shared" si="79"/>
        <v>0</v>
      </c>
      <c r="L23" s="54">
        <f t="shared" ca="1" si="80"/>
        <v>96.252573281789381</v>
      </c>
      <c r="M23" s="54">
        <f t="shared" ref="M23:N23" si="168">Y79</f>
        <v>0</v>
      </c>
      <c r="N23" s="270">
        <f t="shared" si="168"/>
        <v>0.34532999999999997</v>
      </c>
      <c r="O23" s="42">
        <f t="shared" ca="1" si="82"/>
        <v>23.698591630175823</v>
      </c>
      <c r="P23" s="44">
        <f t="shared" si="83"/>
        <v>0</v>
      </c>
      <c r="Q23" s="44">
        <f t="shared" si="84"/>
        <v>0</v>
      </c>
      <c r="R23" s="44">
        <f t="shared" ca="1" si="85"/>
        <v>88.701285532256165</v>
      </c>
      <c r="S23" s="44">
        <f t="shared" ref="S23:U23" si="169">AK79</f>
        <v>0</v>
      </c>
      <c r="T23" s="64">
        <f t="shared" si="169"/>
        <v>0.34675</v>
      </c>
      <c r="U23" s="52">
        <f t="shared" si="169"/>
        <v>0</v>
      </c>
      <c r="V23" s="54">
        <f t="shared" ca="1" si="87"/>
        <v>23.698591630175823</v>
      </c>
      <c r="W23" s="54">
        <f t="shared" si="88"/>
        <v>0</v>
      </c>
      <c r="X23" s="54">
        <f t="shared" ca="1" si="89"/>
        <v>88.701285532256165</v>
      </c>
      <c r="Y23" s="54">
        <f t="shared" ref="Y23:Z23" si="170">AW79</f>
        <v>0</v>
      </c>
      <c r="Z23" s="270">
        <f t="shared" si="170"/>
        <v>0.34675</v>
      </c>
      <c r="AA23" s="42">
        <f t="shared" ca="1" si="91"/>
        <v>28.417258973634084</v>
      </c>
      <c r="AB23" s="44">
        <f t="shared" si="92"/>
        <v>0</v>
      </c>
      <c r="AC23" s="44">
        <f t="shared" si="93"/>
        <v>0</v>
      </c>
      <c r="AD23" s="44">
        <f t="shared" ca="1" si="94"/>
        <v>83.985868188797909</v>
      </c>
      <c r="AE23" s="44">
        <f t="shared" ref="AE23:AG23" si="171">BI79</f>
        <v>0</v>
      </c>
      <c r="AF23" s="64">
        <f t="shared" si="171"/>
        <v>0.34350000000000003</v>
      </c>
      <c r="AG23" s="52">
        <f t="shared" si="171"/>
        <v>0</v>
      </c>
      <c r="AH23" s="54">
        <f t="shared" ca="1" si="96"/>
        <v>28.417258973634084</v>
      </c>
      <c r="AI23" s="54">
        <f t="shared" si="97"/>
        <v>0</v>
      </c>
      <c r="AJ23" s="54">
        <f t="shared" ca="1" si="98"/>
        <v>83.985868188797909</v>
      </c>
      <c r="AK23" s="54">
        <f t="shared" ref="AK23:AL23" si="172">BU79</f>
        <v>0</v>
      </c>
      <c r="AL23" s="53">
        <f t="shared" si="172"/>
        <v>0.34350000000000003</v>
      </c>
      <c r="AM23" s="1"/>
      <c r="AN23" s="703"/>
      <c r="AO23" s="703"/>
      <c r="AP23" s="702"/>
      <c r="AQ23" s="1"/>
      <c r="AR23" s="1"/>
      <c r="AS23" s="1"/>
    </row>
    <row r="24" spans="2:47" ht="15.75">
      <c r="B24" s="10">
        <f t="shared" si="112"/>
        <v>2036</v>
      </c>
      <c r="C24" s="42">
        <f t="shared" ca="1" si="100"/>
        <v>16.073136651938754</v>
      </c>
      <c r="D24" s="44">
        <f t="shared" si="73"/>
        <v>0</v>
      </c>
      <c r="E24" s="44">
        <f t="shared" si="74"/>
        <v>0</v>
      </c>
      <c r="F24" s="44">
        <f t="shared" ca="1" si="101"/>
        <v>99.707879325366193</v>
      </c>
      <c r="G24" s="44">
        <f t="shared" si="75"/>
        <v>0</v>
      </c>
      <c r="H24" s="43">
        <f t="shared" si="76"/>
        <v>0.34800999999999999</v>
      </c>
      <c r="I24" s="52">
        <f t="shared" si="77"/>
        <v>0</v>
      </c>
      <c r="J24" s="54">
        <f t="shared" ca="1" si="78"/>
        <v>16.073136651938754</v>
      </c>
      <c r="K24" s="54">
        <f t="shared" si="79"/>
        <v>0</v>
      </c>
      <c r="L24" s="54">
        <f t="shared" ca="1" si="80"/>
        <v>99.707879325366193</v>
      </c>
      <c r="M24" s="54">
        <f t="shared" ref="M24:N24" si="173">Y80</f>
        <v>0</v>
      </c>
      <c r="N24" s="270">
        <f t="shared" si="173"/>
        <v>0.34800999999999999</v>
      </c>
      <c r="O24" s="42">
        <f t="shared" ca="1" si="82"/>
        <v>23.577705194974772</v>
      </c>
      <c r="P24" s="44">
        <f t="shared" si="83"/>
        <v>0</v>
      </c>
      <c r="Q24" s="44">
        <f t="shared" si="84"/>
        <v>0</v>
      </c>
      <c r="R24" s="44">
        <f t="shared" ca="1" si="85"/>
        <v>92.201730782330188</v>
      </c>
      <c r="S24" s="44">
        <f t="shared" ref="S24:U24" si="174">AK80</f>
        <v>0</v>
      </c>
      <c r="T24" s="64">
        <f t="shared" si="174"/>
        <v>0.34959000000000001</v>
      </c>
      <c r="U24" s="52">
        <f t="shared" si="174"/>
        <v>0</v>
      </c>
      <c r="V24" s="54">
        <f t="shared" ca="1" si="87"/>
        <v>23.577705194974772</v>
      </c>
      <c r="W24" s="54">
        <f t="shared" si="88"/>
        <v>0</v>
      </c>
      <c r="X24" s="54">
        <f t="shared" ca="1" si="89"/>
        <v>92.201730782330188</v>
      </c>
      <c r="Y24" s="54">
        <f t="shared" ref="Y24:Z24" si="175">AW80</f>
        <v>0</v>
      </c>
      <c r="Z24" s="270">
        <f t="shared" si="175"/>
        <v>0.34959000000000001</v>
      </c>
      <c r="AA24" s="42">
        <f t="shared" ca="1" si="91"/>
        <v>28.268060534372282</v>
      </c>
      <c r="AB24" s="44">
        <f t="shared" si="92"/>
        <v>0</v>
      </c>
      <c r="AC24" s="44">
        <f t="shared" si="93"/>
        <v>0</v>
      </c>
      <c r="AD24" s="44">
        <f t="shared" ca="1" si="94"/>
        <v>87.513865442932669</v>
      </c>
      <c r="AE24" s="44">
        <f t="shared" ref="AE24:AG24" si="176">BI80</f>
        <v>0</v>
      </c>
      <c r="AF24" s="64">
        <f t="shared" si="176"/>
        <v>0.34710000000000002</v>
      </c>
      <c r="AG24" s="52">
        <f t="shared" si="176"/>
        <v>0</v>
      </c>
      <c r="AH24" s="54">
        <f t="shared" ca="1" si="96"/>
        <v>28.268060534372282</v>
      </c>
      <c r="AI24" s="54">
        <f t="shared" si="97"/>
        <v>0</v>
      </c>
      <c r="AJ24" s="54">
        <f t="shared" ca="1" si="98"/>
        <v>87.513865442932669</v>
      </c>
      <c r="AK24" s="54">
        <f t="shared" ref="AK24:AL24" si="177">BU80</f>
        <v>0</v>
      </c>
      <c r="AL24" s="53">
        <f t="shared" si="177"/>
        <v>0.34710000000000002</v>
      </c>
      <c r="AM24" s="1"/>
      <c r="AN24" s="703"/>
      <c r="AO24" s="703"/>
      <c r="AP24" s="702"/>
      <c r="AQ24" s="1"/>
      <c r="AR24" s="1"/>
      <c r="AS24" s="1"/>
    </row>
    <row r="25" spans="2:47" ht="15.75">
      <c r="B25" s="10">
        <f t="shared" si="112"/>
        <v>2037</v>
      </c>
      <c r="C25" s="42">
        <f t="shared" ca="1" si="100"/>
        <v>15.998002946607123</v>
      </c>
      <c r="D25" s="44">
        <f t="shared" si="73"/>
        <v>0</v>
      </c>
      <c r="E25" s="44">
        <f t="shared" si="74"/>
        <v>0</v>
      </c>
      <c r="F25" s="44">
        <f t="shared" ca="1" si="101"/>
        <v>103.26668381001697</v>
      </c>
      <c r="G25" s="44">
        <f t="shared" si="75"/>
        <v>0</v>
      </c>
      <c r="H25" s="43">
        <f t="shared" si="76"/>
        <v>0.34821000000000002</v>
      </c>
      <c r="I25" s="52">
        <f t="shared" si="77"/>
        <v>0</v>
      </c>
      <c r="J25" s="54">
        <f t="shared" ca="1" si="78"/>
        <v>15.998002946607123</v>
      </c>
      <c r="K25" s="54">
        <f t="shared" si="79"/>
        <v>0</v>
      </c>
      <c r="L25" s="54">
        <f t="shared" ca="1" si="80"/>
        <v>103.26668381001697</v>
      </c>
      <c r="M25" s="54">
        <f t="shared" ref="M25:N25" si="178">Y81</f>
        <v>0</v>
      </c>
      <c r="N25" s="270">
        <f t="shared" si="178"/>
        <v>0.34821000000000002</v>
      </c>
      <c r="O25" s="42">
        <f t="shared" ca="1" si="82"/>
        <v>23.45754407838492</v>
      </c>
      <c r="P25" s="44">
        <f t="shared" si="83"/>
        <v>0</v>
      </c>
      <c r="Q25" s="44">
        <f t="shared" si="84"/>
        <v>0</v>
      </c>
      <c r="R25" s="44">
        <f t="shared" ca="1" si="85"/>
        <v>95.803102678239185</v>
      </c>
      <c r="S25" s="44">
        <f t="shared" ref="S25:U25" si="179">AK81</f>
        <v>0</v>
      </c>
      <c r="T25" s="64">
        <f t="shared" si="179"/>
        <v>0.35224999999999995</v>
      </c>
      <c r="U25" s="52">
        <f t="shared" si="179"/>
        <v>0</v>
      </c>
      <c r="V25" s="54">
        <f t="shared" ca="1" si="87"/>
        <v>23.45754407838492</v>
      </c>
      <c r="W25" s="54">
        <f t="shared" si="88"/>
        <v>0</v>
      </c>
      <c r="X25" s="54">
        <f t="shared" ca="1" si="89"/>
        <v>95.803102678239185</v>
      </c>
      <c r="Y25" s="54">
        <f t="shared" ref="Y25:Z25" si="180">AW81</f>
        <v>0</v>
      </c>
      <c r="Z25" s="270">
        <f t="shared" si="180"/>
        <v>0.35224999999999995</v>
      </c>
      <c r="AA25" s="42">
        <f t="shared" ca="1" si="91"/>
        <v>28.119757285746044</v>
      </c>
      <c r="AB25" s="44">
        <f t="shared" si="92"/>
        <v>0</v>
      </c>
      <c r="AC25" s="44">
        <f t="shared" si="93"/>
        <v>0</v>
      </c>
      <c r="AD25" s="44">
        <f t="shared" ca="1" si="94"/>
        <v>91.147239470878048</v>
      </c>
      <c r="AE25" s="44">
        <f t="shared" ref="AE25:AG25" si="181">BI81</f>
        <v>0</v>
      </c>
      <c r="AF25" s="64">
        <f t="shared" si="181"/>
        <v>0.34590000000000004</v>
      </c>
      <c r="AG25" s="52">
        <f t="shared" si="181"/>
        <v>0</v>
      </c>
      <c r="AH25" s="54">
        <f t="shared" ca="1" si="96"/>
        <v>28.119757285746044</v>
      </c>
      <c r="AI25" s="54">
        <f t="shared" si="97"/>
        <v>0</v>
      </c>
      <c r="AJ25" s="54">
        <f t="shared" ca="1" si="98"/>
        <v>91.147239470878048</v>
      </c>
      <c r="AK25" s="54">
        <f t="shared" ref="AK25:AL25" si="182">BU81</f>
        <v>0</v>
      </c>
      <c r="AL25" s="53">
        <f t="shared" si="182"/>
        <v>0.34590000000000004</v>
      </c>
      <c r="AM25" s="1"/>
      <c r="AN25" s="703"/>
      <c r="AO25" s="703"/>
      <c r="AP25" s="702"/>
      <c r="AQ25" s="1"/>
      <c r="AR25" s="1"/>
      <c r="AS25" s="1"/>
    </row>
    <row r="26" spans="2:47" ht="15.75">
      <c r="B26" s="10">
        <f t="shared" si="112"/>
        <v>2038</v>
      </c>
      <c r="C26" s="42">
        <f t="shared" ca="1" si="100"/>
        <v>15.923320043507477</v>
      </c>
      <c r="D26" s="44">
        <f t="shared" si="73"/>
        <v>0</v>
      </c>
      <c r="E26" s="44">
        <f t="shared" si="74"/>
        <v>0</v>
      </c>
      <c r="F26" s="44">
        <f t="shared" ca="1" si="101"/>
        <v>106.93522361581535</v>
      </c>
      <c r="G26" s="44">
        <f t="shared" si="75"/>
        <v>0</v>
      </c>
      <c r="H26" s="43">
        <f t="shared" si="76"/>
        <v>0.34274000000000004</v>
      </c>
      <c r="I26" s="52">
        <f t="shared" si="77"/>
        <v>0</v>
      </c>
      <c r="J26" s="54">
        <f t="shared" ca="1" si="78"/>
        <v>15.923320043507477</v>
      </c>
      <c r="K26" s="54">
        <f t="shared" si="79"/>
        <v>0</v>
      </c>
      <c r="L26" s="54">
        <f t="shared" ca="1" si="80"/>
        <v>106.93522361581535</v>
      </c>
      <c r="M26" s="54">
        <f t="shared" ref="M26:N26" si="183">Y82</f>
        <v>0</v>
      </c>
      <c r="N26" s="270">
        <f t="shared" si="183"/>
        <v>0.34274000000000004</v>
      </c>
      <c r="O26" s="42">
        <f t="shared" ca="1" si="82"/>
        <v>23.338103928494608</v>
      </c>
      <c r="P26" s="44">
        <f t="shared" si="83"/>
        <v>0</v>
      </c>
      <c r="Q26" s="44">
        <f t="shared" si="84"/>
        <v>0</v>
      </c>
      <c r="R26" s="44">
        <f t="shared" ca="1" si="85"/>
        <v>99.516539730828228</v>
      </c>
      <c r="S26" s="44">
        <f t="shared" ref="S26:U26" si="184">AK82</f>
        <v>0</v>
      </c>
      <c r="T26" s="64">
        <f t="shared" si="184"/>
        <v>0.34664000000000006</v>
      </c>
      <c r="U26" s="52">
        <f t="shared" si="184"/>
        <v>0</v>
      </c>
      <c r="V26" s="54">
        <f t="shared" ca="1" si="87"/>
        <v>23.338103928494608</v>
      </c>
      <c r="W26" s="54">
        <f t="shared" si="88"/>
        <v>0</v>
      </c>
      <c r="X26" s="54">
        <f t="shared" ca="1" si="89"/>
        <v>99.516539730828228</v>
      </c>
      <c r="Y26" s="54">
        <f t="shared" ref="Y26:Z26" si="185">AW82</f>
        <v>0</v>
      </c>
      <c r="Z26" s="270">
        <f t="shared" si="185"/>
        <v>0.34664000000000006</v>
      </c>
      <c r="AA26" s="42">
        <f t="shared" ca="1" si="91"/>
        <v>27.972343856611573</v>
      </c>
      <c r="AB26" s="44">
        <f t="shared" si="92"/>
        <v>0</v>
      </c>
      <c r="AC26" s="44">
        <f t="shared" si="93"/>
        <v>0</v>
      </c>
      <c r="AD26" s="44">
        <f t="shared" ca="1" si="94"/>
        <v>94.887739802711252</v>
      </c>
      <c r="AE26" s="44">
        <f t="shared" ref="AE26:AG26" si="186">BI82</f>
        <v>0</v>
      </c>
      <c r="AF26" s="64">
        <f t="shared" si="186"/>
        <v>0.3412</v>
      </c>
      <c r="AG26" s="52">
        <f t="shared" si="186"/>
        <v>0</v>
      </c>
      <c r="AH26" s="54">
        <f t="shared" ca="1" si="96"/>
        <v>27.972343856611573</v>
      </c>
      <c r="AI26" s="54">
        <f t="shared" si="97"/>
        <v>0</v>
      </c>
      <c r="AJ26" s="54">
        <f t="shared" ca="1" si="98"/>
        <v>94.887739802711252</v>
      </c>
      <c r="AK26" s="54">
        <f t="shared" ref="AK26:AL26" si="187">BU82</f>
        <v>0</v>
      </c>
      <c r="AL26" s="53">
        <f t="shared" si="187"/>
        <v>0.3412</v>
      </c>
      <c r="AM26" s="1"/>
      <c r="AN26" s="703"/>
      <c r="AO26" s="703"/>
      <c r="AP26" s="702"/>
      <c r="AQ26" s="1"/>
      <c r="AR26" s="1"/>
      <c r="AS26" s="1"/>
    </row>
    <row r="27" spans="2:47" ht="15.75">
      <c r="B27" s="10">
        <f t="shared" si="112"/>
        <v>2039</v>
      </c>
      <c r="C27" s="42">
        <f t="shared" ca="1" si="100"/>
        <v>15.849085237826428</v>
      </c>
      <c r="D27" s="44">
        <f t="shared" si="73"/>
        <v>0</v>
      </c>
      <c r="E27" s="44">
        <f t="shared" si="74"/>
        <v>0</v>
      </c>
      <c r="F27" s="44">
        <f t="shared" ca="1" si="101"/>
        <v>110.70249693127607</v>
      </c>
      <c r="G27" s="44">
        <f t="shared" si="75"/>
        <v>0</v>
      </c>
      <c r="H27" s="43">
        <f t="shared" si="76"/>
        <v>0.34573999999999999</v>
      </c>
      <c r="I27" s="52">
        <f t="shared" si="77"/>
        <v>0</v>
      </c>
      <c r="J27" s="54">
        <f t="shared" ca="1" si="78"/>
        <v>15.849085237826428</v>
      </c>
      <c r="K27" s="54">
        <f t="shared" si="79"/>
        <v>0</v>
      </c>
      <c r="L27" s="54">
        <f t="shared" ca="1" si="80"/>
        <v>110.70249693127607</v>
      </c>
      <c r="M27" s="54">
        <f t="shared" ref="M27:N27" si="188">Y83</f>
        <v>0</v>
      </c>
      <c r="N27" s="270">
        <f t="shared" si="188"/>
        <v>0.34573999999999999</v>
      </c>
      <c r="O27" s="42">
        <f t="shared" ca="1" si="82"/>
        <v>23.219380419503644</v>
      </c>
      <c r="P27" s="44">
        <f t="shared" si="83"/>
        <v>0</v>
      </c>
      <c r="Q27" s="44">
        <f t="shared" si="84"/>
        <v>0</v>
      </c>
      <c r="R27" s="44">
        <f t="shared" ca="1" si="85"/>
        <v>103.32556174959888</v>
      </c>
      <c r="S27" s="44">
        <f t="shared" ref="S27:U27" si="189">AK83</f>
        <v>0</v>
      </c>
      <c r="T27" s="64">
        <f t="shared" si="189"/>
        <v>0.35238000000000003</v>
      </c>
      <c r="U27" s="52">
        <f t="shared" si="189"/>
        <v>0</v>
      </c>
      <c r="V27" s="54">
        <f t="shared" ca="1" si="87"/>
        <v>23.219380419503644</v>
      </c>
      <c r="W27" s="54">
        <f t="shared" si="88"/>
        <v>0</v>
      </c>
      <c r="X27" s="54">
        <f t="shared" ca="1" si="89"/>
        <v>103.32556174959888</v>
      </c>
      <c r="Y27" s="54">
        <f t="shared" ref="Y27:Z27" si="190">AW83</f>
        <v>0</v>
      </c>
      <c r="Z27" s="270">
        <f t="shared" si="190"/>
        <v>0.35238000000000003</v>
      </c>
      <c r="AA27" s="42">
        <f t="shared" ca="1" si="91"/>
        <v>27.8258149080519</v>
      </c>
      <c r="AB27" s="44">
        <f t="shared" si="92"/>
        <v>0</v>
      </c>
      <c r="AC27" s="44">
        <f t="shared" si="93"/>
        <v>0</v>
      </c>
      <c r="AD27" s="44">
        <f t="shared" ca="1" si="94"/>
        <v>98.72810726105061</v>
      </c>
      <c r="AE27" s="44">
        <f t="shared" ref="AE27:AG27" si="191">BI83</f>
        <v>0</v>
      </c>
      <c r="AF27" s="64">
        <f t="shared" si="191"/>
        <v>0.34340000000000004</v>
      </c>
      <c r="AG27" s="52">
        <f t="shared" si="191"/>
        <v>0</v>
      </c>
      <c r="AH27" s="54">
        <f t="shared" ca="1" si="96"/>
        <v>27.8258149080519</v>
      </c>
      <c r="AI27" s="54">
        <f t="shared" si="97"/>
        <v>0</v>
      </c>
      <c r="AJ27" s="54">
        <f t="shared" ca="1" si="98"/>
        <v>98.72810726105061</v>
      </c>
      <c r="AK27" s="54">
        <f t="shared" ref="AK27:AL27" si="192">BU83</f>
        <v>0</v>
      </c>
      <c r="AL27" s="53">
        <f t="shared" si="192"/>
        <v>0.34340000000000004</v>
      </c>
      <c r="AM27" s="1"/>
      <c r="AN27" s="703"/>
      <c r="AO27" s="703"/>
      <c r="AP27" s="702"/>
      <c r="AQ27" s="1"/>
      <c r="AR27" s="1"/>
      <c r="AS27" s="1"/>
    </row>
    <row r="28" spans="2:47" ht="16.5" thickBot="1">
      <c r="B28" s="11">
        <f t="shared" si="112"/>
        <v>2040</v>
      </c>
      <c r="C28" s="45">
        <f t="shared" ca="1" si="100"/>
        <v>15.775295840979471</v>
      </c>
      <c r="D28" s="47">
        <f t="shared" si="73"/>
        <v>0</v>
      </c>
      <c r="E28" s="47">
        <f t="shared" si="74"/>
        <v>0</v>
      </c>
      <c r="F28" s="47">
        <f t="shared" ca="1" si="101"/>
        <v>114.5811859931961</v>
      </c>
      <c r="G28" s="47">
        <f t="shared" si="75"/>
        <v>0</v>
      </c>
      <c r="H28" s="46">
        <f t="shared" si="76"/>
        <v>0.34776000000000001</v>
      </c>
      <c r="I28" s="55">
        <f t="shared" si="77"/>
        <v>0</v>
      </c>
      <c r="J28" s="57">
        <f t="shared" ca="1" si="78"/>
        <v>15.775295840979471</v>
      </c>
      <c r="K28" s="57">
        <f t="shared" si="79"/>
        <v>0</v>
      </c>
      <c r="L28" s="57">
        <f t="shared" ca="1" si="80"/>
        <v>114.5811859931961</v>
      </c>
      <c r="M28" s="57">
        <f t="shared" ref="M28:N28" si="193">Y84</f>
        <v>0</v>
      </c>
      <c r="N28" s="652">
        <f t="shared" si="193"/>
        <v>0.34776000000000001</v>
      </c>
      <c r="O28" s="45">
        <f t="shared" ca="1" si="82"/>
        <v>23.10136925156662</v>
      </c>
      <c r="P28" s="47">
        <f t="shared" si="83"/>
        <v>0</v>
      </c>
      <c r="Q28" s="47">
        <f t="shared" si="84"/>
        <v>0</v>
      </c>
      <c r="R28" s="47">
        <f t="shared" ca="1" si="85"/>
        <v>107.25181258260896</v>
      </c>
      <c r="S28" s="47">
        <f t="shared" ref="S28:U28" si="194">AK84</f>
        <v>0</v>
      </c>
      <c r="T28" s="558">
        <f t="shared" si="194"/>
        <v>0.35105999999999998</v>
      </c>
      <c r="U28" s="55">
        <f t="shared" si="194"/>
        <v>0</v>
      </c>
      <c r="V28" s="57">
        <f t="shared" ca="1" si="87"/>
        <v>23.10136925156662</v>
      </c>
      <c r="W28" s="57">
        <f t="shared" si="88"/>
        <v>0</v>
      </c>
      <c r="X28" s="57">
        <f t="shared" ca="1" si="89"/>
        <v>107.25181258260896</v>
      </c>
      <c r="Y28" s="57">
        <f t="shared" ref="Y28:Z28" si="195">AW84</f>
        <v>0</v>
      </c>
      <c r="Z28" s="652">
        <f t="shared" si="195"/>
        <v>0.35105999999999998</v>
      </c>
      <c r="AA28" s="45">
        <f t="shared" ca="1" si="91"/>
        <v>27.680165133183586</v>
      </c>
      <c r="AB28" s="47">
        <f t="shared" si="92"/>
        <v>0</v>
      </c>
      <c r="AC28" s="47">
        <f t="shared" si="93"/>
        <v>0</v>
      </c>
      <c r="AD28" s="47">
        <f t="shared" ca="1" si="94"/>
        <v>102.678776700992</v>
      </c>
      <c r="AE28" s="47">
        <f t="shared" ref="AE28:AG28" si="196">BI84</f>
        <v>0</v>
      </c>
      <c r="AF28" s="558">
        <f t="shared" si="196"/>
        <v>0.3453</v>
      </c>
      <c r="AG28" s="55">
        <f t="shared" si="196"/>
        <v>0</v>
      </c>
      <c r="AH28" s="57">
        <f t="shared" ca="1" si="96"/>
        <v>27.680165133183586</v>
      </c>
      <c r="AI28" s="57">
        <f t="shared" si="97"/>
        <v>0</v>
      </c>
      <c r="AJ28" s="57">
        <f t="shared" ca="1" si="98"/>
        <v>102.678776700992</v>
      </c>
      <c r="AK28" s="57">
        <f t="shared" ref="AK28:AL28" si="197">BU84</f>
        <v>0</v>
      </c>
      <c r="AL28" s="56">
        <f t="shared" si="197"/>
        <v>0.3453</v>
      </c>
      <c r="AM28" s="1"/>
      <c r="AN28" s="703"/>
      <c r="AO28" s="703"/>
      <c r="AP28" s="702"/>
      <c r="AQ28" s="1"/>
      <c r="AR28" s="1"/>
      <c r="AS28" s="1"/>
    </row>
    <row r="29" spans="2:47" ht="16.5" thickBot="1">
      <c r="B29" s="7" t="s">
        <v>282</v>
      </c>
      <c r="C29" s="65">
        <f t="shared" ref="C29:H29" ca="1" si="198">SUM(C8:C28)</f>
        <v>287.16957381706652</v>
      </c>
      <c r="D29" s="65">
        <f t="shared" si="198"/>
        <v>0</v>
      </c>
      <c r="E29" s="65">
        <f t="shared" si="198"/>
        <v>0</v>
      </c>
      <c r="F29" s="65">
        <f t="shared" ca="1" si="198"/>
        <v>1715.3221034896276</v>
      </c>
      <c r="G29" s="65">
        <f t="shared" si="198"/>
        <v>74.708280000000002</v>
      </c>
      <c r="H29" s="65">
        <f t="shared" si="198"/>
        <v>7.3293399999999993</v>
      </c>
      <c r="I29" s="76">
        <f>SUM(I8:I28)</f>
        <v>0</v>
      </c>
      <c r="J29" s="76">
        <f t="shared" ref="J29:M29" ca="1" si="199">SUM(J8:J28)</f>
        <v>287.16957381706652</v>
      </c>
      <c r="K29" s="76">
        <f t="shared" si="199"/>
        <v>0</v>
      </c>
      <c r="L29" s="76">
        <f t="shared" ca="1" si="199"/>
        <v>1715.3221034896276</v>
      </c>
      <c r="M29" s="76">
        <f t="shared" si="199"/>
        <v>74.708280000000002</v>
      </c>
      <c r="N29" s="76">
        <f t="shared" ref="N29:Z29" si="200">SUM(N8:N28)</f>
        <v>7.3293399999999993</v>
      </c>
      <c r="O29" s="65">
        <f t="shared" ca="1" si="200"/>
        <v>404.06096732046296</v>
      </c>
      <c r="P29" s="65">
        <f t="shared" si="200"/>
        <v>0</v>
      </c>
      <c r="Q29" s="65">
        <f t="shared" si="200"/>
        <v>0</v>
      </c>
      <c r="R29" s="65">
        <f t="shared" ca="1" si="200"/>
        <v>1598.432049986231</v>
      </c>
      <c r="S29" s="65">
        <f t="shared" si="200"/>
        <v>74.678529999999995</v>
      </c>
      <c r="T29" s="65">
        <f t="shared" si="200"/>
        <v>7.3577499999999993</v>
      </c>
      <c r="U29" s="76">
        <f t="shared" si="200"/>
        <v>0</v>
      </c>
      <c r="V29" s="76">
        <f t="shared" ca="1" si="200"/>
        <v>404.06096732046296</v>
      </c>
      <c r="W29" s="76">
        <f t="shared" si="200"/>
        <v>0</v>
      </c>
      <c r="X29" s="76">
        <f t="shared" ca="1" si="200"/>
        <v>1598.432049986231</v>
      </c>
      <c r="Y29" s="76">
        <f t="shared" si="200"/>
        <v>74.678529999999995</v>
      </c>
      <c r="Z29" s="76">
        <f t="shared" si="200"/>
        <v>7.3577499999999993</v>
      </c>
      <c r="AA29" s="65">
        <f t="shared" ref="AA29:AD29" ca="1" si="201">SUM(AA8:AA28)</f>
        <v>475.33153724258591</v>
      </c>
      <c r="AB29" s="65">
        <f t="shared" si="201"/>
        <v>0</v>
      </c>
      <c r="AC29" s="65">
        <f t="shared" ref="AC29" si="202">SUM(AC8:AC28)</f>
        <v>0</v>
      </c>
      <c r="AD29" s="65">
        <f t="shared" ca="1" si="201"/>
        <v>1527.2248900641084</v>
      </c>
      <c r="AE29" s="65">
        <f t="shared" ref="AE29:AF29" si="203">SUM(AE8:AE28)</f>
        <v>74.668329999999997</v>
      </c>
      <c r="AF29" s="65">
        <f t="shared" si="203"/>
        <v>7.3045400000000003</v>
      </c>
      <c r="AG29" s="76">
        <f>SUM(AG8:AG28)</f>
        <v>0</v>
      </c>
      <c r="AH29" s="76">
        <f t="shared" ref="AH29:AL29" ca="1" si="204">SUM(AH8:AH28)</f>
        <v>475.33153724258591</v>
      </c>
      <c r="AI29" s="76">
        <f t="shared" si="204"/>
        <v>0</v>
      </c>
      <c r="AJ29" s="76">
        <f t="shared" ca="1" si="204"/>
        <v>1527.2248900641084</v>
      </c>
      <c r="AK29" s="76">
        <f t="shared" si="204"/>
        <v>74.668329999999997</v>
      </c>
      <c r="AL29" s="76">
        <f t="shared" si="204"/>
        <v>7.3045400000000003</v>
      </c>
      <c r="AM29" s="1"/>
      <c r="AN29" s="1"/>
      <c r="AO29" s="1"/>
      <c r="AP29" s="1"/>
      <c r="AQ29" s="1"/>
      <c r="AR29" s="1"/>
      <c r="AS29" s="1"/>
    </row>
    <row r="30" spans="2:47" ht="16.5" thickBot="1">
      <c r="B30" s="7" t="s">
        <v>283</v>
      </c>
      <c r="C30" s="318">
        <f ca="1">SUMIFS(C8:C28,$B$8:$B$28,"&gt;="&amp;'הנחות עבודה'!$C$6,$B$8:$B$28,"&lt;="&amp;'הנחות עבודה'!$C$7)</f>
        <v>287.16957381706652</v>
      </c>
      <c r="D30" s="65">
        <f>SUMIFS(D8:D28,$B$8:$B$28,"&gt;="&amp;'הנחות עבודה'!$C$6,$B$8:$B$28,"&lt;="&amp;'הנחות עבודה'!$C$7)</f>
        <v>0</v>
      </c>
      <c r="E30" s="65">
        <f>SUMIFS(E8:E28,$B$8:$B$28,"&gt;="&amp;'הנחות עבודה'!$C$6,$B$8:$B$28,"&lt;="&amp;'הנחות עבודה'!$C$7)</f>
        <v>0</v>
      </c>
      <c r="F30" s="65">
        <f ca="1">SUMIFS(F8:F28,$B$8:$B$28,"&gt;="&amp;'הנחות עבודה'!$C$6,$B$8:$B$28,"&lt;="&amp;'הנחות עבודה'!$C$7)</f>
        <v>1715.3221034896276</v>
      </c>
      <c r="G30" s="65">
        <f>SUMIFS(G8:G28,$B$8:$B$28,"&gt;="&amp;'הנחות עבודה'!$C$6,$B$8:$B$28,"&lt;="&amp;'הנחות עבודה'!$C$7)</f>
        <v>74.708280000000002</v>
      </c>
      <c r="H30" s="65">
        <f>SUMIFS(H8:H28,$B$8:$B$28,"&gt;="&amp;'הנחות עבודה'!$C$6,$B$8:$B$28,"&lt;="&amp;'הנחות עבודה'!$C$7)</f>
        <v>7.3293399999999993</v>
      </c>
      <c r="I30" s="76">
        <f>SUMIFS(I8:I28,$B$8:$B$28,"&gt;="&amp;'הנחות עבודה'!$C$6,$B$8:$B$28,"&lt;="&amp;'הנחות עבודה'!$C$7)</f>
        <v>0</v>
      </c>
      <c r="J30" s="76">
        <f ca="1">SUMIFS(J8:J28,$B$8:$B$28,"&gt;="&amp;'הנחות עבודה'!$C$6,$B$8:$B$28,"&lt;="&amp;'הנחות עבודה'!$C$7)</f>
        <v>287.16957381706652</v>
      </c>
      <c r="K30" s="76">
        <f>SUMIFS(K8:K28,$B$8:$B$28,"&gt;="&amp;'הנחות עבודה'!$C$6,$B$8:$B$28,"&lt;="&amp;'הנחות עבודה'!$C$7)</f>
        <v>0</v>
      </c>
      <c r="L30" s="76">
        <f ca="1">SUMIFS(L8:L28,$B$8:$B$28,"&gt;="&amp;'הנחות עבודה'!$C$6,$B$8:$B$28,"&lt;="&amp;'הנחות עבודה'!$C$7)</f>
        <v>1715.3221034896276</v>
      </c>
      <c r="M30" s="76">
        <f>SUMIFS(M8:M28,$B$8:$B$28,"&gt;="&amp;'הנחות עבודה'!$C$6,$B$8:$B$28,"&lt;="&amp;'הנחות עבודה'!$C$7)</f>
        <v>74.708280000000002</v>
      </c>
      <c r="N30" s="76">
        <f>SUMIFS(N8:N28,$B$8:$B$28,"&gt;="&amp;'הנחות עבודה'!$C$6,$B$8:$B$28,"&lt;="&amp;'הנחות עבודה'!$C$7)</f>
        <v>7.3293399999999993</v>
      </c>
      <c r="O30" s="318">
        <f ca="1">SUMIFS(O8:O28,$B$8:$B$28,"&gt;="&amp;'הנחות עבודה'!$C$6,$B$8:$B$28,"&lt;="&amp;'הנחות עבודה'!$C$7)</f>
        <v>404.06096732046296</v>
      </c>
      <c r="P30" s="65">
        <f>SUMIFS(P8:P28,$B$8:$B$28,"&gt;="&amp;'הנחות עבודה'!$C$6,$B$8:$B$28,"&lt;="&amp;'הנחות עבודה'!$C$7)</f>
        <v>0</v>
      </c>
      <c r="Q30" s="65">
        <f>SUMIFS(Q8:Q28,$B$8:$B$28,"&gt;="&amp;'הנחות עבודה'!$C$6,$B$8:$B$28,"&lt;="&amp;'הנחות עבודה'!$C$7)</f>
        <v>0</v>
      </c>
      <c r="R30" s="65">
        <f ca="1">SUMIFS(R8:R28,$B$8:$B$28,"&gt;="&amp;'הנחות עבודה'!$C$6,$B$8:$B$28,"&lt;="&amp;'הנחות עבודה'!$C$7)</f>
        <v>1598.432049986231</v>
      </c>
      <c r="S30" s="65">
        <f>SUMIFS(S8:S28,$B$8:$B$28,"&gt;="&amp;'הנחות עבודה'!$C$6,$B$8:$B$28,"&lt;="&amp;'הנחות עבודה'!$C$7)</f>
        <v>74.678529999999995</v>
      </c>
      <c r="T30" s="65">
        <f>SUMIFS(T8:T28,$B$8:$B$28,"&gt;="&amp;'הנחות עבודה'!$C$6,$B$8:$B$28,"&lt;="&amp;'הנחות עבודה'!$C$7)</f>
        <v>7.3577499999999993</v>
      </c>
      <c r="U30" s="76">
        <f>SUMIFS(U8:U28,$B$8:$B$28,"&gt;="&amp;'הנחות עבודה'!$C$6,$B$8:$B$28,"&lt;="&amp;'הנחות עבודה'!$C$7)</f>
        <v>0</v>
      </c>
      <c r="V30" s="76">
        <f ca="1">SUMIFS(V8:V28,$B$8:$B$28,"&gt;="&amp;'הנחות עבודה'!$C$6,$B$8:$B$28,"&lt;="&amp;'הנחות עבודה'!$C$7)</f>
        <v>404.06096732046296</v>
      </c>
      <c r="W30" s="76">
        <f>SUMIFS(W8:W28,$B$8:$B$28,"&gt;="&amp;'הנחות עבודה'!$C$6,$B$8:$B$28,"&lt;="&amp;'הנחות עבודה'!$C$7)</f>
        <v>0</v>
      </c>
      <c r="X30" s="76">
        <f ca="1">SUMIFS(X8:X28,$B$8:$B$28,"&gt;="&amp;'הנחות עבודה'!$C$6,$B$8:$B$28,"&lt;="&amp;'הנחות עבודה'!$C$7)</f>
        <v>1598.432049986231</v>
      </c>
      <c r="Y30" s="76">
        <f>SUMIFS(Y8:Y28,$B$8:$B$28,"&gt;="&amp;'הנחות עבודה'!$C$6,$B$8:$B$28,"&lt;="&amp;'הנחות עבודה'!$C$7)</f>
        <v>74.678529999999995</v>
      </c>
      <c r="Z30" s="76">
        <f>SUMIFS(Z8:Z28,$B$8:$B$28,"&gt;="&amp;'הנחות עבודה'!$C$6,$B$8:$B$28,"&lt;="&amp;'הנחות עבודה'!$C$7)</f>
        <v>7.3577499999999993</v>
      </c>
      <c r="AA30" s="65">
        <f ca="1">SUMIFS(AA8:AA28,$B$8:$B$28,"&gt;="&amp;'הנחות עבודה'!$C$6,$B$8:$B$28,"&lt;="&amp;'הנחות עבודה'!$C$7)</f>
        <v>475.33153724258591</v>
      </c>
      <c r="AB30" s="65">
        <f>SUMIFS(AB8:AB28,$B$8:$B$28,"&gt;="&amp;'הנחות עבודה'!$C$6,$B$8:$B$28,"&lt;="&amp;'הנחות עבודה'!$C$7)</f>
        <v>0</v>
      </c>
      <c r="AC30" s="65">
        <f>SUMIFS(AC8:AC28,$B$8:$B$28,"&gt;="&amp;'הנחות עבודה'!$C$6,$B$8:$B$28,"&lt;="&amp;'הנחות עבודה'!$C$7)</f>
        <v>0</v>
      </c>
      <c r="AD30" s="65">
        <f ca="1">SUMIFS(AD8:AD28,$B$8:$B$28,"&gt;="&amp;'הנחות עבודה'!$C$6,$B$8:$B$28,"&lt;="&amp;'הנחות עבודה'!$C$7)</f>
        <v>1527.2248900641084</v>
      </c>
      <c r="AE30" s="65">
        <f>SUMIFS(AE8:AE28,$B$8:$B$28,"&gt;="&amp;'הנחות עבודה'!$C$6,$B$8:$B$28,"&lt;="&amp;'הנחות עבודה'!$C$7)</f>
        <v>74.668329999999997</v>
      </c>
      <c r="AF30" s="65">
        <f>SUMIFS(AF8:AF28,$B$8:$B$28,"&gt;="&amp;'הנחות עבודה'!$C$6,$B$8:$B$28,"&lt;="&amp;'הנחות עבודה'!$C$7)</f>
        <v>7.3045400000000003</v>
      </c>
      <c r="AG30" s="76">
        <f>SUMIFS(AG8:AG28,$B$8:$B$28,"&gt;="&amp;'הנחות עבודה'!$C$6,$B$8:$B$28,"&lt;="&amp;'הנחות עבודה'!$C$7)</f>
        <v>0</v>
      </c>
      <c r="AH30" s="76">
        <f ca="1">SUMIFS(AH8:AH28,$B$8:$B$28,"&gt;="&amp;'הנחות עבודה'!$C$6,$B$8:$B$28,"&lt;="&amp;'הנחות עבודה'!$C$7)</f>
        <v>475.33153724258591</v>
      </c>
      <c r="AI30" s="76">
        <f>SUMIFS(AI8:AI28,$B$8:$B$28,"&gt;="&amp;'הנחות עבודה'!$C$6,$B$8:$B$28,"&lt;="&amp;'הנחות עבודה'!$C$7)</f>
        <v>0</v>
      </c>
      <c r="AJ30" s="76">
        <f ca="1">SUMIFS(AJ8:AJ28,$B$8:$B$28,"&gt;="&amp;'הנחות עבודה'!$C$6,$B$8:$B$28,"&lt;="&amp;'הנחות עבודה'!$C$7)</f>
        <v>1527.2248900641084</v>
      </c>
      <c r="AK30" s="76">
        <f>SUMIFS(AK8:AK28,$B$8:$B$28,"&gt;="&amp;'הנחות עבודה'!$C$6,$B$8:$B$28,"&lt;="&amp;'הנחות עבודה'!$C$7)</f>
        <v>74.668329999999997</v>
      </c>
      <c r="AL30" s="76">
        <f>SUMIFS(AL8:AL28,$B$8:$B$28,"&gt;="&amp;'הנחות עבודה'!$C$6,$B$8:$B$28,"&lt;="&amp;'הנחות עבודה'!$C$7)</f>
        <v>7.3045400000000003</v>
      </c>
      <c r="AM30" s="1"/>
      <c r="AN30" s="1"/>
      <c r="AO30" s="1"/>
      <c r="AP30" s="1"/>
      <c r="AQ30" s="1"/>
      <c r="AR30" s="1"/>
      <c r="AS30" s="1"/>
    </row>
    <row r="31" spans="2:47" ht="16.5" thickBot="1"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</row>
    <row r="32" spans="2:47" ht="16.5" thickBot="1">
      <c r="C32" s="1243" t="s">
        <v>222</v>
      </c>
      <c r="D32" s="1244"/>
      <c r="E32" s="1244"/>
      <c r="F32" s="1244"/>
      <c r="G32" s="1244"/>
      <c r="H32" s="1244"/>
      <c r="I32" s="1244"/>
      <c r="J32" s="1244"/>
      <c r="K32" s="1244"/>
      <c r="L32" s="1244"/>
      <c r="M32" s="1244"/>
      <c r="N32" s="1244"/>
      <c r="O32" s="1244"/>
      <c r="P32" s="1244"/>
      <c r="Q32" s="1244"/>
      <c r="R32" s="1244"/>
      <c r="S32" s="1244"/>
      <c r="T32" s="1244"/>
      <c r="U32" s="1244"/>
      <c r="V32" s="1244"/>
      <c r="W32" s="1244"/>
      <c r="X32" s="1244"/>
      <c r="Y32" s="1244"/>
      <c r="Z32" s="1245"/>
    </row>
    <row r="33" spans="2:59" ht="16.5" customHeight="1" thickBot="1">
      <c r="C33" s="1297" t="s">
        <v>46</v>
      </c>
      <c r="D33" s="1298"/>
      <c r="E33" s="1298"/>
      <c r="F33" s="1299"/>
      <c r="G33" s="1300" t="s">
        <v>47</v>
      </c>
      <c r="H33" s="1301"/>
      <c r="I33" s="1301"/>
      <c r="J33" s="1302"/>
      <c r="K33" s="1297" t="s">
        <v>342</v>
      </c>
      <c r="L33" s="1298"/>
      <c r="M33" s="1298"/>
      <c r="N33" s="1299"/>
      <c r="O33" s="1300" t="s">
        <v>343</v>
      </c>
      <c r="P33" s="1301"/>
      <c r="Q33" s="1301"/>
      <c r="R33" s="1302"/>
      <c r="S33" s="1297" t="s">
        <v>344</v>
      </c>
      <c r="T33" s="1298"/>
      <c r="U33" s="1298"/>
      <c r="V33" s="1299"/>
      <c r="W33" s="1300" t="s">
        <v>345</v>
      </c>
      <c r="X33" s="1301"/>
      <c r="Y33" s="1301"/>
      <c r="Z33" s="1302"/>
    </row>
    <row r="34" spans="2:59" ht="32.25" thickBot="1">
      <c r="B34" s="62" t="s">
        <v>0</v>
      </c>
      <c r="C34" s="157" t="str">
        <f ca="1">OFFSET('הנחות עבודה'!$H$27,C2-$C$2,0)</f>
        <v>גז פחמיות מוסבות</v>
      </c>
      <c r="D34" s="157" t="str">
        <f ca="1">OFFSET('הנחות עבודה'!$H$27,D2-$C$2,0)</f>
        <v>גז חח"י מחזמים ופקירים ויח"פים</v>
      </c>
      <c r="E34" s="157" t="str">
        <f ca="1">OFFSET('הנחות עבודה'!$H$27,E2-$C$2,0)</f>
        <v>אחר 1</v>
      </c>
      <c r="F34" s="157" t="str">
        <f ca="1">OFFSET('הנחות עבודה'!$H$27,F2-$C$2,0)</f>
        <v>אחר 2</v>
      </c>
      <c r="G34" s="156" t="str">
        <f t="shared" ref="G34:R35" ca="1" si="205">C34</f>
        <v>גז פחמיות מוסבות</v>
      </c>
      <c r="H34" s="156" t="str">
        <f t="shared" ca="1" si="205"/>
        <v>גז חח"י מחזמים ופקירים ויח"פים</v>
      </c>
      <c r="I34" s="156" t="str">
        <f t="shared" ca="1" si="205"/>
        <v>אחר 1</v>
      </c>
      <c r="J34" s="156" t="str">
        <f t="shared" ca="1" si="205"/>
        <v>אחר 2</v>
      </c>
      <c r="K34" s="157" t="str">
        <f t="shared" ca="1" si="205"/>
        <v>גז פחמיות מוסבות</v>
      </c>
      <c r="L34" s="157" t="str">
        <f t="shared" ca="1" si="205"/>
        <v>גז חח"י מחזמים ופקירים ויח"פים</v>
      </c>
      <c r="M34" s="157" t="str">
        <f t="shared" ca="1" si="205"/>
        <v>אחר 1</v>
      </c>
      <c r="N34" s="157" t="str">
        <f t="shared" ca="1" si="205"/>
        <v>אחר 2</v>
      </c>
      <c r="O34" s="156" t="str">
        <f t="shared" ca="1" si="205"/>
        <v>גז פחמיות מוסבות</v>
      </c>
      <c r="P34" s="156" t="str">
        <f t="shared" ca="1" si="205"/>
        <v>גז חח"י מחזמים ופקירים ויח"פים</v>
      </c>
      <c r="Q34" s="156" t="str">
        <f t="shared" ca="1" si="205"/>
        <v>אחר 1</v>
      </c>
      <c r="R34" s="156" t="str">
        <f t="shared" ca="1" si="205"/>
        <v>אחר 2</v>
      </c>
      <c r="S34" s="157" t="str">
        <f ca="1">G34</f>
        <v>גז פחמיות מוסבות</v>
      </c>
      <c r="T34" s="157" t="str">
        <f ca="1">H34</f>
        <v>גז חח"י מחזמים ופקירים ויח"פים</v>
      </c>
      <c r="U34" s="157" t="str">
        <f ca="1">I34</f>
        <v>אחר 1</v>
      </c>
      <c r="V34" s="157" t="str">
        <f ca="1">J34</f>
        <v>אחר 2</v>
      </c>
      <c r="W34" s="156" t="str">
        <f t="shared" ref="W34:W35" ca="1" si="206">S34</f>
        <v>גז פחמיות מוסבות</v>
      </c>
      <c r="X34" s="156" t="str">
        <f t="shared" ref="X34:X35" ca="1" si="207">T34</f>
        <v>גז חח"י מחזמים ופקירים ויח"פים</v>
      </c>
      <c r="Y34" s="156" t="str">
        <f t="shared" ref="Y34:Y35" ca="1" si="208">U34</f>
        <v>אחר 1</v>
      </c>
      <c r="Z34" s="156" t="str">
        <f t="shared" ref="Z34:Z35" ca="1" si="209">V34</f>
        <v>אחר 2</v>
      </c>
    </row>
    <row r="35" spans="2:59" ht="16.5" thickBot="1">
      <c r="B35" s="62" t="s">
        <v>28</v>
      </c>
      <c r="C35" s="287" t="s">
        <v>100</v>
      </c>
      <c r="D35" s="287" t="s">
        <v>100</v>
      </c>
      <c r="E35" s="287" t="s">
        <v>100</v>
      </c>
      <c r="F35" s="287" t="s">
        <v>100</v>
      </c>
      <c r="G35" s="312" t="str">
        <f t="shared" si="205"/>
        <v>BCM</v>
      </c>
      <c r="H35" s="312" t="str">
        <f t="shared" si="205"/>
        <v>BCM</v>
      </c>
      <c r="I35" s="312" t="str">
        <f t="shared" si="205"/>
        <v>BCM</v>
      </c>
      <c r="J35" s="312" t="str">
        <f t="shared" si="205"/>
        <v>BCM</v>
      </c>
      <c r="K35" s="287" t="str">
        <f t="shared" si="205"/>
        <v>BCM</v>
      </c>
      <c r="L35" s="287" t="str">
        <f t="shared" si="205"/>
        <v>BCM</v>
      </c>
      <c r="M35" s="287" t="str">
        <f t="shared" si="205"/>
        <v>BCM</v>
      </c>
      <c r="N35" s="287" t="str">
        <f t="shared" si="205"/>
        <v>BCM</v>
      </c>
      <c r="O35" s="48" t="str">
        <f t="shared" si="205"/>
        <v>BCM</v>
      </c>
      <c r="P35" s="48" t="str">
        <f t="shared" si="205"/>
        <v>BCM</v>
      </c>
      <c r="Q35" s="48" t="str">
        <f t="shared" si="205"/>
        <v>BCM</v>
      </c>
      <c r="R35" s="48" t="str">
        <f t="shared" si="205"/>
        <v>BCM</v>
      </c>
      <c r="S35" s="38" t="s">
        <v>100</v>
      </c>
      <c r="T35" s="38" t="s">
        <v>100</v>
      </c>
      <c r="U35" s="38" t="s">
        <v>100</v>
      </c>
      <c r="V35" s="38" t="s">
        <v>100</v>
      </c>
      <c r="W35" s="48" t="str">
        <f t="shared" si="206"/>
        <v>BCM</v>
      </c>
      <c r="X35" s="48" t="str">
        <f t="shared" si="207"/>
        <v>BCM</v>
      </c>
      <c r="Y35" s="48" t="str">
        <f t="shared" si="208"/>
        <v>BCM</v>
      </c>
      <c r="Z35" s="48" t="str">
        <f t="shared" si="209"/>
        <v>BCM</v>
      </c>
      <c r="AA35" s="532"/>
      <c r="AL35" s="301"/>
      <c r="BF35" s="301"/>
      <c r="BG35" s="301"/>
    </row>
    <row r="36" spans="2:59" ht="15.75">
      <c r="B36" s="704">
        <f>B8</f>
        <v>2020</v>
      </c>
      <c r="C36" s="280">
        <f>IF('הנחות עבודה'!$C$4=$B$90,C94,IF('הנחות עבודה'!$C$4=$B$116,C120,C146))</f>
        <v>0</v>
      </c>
      <c r="D36" s="281">
        <f>IF('הנחות עבודה'!$C$4=$B$90,D94,IF('הנחות עבודה'!$C$4=$B$116,D120,D146))</f>
        <v>8.6058378721740034</v>
      </c>
      <c r="E36" s="281">
        <f>IF('הנחות עבודה'!$C$4=$B$90,E94,IF('הנחות עבודה'!$C$4=$B$116,E120,E146))</f>
        <v>0</v>
      </c>
      <c r="F36" s="281">
        <f>IF('הנחות עבודה'!$C$4=$B$90,F94,IF('הנחות עבודה'!$C$4=$B$116,F120,F146))</f>
        <v>0</v>
      </c>
      <c r="G36" s="528">
        <f>IF('הנחות עבודה'!$C$4=$B$90,G94,IF('הנחות עבודה'!$C$4=$B$116,G120,G146))</f>
        <v>0</v>
      </c>
      <c r="H36" s="279">
        <f>IF('הנחות עבודה'!$C$4=$B$90,H94,IF('הנחות עבודה'!$C$4=$B$116,H120,H146))</f>
        <v>8.6058378721740034</v>
      </c>
      <c r="I36" s="279">
        <f>IF('הנחות עבודה'!$C$4=$B$90,I94,IF('הנחות עבודה'!$C$4=$B$116,I120,I146))</f>
        <v>0</v>
      </c>
      <c r="J36" s="279">
        <f>IF('הנחות עבודה'!$C$4=$B$90,J94,IF('הנחות עבודה'!$C$4=$B$116,J120,J146))</f>
        <v>0</v>
      </c>
      <c r="K36" s="536">
        <f>IF('הנחות עבודה'!$C$4=$B$90,K94,IF('הנחות עבודה'!$C$4=$B$116,K120,K146))</f>
        <v>0</v>
      </c>
      <c r="L36" s="537">
        <f>IF('הנחות עבודה'!$C$4=$B$90,L94,IF('הנחות עבודה'!$C$4=$B$116,L120,L146))</f>
        <v>8.6058378721740034</v>
      </c>
      <c r="M36" s="537">
        <f>IF('הנחות עבודה'!$C$4=$B$90,M94,IF('הנחות עבודה'!$C$4=$B$116,M120,M146))</f>
        <v>0</v>
      </c>
      <c r="N36" s="537">
        <f>IF('הנחות עבודה'!$C$4=$B$90,N94,IF('הנחות עבודה'!$C$4=$B$116,N120,N146))</f>
        <v>0</v>
      </c>
      <c r="O36" s="528">
        <f>IF('הנחות עבודה'!$C$4=$B$90,O94,IF('הנחות עבודה'!$C$4=$B$116,O120,O146))</f>
        <v>0</v>
      </c>
      <c r="P36" s="279">
        <f>IF('הנחות עבודה'!$C$4=$B$90,P94,IF('הנחות עבודה'!$C$4=$B$116,P120,P146))</f>
        <v>8.6058378721740034</v>
      </c>
      <c r="Q36" s="279">
        <f>IF('הנחות עבודה'!$C$4=$B$90,Q94,IF('הנחות עבודה'!$C$4=$B$116,Q120,Q146))</f>
        <v>0</v>
      </c>
      <c r="R36" s="279">
        <f>IF('הנחות עבודה'!$C$4=$B$90,R94,IF('הנחות עבודה'!$C$4=$B$116,R120,R146))</f>
        <v>0</v>
      </c>
      <c r="S36" s="653">
        <f>IF('הנחות עבודה'!$C$4=$B$90,S94,IF('הנחות עבודה'!$C$4=$B$116,S120,S146))</f>
        <v>0</v>
      </c>
      <c r="T36" s="537">
        <f>IF('הנחות עבודה'!$C$4=$B$90,T94,IF('הנחות עבודה'!$C$4=$B$116,T120,T146))</f>
        <v>8.6058378721740034</v>
      </c>
      <c r="U36" s="537">
        <f>IF('הנחות עבודה'!$C$4=$B$90,U94,IF('הנחות עבודה'!$C$4=$B$116,U120,U146))</f>
        <v>0</v>
      </c>
      <c r="V36" s="537">
        <f>IF('הנחות עבודה'!$C$4=$B$90,V94,IF('הנחות עבודה'!$C$4=$B$116,V120,V146))</f>
        <v>0</v>
      </c>
      <c r="W36" s="533">
        <f>IF('הנחות עבודה'!$C$4=$B$90,W94,IF('הנחות עבודה'!$C$4=$B$116,W120,W146))</f>
        <v>0</v>
      </c>
      <c r="X36" s="279">
        <f>IF('הנחות עבודה'!$C$4=$B$90,X94,IF('הנחות עבודה'!$C$4=$B$116,X120,X146))</f>
        <v>8.6058378721740034</v>
      </c>
      <c r="Y36" s="279">
        <f>IF('הנחות עבודה'!$C$4=$B$90,Y94,IF('הנחות עבודה'!$C$4=$B$116,Y120,Y146))</f>
        <v>0</v>
      </c>
      <c r="Z36" s="707">
        <f>IF('הנחות עבודה'!$C$4=$B$90,Z94,IF('הנחות עבודה'!$C$4=$B$116,Z120,Z146))</f>
        <v>0</v>
      </c>
      <c r="AA36" s="532"/>
      <c r="AL36" s="301"/>
      <c r="BF36" s="301"/>
      <c r="BG36" s="301"/>
    </row>
    <row r="37" spans="2:59" ht="15.75">
      <c r="B37" s="705">
        <f t="shared" ref="B37:B38" si="210">+B36+1</f>
        <v>2021</v>
      </c>
      <c r="C37" s="280">
        <f>IF('הנחות עבודה'!$C$4=$B$90,C95,IF('הנחות עבודה'!$C$4=$B$116,C121,C147))</f>
        <v>0</v>
      </c>
      <c r="D37" s="281">
        <f>IF('הנחות עבודה'!$C$4=$B$90,D95,IF('הנחות עבודה'!$C$4=$B$116,D121,D147))</f>
        <v>8.7783119554773741</v>
      </c>
      <c r="E37" s="281">
        <f>IF('הנחות עבודה'!$C$4=$B$90,E95,IF('הנחות עבודה'!$C$4=$B$116,E121,E147))</f>
        <v>0</v>
      </c>
      <c r="F37" s="281">
        <f>IF('הנחות עבודה'!$C$4=$B$90,F95,IF('הנחות עבודה'!$C$4=$B$116,F121,F147))</f>
        <v>0</v>
      </c>
      <c r="G37" s="529">
        <f>IF('הנחות עבודה'!$C$4=$B$90,G95,IF('הנחות עבודה'!$C$4=$B$116,G121,G147))</f>
        <v>0</v>
      </c>
      <c r="H37" s="282">
        <f>IF('הנחות עבודה'!$C$4=$B$90,H95,IF('הנחות עבודה'!$C$4=$B$116,H121,H147))</f>
        <v>8.7783119554773741</v>
      </c>
      <c r="I37" s="282">
        <f>IF('הנחות עבודה'!$C$4=$B$90,I95,IF('הנחות עבודה'!$C$4=$B$116,I121,I147))</f>
        <v>0</v>
      </c>
      <c r="J37" s="282">
        <f>IF('הנחות עבודה'!$C$4=$B$90,J95,IF('הנחות עבודה'!$C$4=$B$116,J121,J147))</f>
        <v>0</v>
      </c>
      <c r="K37" s="280">
        <f>IF('הנחות עבודה'!$C$4=$B$90,K95,IF('הנחות עבודה'!$C$4=$B$116,K121,K147))</f>
        <v>0</v>
      </c>
      <c r="L37" s="281">
        <f>IF('הנחות עבודה'!$C$4=$B$90,L95,IF('הנחות עבודה'!$C$4=$B$116,L121,L147))</f>
        <v>8.7380504660153715</v>
      </c>
      <c r="M37" s="281">
        <f>IF('הנחות עבודה'!$C$4=$B$90,M95,IF('הנחות עבודה'!$C$4=$B$116,M121,M147))</f>
        <v>0</v>
      </c>
      <c r="N37" s="281">
        <f>IF('הנחות עבודה'!$C$4=$B$90,N95,IF('הנחות עבודה'!$C$4=$B$116,N121,N147))</f>
        <v>0</v>
      </c>
      <c r="O37" s="529">
        <f>IF('הנחות עבודה'!$C$4=$B$90,O95,IF('הנחות עבודה'!$C$4=$B$116,O121,O147))</f>
        <v>0</v>
      </c>
      <c r="P37" s="282">
        <f>IF('הנחות עבודה'!$C$4=$B$90,P95,IF('הנחות עבודה'!$C$4=$B$116,P121,P147))</f>
        <v>8.7380504660153715</v>
      </c>
      <c r="Q37" s="282">
        <f>IF('הנחות עבודה'!$C$4=$B$90,Q95,IF('הנחות עבודה'!$C$4=$B$116,Q121,Q147))</f>
        <v>0</v>
      </c>
      <c r="R37" s="282">
        <f>IF('הנחות עבודה'!$C$4=$B$90,R95,IF('הנחות עבודה'!$C$4=$B$116,R121,R147))</f>
        <v>0</v>
      </c>
      <c r="S37" s="654">
        <f>IF('הנחות עבודה'!$C$4=$B$90,S95,IF('הנחות עבודה'!$C$4=$B$116,S121,S147))</f>
        <v>0</v>
      </c>
      <c r="T37" s="281">
        <f>IF('הנחות עבודה'!$C$4=$B$90,T95,IF('הנחות עבודה'!$C$4=$B$116,T121,T147))</f>
        <v>8.7783119554773741</v>
      </c>
      <c r="U37" s="281">
        <f>IF('הנחות עבודה'!$C$4=$B$90,U95,IF('הנחות עבודה'!$C$4=$B$116,U121,U147))</f>
        <v>0</v>
      </c>
      <c r="V37" s="281">
        <f>IF('הנחות עבודה'!$C$4=$B$90,V95,IF('הנחות עבודה'!$C$4=$B$116,V121,V147))</f>
        <v>0</v>
      </c>
      <c r="W37" s="534">
        <f>IF('הנחות עבודה'!$C$4=$B$90,W95,IF('הנחות עבודה'!$C$4=$B$116,W121,W147))</f>
        <v>0</v>
      </c>
      <c r="X37" s="282">
        <f>IF('הנחות עבודה'!$C$4=$B$90,X95,IF('הנחות עבודה'!$C$4=$B$116,X121,X147))</f>
        <v>8.7783119554773741</v>
      </c>
      <c r="Y37" s="282">
        <f>IF('הנחות עבודה'!$C$4=$B$90,Y95,IF('הנחות עבודה'!$C$4=$B$116,Y121,Y147))</f>
        <v>0</v>
      </c>
      <c r="Z37" s="708">
        <f>IF('הנחות עבודה'!$C$4=$B$90,Z95,IF('הנחות עבודה'!$C$4=$B$116,Z121,Z147))</f>
        <v>0</v>
      </c>
      <c r="AA37" s="532"/>
      <c r="AL37" s="301"/>
      <c r="BF37" s="301"/>
      <c r="BG37" s="301"/>
    </row>
    <row r="38" spans="2:59" ht="15.75">
      <c r="B38" s="705">
        <f t="shared" si="210"/>
        <v>2022</v>
      </c>
      <c r="C38" s="280">
        <f>IF('הנחות עבודה'!$C$4=$B$90,C96,IF('הנחות עבודה'!$C$4=$B$116,C122,C148))</f>
        <v>0.36595469000000003</v>
      </c>
      <c r="D38" s="281">
        <f>IF('הנחות עבודה'!$C$4=$B$90,D96,IF('הנחות עבודה'!$C$4=$B$116,D122,D148))</f>
        <v>10.517208800000001</v>
      </c>
      <c r="E38" s="281">
        <f>IF('הנחות עבודה'!$C$4=$B$90,E96,IF('הנחות עבודה'!$C$4=$B$116,E122,E148))</f>
        <v>0</v>
      </c>
      <c r="F38" s="281">
        <f>IF('הנחות עבודה'!$C$4=$B$90,F96,IF('הנחות עבודה'!$C$4=$B$116,F122,F148))</f>
        <v>0</v>
      </c>
      <c r="G38" s="529">
        <f>IF('הנחות עבודה'!$C$4=$B$90,G96,IF('הנחות עבודה'!$C$4=$B$116,G122,G148))</f>
        <v>0.36595469000000003</v>
      </c>
      <c r="H38" s="282">
        <f>IF('הנחות עבודה'!$C$4=$B$90,H96,IF('הנחות עבודה'!$C$4=$B$116,H122,H148))</f>
        <v>10.517208800000001</v>
      </c>
      <c r="I38" s="282">
        <f>IF('הנחות עבודה'!$C$4=$B$90,I96,IF('הנחות עבודה'!$C$4=$B$116,I122,I148))</f>
        <v>0</v>
      </c>
      <c r="J38" s="282">
        <f>IF('הנחות עבודה'!$C$4=$B$90,J96,IF('הנחות עבודה'!$C$4=$B$116,J122,J148))</f>
        <v>0</v>
      </c>
      <c r="K38" s="280">
        <f>IF('הנחות עבודה'!$C$4=$B$90,K96,IF('הנחות עבודה'!$C$4=$B$116,K122,K148))</f>
        <v>0.35703785000000005</v>
      </c>
      <c r="L38" s="281">
        <f>IF('הנחות עבודה'!$C$4=$B$90,L96,IF('הנחות עבודה'!$C$4=$B$116,L122,L148))</f>
        <v>10.271412900000001</v>
      </c>
      <c r="M38" s="281">
        <f>IF('הנחות עבודה'!$C$4=$B$90,M96,IF('הנחות עבודה'!$C$4=$B$116,M122,M148))</f>
        <v>0</v>
      </c>
      <c r="N38" s="281">
        <f>IF('הנחות עבודה'!$C$4=$B$90,N96,IF('הנחות עבודה'!$C$4=$B$116,N122,N148))</f>
        <v>0</v>
      </c>
      <c r="O38" s="529">
        <f>IF('הנחות עבודה'!$C$4=$B$90,O96,IF('הנחות עבודה'!$C$4=$B$116,O122,O148))</f>
        <v>0.35703785000000005</v>
      </c>
      <c r="P38" s="282">
        <f>IF('הנחות עבודה'!$C$4=$B$90,P96,IF('הנחות עבודה'!$C$4=$B$116,P122,P148))</f>
        <v>10.271412900000001</v>
      </c>
      <c r="Q38" s="282">
        <f>IF('הנחות עבודה'!$C$4=$B$90,Q96,IF('הנחות עבודה'!$C$4=$B$116,Q122,Q148))</f>
        <v>0</v>
      </c>
      <c r="R38" s="282">
        <f>IF('הנחות עבודה'!$C$4=$B$90,R96,IF('הנחות עבודה'!$C$4=$B$116,R122,R148))</f>
        <v>0</v>
      </c>
      <c r="S38" s="654">
        <f>IF('הנחות עבודה'!$C$4=$B$90,S96,IF('הנחות עבודה'!$C$4=$B$116,S122,S148))</f>
        <v>0.35387616</v>
      </c>
      <c r="T38" s="281">
        <f>IF('הנחות עבודה'!$C$4=$B$90,T96,IF('הנחות עבודה'!$C$4=$B$116,T122,T148))</f>
        <v>10.14093855</v>
      </c>
      <c r="U38" s="281">
        <f>IF('הנחות עבודה'!$C$4=$B$90,U96,IF('הנחות עבודה'!$C$4=$B$116,U122,U148))</f>
        <v>0</v>
      </c>
      <c r="V38" s="281">
        <f>IF('הנחות עבודה'!$C$4=$B$90,V96,IF('הנחות עבודה'!$C$4=$B$116,V122,V148))</f>
        <v>0</v>
      </c>
      <c r="W38" s="534">
        <f>IF('הנחות עבודה'!$C$4=$B$90,W96,IF('הנחות עבודה'!$C$4=$B$116,W122,W148))</f>
        <v>0.35387616</v>
      </c>
      <c r="X38" s="282">
        <f>IF('הנחות עבודה'!$C$4=$B$90,X96,IF('הנחות עבודה'!$C$4=$B$116,X122,X148))</f>
        <v>10.14093855</v>
      </c>
      <c r="Y38" s="282">
        <f>IF('הנחות עבודה'!$C$4=$B$90,Y96,IF('הנחות עבודה'!$C$4=$B$116,Y122,Y148))</f>
        <v>0</v>
      </c>
      <c r="Z38" s="708">
        <f>IF('הנחות עבודה'!$C$4=$B$90,Z96,IF('הנחות עבודה'!$C$4=$B$116,Z122,Z148))</f>
        <v>0</v>
      </c>
      <c r="AA38" s="532"/>
      <c r="AL38" s="301"/>
      <c r="BF38" s="301"/>
      <c r="BG38" s="301"/>
    </row>
    <row r="39" spans="2:59" ht="15.75">
      <c r="B39" s="705">
        <f>+B38+1</f>
        <v>2023</v>
      </c>
      <c r="C39" s="280">
        <f>IF('הנחות עבודה'!$C$4=$B$90,C97,IF('הנחות עבודה'!$C$4=$B$116,C123,C149))</f>
        <v>0.56758892000000005</v>
      </c>
      <c r="D39" s="281">
        <f>IF('הנחות עבודה'!$C$4=$B$90,D97,IF('הנחות עבודה'!$C$4=$B$116,D123,D149))</f>
        <v>11.418829540000001</v>
      </c>
      <c r="E39" s="281">
        <f>IF('הנחות עבודה'!$C$4=$B$90,E97,IF('הנחות עבודה'!$C$4=$B$116,E123,E149))</f>
        <v>0</v>
      </c>
      <c r="F39" s="281">
        <f>IF('הנחות עבודה'!$C$4=$B$90,F97,IF('הנחות עבודה'!$C$4=$B$116,F123,F149))</f>
        <v>0</v>
      </c>
      <c r="G39" s="529">
        <f>IF('הנחות עבודה'!$C$4=$B$90,G97,IF('הנחות עבודה'!$C$4=$B$116,G123,G149))</f>
        <v>0.56758892000000005</v>
      </c>
      <c r="H39" s="282">
        <f>IF('הנחות עבודה'!$C$4=$B$90,H97,IF('הנחות עבודה'!$C$4=$B$116,H123,H149))</f>
        <v>11.418829540000001</v>
      </c>
      <c r="I39" s="282">
        <f>IF('הנחות עבודה'!$C$4=$B$90,I97,IF('הנחות עבודה'!$C$4=$B$116,I123,I149))</f>
        <v>0</v>
      </c>
      <c r="J39" s="282">
        <f>IF('הנחות עבודה'!$C$4=$B$90,J97,IF('הנחות עבודה'!$C$4=$B$116,J123,J149))</f>
        <v>0</v>
      </c>
      <c r="K39" s="280">
        <f>IF('הנחות עבודה'!$C$4=$B$90,K97,IF('הנחות עבודה'!$C$4=$B$116,K123,K149))</f>
        <v>0.55583093000000006</v>
      </c>
      <c r="L39" s="281">
        <f>IF('הנחות עבודה'!$C$4=$B$90,L97,IF('הנחות עבודה'!$C$4=$B$116,L123,L149))</f>
        <v>11.03565311</v>
      </c>
      <c r="M39" s="281">
        <f>IF('הנחות עבודה'!$C$4=$B$90,M97,IF('הנחות עבודה'!$C$4=$B$116,M123,M149))</f>
        <v>0</v>
      </c>
      <c r="N39" s="281">
        <f>IF('הנחות עבודה'!$C$4=$B$90,N97,IF('הנחות עבודה'!$C$4=$B$116,N123,N149))</f>
        <v>0</v>
      </c>
      <c r="O39" s="529">
        <f>IF('הנחות עבודה'!$C$4=$B$90,O97,IF('הנחות עבודה'!$C$4=$B$116,O123,O149))</f>
        <v>0.55583093000000006</v>
      </c>
      <c r="P39" s="282">
        <f>IF('הנחות עבודה'!$C$4=$B$90,P97,IF('הנחות עבודה'!$C$4=$B$116,P123,P149))</f>
        <v>11.03565311</v>
      </c>
      <c r="Q39" s="282">
        <f>IF('הנחות עבודה'!$C$4=$B$90,Q97,IF('הנחות עבודה'!$C$4=$B$116,Q123,Q149))</f>
        <v>0</v>
      </c>
      <c r="R39" s="282">
        <f>IF('הנחות עבודה'!$C$4=$B$90,R97,IF('הנחות עבודה'!$C$4=$B$116,R123,R149))</f>
        <v>0</v>
      </c>
      <c r="S39" s="654">
        <f>IF('הנחות עבודה'!$C$4=$B$90,S97,IF('הנחות עבודה'!$C$4=$B$116,S123,S149))</f>
        <v>0.55264010000000008</v>
      </c>
      <c r="T39" s="281">
        <f>IF('הנחות עבודה'!$C$4=$B$90,T97,IF('הנחות עבודה'!$C$4=$B$116,T123,T149))</f>
        <v>10.833217530000001</v>
      </c>
      <c r="U39" s="281">
        <f>IF('הנחות עבודה'!$C$4=$B$90,U97,IF('הנחות עבודה'!$C$4=$B$116,U123,U149))</f>
        <v>0</v>
      </c>
      <c r="V39" s="281">
        <f>IF('הנחות עבודה'!$C$4=$B$90,V97,IF('הנחות עבודה'!$C$4=$B$116,V123,V149))</f>
        <v>0</v>
      </c>
      <c r="W39" s="534">
        <f>IF('הנחות עבודה'!$C$4=$B$90,W97,IF('הנחות עבודה'!$C$4=$B$116,W123,W149))</f>
        <v>0.55264010000000008</v>
      </c>
      <c r="X39" s="282">
        <f>IF('הנחות עבודה'!$C$4=$B$90,X97,IF('הנחות עבודה'!$C$4=$B$116,X123,X149))</f>
        <v>10.833217530000001</v>
      </c>
      <c r="Y39" s="282">
        <f>IF('הנחות עבודה'!$C$4=$B$90,Y97,IF('הנחות עבודה'!$C$4=$B$116,Y123,Y149))</f>
        <v>0</v>
      </c>
      <c r="Z39" s="708">
        <f>IF('הנחות עבודה'!$C$4=$B$90,Z97,IF('הנחות עבודה'!$C$4=$B$116,Z123,Z149))</f>
        <v>0</v>
      </c>
      <c r="AA39" s="532"/>
      <c r="AL39" s="301"/>
      <c r="BF39" s="301"/>
      <c r="BG39" s="301"/>
    </row>
    <row r="40" spans="2:59" ht="15.75">
      <c r="B40" s="705">
        <f t="shared" ref="B40:B56" si="211">+B39+1</f>
        <v>2024</v>
      </c>
      <c r="C40" s="280">
        <f>IF('הנחות עבודה'!$C$4=$B$90,C98,IF('הנחות עבודה'!$C$4=$B$116,C124,C150))</f>
        <v>0.74843175999999989</v>
      </c>
      <c r="D40" s="281">
        <f>IF('הנחות עבודה'!$C$4=$B$90,D98,IF('הנחות עבודה'!$C$4=$B$116,D124,D150))</f>
        <v>12.10459573</v>
      </c>
      <c r="E40" s="281">
        <f>IF('הנחות עבודה'!$C$4=$B$90,E98,IF('הנחות עבודה'!$C$4=$B$116,E124,E150))</f>
        <v>0</v>
      </c>
      <c r="F40" s="281">
        <f>IF('הנחות עבודה'!$C$4=$B$90,F98,IF('הנחות עבודה'!$C$4=$B$116,F124,F150))</f>
        <v>0</v>
      </c>
      <c r="G40" s="529">
        <f>IF('הנחות עבודה'!$C$4=$B$90,G98,IF('הנחות עבודה'!$C$4=$B$116,G124,G150))</f>
        <v>0.74843175999999989</v>
      </c>
      <c r="H40" s="282">
        <f>IF('הנחות עבודה'!$C$4=$B$90,H98,IF('הנחות עבודה'!$C$4=$B$116,H124,H150))</f>
        <v>12.10459573</v>
      </c>
      <c r="I40" s="282">
        <f>IF('הנחות עבודה'!$C$4=$B$90,I98,IF('הנחות עבודה'!$C$4=$B$116,I124,I150))</f>
        <v>0</v>
      </c>
      <c r="J40" s="282">
        <f>IF('הנחות עבודה'!$C$4=$B$90,J98,IF('הנחות עבודה'!$C$4=$B$116,J124,J150))</f>
        <v>0</v>
      </c>
      <c r="K40" s="280">
        <f>IF('הנחות עבודה'!$C$4=$B$90,K98,IF('הנחות עבודה'!$C$4=$B$116,K124,K150))</f>
        <v>0.73290014000000003</v>
      </c>
      <c r="L40" s="281">
        <f>IF('הנחות עבודה'!$C$4=$B$90,L98,IF('הנחות עבודה'!$C$4=$B$116,L124,L150))</f>
        <v>11.591862860000001</v>
      </c>
      <c r="M40" s="281">
        <f>IF('הנחות עבודה'!$C$4=$B$90,M98,IF('הנחות עבודה'!$C$4=$B$116,M124,M150))</f>
        <v>0</v>
      </c>
      <c r="N40" s="281">
        <f>IF('הנחות עבודה'!$C$4=$B$90,N98,IF('הנחות עבודה'!$C$4=$B$116,N124,N150))</f>
        <v>0</v>
      </c>
      <c r="O40" s="529">
        <f>IF('הנחות עבודה'!$C$4=$B$90,O98,IF('הנחות עבודה'!$C$4=$B$116,O124,O150))</f>
        <v>0.73290014000000003</v>
      </c>
      <c r="P40" s="282">
        <f>IF('הנחות עבודה'!$C$4=$B$90,P98,IF('הנחות עבודה'!$C$4=$B$116,P124,P150))</f>
        <v>11.591862860000001</v>
      </c>
      <c r="Q40" s="282">
        <f>IF('הנחות עבודה'!$C$4=$B$90,Q98,IF('הנחות עבודה'!$C$4=$B$116,Q124,Q150))</f>
        <v>0</v>
      </c>
      <c r="R40" s="282">
        <f>IF('הנחות עבודה'!$C$4=$B$90,R98,IF('הנחות עבודה'!$C$4=$B$116,R124,R150))</f>
        <v>0</v>
      </c>
      <c r="S40" s="654">
        <f>IF('הנחות עבודה'!$C$4=$B$90,S98,IF('הנחות עבודה'!$C$4=$B$116,S124,S150))</f>
        <v>0.72953447000000005</v>
      </c>
      <c r="T40" s="281">
        <f>IF('הנחות עבודה'!$C$4=$B$90,T98,IF('הנחות עבודה'!$C$4=$B$116,T124,T150))</f>
        <v>11.31353215</v>
      </c>
      <c r="U40" s="281">
        <f>IF('הנחות עבודה'!$C$4=$B$90,U98,IF('הנחות עבודה'!$C$4=$B$116,U124,U150))</f>
        <v>0</v>
      </c>
      <c r="V40" s="281">
        <f>IF('הנחות עבודה'!$C$4=$B$90,V98,IF('הנחות עבודה'!$C$4=$B$116,V124,V150))</f>
        <v>0</v>
      </c>
      <c r="W40" s="534">
        <f>IF('הנחות עבודה'!$C$4=$B$90,W98,IF('הנחות עבודה'!$C$4=$B$116,W124,W150))</f>
        <v>0.72953447000000005</v>
      </c>
      <c r="X40" s="282">
        <f>IF('הנחות עבודה'!$C$4=$B$90,X98,IF('הנחות עבודה'!$C$4=$B$116,X124,X150))</f>
        <v>11.31353215</v>
      </c>
      <c r="Y40" s="282">
        <f>IF('הנחות עבודה'!$C$4=$B$90,Y98,IF('הנחות עבודה'!$C$4=$B$116,Y124,Y150))</f>
        <v>0</v>
      </c>
      <c r="Z40" s="708">
        <f>IF('הנחות עבודה'!$C$4=$B$90,Z98,IF('הנחות עבודה'!$C$4=$B$116,Z124,Z150))</f>
        <v>0</v>
      </c>
      <c r="AL40" s="301"/>
      <c r="BF40" s="301"/>
      <c r="BG40" s="301"/>
    </row>
    <row r="41" spans="2:59" ht="15.75">
      <c r="B41" s="705">
        <f t="shared" si="211"/>
        <v>2025</v>
      </c>
      <c r="C41" s="280">
        <f>IF('הנחות עבודה'!$C$4=$B$90,C99,IF('הנחות עבודה'!$C$4=$B$116,C125,C151))</f>
        <v>2.5193132700000005</v>
      </c>
      <c r="D41" s="281">
        <f>IF('הנחות עבודה'!$C$4=$B$90,D99,IF('הנחות עבודה'!$C$4=$B$116,D125,D151))</f>
        <v>12.271116260000003</v>
      </c>
      <c r="E41" s="281">
        <f>IF('הנחות עבודה'!$C$4=$B$90,E99,IF('הנחות עבודה'!$C$4=$B$116,E125,E151))</f>
        <v>0</v>
      </c>
      <c r="F41" s="281">
        <f>IF('הנחות עבודה'!$C$4=$B$90,F99,IF('הנחות עבודה'!$C$4=$B$116,F125,F151))</f>
        <v>0</v>
      </c>
      <c r="G41" s="529">
        <f>IF('הנחות עבודה'!$C$4=$B$90,G99,IF('הנחות עבודה'!$C$4=$B$116,G125,G151))</f>
        <v>2.5193132700000005</v>
      </c>
      <c r="H41" s="282">
        <f>IF('הנחות עבודה'!$C$4=$B$90,H99,IF('הנחות עבודה'!$C$4=$B$116,H125,H151))</f>
        <v>12.271116260000003</v>
      </c>
      <c r="I41" s="282">
        <f>IF('הנחות עבודה'!$C$4=$B$90,I99,IF('הנחות עבודה'!$C$4=$B$116,I125,I151))</f>
        <v>0</v>
      </c>
      <c r="J41" s="282">
        <f>IF('הנחות עבודה'!$C$4=$B$90,J99,IF('הנחות עבודה'!$C$4=$B$116,J125,J151))</f>
        <v>0</v>
      </c>
      <c r="K41" s="280">
        <f>IF('הנחות עבודה'!$C$4=$B$90,K99,IF('הנחות עבודה'!$C$4=$B$116,K125,K151))</f>
        <v>2.4362059899999999</v>
      </c>
      <c r="L41" s="281">
        <f>IF('הנחות עבודה'!$C$4=$B$90,L99,IF('הנחות עבודה'!$C$4=$B$116,L125,L151))</f>
        <v>11.63896767</v>
      </c>
      <c r="M41" s="281">
        <f>IF('הנחות עבודה'!$C$4=$B$90,M99,IF('הנחות עבודה'!$C$4=$B$116,M125,M151))</f>
        <v>0</v>
      </c>
      <c r="N41" s="281">
        <f>IF('הנחות עבודה'!$C$4=$B$90,N99,IF('הנחות עבודה'!$C$4=$B$116,N125,N151))</f>
        <v>0</v>
      </c>
      <c r="O41" s="529">
        <f>IF('הנחות עבודה'!$C$4=$B$90,O99,IF('הנחות עבודה'!$C$4=$B$116,O125,O151))</f>
        <v>2.4362059899999999</v>
      </c>
      <c r="P41" s="282">
        <f>IF('הנחות עבודה'!$C$4=$B$90,P99,IF('הנחות עבודה'!$C$4=$B$116,P125,P151))</f>
        <v>11.63896767</v>
      </c>
      <c r="Q41" s="282">
        <f>IF('הנחות עבודה'!$C$4=$B$90,Q99,IF('הנחות עבודה'!$C$4=$B$116,Q125,Q151))</f>
        <v>0</v>
      </c>
      <c r="R41" s="282">
        <f>IF('הנחות עבודה'!$C$4=$B$90,R99,IF('הנחות עבודה'!$C$4=$B$116,R125,R151))</f>
        <v>0</v>
      </c>
      <c r="S41" s="654">
        <f>IF('הנחות עבודה'!$C$4=$B$90,S99,IF('הנחות עבודה'!$C$4=$B$116,S125,S151))</f>
        <v>2.4436512600000002</v>
      </c>
      <c r="T41" s="281">
        <f>IF('הנחות עבודה'!$C$4=$B$90,T99,IF('הנחות עבודה'!$C$4=$B$116,T125,T151))</f>
        <v>11.270200970000001</v>
      </c>
      <c r="U41" s="281">
        <f>IF('הנחות עבודה'!$C$4=$B$90,U99,IF('הנחות עבודה'!$C$4=$B$116,U125,U151))</f>
        <v>0</v>
      </c>
      <c r="V41" s="281">
        <f>IF('הנחות עבודה'!$C$4=$B$90,V99,IF('הנחות עבודה'!$C$4=$B$116,V125,V151))</f>
        <v>0</v>
      </c>
      <c r="W41" s="534">
        <f>IF('הנחות עבודה'!$C$4=$B$90,W99,IF('הנחות עבודה'!$C$4=$B$116,W125,W151))</f>
        <v>2.4436512600000002</v>
      </c>
      <c r="X41" s="282">
        <f>IF('הנחות עבודה'!$C$4=$B$90,X99,IF('הנחות עבודה'!$C$4=$B$116,X125,X151))</f>
        <v>11.270200970000001</v>
      </c>
      <c r="Y41" s="282">
        <f>IF('הנחות עבודה'!$C$4=$B$90,Y99,IF('הנחות עבודה'!$C$4=$B$116,Y125,Y151))</f>
        <v>0</v>
      </c>
      <c r="Z41" s="708">
        <f>IF('הנחות עבודה'!$C$4=$B$90,Z99,IF('הנחות עבודה'!$C$4=$B$116,Z125,Z151))</f>
        <v>0</v>
      </c>
      <c r="AL41" s="301"/>
      <c r="BF41" s="301"/>
      <c r="BG41" s="301"/>
    </row>
    <row r="42" spans="2:59" ht="15.75">
      <c r="B42" s="705">
        <f t="shared" si="211"/>
        <v>2026</v>
      </c>
      <c r="C42" s="280">
        <f>IF('הנחות עבודה'!$C$4=$B$90,C100,IF('הנחות עבודה'!$C$4=$B$116,C126,C152))</f>
        <v>4.1474962</v>
      </c>
      <c r="D42" s="281">
        <f>IF('הנחות עבודה'!$C$4=$B$90,D100,IF('הנחות עבודה'!$C$4=$B$116,D126,D152))</f>
        <v>11.82080127</v>
      </c>
      <c r="E42" s="281">
        <f>IF('הנחות עבודה'!$C$4=$B$90,E100,IF('הנחות עבודה'!$C$4=$B$116,E126,E152))</f>
        <v>0</v>
      </c>
      <c r="F42" s="281">
        <f>IF('הנחות עבודה'!$C$4=$B$90,F100,IF('הנחות עבודה'!$C$4=$B$116,F126,F152))</f>
        <v>0</v>
      </c>
      <c r="G42" s="529">
        <f>IF('הנחות עבודה'!$C$4=$B$90,G100,IF('הנחות עבודה'!$C$4=$B$116,G126,G152))</f>
        <v>4.1474962</v>
      </c>
      <c r="H42" s="282">
        <f>IF('הנחות עבודה'!$C$4=$B$90,H100,IF('הנחות עבודה'!$C$4=$B$116,H126,H152))</f>
        <v>11.82080127</v>
      </c>
      <c r="I42" s="282">
        <f>IF('הנחות עבודה'!$C$4=$B$90,I100,IF('הנחות עבודה'!$C$4=$B$116,I126,I152))</f>
        <v>0</v>
      </c>
      <c r="J42" s="282">
        <f>IF('הנחות עבודה'!$C$4=$B$90,J100,IF('הנחות עבודה'!$C$4=$B$116,J126,J152))</f>
        <v>0</v>
      </c>
      <c r="K42" s="280">
        <f>IF('הנחות עבודה'!$C$4=$B$90,K100,IF('הנחות עבודה'!$C$4=$B$116,K126,K152))</f>
        <v>4.0632815999999998</v>
      </c>
      <c r="L42" s="281">
        <f>IF('הנחות עבודה'!$C$4=$B$90,L100,IF('הנחות עבודה'!$C$4=$B$116,L126,L152))</f>
        <v>11.074132479999999</v>
      </c>
      <c r="M42" s="281">
        <f>IF('הנחות עבודה'!$C$4=$B$90,M100,IF('הנחות עבודה'!$C$4=$B$116,M126,M152))</f>
        <v>0</v>
      </c>
      <c r="N42" s="281">
        <f>IF('הנחות עבודה'!$C$4=$B$90,N100,IF('הנחות עבודה'!$C$4=$B$116,N126,N152))</f>
        <v>0</v>
      </c>
      <c r="O42" s="529">
        <f>IF('הנחות עבודה'!$C$4=$B$90,O100,IF('הנחות עבודה'!$C$4=$B$116,O126,O152))</f>
        <v>4.0632815999999998</v>
      </c>
      <c r="P42" s="282">
        <f>IF('הנחות עבודה'!$C$4=$B$90,P100,IF('הנחות עבודה'!$C$4=$B$116,P126,P152))</f>
        <v>11.074132479999999</v>
      </c>
      <c r="Q42" s="282">
        <f>IF('הנחות עבודה'!$C$4=$B$90,Q100,IF('הנחות עבודה'!$C$4=$B$116,Q126,Q152))</f>
        <v>0</v>
      </c>
      <c r="R42" s="282">
        <f>IF('הנחות עבודה'!$C$4=$B$90,R100,IF('הנחות עבודה'!$C$4=$B$116,R126,R152))</f>
        <v>0</v>
      </c>
      <c r="S42" s="654">
        <f>IF('הנחות עבודה'!$C$4=$B$90,S100,IF('הנחות עבודה'!$C$4=$B$116,S126,S152))</f>
        <v>4.09</v>
      </c>
      <c r="T42" s="281">
        <f>IF('הנחות עבודה'!$C$4=$B$90,T100,IF('הנחות עבודה'!$C$4=$B$116,T126,T152))</f>
        <v>10.6</v>
      </c>
      <c r="U42" s="281">
        <f>IF('הנחות עבודה'!$C$4=$B$90,U100,IF('הנחות עבודה'!$C$4=$B$116,U126,U152))</f>
        <v>0</v>
      </c>
      <c r="V42" s="281">
        <f>IF('הנחות עבודה'!$C$4=$B$90,V100,IF('הנחות עבודה'!$C$4=$B$116,V126,V152))</f>
        <v>0</v>
      </c>
      <c r="W42" s="534">
        <f>IF('הנחות עבודה'!$C$4=$B$90,W100,IF('הנחות עבודה'!$C$4=$B$116,W126,W152))</f>
        <v>4.09</v>
      </c>
      <c r="X42" s="282">
        <f>IF('הנחות עבודה'!$C$4=$B$90,X100,IF('הנחות עבודה'!$C$4=$B$116,X126,X152))</f>
        <v>10.6</v>
      </c>
      <c r="Y42" s="282">
        <f>IF('הנחות עבודה'!$C$4=$B$90,Y100,IF('הנחות עבודה'!$C$4=$B$116,Y126,Y152))</f>
        <v>0</v>
      </c>
      <c r="Z42" s="708">
        <f>IF('הנחות עבודה'!$C$4=$B$90,Z100,IF('הנחות עבודה'!$C$4=$B$116,Z126,Z152))</f>
        <v>0</v>
      </c>
      <c r="AL42" s="301"/>
      <c r="BF42" s="301"/>
      <c r="BG42" s="301"/>
    </row>
    <row r="43" spans="2:59" ht="15.75">
      <c r="B43" s="705">
        <f t="shared" si="211"/>
        <v>2027</v>
      </c>
      <c r="C43" s="280">
        <f>IF('הנחות עבודה'!$C$4=$B$90,C101,IF('הנחות עבודה'!$C$4=$B$116,C127,C153))</f>
        <v>4.0553409500000006</v>
      </c>
      <c r="D43" s="281">
        <f>IF('הנחות עבודה'!$C$4=$B$90,D101,IF('הנחות עבודה'!$C$4=$B$116,D127,D153))</f>
        <v>12.147766640000004</v>
      </c>
      <c r="E43" s="281">
        <f>IF('הנחות עבודה'!$C$4=$B$90,E101,IF('הנחות עבודה'!$C$4=$B$116,E127,E153))</f>
        <v>0</v>
      </c>
      <c r="F43" s="281">
        <f>IF('הנחות עבודה'!$C$4=$B$90,F101,IF('הנחות עבודה'!$C$4=$B$116,F127,F153))</f>
        <v>0</v>
      </c>
      <c r="G43" s="529">
        <f>IF('הנחות עבודה'!$C$4=$B$90,G101,IF('הנחות עבודה'!$C$4=$B$116,G127,G153))</f>
        <v>4.0553409500000006</v>
      </c>
      <c r="H43" s="282">
        <f>IF('הנחות עבודה'!$C$4=$B$90,H101,IF('הנחות עבודה'!$C$4=$B$116,H127,H153))</f>
        <v>12.147766640000004</v>
      </c>
      <c r="I43" s="282">
        <f>IF('הנחות עבודה'!$C$4=$B$90,I101,IF('הנחות עבודה'!$C$4=$B$116,I127,I153))</f>
        <v>0</v>
      </c>
      <c r="J43" s="282">
        <f>IF('הנחות עבודה'!$C$4=$B$90,J101,IF('הנחות עבודה'!$C$4=$B$116,J127,J153))</f>
        <v>0</v>
      </c>
      <c r="K43" s="280">
        <f>IF('הנחות עבודה'!$C$4=$B$90,K101,IF('הנחות עבודה'!$C$4=$B$116,K127,K153))</f>
        <v>4.0266380500000007</v>
      </c>
      <c r="L43" s="281">
        <f>IF('הנחות עבודה'!$C$4=$B$90,L101,IF('הנחות עבודה'!$C$4=$B$116,L127,L153))</f>
        <v>11.236937660000002</v>
      </c>
      <c r="M43" s="281">
        <f>IF('הנחות עבודה'!$C$4=$B$90,M101,IF('הנחות עבודה'!$C$4=$B$116,M127,M153))</f>
        <v>0</v>
      </c>
      <c r="N43" s="281">
        <f>IF('הנחות עבודה'!$C$4=$B$90,N101,IF('הנחות עבודה'!$C$4=$B$116,N127,N153))</f>
        <v>0</v>
      </c>
      <c r="O43" s="529">
        <f>IF('הנחות עבודה'!$C$4=$B$90,O101,IF('הנחות עבודה'!$C$4=$B$116,O127,O153))</f>
        <v>4.0266380500000007</v>
      </c>
      <c r="P43" s="282">
        <f>IF('הנחות עבודה'!$C$4=$B$90,P101,IF('הנחות עבודה'!$C$4=$B$116,P127,P153))</f>
        <v>11.236937660000002</v>
      </c>
      <c r="Q43" s="282">
        <f>IF('הנחות עבודה'!$C$4=$B$90,Q101,IF('הנחות עבודה'!$C$4=$B$116,Q127,Q153))</f>
        <v>0</v>
      </c>
      <c r="R43" s="282">
        <f>IF('הנחות עבודה'!$C$4=$B$90,R101,IF('הנחות עבודה'!$C$4=$B$116,R127,R153))</f>
        <v>0</v>
      </c>
      <c r="S43" s="654">
        <f>IF('הנחות עבודה'!$C$4=$B$90,S101,IF('הנחות עבודה'!$C$4=$B$116,S127,S153))</f>
        <v>4.08</v>
      </c>
      <c r="T43" s="281">
        <f>IF('הנחות עבודה'!$C$4=$B$90,T101,IF('הנחות עבודה'!$C$4=$B$116,T127,T153))</f>
        <v>10.68</v>
      </c>
      <c r="U43" s="281">
        <f>IF('הנחות עבודה'!$C$4=$B$90,U101,IF('הנחות עבודה'!$C$4=$B$116,U127,U153))</f>
        <v>0</v>
      </c>
      <c r="V43" s="281">
        <f>IF('הנחות עבודה'!$C$4=$B$90,V101,IF('הנחות עבודה'!$C$4=$B$116,V127,V153))</f>
        <v>0</v>
      </c>
      <c r="W43" s="534">
        <f>IF('הנחות עבודה'!$C$4=$B$90,W101,IF('הנחות עבודה'!$C$4=$B$116,W127,W153))</f>
        <v>4.08</v>
      </c>
      <c r="X43" s="282">
        <f>IF('הנחות עבודה'!$C$4=$B$90,X101,IF('הנחות עבודה'!$C$4=$B$116,X127,X153))</f>
        <v>10.68</v>
      </c>
      <c r="Y43" s="282">
        <f>IF('הנחות עבודה'!$C$4=$B$90,Y101,IF('הנחות עבודה'!$C$4=$B$116,Y127,Y153))</f>
        <v>0</v>
      </c>
      <c r="Z43" s="708">
        <f>IF('הנחות עבודה'!$C$4=$B$90,Z101,IF('הנחות עבודה'!$C$4=$B$116,Z127,Z153))</f>
        <v>0</v>
      </c>
      <c r="AL43" s="301"/>
      <c r="BF43" s="301"/>
      <c r="BG43" s="301"/>
    </row>
    <row r="44" spans="2:59" ht="15.75">
      <c r="B44" s="705">
        <f t="shared" si="211"/>
        <v>2028</v>
      </c>
      <c r="C44" s="280">
        <f>IF('הנחות עבודה'!$C$4=$B$90,C102,IF('הנחות עבודה'!$C$4=$B$116,C128,C154))</f>
        <v>3.9797372200000005</v>
      </c>
      <c r="D44" s="281">
        <f>IF('הנחות עבודה'!$C$4=$B$90,D102,IF('הנחות עבודה'!$C$4=$B$116,D128,D154))</f>
        <v>12.413610860000002</v>
      </c>
      <c r="E44" s="281">
        <f>IF('הנחות עבודה'!$C$4=$B$90,E102,IF('הנחות עבודה'!$C$4=$B$116,E128,E154))</f>
        <v>0</v>
      </c>
      <c r="F44" s="281">
        <f>IF('הנחות עבודה'!$C$4=$B$90,F102,IF('הנחות עבודה'!$C$4=$B$116,F128,F154))</f>
        <v>0</v>
      </c>
      <c r="G44" s="529">
        <f>IF('הנחות עבודה'!$C$4=$B$90,G102,IF('הנחות עבודה'!$C$4=$B$116,G128,G154))</f>
        <v>3.9797372200000005</v>
      </c>
      <c r="H44" s="282">
        <f>IF('הנחות עבודה'!$C$4=$B$90,H102,IF('הנחות עבודה'!$C$4=$B$116,H128,H154))</f>
        <v>12.413610860000002</v>
      </c>
      <c r="I44" s="282">
        <f>IF('הנחות עבודה'!$C$4=$B$90,I102,IF('הנחות עבודה'!$C$4=$B$116,I128,I154))</f>
        <v>0</v>
      </c>
      <c r="J44" s="282">
        <f>IF('הנחות עבודה'!$C$4=$B$90,J102,IF('הנחות עבודה'!$C$4=$B$116,J128,J154))</f>
        <v>0</v>
      </c>
      <c r="K44" s="280">
        <f>IF('הנחות עבודה'!$C$4=$B$90,K102,IF('הנחות עבודה'!$C$4=$B$116,K128,K154))</f>
        <v>4.0581966700000001</v>
      </c>
      <c r="L44" s="281">
        <f>IF('הנחות עבודה'!$C$4=$B$90,L102,IF('הנחות עבודה'!$C$4=$B$116,L128,L154))</f>
        <v>11.34246817</v>
      </c>
      <c r="M44" s="281">
        <f>IF('הנחות עבודה'!$C$4=$B$90,M102,IF('הנחות עבודה'!$C$4=$B$116,M128,M154))</f>
        <v>0</v>
      </c>
      <c r="N44" s="281">
        <f>IF('הנחות עבודה'!$C$4=$B$90,N102,IF('הנחות עבודה'!$C$4=$B$116,N128,N154))</f>
        <v>0</v>
      </c>
      <c r="O44" s="529">
        <f>IF('הנחות עבודה'!$C$4=$B$90,O102,IF('הנחות עבודה'!$C$4=$B$116,O128,O154))</f>
        <v>4.0581966700000001</v>
      </c>
      <c r="P44" s="282">
        <f>IF('הנחות עבודה'!$C$4=$B$90,P102,IF('הנחות עבודה'!$C$4=$B$116,P128,P154))</f>
        <v>11.34246817</v>
      </c>
      <c r="Q44" s="282">
        <f>IF('הנחות עבודה'!$C$4=$B$90,Q102,IF('הנחות עבודה'!$C$4=$B$116,Q128,Q154))</f>
        <v>0</v>
      </c>
      <c r="R44" s="282">
        <f>IF('הנחות עבודה'!$C$4=$B$90,R102,IF('הנחות עבודה'!$C$4=$B$116,R128,R154))</f>
        <v>0</v>
      </c>
      <c r="S44" s="654">
        <f>IF('הנחות עבודה'!$C$4=$B$90,S102,IF('הנחות עבודה'!$C$4=$B$116,S128,S154))</f>
        <v>4.1399999999999997</v>
      </c>
      <c r="T44" s="281">
        <f>IF('הנחות עבודה'!$C$4=$B$90,T102,IF('הנחות עבודה'!$C$4=$B$116,T128,T154))</f>
        <v>10.68</v>
      </c>
      <c r="U44" s="281">
        <f>IF('הנחות עבודה'!$C$4=$B$90,U102,IF('הנחות עבודה'!$C$4=$B$116,U128,U154))</f>
        <v>0</v>
      </c>
      <c r="V44" s="281">
        <f>IF('הנחות עבודה'!$C$4=$B$90,V102,IF('הנחות עבודה'!$C$4=$B$116,V128,V154))</f>
        <v>0</v>
      </c>
      <c r="W44" s="534">
        <f>IF('הנחות עבודה'!$C$4=$B$90,W102,IF('הנחות עבודה'!$C$4=$B$116,W128,W154))</f>
        <v>4.1399999999999997</v>
      </c>
      <c r="X44" s="282">
        <f>IF('הנחות עבודה'!$C$4=$B$90,X102,IF('הנחות עבודה'!$C$4=$B$116,X128,X154))</f>
        <v>10.68</v>
      </c>
      <c r="Y44" s="282">
        <f>IF('הנחות עבודה'!$C$4=$B$90,Y102,IF('הנחות עבודה'!$C$4=$B$116,Y128,Y154))</f>
        <v>0</v>
      </c>
      <c r="Z44" s="708">
        <f>IF('הנחות עבודה'!$C$4=$B$90,Z102,IF('הנחות עבודה'!$C$4=$B$116,Z128,Z154))</f>
        <v>0</v>
      </c>
      <c r="AL44" s="301"/>
      <c r="BF44" s="301"/>
      <c r="BG44" s="301"/>
    </row>
    <row r="45" spans="2:59" ht="15.75">
      <c r="B45" s="705">
        <f t="shared" si="211"/>
        <v>2029</v>
      </c>
      <c r="C45" s="280">
        <f>IF('הנחות עבודה'!$C$4=$B$90,C103,IF('הנחות עבודה'!$C$4=$B$116,C129,C155))</f>
        <v>3.9942635100000001</v>
      </c>
      <c r="D45" s="281">
        <f>IF('הנחות עבודה'!$C$4=$B$90,D103,IF('הנחות עבודה'!$C$4=$B$116,D129,D155))</f>
        <v>12.653826450000002</v>
      </c>
      <c r="E45" s="281">
        <f>IF('הנחות עבודה'!$C$4=$B$90,E103,IF('הנחות עבודה'!$C$4=$B$116,E129,E155))</f>
        <v>0</v>
      </c>
      <c r="F45" s="281">
        <f>IF('הנחות עבודה'!$C$4=$B$90,F103,IF('הנחות עבודה'!$C$4=$B$116,F129,F155))</f>
        <v>0</v>
      </c>
      <c r="G45" s="529">
        <f>IF('הנחות עבודה'!$C$4=$B$90,G103,IF('הנחות עבודה'!$C$4=$B$116,G129,G155))</f>
        <v>3.9942635100000001</v>
      </c>
      <c r="H45" s="282">
        <f>IF('הנחות עבודה'!$C$4=$B$90,H103,IF('הנחות עבודה'!$C$4=$B$116,H129,H155))</f>
        <v>12.653826450000002</v>
      </c>
      <c r="I45" s="282">
        <f>IF('הנחות עבודה'!$C$4=$B$90,I103,IF('הנחות עבודה'!$C$4=$B$116,I129,I155))</f>
        <v>0</v>
      </c>
      <c r="J45" s="282">
        <f>IF('הנחות עבודה'!$C$4=$B$90,J103,IF('הנחות עבודה'!$C$4=$B$116,J129,J155))</f>
        <v>0</v>
      </c>
      <c r="K45" s="280">
        <f>IF('הנחות עבודה'!$C$4=$B$90,K103,IF('הנחות עבודה'!$C$4=$B$116,K129,K155))</f>
        <v>4.1236742500000005</v>
      </c>
      <c r="L45" s="281">
        <f>IF('הנחות עבודה'!$C$4=$B$90,L103,IF('הנחות עבודה'!$C$4=$B$116,L129,L155))</f>
        <v>11.408834520000001</v>
      </c>
      <c r="M45" s="281">
        <f>IF('הנחות עבודה'!$C$4=$B$90,M103,IF('הנחות עבודה'!$C$4=$B$116,M129,M155))</f>
        <v>0</v>
      </c>
      <c r="N45" s="281">
        <f>IF('הנחות עבודה'!$C$4=$B$90,N103,IF('הנחות עבודה'!$C$4=$B$116,N129,N155))</f>
        <v>0</v>
      </c>
      <c r="O45" s="529">
        <f>IF('הנחות עבודה'!$C$4=$B$90,O103,IF('הנחות עבודה'!$C$4=$B$116,O129,O155))</f>
        <v>4.1236742500000005</v>
      </c>
      <c r="P45" s="282">
        <f>IF('הנחות עבודה'!$C$4=$B$90,P103,IF('הנחות עבודה'!$C$4=$B$116,P129,P155))</f>
        <v>11.408834520000001</v>
      </c>
      <c r="Q45" s="282">
        <f>IF('הנחות עבודה'!$C$4=$B$90,Q103,IF('הנחות עבודה'!$C$4=$B$116,Q129,Q155))</f>
        <v>0</v>
      </c>
      <c r="R45" s="282">
        <f>IF('הנחות עבודה'!$C$4=$B$90,R103,IF('הנחות עבודה'!$C$4=$B$116,R129,R155))</f>
        <v>0</v>
      </c>
      <c r="S45" s="654">
        <f>IF('הנחות עבודה'!$C$4=$B$90,S103,IF('הנחות עבודה'!$C$4=$B$116,S129,S155))</f>
        <v>4.22</v>
      </c>
      <c r="T45" s="281">
        <f>IF('הנחות עבודה'!$C$4=$B$90,T103,IF('הנחות עבודה'!$C$4=$B$116,T129,T155))</f>
        <v>10.64</v>
      </c>
      <c r="U45" s="281">
        <f>IF('הנחות עבודה'!$C$4=$B$90,U103,IF('הנחות עבודה'!$C$4=$B$116,U129,U155))</f>
        <v>0</v>
      </c>
      <c r="V45" s="281">
        <f>IF('הנחות עבודה'!$C$4=$B$90,V103,IF('הנחות עבודה'!$C$4=$B$116,V129,V155))</f>
        <v>0</v>
      </c>
      <c r="W45" s="534">
        <f>IF('הנחות עבודה'!$C$4=$B$90,W103,IF('הנחות עבודה'!$C$4=$B$116,W129,W155))</f>
        <v>4.22</v>
      </c>
      <c r="X45" s="282">
        <f>IF('הנחות עבודה'!$C$4=$B$90,X103,IF('הנחות עבודה'!$C$4=$B$116,X129,X155))</f>
        <v>10.64</v>
      </c>
      <c r="Y45" s="282">
        <f>IF('הנחות עבודה'!$C$4=$B$90,Y103,IF('הנחות עבודה'!$C$4=$B$116,Y129,Y155))</f>
        <v>0</v>
      </c>
      <c r="Z45" s="708">
        <f>IF('הנחות עבודה'!$C$4=$B$90,Z103,IF('הנחות עבודה'!$C$4=$B$116,Z129,Z155))</f>
        <v>0</v>
      </c>
      <c r="AL45" s="301"/>
      <c r="BF45" s="301"/>
      <c r="BG45" s="301"/>
    </row>
    <row r="46" spans="2:59" ht="15.75">
      <c r="B46" s="705">
        <f t="shared" si="211"/>
        <v>2030</v>
      </c>
      <c r="C46" s="280">
        <f>IF('הנחות עבודה'!$C$4=$B$90,C104,IF('הנחות עבודה'!$C$4=$B$116,C130,C156))</f>
        <v>3.9586252900000005</v>
      </c>
      <c r="D46" s="281">
        <f>IF('הנחות עבודה'!$C$4=$B$90,D104,IF('הנחות עבודה'!$C$4=$B$116,D130,D156))</f>
        <v>12.905989439999999</v>
      </c>
      <c r="E46" s="281">
        <f>IF('הנחות עבודה'!$C$4=$B$90,E104,IF('הנחות עבודה'!$C$4=$B$116,E130,E156))</f>
        <v>0</v>
      </c>
      <c r="F46" s="281">
        <f>IF('הנחות עבודה'!$C$4=$B$90,F104,IF('הנחות עבודה'!$C$4=$B$116,F130,F156))</f>
        <v>0</v>
      </c>
      <c r="G46" s="529">
        <f>IF('הנחות עבודה'!$C$4=$B$90,G104,IF('הנחות עבודה'!$C$4=$B$116,G130,G156))</f>
        <v>3.9586252900000005</v>
      </c>
      <c r="H46" s="282">
        <f>IF('הנחות עבודה'!$C$4=$B$90,H104,IF('הנחות עבודה'!$C$4=$B$116,H130,H156))</f>
        <v>12.905989439999999</v>
      </c>
      <c r="I46" s="282">
        <f>IF('הנחות עבודה'!$C$4=$B$90,I104,IF('הנחות עבודה'!$C$4=$B$116,I130,I156))</f>
        <v>0</v>
      </c>
      <c r="J46" s="282">
        <f>IF('הנחות עבודה'!$C$4=$B$90,J104,IF('הנחות עבודה'!$C$4=$B$116,J130,J156))</f>
        <v>0</v>
      </c>
      <c r="K46" s="280">
        <f>IF('הנחות עבודה'!$C$4=$B$90,K104,IF('הנחות עבודה'!$C$4=$B$116,K130,K156))</f>
        <v>4.1737950499999998</v>
      </c>
      <c r="L46" s="281">
        <f>IF('הנחות עבודה'!$C$4=$B$90,L104,IF('הנחות עבודה'!$C$4=$B$116,L130,L156))</f>
        <v>11.47671615</v>
      </c>
      <c r="M46" s="281">
        <f>IF('הנחות עבודה'!$C$4=$B$90,M104,IF('הנחות עבודה'!$C$4=$B$116,M130,M156))</f>
        <v>0</v>
      </c>
      <c r="N46" s="281">
        <f>IF('הנחות עבודה'!$C$4=$B$90,N104,IF('הנחות עבודה'!$C$4=$B$116,N130,N156))</f>
        <v>0</v>
      </c>
      <c r="O46" s="529">
        <f>IF('הנחות עבודה'!$C$4=$B$90,O104,IF('הנחות עבודה'!$C$4=$B$116,O130,O156))</f>
        <v>4.1737950499999998</v>
      </c>
      <c r="P46" s="282">
        <f>IF('הנחות עבודה'!$C$4=$B$90,P104,IF('הנחות עבודה'!$C$4=$B$116,P130,P156))</f>
        <v>11.47671615</v>
      </c>
      <c r="Q46" s="282">
        <f>IF('הנחות עבודה'!$C$4=$B$90,Q104,IF('הנחות עבודה'!$C$4=$B$116,Q130,Q156))</f>
        <v>0</v>
      </c>
      <c r="R46" s="282">
        <f>IF('הנחות עבודה'!$C$4=$B$90,R104,IF('הנחות עבודה'!$C$4=$B$116,R130,R156))</f>
        <v>0</v>
      </c>
      <c r="S46" s="654">
        <f>IF('הנחות עבודה'!$C$4=$B$90,S104,IF('הנחות עבודה'!$C$4=$B$116,S130,S156))</f>
        <v>4.25</v>
      </c>
      <c r="T46" s="281">
        <f>IF('הנחות עבודה'!$C$4=$B$90,T104,IF('הנחות עבודה'!$C$4=$B$116,T130,T156))</f>
        <v>10.690000000000001</v>
      </c>
      <c r="U46" s="281">
        <f>IF('הנחות עבודה'!$C$4=$B$90,U104,IF('הנחות עבודה'!$C$4=$B$116,U130,U156))</f>
        <v>0</v>
      </c>
      <c r="V46" s="281">
        <f>IF('הנחות עבודה'!$C$4=$B$90,V104,IF('הנחות עבודה'!$C$4=$B$116,V130,V156))</f>
        <v>0</v>
      </c>
      <c r="W46" s="534">
        <f>IF('הנחות עבודה'!$C$4=$B$90,W104,IF('הנחות עבודה'!$C$4=$B$116,W130,W156))</f>
        <v>4.25</v>
      </c>
      <c r="X46" s="282">
        <f>IF('הנחות עבודה'!$C$4=$B$90,X104,IF('הנחות עבודה'!$C$4=$B$116,X130,X156))</f>
        <v>10.690000000000001</v>
      </c>
      <c r="Y46" s="282">
        <f>IF('הנחות עבודה'!$C$4=$B$90,Y104,IF('הנחות עבודה'!$C$4=$B$116,Y130,Y156))</f>
        <v>0</v>
      </c>
      <c r="Z46" s="708">
        <f>IF('הנחות עבודה'!$C$4=$B$90,Z104,IF('הנחות עבודה'!$C$4=$B$116,Z130,Z156))</f>
        <v>0</v>
      </c>
      <c r="AL46" s="301"/>
      <c r="BF46" s="301"/>
    </row>
    <row r="47" spans="2:59" ht="15.75">
      <c r="B47" s="705">
        <f t="shared" si="211"/>
        <v>2031</v>
      </c>
      <c r="C47" s="280">
        <f>IF('הנחות עבודה'!$C$4=$B$90,C105,IF('הנחות עבודה'!$C$4=$B$116,C131,C157))</f>
        <v>3.94491492</v>
      </c>
      <c r="D47" s="281">
        <f>IF('הנחות עבודה'!$C$4=$B$90,D105,IF('הנחות עבודה'!$C$4=$B$116,D131,D157))</f>
        <v>13.29685883</v>
      </c>
      <c r="E47" s="281">
        <f>IF('הנחות עבודה'!$C$4=$B$90,E105,IF('הנחות עבודה'!$C$4=$B$116,E131,E157))</f>
        <v>0</v>
      </c>
      <c r="F47" s="281">
        <f>IF('הנחות עבודה'!$C$4=$B$90,F105,IF('הנחות עבודה'!$C$4=$B$116,F131,F157))</f>
        <v>0</v>
      </c>
      <c r="G47" s="529">
        <f>IF('הנחות עבודה'!$C$4=$B$90,G105,IF('הנחות עבודה'!$C$4=$B$116,G131,G157))</f>
        <v>3.94491492</v>
      </c>
      <c r="H47" s="282">
        <f>IF('הנחות עבודה'!$C$4=$B$90,H105,IF('הנחות עבודה'!$C$4=$B$116,H131,H157))</f>
        <v>13.29685883</v>
      </c>
      <c r="I47" s="282">
        <f>IF('הנחות עבודה'!$C$4=$B$90,I105,IF('הנחות עבודה'!$C$4=$B$116,I131,I157))</f>
        <v>0</v>
      </c>
      <c r="J47" s="282">
        <f>IF('הנחות עבודה'!$C$4=$B$90,J105,IF('הנחות עבודה'!$C$4=$B$116,J131,J157))</f>
        <v>0</v>
      </c>
      <c r="K47" s="280">
        <f>IF('הנחות עבודה'!$C$4=$B$90,K105,IF('הנחות עבודה'!$C$4=$B$116,K131,K157))</f>
        <v>4.1695551799999997</v>
      </c>
      <c r="L47" s="281">
        <f>IF('הנחות עבודה'!$C$4=$B$90,L105,IF('הנחות עבודה'!$C$4=$B$116,L131,L157))</f>
        <v>11.878877289999998</v>
      </c>
      <c r="M47" s="281">
        <f>IF('הנחות עבודה'!$C$4=$B$90,M105,IF('הנחות עבודה'!$C$4=$B$116,M131,M157))</f>
        <v>0</v>
      </c>
      <c r="N47" s="281">
        <f>IF('הנחות עבודה'!$C$4=$B$90,N105,IF('הנחות עבודה'!$C$4=$B$116,N131,N157))</f>
        <v>0</v>
      </c>
      <c r="O47" s="529">
        <f>IF('הנחות עבודה'!$C$4=$B$90,O105,IF('הנחות עבודה'!$C$4=$B$116,O131,O157))</f>
        <v>4.1695551799999997</v>
      </c>
      <c r="P47" s="282">
        <f>IF('הנחות עבודה'!$C$4=$B$90,P105,IF('הנחות עבודה'!$C$4=$B$116,P131,P157))</f>
        <v>11.878877289999998</v>
      </c>
      <c r="Q47" s="282">
        <f>IF('הנחות עבודה'!$C$4=$B$90,Q105,IF('הנחות עבודה'!$C$4=$B$116,Q131,Q157))</f>
        <v>0</v>
      </c>
      <c r="R47" s="282">
        <f>IF('הנחות עבודה'!$C$4=$B$90,R105,IF('הנחות עבודה'!$C$4=$B$116,R131,R157))</f>
        <v>0</v>
      </c>
      <c r="S47" s="654">
        <f>IF('הנחות עבודה'!$C$4=$B$90,S105,IF('הנחות עבודה'!$C$4=$B$116,S131,S157))</f>
        <v>4.25</v>
      </c>
      <c r="T47" s="281">
        <f>IF('הנחות עבודה'!$C$4=$B$90,T105,IF('הנחות עבודה'!$C$4=$B$116,T131,T157))</f>
        <v>11.07</v>
      </c>
      <c r="U47" s="281">
        <f>IF('הנחות עבודה'!$C$4=$B$90,U105,IF('הנחות עבודה'!$C$4=$B$116,U131,U157))</f>
        <v>0</v>
      </c>
      <c r="V47" s="281">
        <f>IF('הנחות עבודה'!$C$4=$B$90,V105,IF('הנחות עבודה'!$C$4=$B$116,V131,V157))</f>
        <v>0</v>
      </c>
      <c r="W47" s="534">
        <f>IF('הנחות עבודה'!$C$4=$B$90,W105,IF('הנחות עבודה'!$C$4=$B$116,W131,W157))</f>
        <v>4.25</v>
      </c>
      <c r="X47" s="282">
        <f>IF('הנחות עבודה'!$C$4=$B$90,X105,IF('הנחות עבודה'!$C$4=$B$116,X131,X157))</f>
        <v>11.07</v>
      </c>
      <c r="Y47" s="282">
        <f>IF('הנחות עבודה'!$C$4=$B$90,Y105,IF('הנחות עבודה'!$C$4=$B$116,Y131,Y157))</f>
        <v>0</v>
      </c>
      <c r="Z47" s="708">
        <f>IF('הנחות עבודה'!$C$4=$B$90,Z105,IF('הנחות עבודה'!$C$4=$B$116,Z131,Z157))</f>
        <v>0</v>
      </c>
      <c r="AL47" s="301"/>
      <c r="BF47" s="301"/>
    </row>
    <row r="48" spans="2:59" ht="15.75">
      <c r="B48" s="705">
        <f t="shared" si="211"/>
        <v>2032</v>
      </c>
      <c r="C48" s="280">
        <f>IF('הנחות עבודה'!$C$4=$B$90,C106,IF('הנחות עבודה'!$C$4=$B$116,C132,C158))</f>
        <v>3.9437201800000001</v>
      </c>
      <c r="D48" s="281">
        <f>IF('הנחות עבודה'!$C$4=$B$90,D106,IF('הנחות עבודה'!$C$4=$B$116,D132,D158))</f>
        <v>13.714944980000002</v>
      </c>
      <c r="E48" s="281">
        <f>IF('הנחות עבודה'!$C$4=$B$90,E106,IF('הנחות עבודה'!$C$4=$B$116,E132,E158))</f>
        <v>0</v>
      </c>
      <c r="F48" s="281">
        <f>IF('הנחות עבודה'!$C$4=$B$90,F106,IF('הנחות עבודה'!$C$4=$B$116,F132,F158))</f>
        <v>0</v>
      </c>
      <c r="G48" s="529">
        <f>IF('הנחות עבודה'!$C$4=$B$90,G106,IF('הנחות עבודה'!$C$4=$B$116,G132,G158))</f>
        <v>3.9437201800000001</v>
      </c>
      <c r="H48" s="282">
        <f>IF('הנחות עבודה'!$C$4=$B$90,H106,IF('הנחות עבודה'!$C$4=$B$116,H132,H158))</f>
        <v>13.714944980000002</v>
      </c>
      <c r="I48" s="282">
        <f>IF('הנחות עבודה'!$C$4=$B$90,I106,IF('הנחות עבודה'!$C$4=$B$116,I132,I158))</f>
        <v>0</v>
      </c>
      <c r="J48" s="282">
        <f>IF('הנחות עבודה'!$C$4=$B$90,J106,IF('הנחות עבודה'!$C$4=$B$116,J132,J158))</f>
        <v>0</v>
      </c>
      <c r="K48" s="280">
        <f>IF('הנחות עבודה'!$C$4=$B$90,K106,IF('הנחות עבודה'!$C$4=$B$116,K132,K158))</f>
        <v>4.1849119600000009</v>
      </c>
      <c r="L48" s="281">
        <f>IF('הנחות עבודה'!$C$4=$B$90,L106,IF('הנחות עבודה'!$C$4=$B$116,L132,L158))</f>
        <v>12.257405890000001</v>
      </c>
      <c r="M48" s="281">
        <f>IF('הנחות עבודה'!$C$4=$B$90,M106,IF('הנחות עבודה'!$C$4=$B$116,M132,M158))</f>
        <v>0</v>
      </c>
      <c r="N48" s="281">
        <f>IF('הנחות עבודה'!$C$4=$B$90,N106,IF('הנחות עבודה'!$C$4=$B$116,N132,N158))</f>
        <v>0</v>
      </c>
      <c r="O48" s="529">
        <f>IF('הנחות עבודה'!$C$4=$B$90,O106,IF('הנחות עבודה'!$C$4=$B$116,O132,O158))</f>
        <v>4.1849119600000009</v>
      </c>
      <c r="P48" s="282">
        <f>IF('הנחות עבודה'!$C$4=$B$90,P106,IF('הנחות עבודה'!$C$4=$B$116,P132,P158))</f>
        <v>12.257405890000001</v>
      </c>
      <c r="Q48" s="282">
        <f>IF('הנחות עבודה'!$C$4=$B$90,Q106,IF('הנחות עבודה'!$C$4=$B$116,Q132,Q158))</f>
        <v>0</v>
      </c>
      <c r="R48" s="282">
        <f>IF('הנחות עבודה'!$C$4=$B$90,R106,IF('הנחות עבודה'!$C$4=$B$116,R132,R158))</f>
        <v>0</v>
      </c>
      <c r="S48" s="654">
        <f>IF('הנחות עבודה'!$C$4=$B$90,S106,IF('הנחות עבודה'!$C$4=$B$116,S132,S158))</f>
        <v>4.2699999999999996</v>
      </c>
      <c r="T48" s="281">
        <f>IF('הנחות עבודה'!$C$4=$B$90,T106,IF('הנחות עבודה'!$C$4=$B$116,T132,T158))</f>
        <v>11.42</v>
      </c>
      <c r="U48" s="281">
        <f>IF('הנחות עבודה'!$C$4=$B$90,U106,IF('הנחות עבודה'!$C$4=$B$116,U132,U158))</f>
        <v>0</v>
      </c>
      <c r="V48" s="281">
        <f>IF('הנחות עבודה'!$C$4=$B$90,V106,IF('הנחות עבודה'!$C$4=$B$116,V132,V158))</f>
        <v>0</v>
      </c>
      <c r="W48" s="534">
        <f>IF('הנחות עבודה'!$C$4=$B$90,W106,IF('הנחות עבודה'!$C$4=$B$116,W132,W158))</f>
        <v>4.2699999999999996</v>
      </c>
      <c r="X48" s="282">
        <f>IF('הנחות עבודה'!$C$4=$B$90,X106,IF('הנחות עבודה'!$C$4=$B$116,X132,X158))</f>
        <v>11.42</v>
      </c>
      <c r="Y48" s="282">
        <f>IF('הנחות עבודה'!$C$4=$B$90,Y106,IF('הנחות עבודה'!$C$4=$B$116,Y132,Y158))</f>
        <v>0</v>
      </c>
      <c r="Z48" s="708">
        <f>IF('הנחות עבודה'!$C$4=$B$90,Z106,IF('הנחות עבודה'!$C$4=$B$116,Z132,Z158))</f>
        <v>0</v>
      </c>
      <c r="BF48" s="301"/>
    </row>
    <row r="49" spans="2:76" ht="15.75">
      <c r="B49" s="705">
        <f t="shared" si="211"/>
        <v>2033</v>
      </c>
      <c r="C49" s="280">
        <f>IF('הנחות עבודה'!$C$4=$B$90,C107,IF('הנחות עבודה'!$C$4=$B$116,C133,C159))</f>
        <v>4.0194696099999998</v>
      </c>
      <c r="D49" s="281">
        <f>IF('הנחות עבודה'!$C$4=$B$90,D107,IF('הנחות עבודה'!$C$4=$B$116,D133,D159))</f>
        <v>14.058389020000002</v>
      </c>
      <c r="E49" s="281">
        <f>IF('הנחות עבודה'!$C$4=$B$90,E107,IF('הנחות עבודה'!$C$4=$B$116,E133,E159))</f>
        <v>0</v>
      </c>
      <c r="F49" s="281">
        <f>IF('הנחות עבודה'!$C$4=$B$90,F107,IF('הנחות עבודה'!$C$4=$B$116,F133,F159))</f>
        <v>0</v>
      </c>
      <c r="G49" s="529">
        <f>IF('הנחות עבודה'!$C$4=$B$90,G107,IF('הנחות עבודה'!$C$4=$B$116,G133,G159))</f>
        <v>4.0194696099999998</v>
      </c>
      <c r="H49" s="282">
        <f>IF('הנחות עבודה'!$C$4=$B$90,H107,IF('הנחות עבודה'!$C$4=$B$116,H133,H159))</f>
        <v>14.058389020000002</v>
      </c>
      <c r="I49" s="282">
        <f>IF('הנחות עבודה'!$C$4=$B$90,I107,IF('הנחות עבודה'!$C$4=$B$116,I133,I159))</f>
        <v>0</v>
      </c>
      <c r="J49" s="282">
        <f>IF('הנחות עבודה'!$C$4=$B$90,J107,IF('הנחות עבודה'!$C$4=$B$116,J133,J159))</f>
        <v>0</v>
      </c>
      <c r="K49" s="280">
        <f>IF('הנחות עבודה'!$C$4=$B$90,K107,IF('הנחות עבודה'!$C$4=$B$116,K133,K159))</f>
        <v>4.2611276300000007</v>
      </c>
      <c r="L49" s="281">
        <f>IF('הנחות עבודה'!$C$4=$B$90,L107,IF('הנחות עבודה'!$C$4=$B$116,L133,L159))</f>
        <v>12.565444830000001</v>
      </c>
      <c r="M49" s="281">
        <f>IF('הנחות עבודה'!$C$4=$B$90,M107,IF('הנחות עבודה'!$C$4=$B$116,M133,M159))</f>
        <v>0</v>
      </c>
      <c r="N49" s="281">
        <f>IF('הנחות עבודה'!$C$4=$B$90,N107,IF('הנחות עבודה'!$C$4=$B$116,N133,N159))</f>
        <v>0</v>
      </c>
      <c r="O49" s="529">
        <f>IF('הנחות עבודה'!$C$4=$B$90,O107,IF('הנחות עבודה'!$C$4=$B$116,O133,O159))</f>
        <v>4.2611276300000007</v>
      </c>
      <c r="P49" s="282">
        <f>IF('הנחות עבודה'!$C$4=$B$90,P107,IF('הנחות עבודה'!$C$4=$B$116,P133,P159))</f>
        <v>12.565444830000001</v>
      </c>
      <c r="Q49" s="282">
        <f>IF('הנחות עבודה'!$C$4=$B$90,Q107,IF('הנחות עבודה'!$C$4=$B$116,Q133,Q159))</f>
        <v>0</v>
      </c>
      <c r="R49" s="282">
        <f>IF('הנחות עבודה'!$C$4=$B$90,R107,IF('הנחות עבודה'!$C$4=$B$116,R133,R159))</f>
        <v>0</v>
      </c>
      <c r="S49" s="654">
        <f>IF('הנחות עבודה'!$C$4=$B$90,S107,IF('הנחות עבודה'!$C$4=$B$116,S133,S159))</f>
        <v>4.3600000000000003</v>
      </c>
      <c r="T49" s="281">
        <f>IF('הנחות עבודה'!$C$4=$B$90,T107,IF('הנחות עבודה'!$C$4=$B$116,T133,T159))</f>
        <v>11.73</v>
      </c>
      <c r="U49" s="281">
        <f>IF('הנחות עבודה'!$C$4=$B$90,U107,IF('הנחות עבודה'!$C$4=$B$116,U133,U159))</f>
        <v>0</v>
      </c>
      <c r="V49" s="281">
        <f>IF('הנחות עבודה'!$C$4=$B$90,V107,IF('הנחות עבודה'!$C$4=$B$116,V133,V159))</f>
        <v>0</v>
      </c>
      <c r="W49" s="534">
        <f>IF('הנחות עבודה'!$C$4=$B$90,W107,IF('הנחות עבודה'!$C$4=$B$116,W133,W159))</f>
        <v>4.3600000000000003</v>
      </c>
      <c r="X49" s="282">
        <f>IF('הנחות עבודה'!$C$4=$B$90,X107,IF('הנחות עבודה'!$C$4=$B$116,X133,X159))</f>
        <v>11.73</v>
      </c>
      <c r="Y49" s="282">
        <f>IF('הנחות עבודה'!$C$4=$B$90,Y107,IF('הנחות עבודה'!$C$4=$B$116,Y133,Y159))</f>
        <v>0</v>
      </c>
      <c r="Z49" s="708">
        <f>IF('הנחות עבודה'!$C$4=$B$90,Z107,IF('הנחות עבודה'!$C$4=$B$116,Z133,Z159))</f>
        <v>0</v>
      </c>
    </row>
    <row r="50" spans="2:76" ht="15.75">
      <c r="B50" s="705">
        <f t="shared" si="211"/>
        <v>2034</v>
      </c>
      <c r="C50" s="280">
        <f>IF('הנחות עבודה'!$C$4=$B$90,C108,IF('הנחות עבודה'!$C$4=$B$116,C134,C160))</f>
        <v>3.9999895200000006</v>
      </c>
      <c r="D50" s="281">
        <f>IF('הנחות עבודה'!$C$4=$B$90,D108,IF('הנחות עבודה'!$C$4=$B$116,D134,D160))</f>
        <v>14.517140040000001</v>
      </c>
      <c r="E50" s="281">
        <f>IF('הנחות עבודה'!$C$4=$B$90,E108,IF('הנחות עבודה'!$C$4=$B$116,E134,E160))</f>
        <v>0</v>
      </c>
      <c r="F50" s="281">
        <f>IF('הנחות עבודה'!$C$4=$B$90,F108,IF('הנחות עבודה'!$C$4=$B$116,F134,F160))</f>
        <v>0</v>
      </c>
      <c r="G50" s="529">
        <f>IF('הנחות עבודה'!$C$4=$B$90,G108,IF('הנחות עבודה'!$C$4=$B$116,G134,G160))</f>
        <v>3.9999895200000006</v>
      </c>
      <c r="H50" s="282">
        <f>IF('הנחות עבודה'!$C$4=$B$90,H108,IF('הנחות עבודה'!$C$4=$B$116,H134,H160))</f>
        <v>14.517140040000001</v>
      </c>
      <c r="I50" s="282">
        <f>IF('הנחות עבודה'!$C$4=$B$90,I108,IF('הנחות עבודה'!$C$4=$B$116,I134,I160))</f>
        <v>0</v>
      </c>
      <c r="J50" s="282">
        <f>IF('הנחות עבודה'!$C$4=$B$90,J108,IF('הנחות עבודה'!$C$4=$B$116,J134,J160))</f>
        <v>0</v>
      </c>
      <c r="K50" s="280">
        <f>IF('הנחות עבודה'!$C$4=$B$90,K108,IF('הנחות עבודה'!$C$4=$B$116,K134,K160))</f>
        <v>4.2442118600000001</v>
      </c>
      <c r="L50" s="281">
        <f>IF('הנחות עבודה'!$C$4=$B$90,L108,IF('הנחות עבודה'!$C$4=$B$116,L134,L160))</f>
        <v>12.990335170000003</v>
      </c>
      <c r="M50" s="281">
        <f>IF('הנחות עבודה'!$C$4=$B$90,M108,IF('הנחות עבודה'!$C$4=$B$116,M134,M160))</f>
        <v>0</v>
      </c>
      <c r="N50" s="281">
        <f>IF('הנחות עבודה'!$C$4=$B$90,N108,IF('הנחות עבודה'!$C$4=$B$116,N134,N160))</f>
        <v>0</v>
      </c>
      <c r="O50" s="529">
        <f>IF('הנחות עבודה'!$C$4=$B$90,O108,IF('הנחות עבודה'!$C$4=$B$116,O134,O160))</f>
        <v>4.2442118600000001</v>
      </c>
      <c r="P50" s="282">
        <f>IF('הנחות עבודה'!$C$4=$B$90,P108,IF('הנחות עבודה'!$C$4=$B$116,P134,P160))</f>
        <v>12.990335170000003</v>
      </c>
      <c r="Q50" s="282">
        <f>IF('הנחות עבודה'!$C$4=$B$90,Q108,IF('הנחות עבודה'!$C$4=$B$116,Q134,Q160))</f>
        <v>0</v>
      </c>
      <c r="R50" s="282">
        <f>IF('הנחות עבודה'!$C$4=$B$90,R108,IF('הנחות עבודה'!$C$4=$B$116,R134,R160))</f>
        <v>0</v>
      </c>
      <c r="S50" s="654">
        <f>IF('הנחות עבודה'!$C$4=$B$90,S108,IF('הנחות עבודה'!$C$4=$B$116,S134,S160))</f>
        <v>4.34</v>
      </c>
      <c r="T50" s="281">
        <f>IF('הנחות עבודה'!$C$4=$B$90,T108,IF('הנחות עבודה'!$C$4=$B$116,T134,T160))</f>
        <v>12.15</v>
      </c>
      <c r="U50" s="281">
        <f>IF('הנחות עבודה'!$C$4=$B$90,U108,IF('הנחות עבודה'!$C$4=$B$116,U134,U160))</f>
        <v>0</v>
      </c>
      <c r="V50" s="281">
        <f>IF('הנחות עבודה'!$C$4=$B$90,V108,IF('הנחות עבודה'!$C$4=$B$116,V134,V160))</f>
        <v>0</v>
      </c>
      <c r="W50" s="534">
        <f>IF('הנחות עבודה'!$C$4=$B$90,W108,IF('הנחות עבודה'!$C$4=$B$116,W134,W160))</f>
        <v>4.34</v>
      </c>
      <c r="X50" s="282">
        <f>IF('הנחות עבודה'!$C$4=$B$90,X108,IF('הנחות עבודה'!$C$4=$B$116,X134,X160))</f>
        <v>12.15</v>
      </c>
      <c r="Y50" s="282">
        <f>IF('הנחות עבודה'!$C$4=$B$90,Y108,IF('הנחות עבודה'!$C$4=$B$116,Y134,Y160))</f>
        <v>0</v>
      </c>
      <c r="Z50" s="708">
        <f>IF('הנחות עבודה'!$C$4=$B$90,Z108,IF('הנחות עבודה'!$C$4=$B$116,Z134,Z160))</f>
        <v>0</v>
      </c>
    </row>
    <row r="51" spans="2:76" ht="15.75">
      <c r="B51" s="705">
        <f t="shared" si="211"/>
        <v>2035</v>
      </c>
      <c r="C51" s="280">
        <f>IF('הנחות עבודה'!$C$4=$B$90,C109,IF('הנחות עבודה'!$C$4=$B$116,C135,C161))</f>
        <v>4.0241174400000004</v>
      </c>
      <c r="D51" s="281">
        <f>IF('הנחות עבודה'!$C$4=$B$90,D109,IF('הנחות עבודה'!$C$4=$B$116,D135,D161))</f>
        <v>14.96899945</v>
      </c>
      <c r="E51" s="281">
        <f>IF('הנחות עבודה'!$C$4=$B$90,E109,IF('הנחות עבודה'!$C$4=$B$116,E135,E161))</f>
        <v>0</v>
      </c>
      <c r="F51" s="281">
        <f>IF('הנחות עבודה'!$C$4=$B$90,F109,IF('הנחות עבודה'!$C$4=$B$116,F135,F161))</f>
        <v>0</v>
      </c>
      <c r="G51" s="529">
        <f>IF('הנחות עבודה'!$C$4=$B$90,G109,IF('הנחות עבודה'!$C$4=$B$116,G135,G161))</f>
        <v>4.0241174400000004</v>
      </c>
      <c r="H51" s="282">
        <f>IF('הנחות עבודה'!$C$4=$B$90,H109,IF('הנחות עבודה'!$C$4=$B$116,H135,H161))</f>
        <v>14.96899945</v>
      </c>
      <c r="I51" s="282">
        <f>IF('הנחות עבודה'!$C$4=$B$90,I109,IF('הנחות עבודה'!$C$4=$B$116,I135,I161))</f>
        <v>0</v>
      </c>
      <c r="J51" s="282">
        <f>IF('הנחות עבודה'!$C$4=$B$90,J109,IF('הנחות עבודה'!$C$4=$B$116,J135,J161))</f>
        <v>0</v>
      </c>
      <c r="K51" s="280">
        <f>IF('הנחות עבודה'!$C$4=$B$90,K109,IF('הנחות עבודה'!$C$4=$B$116,K135,K161))</f>
        <v>4.2784805000000006</v>
      </c>
      <c r="L51" s="281">
        <f>IF('הנחות עבודה'!$C$4=$B$90,L109,IF('הנחות עבודה'!$C$4=$B$116,L135,L161))</f>
        <v>13.414220179999999</v>
      </c>
      <c r="M51" s="281">
        <f>IF('הנחות עבודה'!$C$4=$B$90,M109,IF('הנחות עבודה'!$C$4=$B$116,M135,M161))</f>
        <v>0</v>
      </c>
      <c r="N51" s="281">
        <f>IF('הנחות עבודה'!$C$4=$B$90,N109,IF('הנחות עבודה'!$C$4=$B$116,N135,N161))</f>
        <v>0</v>
      </c>
      <c r="O51" s="529">
        <f>IF('הנחות עבודה'!$C$4=$B$90,O109,IF('הנחות עבודה'!$C$4=$B$116,O135,O161))</f>
        <v>4.2784805000000006</v>
      </c>
      <c r="P51" s="282">
        <f>IF('הנחות עבודה'!$C$4=$B$90,P109,IF('הנחות עבודה'!$C$4=$B$116,P135,P161))</f>
        <v>13.414220179999999</v>
      </c>
      <c r="Q51" s="282">
        <f>IF('הנחות עבודה'!$C$4=$B$90,Q109,IF('הנחות עבודה'!$C$4=$B$116,Q135,Q161))</f>
        <v>0</v>
      </c>
      <c r="R51" s="282">
        <f>IF('הנחות עבודה'!$C$4=$B$90,R109,IF('הנחות עבודה'!$C$4=$B$116,R135,R161))</f>
        <v>0</v>
      </c>
      <c r="S51" s="654">
        <f>IF('הנחות עבודה'!$C$4=$B$90,S109,IF('הנחות עבודה'!$C$4=$B$116,S135,S161))</f>
        <v>4.3600000000000003</v>
      </c>
      <c r="T51" s="281">
        <f>IF('הנחות עבודה'!$C$4=$B$90,T109,IF('הנחות עבודה'!$C$4=$B$116,T135,T161))</f>
        <v>12.54</v>
      </c>
      <c r="U51" s="281">
        <f>IF('הנחות עבודה'!$C$4=$B$90,U109,IF('הנחות עבודה'!$C$4=$B$116,U135,U161))</f>
        <v>0</v>
      </c>
      <c r="V51" s="281">
        <f>IF('הנחות עבודה'!$C$4=$B$90,V109,IF('הנחות עבודה'!$C$4=$B$116,V135,V161))</f>
        <v>0</v>
      </c>
      <c r="W51" s="534">
        <f>IF('הנחות עבודה'!$C$4=$B$90,W109,IF('הנחות עבודה'!$C$4=$B$116,W135,W161))</f>
        <v>4.3600000000000003</v>
      </c>
      <c r="X51" s="282">
        <f>IF('הנחות עבודה'!$C$4=$B$90,X109,IF('הנחות עבודה'!$C$4=$B$116,X135,X161))</f>
        <v>12.54</v>
      </c>
      <c r="Y51" s="282">
        <f>IF('הנחות עבודה'!$C$4=$B$90,Y109,IF('הנחות עבודה'!$C$4=$B$116,Y135,Y161))</f>
        <v>0</v>
      </c>
      <c r="Z51" s="708">
        <f>IF('הנחות עבודה'!$C$4=$B$90,Z109,IF('הנחות עבודה'!$C$4=$B$116,Z135,Z161))</f>
        <v>0</v>
      </c>
    </row>
    <row r="52" spans="2:76" ht="15.75">
      <c r="B52" s="705">
        <f t="shared" si="211"/>
        <v>2036</v>
      </c>
      <c r="C52" s="280">
        <f>IF('הנחות עבודה'!$C$4=$B$90,C110,IF('הנחות עבודה'!$C$4=$B$116,C136,C162))</f>
        <v>4.1016589799999998</v>
      </c>
      <c r="D52" s="281">
        <f>IF('הנחות עבודה'!$C$4=$B$90,D110,IF('הנחות עבודה'!$C$4=$B$116,D136,D162))</f>
        <v>15.405035840000002</v>
      </c>
      <c r="E52" s="281">
        <f>IF('הנחות עבודה'!$C$4=$B$90,E110,IF('הנחות עבודה'!$C$4=$B$116,E136,E162))</f>
        <v>0</v>
      </c>
      <c r="F52" s="281">
        <f>IF('הנחות עבודה'!$C$4=$B$90,F110,IF('הנחות עבודה'!$C$4=$B$116,F136,F162))</f>
        <v>0</v>
      </c>
      <c r="G52" s="529">
        <f>IF('הנחות עבודה'!$C$4=$B$90,G110,IF('הנחות עבודה'!$C$4=$B$116,G136,G162))</f>
        <v>4.1016589799999998</v>
      </c>
      <c r="H52" s="282">
        <f>IF('הנחות עבודה'!$C$4=$B$90,H110,IF('הנחות עבודה'!$C$4=$B$116,H136,H162))</f>
        <v>15.405035840000002</v>
      </c>
      <c r="I52" s="282">
        <f>IF('הנחות עבודה'!$C$4=$B$90,I110,IF('הנחות עבודה'!$C$4=$B$116,I136,I162))</f>
        <v>0</v>
      </c>
      <c r="J52" s="282">
        <f>IF('הנחות עבודה'!$C$4=$B$90,J110,IF('הנחות עבודה'!$C$4=$B$116,J136,J162))</f>
        <v>0</v>
      </c>
      <c r="K52" s="280">
        <f>IF('הנחות עבודה'!$C$4=$B$90,K110,IF('הנחות עבודה'!$C$4=$B$116,K136,K162))</f>
        <v>4.3205149499999997</v>
      </c>
      <c r="L52" s="281">
        <f>IF('הנחות עבודה'!$C$4=$B$90,L110,IF('הנחות עבודה'!$C$4=$B$116,L136,L162))</f>
        <v>13.844865670000001</v>
      </c>
      <c r="M52" s="281">
        <f>IF('הנחות עבודה'!$C$4=$B$90,M110,IF('הנחות עבודה'!$C$4=$B$116,M136,M162))</f>
        <v>0</v>
      </c>
      <c r="N52" s="281">
        <f>IF('הנחות עבודה'!$C$4=$B$90,N110,IF('הנחות עבודה'!$C$4=$B$116,N136,N162))</f>
        <v>0</v>
      </c>
      <c r="O52" s="529">
        <f>IF('הנחות עבודה'!$C$4=$B$90,O110,IF('הנחות עבודה'!$C$4=$B$116,O136,O162))</f>
        <v>4.3205149499999997</v>
      </c>
      <c r="P52" s="282">
        <f>IF('הנחות עבודה'!$C$4=$B$90,P110,IF('הנחות עבודה'!$C$4=$B$116,P136,P162))</f>
        <v>13.844865670000001</v>
      </c>
      <c r="Q52" s="282">
        <f>IF('הנחות עבודה'!$C$4=$B$90,Q110,IF('הנחות עבודה'!$C$4=$B$116,Q136,Q162))</f>
        <v>0</v>
      </c>
      <c r="R52" s="282">
        <f>IF('הנחות עבודה'!$C$4=$B$90,R110,IF('הנחות עבודה'!$C$4=$B$116,R136,R162))</f>
        <v>0</v>
      </c>
      <c r="S52" s="654">
        <f>IF('הנחות עבודה'!$C$4=$B$90,S110,IF('הנחות עבודה'!$C$4=$B$116,S136,S162))</f>
        <v>4.4000000000000004</v>
      </c>
      <c r="T52" s="281">
        <f>IF('הנחות עבודה'!$C$4=$B$90,T110,IF('הנחות עבודה'!$C$4=$B$116,T136,T162))</f>
        <v>12.969999999999999</v>
      </c>
      <c r="U52" s="281">
        <f>IF('הנחות עבודה'!$C$4=$B$90,U110,IF('הנחות עבודה'!$C$4=$B$116,U136,U162))</f>
        <v>0</v>
      </c>
      <c r="V52" s="281">
        <f>IF('הנחות עבודה'!$C$4=$B$90,V110,IF('הנחות עבודה'!$C$4=$B$116,V136,V162))</f>
        <v>0</v>
      </c>
      <c r="W52" s="534">
        <f>IF('הנחות עבודה'!$C$4=$B$90,W110,IF('הנחות עבודה'!$C$4=$B$116,W136,W162))</f>
        <v>4.4000000000000004</v>
      </c>
      <c r="X52" s="282">
        <f>IF('הנחות עבודה'!$C$4=$B$90,X110,IF('הנחות עבודה'!$C$4=$B$116,X136,X162))</f>
        <v>12.969999999999999</v>
      </c>
      <c r="Y52" s="282">
        <f>IF('הנחות עבודה'!$C$4=$B$90,Y110,IF('הנחות עבודה'!$C$4=$B$116,Y136,Y162))</f>
        <v>0</v>
      </c>
      <c r="Z52" s="708">
        <f>IF('הנחות עבודה'!$C$4=$B$90,Z110,IF('הנחות עבודה'!$C$4=$B$116,Z136,Z162))</f>
        <v>0</v>
      </c>
    </row>
    <row r="53" spans="2:76" ht="15.75">
      <c r="B53" s="705">
        <f t="shared" si="211"/>
        <v>2037</v>
      </c>
      <c r="C53" s="280">
        <f>IF('הנחות עבודה'!$C$4=$B$90,C111,IF('הנחות עבודה'!$C$4=$B$116,C137,C163))</f>
        <v>4.1415516400000003</v>
      </c>
      <c r="D53" s="281">
        <f>IF('הנחות עבודה'!$C$4=$B$90,D111,IF('הנחות עבודה'!$C$4=$B$116,D137,D163))</f>
        <v>15.871159279999999</v>
      </c>
      <c r="E53" s="281">
        <f>IF('הנחות עבודה'!$C$4=$B$90,E111,IF('הנחות עבודה'!$C$4=$B$116,E137,E163))</f>
        <v>0</v>
      </c>
      <c r="F53" s="281">
        <f>IF('הנחות עבודה'!$C$4=$B$90,F111,IF('הנחות עבודה'!$C$4=$B$116,F137,F163))</f>
        <v>0</v>
      </c>
      <c r="G53" s="529">
        <f>IF('הנחות עבודה'!$C$4=$B$90,G111,IF('הנחות עבודה'!$C$4=$B$116,G137,G163))</f>
        <v>4.1415516400000003</v>
      </c>
      <c r="H53" s="282">
        <f>IF('הנחות עבודה'!$C$4=$B$90,H111,IF('הנחות עבודה'!$C$4=$B$116,H137,H163))</f>
        <v>15.871159279999999</v>
      </c>
      <c r="I53" s="282">
        <f>IF('הנחות עבודה'!$C$4=$B$90,I111,IF('הנחות עבודה'!$C$4=$B$116,I137,I163))</f>
        <v>0</v>
      </c>
      <c r="J53" s="282">
        <f>IF('הנחות עבודה'!$C$4=$B$90,J111,IF('הנחות עבודה'!$C$4=$B$116,J137,J163))</f>
        <v>0</v>
      </c>
      <c r="K53" s="280">
        <f>IF('הנחות עבודה'!$C$4=$B$90,K111,IF('הנחות עבודה'!$C$4=$B$116,K137,K163))</f>
        <v>4.3113504200000001</v>
      </c>
      <c r="L53" s="281">
        <f>IF('הנחות עבודה'!$C$4=$B$90,L111,IF('הנחות עבודה'!$C$4=$B$116,L137,L163))</f>
        <v>14.303470989999999</v>
      </c>
      <c r="M53" s="281">
        <f>IF('הנחות עבודה'!$C$4=$B$90,M111,IF('הנחות עבודה'!$C$4=$B$116,M137,M163))</f>
        <v>0</v>
      </c>
      <c r="N53" s="281">
        <f>IF('הנחות עבודה'!$C$4=$B$90,N111,IF('הנחות עבודה'!$C$4=$B$116,N137,N163))</f>
        <v>0</v>
      </c>
      <c r="O53" s="529">
        <f>IF('הנחות עבודה'!$C$4=$B$90,O111,IF('הנחות עבודה'!$C$4=$B$116,O137,O163))</f>
        <v>4.3113504200000001</v>
      </c>
      <c r="P53" s="282">
        <f>IF('הנחות עבודה'!$C$4=$B$90,P111,IF('הנחות עבודה'!$C$4=$B$116,P137,P163))</f>
        <v>14.303470989999999</v>
      </c>
      <c r="Q53" s="282">
        <f>IF('הנחות עבודה'!$C$4=$B$90,Q111,IF('הנחות עבודה'!$C$4=$B$116,Q137,Q163))</f>
        <v>0</v>
      </c>
      <c r="R53" s="282">
        <f>IF('הנחות עבודה'!$C$4=$B$90,R111,IF('הנחות עבודה'!$C$4=$B$116,R137,R163))</f>
        <v>0</v>
      </c>
      <c r="S53" s="654">
        <f>IF('הנחות עבודה'!$C$4=$B$90,S111,IF('הנחות עבודה'!$C$4=$B$116,S137,S163))</f>
        <v>4.3899999999999997</v>
      </c>
      <c r="T53" s="281">
        <f>IF('הנחות עבודה'!$C$4=$B$90,T111,IF('הנחות עבודה'!$C$4=$B$116,T137,T163))</f>
        <v>13.44</v>
      </c>
      <c r="U53" s="281">
        <f>IF('הנחות עבודה'!$C$4=$B$90,U111,IF('הנחות עבודה'!$C$4=$B$116,U137,U163))</f>
        <v>0</v>
      </c>
      <c r="V53" s="281">
        <f>IF('הנחות עבודה'!$C$4=$B$90,V111,IF('הנחות עבודה'!$C$4=$B$116,V137,V163))</f>
        <v>0</v>
      </c>
      <c r="W53" s="534">
        <f>IF('הנחות עבודה'!$C$4=$B$90,W111,IF('הנחות עבודה'!$C$4=$B$116,W137,W163))</f>
        <v>4.3899999999999997</v>
      </c>
      <c r="X53" s="282">
        <f>IF('הנחות עבודה'!$C$4=$B$90,X111,IF('הנחות עבודה'!$C$4=$B$116,X137,X163))</f>
        <v>13.44</v>
      </c>
      <c r="Y53" s="282">
        <f>IF('הנחות עבודה'!$C$4=$B$90,Y111,IF('הנחות עבודה'!$C$4=$B$116,Y137,Y163))</f>
        <v>0</v>
      </c>
      <c r="Z53" s="708">
        <f>IF('הנחות עבודה'!$C$4=$B$90,Z111,IF('הנחות עבודה'!$C$4=$B$116,Z137,Z163))</f>
        <v>0</v>
      </c>
    </row>
    <row r="54" spans="2:76" ht="15.75">
      <c r="B54" s="705">
        <f t="shared" si="211"/>
        <v>2038</v>
      </c>
      <c r="C54" s="280">
        <f>IF('הנחות עבודה'!$C$4=$B$90,C112,IF('הנחות עבודה'!$C$4=$B$116,C138,C164))</f>
        <v>4.1839212000000003</v>
      </c>
      <c r="D54" s="281">
        <f>IF('הנחות עבודה'!$C$4=$B$90,D112,IF('הנחות עבודה'!$C$4=$B$116,D138,D164))</f>
        <v>16.344902830000002</v>
      </c>
      <c r="E54" s="281">
        <f>IF('הנחות עבודה'!$C$4=$B$90,E112,IF('הנחות עבודה'!$C$4=$B$116,E138,E164))</f>
        <v>0</v>
      </c>
      <c r="F54" s="281">
        <f>IF('הנחות עבודה'!$C$4=$B$90,F112,IF('הנחות עבודה'!$C$4=$B$116,F138,F164))</f>
        <v>0</v>
      </c>
      <c r="G54" s="529">
        <f>IF('הנחות עבודה'!$C$4=$B$90,G112,IF('הנחות עבודה'!$C$4=$B$116,G138,G164))</f>
        <v>4.1839212000000003</v>
      </c>
      <c r="H54" s="282">
        <f>IF('הנחות עבודה'!$C$4=$B$90,H112,IF('הנחות עבודה'!$C$4=$B$116,H138,H164))</f>
        <v>16.344902830000002</v>
      </c>
      <c r="I54" s="282">
        <f>IF('הנחות עבודה'!$C$4=$B$90,I112,IF('הנחות עבודה'!$C$4=$B$116,I138,I164))</f>
        <v>0</v>
      </c>
      <c r="J54" s="282">
        <f>IF('הנחות עבודה'!$C$4=$B$90,J112,IF('הנחות עבודה'!$C$4=$B$116,J138,J164))</f>
        <v>0</v>
      </c>
      <c r="K54" s="280">
        <f>IF('הנחות עבודה'!$C$4=$B$90,K112,IF('הנחות עבודה'!$C$4=$B$116,K138,K164))</f>
        <v>4.3605241700000006</v>
      </c>
      <c r="L54" s="281">
        <f>IF('הנחות עבודה'!$C$4=$B$90,L112,IF('הנחות עבודה'!$C$4=$B$116,L138,L164))</f>
        <v>14.75152763</v>
      </c>
      <c r="M54" s="281">
        <f>IF('הנחות עבודה'!$C$4=$B$90,M112,IF('הנחות עבודה'!$C$4=$B$116,M138,M164))</f>
        <v>0</v>
      </c>
      <c r="N54" s="281">
        <f>IF('הנחות עבודה'!$C$4=$B$90,N112,IF('הנחות עבודה'!$C$4=$B$116,N138,N164))</f>
        <v>0</v>
      </c>
      <c r="O54" s="529">
        <f>IF('הנחות עבודה'!$C$4=$B$90,O112,IF('הנחות עבודה'!$C$4=$B$116,O138,O164))</f>
        <v>4.3605241700000006</v>
      </c>
      <c r="P54" s="282">
        <f>IF('הנחות עבודה'!$C$4=$B$90,P112,IF('הנחות עבודה'!$C$4=$B$116,P138,P164))</f>
        <v>14.75152763</v>
      </c>
      <c r="Q54" s="282">
        <f>IF('הנחות עבודה'!$C$4=$B$90,Q112,IF('הנחות עבודה'!$C$4=$B$116,Q138,Q164))</f>
        <v>0</v>
      </c>
      <c r="R54" s="282">
        <f>IF('הנחות עבודה'!$C$4=$B$90,R112,IF('הנחות עבודה'!$C$4=$B$116,R138,R164))</f>
        <v>0</v>
      </c>
      <c r="S54" s="654">
        <f>IF('הנחות עבודה'!$C$4=$B$90,S112,IF('הנחות עבודה'!$C$4=$B$116,S138,S164))</f>
        <v>4.46</v>
      </c>
      <c r="T54" s="281">
        <f>IF('הנחות עבודה'!$C$4=$B$90,T112,IF('הנחות עבודה'!$C$4=$B$116,T138,T164))</f>
        <v>13.88</v>
      </c>
      <c r="U54" s="281">
        <f>IF('הנחות עבודה'!$C$4=$B$90,U112,IF('הנחות עבודה'!$C$4=$B$116,U138,U164))</f>
        <v>0</v>
      </c>
      <c r="V54" s="281">
        <f>IF('הנחות עבודה'!$C$4=$B$90,V112,IF('הנחות עבודה'!$C$4=$B$116,V138,V164))</f>
        <v>0</v>
      </c>
      <c r="W54" s="534">
        <f>IF('הנחות עבודה'!$C$4=$B$90,W112,IF('הנחות עבודה'!$C$4=$B$116,W138,W164))</f>
        <v>4.46</v>
      </c>
      <c r="X54" s="282">
        <f>IF('הנחות עבודה'!$C$4=$B$90,X112,IF('הנחות עבודה'!$C$4=$B$116,X138,X164))</f>
        <v>13.88</v>
      </c>
      <c r="Y54" s="282">
        <f>IF('הנחות עבודה'!$C$4=$B$90,Y112,IF('הנחות עבודה'!$C$4=$B$116,Y138,Y164))</f>
        <v>0</v>
      </c>
      <c r="Z54" s="708">
        <f>IF('הנחות עבודה'!$C$4=$B$90,Z112,IF('הנחות עבודה'!$C$4=$B$116,Z138,Z164))</f>
        <v>0</v>
      </c>
    </row>
    <row r="55" spans="2:76" ht="15.75">
      <c r="B55" s="705">
        <f t="shared" si="211"/>
        <v>2039</v>
      </c>
      <c r="C55" s="280">
        <f>IF('הנחות עבודה'!$C$4=$B$90,C113,IF('הנחות עבודה'!$C$4=$B$116,C139,C165))</f>
        <v>4.2201276500000002</v>
      </c>
      <c r="D55" s="281">
        <f>IF('הנחות עבודה'!$C$4=$B$90,D113,IF('הנחות עבודה'!$C$4=$B$116,D139,D165))</f>
        <v>16.846999599999997</v>
      </c>
      <c r="E55" s="281">
        <f>IF('הנחות עבודה'!$C$4=$B$90,E113,IF('הנחות עבודה'!$C$4=$B$116,E139,E165))</f>
        <v>0</v>
      </c>
      <c r="F55" s="281">
        <f>IF('הנחות עבודה'!$C$4=$B$90,F113,IF('הנחות עבודה'!$C$4=$B$116,F139,F165))</f>
        <v>0</v>
      </c>
      <c r="G55" s="529">
        <f>IF('הנחות עבודה'!$C$4=$B$90,G113,IF('הנחות עבודה'!$C$4=$B$116,G139,G165))</f>
        <v>4.2201276500000002</v>
      </c>
      <c r="H55" s="282">
        <f>IF('הנחות עבודה'!$C$4=$B$90,H113,IF('הנחות עבודה'!$C$4=$B$116,H139,H165))</f>
        <v>16.846999599999997</v>
      </c>
      <c r="I55" s="282">
        <f>IF('הנחות עבודה'!$C$4=$B$90,I113,IF('הנחות עבודה'!$C$4=$B$116,I139,I165))</f>
        <v>0</v>
      </c>
      <c r="J55" s="282">
        <f>IF('הנחות עבודה'!$C$4=$B$90,J113,IF('הנחות עבודה'!$C$4=$B$116,J139,J165))</f>
        <v>0</v>
      </c>
      <c r="K55" s="280">
        <f>IF('הנחות עבודה'!$C$4=$B$90,K113,IF('הנחות עבודה'!$C$4=$B$116,K139,K165))</f>
        <v>4.3581492600000002</v>
      </c>
      <c r="L55" s="281">
        <f>IF('הנחות עבודה'!$C$4=$B$90,L113,IF('הנחות עבודה'!$C$4=$B$116,L139,L165))</f>
        <v>15.240802800000001</v>
      </c>
      <c r="M55" s="281">
        <f>IF('הנחות עבודה'!$C$4=$B$90,M113,IF('הנחות עבודה'!$C$4=$B$116,M139,M165))</f>
        <v>0</v>
      </c>
      <c r="N55" s="281">
        <f>IF('הנחות עבודה'!$C$4=$B$90,N113,IF('הנחות עבודה'!$C$4=$B$116,N139,N165))</f>
        <v>0</v>
      </c>
      <c r="O55" s="529">
        <f>IF('הנחות עבודה'!$C$4=$B$90,O113,IF('הנחות עבודה'!$C$4=$B$116,O139,O165))</f>
        <v>4.3581492600000002</v>
      </c>
      <c r="P55" s="282">
        <f>IF('הנחות עבודה'!$C$4=$B$90,P113,IF('הנחות עבודה'!$C$4=$B$116,P139,P165))</f>
        <v>15.240802800000001</v>
      </c>
      <c r="Q55" s="282">
        <f>IF('הנחות עבודה'!$C$4=$B$90,Q113,IF('הנחות עבודה'!$C$4=$B$116,Q139,Q165))</f>
        <v>0</v>
      </c>
      <c r="R55" s="282">
        <f>IF('הנחות עבודה'!$C$4=$B$90,R113,IF('הנחות עבודה'!$C$4=$B$116,R139,R165))</f>
        <v>0</v>
      </c>
      <c r="S55" s="654">
        <f>IF('הנחות עבודה'!$C$4=$B$90,S113,IF('הנחות עבודה'!$C$4=$B$116,S139,S165))</f>
        <v>4.47</v>
      </c>
      <c r="T55" s="281">
        <f>IF('הנחות עבודה'!$C$4=$B$90,T113,IF('הנחות עבודה'!$C$4=$B$116,T139,T165))</f>
        <v>14.39</v>
      </c>
      <c r="U55" s="281">
        <f>IF('הנחות עבודה'!$C$4=$B$90,U113,IF('הנחות עבודה'!$C$4=$B$116,U139,U165))</f>
        <v>0</v>
      </c>
      <c r="V55" s="281">
        <f>IF('הנחות עבודה'!$C$4=$B$90,V113,IF('הנחות עבודה'!$C$4=$B$116,V139,V165))</f>
        <v>0</v>
      </c>
      <c r="W55" s="534">
        <f>IF('הנחות עבודה'!$C$4=$B$90,W113,IF('הנחות עבודה'!$C$4=$B$116,W139,W165))</f>
        <v>4.47</v>
      </c>
      <c r="X55" s="282">
        <f>IF('הנחות עבודה'!$C$4=$B$90,X113,IF('הנחות עבודה'!$C$4=$B$116,X139,X165))</f>
        <v>14.39</v>
      </c>
      <c r="Y55" s="282">
        <f>IF('הנחות עבודה'!$C$4=$B$90,Y113,IF('הנחות עבודה'!$C$4=$B$116,Y139,Y165))</f>
        <v>0</v>
      </c>
      <c r="Z55" s="708">
        <f>IF('הנחות עבודה'!$C$4=$B$90,Z113,IF('הנחות עבודה'!$C$4=$B$116,Z139,Z165))</f>
        <v>0</v>
      </c>
    </row>
    <row r="56" spans="2:76" ht="16.5" thickBot="1">
      <c r="B56" s="706">
        <f t="shared" si="211"/>
        <v>2040</v>
      </c>
      <c r="C56" s="283">
        <f>IF('הנחות עבודה'!$C$4=$B$90,C114,IF('הנחות עבודה'!$C$4=$B$116,C140,C166))</f>
        <v>4.2496464700000001</v>
      </c>
      <c r="D56" s="284">
        <f>IF('הנחות עבודה'!$C$4=$B$90,D114,IF('הנחות עבודה'!$C$4=$B$116,D140,D166))</f>
        <v>17.373967360000002</v>
      </c>
      <c r="E56" s="284">
        <f>IF('הנחות עבודה'!$C$4=$B$90,E114,IF('הנחות עבודה'!$C$4=$B$116,E140,E166))</f>
        <v>0</v>
      </c>
      <c r="F56" s="284">
        <f>IF('הנחות עבודה'!$C$4=$B$90,F114,IF('הנחות עבודה'!$C$4=$B$116,F140,F166))</f>
        <v>0</v>
      </c>
      <c r="G56" s="530">
        <f>IF('הנחות עבודה'!$C$4=$B$90,G114,IF('הנחות עבודה'!$C$4=$B$116,G140,G166))</f>
        <v>4.2496464700000001</v>
      </c>
      <c r="H56" s="285">
        <f>IF('הנחות עבודה'!$C$4=$B$90,H114,IF('הנחות עבודה'!$C$4=$B$116,H140,H166))</f>
        <v>17.373967360000002</v>
      </c>
      <c r="I56" s="285">
        <f>IF('הנחות עבודה'!$C$4=$B$90,I114,IF('הנחות עבודה'!$C$4=$B$116,I140,I166))</f>
        <v>0</v>
      </c>
      <c r="J56" s="285">
        <f>IF('הנחות עבודה'!$C$4=$B$90,J114,IF('הנחות עבודה'!$C$4=$B$116,J140,J166))</f>
        <v>0</v>
      </c>
      <c r="K56" s="283">
        <f>IF('הנחות עבודה'!$C$4=$B$90,K114,IF('הנחות עבודה'!$C$4=$B$116,K140,K166))</f>
        <v>4.4015241500000002</v>
      </c>
      <c r="L56" s="284">
        <f>IF('הנחות עבודה'!$C$4=$B$90,L114,IF('הנחות עבודה'!$C$4=$B$116,L140,L166))</f>
        <v>15.725299009999999</v>
      </c>
      <c r="M56" s="284">
        <f>IF('הנחות עבודה'!$C$4=$B$90,M114,IF('הנחות עבודה'!$C$4=$B$116,M140,M166))</f>
        <v>0</v>
      </c>
      <c r="N56" s="284">
        <f>IF('הנחות עבודה'!$C$4=$B$90,N114,IF('הנחות עבודה'!$C$4=$B$116,N140,N166))</f>
        <v>0</v>
      </c>
      <c r="O56" s="530">
        <f>IF('הנחות עבודה'!$C$4=$B$90,O114,IF('הנחות עבודה'!$C$4=$B$116,O140,O166))</f>
        <v>4.4015241500000002</v>
      </c>
      <c r="P56" s="285">
        <f>IF('הנחות עבודה'!$C$4=$B$90,P114,IF('הנחות עבודה'!$C$4=$B$116,P140,P166))</f>
        <v>15.725299009999999</v>
      </c>
      <c r="Q56" s="285">
        <f>IF('הנחות עבודה'!$C$4=$B$90,Q114,IF('הנחות עבודה'!$C$4=$B$116,Q140,Q166))</f>
        <v>0</v>
      </c>
      <c r="R56" s="285">
        <f>IF('הנחות עבודה'!$C$4=$B$90,R114,IF('הנחות עבודה'!$C$4=$B$116,R140,R166))</f>
        <v>0</v>
      </c>
      <c r="S56" s="655">
        <f>IF('הנחות עבודה'!$C$4=$B$90,S114,IF('הנחות עבודה'!$C$4=$B$116,S140,S166))</f>
        <v>4.5</v>
      </c>
      <c r="T56" s="284">
        <f>IF('הנחות עבודה'!$C$4=$B$90,T114,IF('הנחות עבודה'!$C$4=$B$116,T140,T166))</f>
        <v>14.850000000000001</v>
      </c>
      <c r="U56" s="284">
        <f>IF('הנחות עבודה'!$C$4=$B$90,U114,IF('הנחות עבודה'!$C$4=$B$116,U140,U166))</f>
        <v>0</v>
      </c>
      <c r="V56" s="284">
        <f>IF('הנחות עבודה'!$C$4=$B$90,V114,IF('הנחות עבודה'!$C$4=$B$116,V140,V166))</f>
        <v>0</v>
      </c>
      <c r="W56" s="535">
        <f>IF('הנחות עבודה'!$C$4=$B$90,W114,IF('הנחות עבודה'!$C$4=$B$116,W140,W166))</f>
        <v>4.5</v>
      </c>
      <c r="X56" s="285">
        <f>IF('הנחות עבודה'!$C$4=$B$90,X114,IF('הנחות עבודה'!$C$4=$B$116,X140,X166))</f>
        <v>14.850000000000001</v>
      </c>
      <c r="Y56" s="285">
        <f>IF('הנחות עבודה'!$C$4=$B$90,Y114,IF('הנחות עבודה'!$C$4=$B$116,Y140,Y166))</f>
        <v>0</v>
      </c>
      <c r="Z56" s="709">
        <f>IF('הנחות עבודה'!$C$4=$B$90,Z114,IF('הנחות עבודה'!$C$4=$B$116,Z140,Z166))</f>
        <v>0</v>
      </c>
    </row>
    <row r="57" spans="2:76" ht="16.5" thickBot="1">
      <c r="B57" s="7" t="s">
        <v>282</v>
      </c>
      <c r="C57" s="318">
        <f t="shared" ref="C57" si="212">SUM(C36:C56)</f>
        <v>65.165869420000007</v>
      </c>
      <c r="D57" s="318">
        <f t="shared" ref="D57:F57" si="213">SUM(D36:D56)</f>
        <v>278.03629204765139</v>
      </c>
      <c r="E57" s="318">
        <f t="shared" si="213"/>
        <v>0</v>
      </c>
      <c r="F57" s="318">
        <f t="shared" si="213"/>
        <v>0</v>
      </c>
      <c r="G57" s="76">
        <f>SUM(G36:G56)</f>
        <v>65.165869420000007</v>
      </c>
      <c r="H57" s="76">
        <f t="shared" ref="H57:J57" si="214">SUM(H36:H56)</f>
        <v>278.03629204765139</v>
      </c>
      <c r="I57" s="76">
        <f t="shared" si="214"/>
        <v>0</v>
      </c>
      <c r="J57" s="76">
        <f t="shared" si="214"/>
        <v>0</v>
      </c>
      <c r="K57" s="318">
        <f t="shared" ref="K57:R57" si="215">SUM(K36:K56)</f>
        <v>67.417910609999993</v>
      </c>
      <c r="L57" s="318">
        <f t="shared" si="215"/>
        <v>255.39312331818934</v>
      </c>
      <c r="M57" s="318">
        <f t="shared" si="215"/>
        <v>0</v>
      </c>
      <c r="N57" s="318">
        <f t="shared" si="215"/>
        <v>0</v>
      </c>
      <c r="O57" s="76">
        <f t="shared" si="215"/>
        <v>67.417910609999993</v>
      </c>
      <c r="P57" s="76">
        <f t="shared" si="215"/>
        <v>255.39312331818934</v>
      </c>
      <c r="Q57" s="76">
        <f t="shared" si="215"/>
        <v>0</v>
      </c>
      <c r="R57" s="76">
        <f t="shared" si="215"/>
        <v>0</v>
      </c>
      <c r="S57" s="65">
        <f t="shared" ref="S57" si="216">SUM(S36:S56)</f>
        <v>68.659701990000002</v>
      </c>
      <c r="T57" s="65">
        <f t="shared" ref="T57:V57" si="217">SUM(T36:T56)</f>
        <v>242.67203902765132</v>
      </c>
      <c r="U57" s="65">
        <f t="shared" si="217"/>
        <v>0</v>
      </c>
      <c r="V57" s="65">
        <f t="shared" si="217"/>
        <v>0</v>
      </c>
      <c r="W57" s="76">
        <f>SUM(W36:W56)</f>
        <v>68.659701990000002</v>
      </c>
      <c r="X57" s="76">
        <f t="shared" ref="X57" si="218">SUM(X36:X56)</f>
        <v>242.67203902765132</v>
      </c>
      <c r="Y57" s="76">
        <f t="shared" ref="Y57" si="219">SUM(Y36:Y56)</f>
        <v>0</v>
      </c>
      <c r="Z57" s="76">
        <f t="shared" ref="Z57" si="220">SUM(Z36:Z56)</f>
        <v>0</v>
      </c>
      <c r="AA57" s="1"/>
      <c r="AB57" s="1"/>
      <c r="AC57" s="1"/>
      <c r="AD57" s="1"/>
      <c r="AE57" s="1"/>
      <c r="AF57" s="1"/>
      <c r="AG57" s="1"/>
    </row>
    <row r="58" spans="2:76" ht="16.5" thickBot="1">
      <c r="B58" s="7" t="s">
        <v>283</v>
      </c>
      <c r="C58" s="318">
        <f>SUMIFS(C36:C56,$B$36:$B$56,"&gt;="&amp;'הנחות עבודה'!$C$6,$B$36:$B$56,"&lt;="&amp;'הנחות עבודה'!$C$7)</f>
        <v>65.165869420000007</v>
      </c>
      <c r="D58" s="318">
        <f>SUMIFS(D36:D56,$B$36:$B$56,"&gt;="&amp;'הנחות עבודה'!$C$6,$B$36:$B$56,"&lt;="&amp;'הנחות עבודה'!$C$7)</f>
        <v>278.03629204765139</v>
      </c>
      <c r="E58" s="318">
        <f>SUMIFS(E36:E56,$B$36:$B$56,"&gt;="&amp;'הנחות עבודה'!$C$6,$B$36:$B$56,"&lt;="&amp;'הנחות עבודה'!$C$7)</f>
        <v>0</v>
      </c>
      <c r="F58" s="318">
        <f>SUMIFS(F36:F56,$B$36:$B$56,"&gt;="&amp;'הנחות עבודה'!$C$6,$B$36:$B$56,"&lt;="&amp;'הנחות עבודה'!$C$7)</f>
        <v>0</v>
      </c>
      <c r="G58" s="76">
        <f>SUMIFS(G36:G56,$B$36:$B$56,"&gt;="&amp;'הנחות עבודה'!$C$6,$B$36:$B$56,"&lt;="&amp;'הנחות עבודה'!$C$7)</f>
        <v>65.165869420000007</v>
      </c>
      <c r="H58" s="76">
        <f>SUMIFS(H36:H56,$B$36:$B$56,"&gt;="&amp;'הנחות עבודה'!$C$6,$B$36:$B$56,"&lt;="&amp;'הנחות עבודה'!$C$7)</f>
        <v>278.03629204765139</v>
      </c>
      <c r="I58" s="76">
        <f>SUMIFS(I36:I56,$B$36:$B$56,"&gt;="&amp;'הנחות עבודה'!$C$6,$B$36:$B$56,"&lt;="&amp;'הנחות עבודה'!$C$7)</f>
        <v>0</v>
      </c>
      <c r="J58" s="76">
        <f>SUMIFS(J36:J56,$B$36:$B$56,"&gt;="&amp;'הנחות עבודה'!$C$6,$B$36:$B$56,"&lt;="&amp;'הנחות עבודה'!$C$7)</f>
        <v>0</v>
      </c>
      <c r="K58" s="318">
        <f>SUMIFS(K36:K56,$B$36:$B$56,"&gt;="&amp;'הנחות עבודה'!$C$6,$B$36:$B$56,"&lt;="&amp;'הנחות עבודה'!$C$7)</f>
        <v>67.417910609999993</v>
      </c>
      <c r="L58" s="318">
        <f>SUMIFS(L36:L56,$B$36:$B$56,"&gt;="&amp;'הנחות עבודה'!$C$6,$B$36:$B$56,"&lt;="&amp;'הנחות עבודה'!$C$7)</f>
        <v>255.39312331818934</v>
      </c>
      <c r="M58" s="318">
        <f>SUMIFS(M36:M56,$B$36:$B$56,"&gt;="&amp;'הנחות עבודה'!$C$6,$B$36:$B$56,"&lt;="&amp;'הנחות עבודה'!$C$7)</f>
        <v>0</v>
      </c>
      <c r="N58" s="318">
        <f>SUMIFS(N36:N56,$B$36:$B$56,"&gt;="&amp;'הנחות עבודה'!$C$6,$B$36:$B$56,"&lt;="&amp;'הנחות עבודה'!$C$7)</f>
        <v>0</v>
      </c>
      <c r="O58" s="76">
        <f>SUMIFS(O36:O56,$B$36:$B$56,"&gt;="&amp;'הנחות עבודה'!$C$6,$B$36:$B$56,"&lt;="&amp;'הנחות עבודה'!$C$7)</f>
        <v>67.417910609999993</v>
      </c>
      <c r="P58" s="76">
        <f>SUMIFS(P36:P56,$B$36:$B$56,"&gt;="&amp;'הנחות עבודה'!$C$6,$B$36:$B$56,"&lt;="&amp;'הנחות עבודה'!$C$7)</f>
        <v>255.39312331818934</v>
      </c>
      <c r="Q58" s="76">
        <f>SUMIFS(Q36:Q56,$B$36:$B$56,"&gt;="&amp;'הנחות עבודה'!$C$6,$B$36:$B$56,"&lt;="&amp;'הנחות עבודה'!$C$7)</f>
        <v>0</v>
      </c>
      <c r="R58" s="76">
        <f>SUMIFS(R36:R56,$B$36:$B$56,"&gt;="&amp;'הנחות עבודה'!$C$6,$B$36:$B$56,"&lt;="&amp;'הנחות עבודה'!$C$7)</f>
        <v>0</v>
      </c>
      <c r="S58" s="318">
        <f>SUMIFS(S36:S56,$B$36:$B$56,"&gt;="&amp;'הנחות עבודה'!$C$6,$B$36:$B$56,"&lt;="&amp;'הנחות עבודה'!$C$7)</f>
        <v>68.659701990000002</v>
      </c>
      <c r="T58" s="318">
        <f>SUMIFS(T36:T56,$B$36:$B$56,"&gt;="&amp;'הנחות עבודה'!$C$6,$B$36:$B$56,"&lt;="&amp;'הנחות עבודה'!$C$7)</f>
        <v>242.67203902765132</v>
      </c>
      <c r="U58" s="318">
        <f>SUMIFS(U36:U56,$B$36:$B$56,"&gt;="&amp;'הנחות עבודה'!$C$6,$B$36:$B$56,"&lt;="&amp;'הנחות עבודה'!$C$7)</f>
        <v>0</v>
      </c>
      <c r="V58" s="318">
        <f>SUMIFS(V36:V56,$B$36:$B$56,"&gt;="&amp;'הנחות עבודה'!$C$6,$B$36:$B$56,"&lt;="&amp;'הנחות עבודה'!$C$7)</f>
        <v>0</v>
      </c>
      <c r="W58" s="76">
        <f>SUMIFS(W36:W56,$B$36:$B$56,"&gt;="&amp;'הנחות עבודה'!$C$6,$B$36:$B$56,"&lt;="&amp;'הנחות עבודה'!$C$7)</f>
        <v>68.659701990000002</v>
      </c>
      <c r="X58" s="76">
        <f>SUMIFS(X36:X56,$B$36:$B$56,"&gt;="&amp;'הנחות עבודה'!$C$6,$B$36:$B$56,"&lt;="&amp;'הנחות עבודה'!$C$7)</f>
        <v>242.67203902765132</v>
      </c>
      <c r="Y58" s="76">
        <f>SUMIFS(Y36:Y56,$B$36:$B$56,"&gt;="&amp;'הנחות עבודה'!$C$6,$B$36:$B$56,"&lt;="&amp;'הנחות עבודה'!$C$7)</f>
        <v>0</v>
      </c>
      <c r="Z58" s="76">
        <f>SUMIFS(Z36:Z56,$B$36:$B$56,"&gt;="&amp;'הנחות עבודה'!$C$6,$B$36:$B$56,"&lt;="&amp;'הנחות עבודה'!$C$7)</f>
        <v>0</v>
      </c>
      <c r="AA58" s="1"/>
      <c r="AB58" s="1"/>
      <c r="AC58" s="1"/>
      <c r="AD58" s="1"/>
      <c r="AE58" s="1"/>
      <c r="AF58" s="1"/>
      <c r="AG58" s="1"/>
    </row>
    <row r="59" spans="2:76" ht="15.75" thickBot="1"/>
    <row r="60" spans="2:76" ht="16.5" thickBot="1">
      <c r="C60" s="1303" t="s">
        <v>221</v>
      </c>
      <c r="D60" s="1304"/>
      <c r="E60" s="1304"/>
      <c r="F60" s="1304"/>
      <c r="G60" s="1304"/>
      <c r="H60" s="1304"/>
      <c r="I60" s="1304"/>
      <c r="J60" s="1304"/>
      <c r="K60" s="1304"/>
      <c r="L60" s="1304"/>
      <c r="M60" s="1304"/>
      <c r="N60" s="1304"/>
      <c r="O60" s="1304"/>
      <c r="P60" s="1304"/>
      <c r="Q60" s="1304"/>
      <c r="R60" s="1304"/>
      <c r="S60" s="1304"/>
      <c r="T60" s="1304"/>
      <c r="U60" s="1304"/>
      <c r="V60" s="1304"/>
      <c r="W60" s="1304"/>
      <c r="X60" s="1304"/>
      <c r="Y60" s="1304"/>
      <c r="Z60" s="1304"/>
      <c r="AA60" s="1304"/>
      <c r="AB60" s="1304"/>
      <c r="AC60" s="1304"/>
      <c r="AD60" s="1304"/>
      <c r="AE60" s="1304"/>
      <c r="AF60" s="1304"/>
      <c r="AG60" s="1304"/>
      <c r="AH60" s="1304"/>
      <c r="AI60" s="1304"/>
      <c r="AJ60" s="1304"/>
      <c r="AK60" s="1304"/>
      <c r="AL60" s="1304"/>
      <c r="AM60" s="1304"/>
      <c r="AN60" s="1304"/>
      <c r="AO60" s="1304"/>
      <c r="AP60" s="1304"/>
      <c r="AQ60" s="1304"/>
      <c r="AR60" s="1304"/>
      <c r="AS60" s="1304"/>
      <c r="AT60" s="1304"/>
      <c r="AU60" s="1304"/>
      <c r="AV60" s="1304"/>
      <c r="AW60" s="1304"/>
      <c r="AX60" s="1304"/>
      <c r="AY60" s="1304"/>
      <c r="AZ60" s="1304"/>
      <c r="BA60" s="1304"/>
      <c r="BB60" s="1304"/>
      <c r="BC60" s="1304"/>
      <c r="BD60" s="1304"/>
      <c r="BE60" s="1304"/>
      <c r="BF60" s="1304"/>
      <c r="BG60" s="1304"/>
      <c r="BH60" s="1304"/>
      <c r="BI60" s="1304"/>
      <c r="BJ60" s="1304"/>
      <c r="BK60" s="1304"/>
      <c r="BL60" s="1304"/>
      <c r="BM60" s="1304"/>
      <c r="BN60" s="1304"/>
      <c r="BO60" s="1304"/>
      <c r="BP60" s="1304"/>
      <c r="BQ60" s="1304"/>
      <c r="BR60" s="1304"/>
      <c r="BS60" s="1304"/>
      <c r="BT60" s="1304"/>
      <c r="BU60" s="1304"/>
      <c r="BV60" s="1305"/>
    </row>
    <row r="61" spans="2:76" ht="16.5" thickBot="1">
      <c r="C61" s="1297" t="s">
        <v>46</v>
      </c>
      <c r="D61" s="1298"/>
      <c r="E61" s="1298"/>
      <c r="F61" s="1298"/>
      <c r="G61" s="1298"/>
      <c r="H61" s="1298"/>
      <c r="I61" s="1298"/>
      <c r="J61" s="1298"/>
      <c r="K61" s="1298"/>
      <c r="L61" s="1298"/>
      <c r="M61" s="1298"/>
      <c r="N61" s="1299"/>
      <c r="O61" s="1300" t="s">
        <v>47</v>
      </c>
      <c r="P61" s="1301"/>
      <c r="Q61" s="1301"/>
      <c r="R61" s="1301"/>
      <c r="S61" s="1301"/>
      <c r="T61" s="1301"/>
      <c r="U61" s="1301"/>
      <c r="V61" s="1301"/>
      <c r="W61" s="1301"/>
      <c r="X61" s="1301"/>
      <c r="Y61" s="1301"/>
      <c r="Z61" s="1302"/>
      <c r="AA61" s="1297" t="s">
        <v>342</v>
      </c>
      <c r="AB61" s="1298"/>
      <c r="AC61" s="1298"/>
      <c r="AD61" s="1298"/>
      <c r="AE61" s="1298"/>
      <c r="AF61" s="1298"/>
      <c r="AG61" s="1298"/>
      <c r="AH61" s="1298"/>
      <c r="AI61" s="1298"/>
      <c r="AJ61" s="1298"/>
      <c r="AK61" s="1298"/>
      <c r="AL61" s="1299"/>
      <c r="AM61" s="1300" t="s">
        <v>343</v>
      </c>
      <c r="AN61" s="1301"/>
      <c r="AO61" s="1301"/>
      <c r="AP61" s="1301"/>
      <c r="AQ61" s="1301"/>
      <c r="AR61" s="1301"/>
      <c r="AS61" s="1301"/>
      <c r="AT61" s="1301"/>
      <c r="AU61" s="1301"/>
      <c r="AV61" s="1301"/>
      <c r="AW61" s="1301"/>
      <c r="AX61" s="1302"/>
      <c r="AY61" s="1297" t="s">
        <v>344</v>
      </c>
      <c r="AZ61" s="1298"/>
      <c r="BA61" s="1298"/>
      <c r="BB61" s="1298"/>
      <c r="BC61" s="1298"/>
      <c r="BD61" s="1298"/>
      <c r="BE61" s="1298"/>
      <c r="BF61" s="1298"/>
      <c r="BG61" s="1298"/>
      <c r="BH61" s="1298"/>
      <c r="BI61" s="1298"/>
      <c r="BJ61" s="1299"/>
      <c r="BK61" s="1300" t="s">
        <v>345</v>
      </c>
      <c r="BL61" s="1301"/>
      <c r="BM61" s="1301"/>
      <c r="BN61" s="1301"/>
      <c r="BO61" s="1301"/>
      <c r="BP61" s="1301"/>
      <c r="BQ61" s="1301"/>
      <c r="BR61" s="1301"/>
      <c r="BS61" s="1301"/>
      <c r="BT61" s="1301"/>
      <c r="BU61" s="1301"/>
      <c r="BV61" s="1302"/>
    </row>
    <row r="62" spans="2:76" ht="63.75" thickBot="1">
      <c r="B62" s="62" t="str">
        <f>B34</f>
        <v>שנה</v>
      </c>
      <c r="C62" s="38" t="str">
        <f ca="1">'הנחות עבודה'!C117</f>
        <v>מוטה קרקע PV</v>
      </c>
      <c r="D62" s="38" t="str">
        <f ca="1">'הנחות עבודה'!D117</f>
        <v>מוטה דואלי PV</v>
      </c>
      <c r="E62" s="38" t="str">
        <f ca="1">'הנחות עבודה'!E117</f>
        <v>רוח</v>
      </c>
      <c r="F62" s="38" t="str">
        <f ca="1">'הנחות עבודה'!F117</f>
        <v>ביומסה/ביוגז</v>
      </c>
      <c r="G62" s="38" t="str">
        <f ca="1">'הנחות עבודה'!G117</f>
        <v>תרמו סולארי</v>
      </c>
      <c r="H62" s="38" t="str">
        <f>'הנחות עבודה'!H117</f>
        <v>אחר</v>
      </c>
      <c r="I62" s="38" t="str">
        <f ca="1">'הנחות עבודה'!I117</f>
        <v>גז פחמיות מוסבות</v>
      </c>
      <c r="J62" s="38" t="str">
        <f ca="1">'הנחות עבודה'!J117</f>
        <v>גז חח"י מחזמים ופקירים ויח"פים</v>
      </c>
      <c r="K62" s="38" t="str">
        <f ca="1">'הנחות עבודה'!K117</f>
        <v>אחר 1</v>
      </c>
      <c r="L62" s="38" t="str">
        <f ca="1">'הנחות עבודה'!L117</f>
        <v>אחר 2</v>
      </c>
      <c r="M62" s="38" t="str">
        <f>'הנחות עבודה'!M117</f>
        <v>יחידה פחמית</v>
      </c>
      <c r="N62" s="38" t="str">
        <f>'הנחות עבודה'!N117</f>
        <v>סולר ופצלי שמן</v>
      </c>
      <c r="O62" s="48" t="str">
        <f t="shared" ref="O62:Z62" ca="1" si="221">C62</f>
        <v>מוטה קרקע PV</v>
      </c>
      <c r="P62" s="48" t="str">
        <f t="shared" ca="1" si="221"/>
        <v>מוטה דואלי PV</v>
      </c>
      <c r="Q62" s="48" t="str">
        <f t="shared" ca="1" si="221"/>
        <v>רוח</v>
      </c>
      <c r="R62" s="48" t="str">
        <f t="shared" ca="1" si="221"/>
        <v>ביומסה/ביוגז</v>
      </c>
      <c r="S62" s="48" t="str">
        <f t="shared" ca="1" si="221"/>
        <v>תרמו סולארי</v>
      </c>
      <c r="T62" s="48" t="str">
        <f t="shared" si="221"/>
        <v>אחר</v>
      </c>
      <c r="U62" s="48" t="str">
        <f t="shared" ca="1" si="221"/>
        <v>גז פחמיות מוסבות</v>
      </c>
      <c r="V62" s="48" t="str">
        <f t="shared" ca="1" si="221"/>
        <v>גז חח"י מחזמים ופקירים ויח"פים</v>
      </c>
      <c r="W62" s="48" t="str">
        <f t="shared" ca="1" si="221"/>
        <v>אחר 1</v>
      </c>
      <c r="X62" s="48" t="str">
        <f t="shared" ca="1" si="221"/>
        <v>אחר 2</v>
      </c>
      <c r="Y62" s="48" t="str">
        <f t="shared" si="221"/>
        <v>יחידה פחמית</v>
      </c>
      <c r="Z62" s="48" t="str">
        <f t="shared" si="221"/>
        <v>סולר ופצלי שמן</v>
      </c>
      <c r="AA62" s="38" t="str">
        <f t="shared" ref="AA62:AX62" ca="1" si="222">O62</f>
        <v>מוטה קרקע PV</v>
      </c>
      <c r="AB62" s="38" t="str">
        <f t="shared" ca="1" si="222"/>
        <v>מוטה דואלי PV</v>
      </c>
      <c r="AC62" s="38" t="str">
        <f t="shared" ca="1" si="222"/>
        <v>רוח</v>
      </c>
      <c r="AD62" s="38" t="str">
        <f t="shared" ca="1" si="222"/>
        <v>ביומסה/ביוגז</v>
      </c>
      <c r="AE62" s="38" t="str">
        <f t="shared" ca="1" si="222"/>
        <v>תרמו סולארי</v>
      </c>
      <c r="AF62" s="38" t="str">
        <f t="shared" si="222"/>
        <v>אחר</v>
      </c>
      <c r="AG62" s="38" t="str">
        <f t="shared" ca="1" si="222"/>
        <v>גז פחמיות מוסבות</v>
      </c>
      <c r="AH62" s="38" t="str">
        <f t="shared" ca="1" si="222"/>
        <v>גז חח"י מחזמים ופקירים ויח"פים</v>
      </c>
      <c r="AI62" s="38" t="str">
        <f t="shared" ca="1" si="222"/>
        <v>אחר 1</v>
      </c>
      <c r="AJ62" s="38" t="str">
        <f t="shared" ca="1" si="222"/>
        <v>אחר 2</v>
      </c>
      <c r="AK62" s="38" t="str">
        <f t="shared" si="222"/>
        <v>יחידה פחמית</v>
      </c>
      <c r="AL62" s="38" t="str">
        <f t="shared" si="222"/>
        <v>סולר ופצלי שמן</v>
      </c>
      <c r="AM62" s="48" t="str">
        <f t="shared" ca="1" si="222"/>
        <v>מוטה קרקע PV</v>
      </c>
      <c r="AN62" s="48" t="str">
        <f t="shared" ca="1" si="222"/>
        <v>מוטה דואלי PV</v>
      </c>
      <c r="AO62" s="48" t="str">
        <f t="shared" ca="1" si="222"/>
        <v>רוח</v>
      </c>
      <c r="AP62" s="48" t="str">
        <f t="shared" ca="1" si="222"/>
        <v>ביומסה/ביוגז</v>
      </c>
      <c r="AQ62" s="48" t="str">
        <f t="shared" ca="1" si="222"/>
        <v>תרמו סולארי</v>
      </c>
      <c r="AR62" s="48" t="str">
        <f t="shared" si="222"/>
        <v>אחר</v>
      </c>
      <c r="AS62" s="48" t="str">
        <f t="shared" ca="1" si="222"/>
        <v>גז פחמיות מוסבות</v>
      </c>
      <c r="AT62" s="48" t="str">
        <f t="shared" ca="1" si="222"/>
        <v>גז חח"י מחזמים ופקירים ויח"פים</v>
      </c>
      <c r="AU62" s="48" t="str">
        <f t="shared" ca="1" si="222"/>
        <v>אחר 1</v>
      </c>
      <c r="AV62" s="48" t="str">
        <f t="shared" ca="1" si="222"/>
        <v>אחר 2</v>
      </c>
      <c r="AW62" s="48" t="str">
        <f t="shared" si="222"/>
        <v>יחידה פחמית</v>
      </c>
      <c r="AX62" s="48" t="str">
        <f t="shared" si="222"/>
        <v>סולר ופצלי שמן</v>
      </c>
      <c r="AY62" s="38" t="str">
        <f t="shared" ref="AY62:BJ62" ca="1" si="223">O62</f>
        <v>מוטה קרקע PV</v>
      </c>
      <c r="AZ62" s="38" t="str">
        <f t="shared" ca="1" si="223"/>
        <v>מוטה דואלי PV</v>
      </c>
      <c r="BA62" s="38" t="str">
        <f t="shared" ca="1" si="223"/>
        <v>רוח</v>
      </c>
      <c r="BB62" s="38" t="str">
        <f t="shared" ca="1" si="223"/>
        <v>ביומסה/ביוגז</v>
      </c>
      <c r="BC62" s="38" t="str">
        <f t="shared" ca="1" si="223"/>
        <v>תרמו סולארי</v>
      </c>
      <c r="BD62" s="38" t="str">
        <f t="shared" si="223"/>
        <v>אחר</v>
      </c>
      <c r="BE62" s="38" t="str">
        <f t="shared" ca="1" si="223"/>
        <v>גז פחמיות מוסבות</v>
      </c>
      <c r="BF62" s="38" t="str">
        <f t="shared" ca="1" si="223"/>
        <v>גז חח"י מחזמים ופקירים ויח"פים</v>
      </c>
      <c r="BG62" s="38" t="str">
        <f t="shared" ca="1" si="223"/>
        <v>אחר 1</v>
      </c>
      <c r="BH62" s="38" t="str">
        <f t="shared" ca="1" si="223"/>
        <v>אחר 2</v>
      </c>
      <c r="BI62" s="38" t="str">
        <f t="shared" si="223"/>
        <v>יחידה פחמית</v>
      </c>
      <c r="BJ62" s="38" t="str">
        <f t="shared" si="223"/>
        <v>סולר ופצלי שמן</v>
      </c>
      <c r="BK62" s="48" t="str">
        <f t="shared" ref="BK62:BV62" ca="1" si="224">AY62</f>
        <v>מוטה קרקע PV</v>
      </c>
      <c r="BL62" s="48" t="str">
        <f t="shared" ca="1" si="224"/>
        <v>מוטה דואלי PV</v>
      </c>
      <c r="BM62" s="48" t="str">
        <f t="shared" ca="1" si="224"/>
        <v>רוח</v>
      </c>
      <c r="BN62" s="48" t="str">
        <f t="shared" ca="1" si="224"/>
        <v>ביומסה/ביוגז</v>
      </c>
      <c r="BO62" s="48" t="str">
        <f t="shared" ca="1" si="224"/>
        <v>תרמו סולארי</v>
      </c>
      <c r="BP62" s="48" t="str">
        <f t="shared" si="224"/>
        <v>אחר</v>
      </c>
      <c r="BQ62" s="48" t="str">
        <f t="shared" ca="1" si="224"/>
        <v>גז פחמיות מוסבות</v>
      </c>
      <c r="BR62" s="48" t="str">
        <f t="shared" ca="1" si="224"/>
        <v>גז חח"י מחזמים ופקירים ויח"פים</v>
      </c>
      <c r="BS62" s="48" t="str">
        <f t="shared" ca="1" si="224"/>
        <v>אחר 1</v>
      </c>
      <c r="BT62" s="48" t="str">
        <f t="shared" ca="1" si="224"/>
        <v>אחר 2</v>
      </c>
      <c r="BU62" s="48" t="str">
        <f t="shared" si="224"/>
        <v>יחידה פחמית</v>
      </c>
      <c r="BV62" s="48" t="str">
        <f t="shared" si="224"/>
        <v>סולר ופצלי שמן</v>
      </c>
    </row>
    <row r="63" spans="2:76" ht="16.5" thickBot="1">
      <c r="B63" s="62" t="s">
        <v>28</v>
      </c>
      <c r="C63" s="38" t="s">
        <v>33</v>
      </c>
      <c r="D63" s="38" t="s">
        <v>33</v>
      </c>
      <c r="E63" s="38" t="s">
        <v>33</v>
      </c>
      <c r="F63" s="38" t="s">
        <v>33</v>
      </c>
      <c r="G63" s="38" t="s">
        <v>33</v>
      </c>
      <c r="H63" s="38" t="s">
        <v>33</v>
      </c>
      <c r="I63" s="38" t="s">
        <v>33</v>
      </c>
      <c r="J63" s="38" t="s">
        <v>33</v>
      </c>
      <c r="K63" s="38" t="s">
        <v>33</v>
      </c>
      <c r="L63" s="38" t="s">
        <v>33</v>
      </c>
      <c r="M63" s="38" t="s">
        <v>33</v>
      </c>
      <c r="N63" s="38" t="s">
        <v>33</v>
      </c>
      <c r="O63" s="48" t="s">
        <v>33</v>
      </c>
      <c r="P63" s="48" t="s">
        <v>33</v>
      </c>
      <c r="Q63" s="48" t="s">
        <v>33</v>
      </c>
      <c r="R63" s="48" t="s">
        <v>33</v>
      </c>
      <c r="S63" s="48" t="s">
        <v>33</v>
      </c>
      <c r="T63" s="48" t="s">
        <v>33</v>
      </c>
      <c r="U63" s="48" t="s">
        <v>33</v>
      </c>
      <c r="V63" s="48" t="s">
        <v>33</v>
      </c>
      <c r="W63" s="48" t="s">
        <v>33</v>
      </c>
      <c r="X63" s="48" t="s">
        <v>33</v>
      </c>
      <c r="Y63" s="48" t="s">
        <v>33</v>
      </c>
      <c r="Z63" s="48" t="s">
        <v>33</v>
      </c>
      <c r="AA63" s="38" t="s">
        <v>33</v>
      </c>
      <c r="AB63" s="38" t="s">
        <v>33</v>
      </c>
      <c r="AC63" s="38" t="s">
        <v>33</v>
      </c>
      <c r="AD63" s="38" t="s">
        <v>33</v>
      </c>
      <c r="AE63" s="38" t="s">
        <v>33</v>
      </c>
      <c r="AF63" s="38" t="s">
        <v>33</v>
      </c>
      <c r="AG63" s="38" t="s">
        <v>33</v>
      </c>
      <c r="AH63" s="38" t="s">
        <v>33</v>
      </c>
      <c r="AI63" s="38" t="s">
        <v>33</v>
      </c>
      <c r="AJ63" s="38" t="s">
        <v>33</v>
      </c>
      <c r="AK63" s="38" t="s">
        <v>33</v>
      </c>
      <c r="AL63" s="38" t="s">
        <v>33</v>
      </c>
      <c r="AM63" s="48" t="s">
        <v>33</v>
      </c>
      <c r="AN63" s="48" t="s">
        <v>33</v>
      </c>
      <c r="AO63" s="48" t="s">
        <v>33</v>
      </c>
      <c r="AP63" s="48" t="s">
        <v>33</v>
      </c>
      <c r="AQ63" s="48" t="s">
        <v>33</v>
      </c>
      <c r="AR63" s="48" t="s">
        <v>33</v>
      </c>
      <c r="AS63" s="48" t="s">
        <v>33</v>
      </c>
      <c r="AT63" s="48" t="s">
        <v>33</v>
      </c>
      <c r="AU63" s="48" t="s">
        <v>33</v>
      </c>
      <c r="AV63" s="48" t="s">
        <v>33</v>
      </c>
      <c r="AW63" s="48" t="s">
        <v>33</v>
      </c>
      <c r="AX63" s="48" t="s">
        <v>33</v>
      </c>
      <c r="AY63" s="38" t="s">
        <v>33</v>
      </c>
      <c r="AZ63" s="38" t="s">
        <v>33</v>
      </c>
      <c r="BA63" s="38" t="s">
        <v>33</v>
      </c>
      <c r="BB63" s="38" t="s">
        <v>33</v>
      </c>
      <c r="BC63" s="38" t="s">
        <v>33</v>
      </c>
      <c r="BD63" s="38" t="s">
        <v>33</v>
      </c>
      <c r="BE63" s="38" t="s">
        <v>33</v>
      </c>
      <c r="BF63" s="38" t="s">
        <v>33</v>
      </c>
      <c r="BG63" s="38" t="s">
        <v>33</v>
      </c>
      <c r="BH63" s="38" t="s">
        <v>33</v>
      </c>
      <c r="BI63" s="38" t="s">
        <v>33</v>
      </c>
      <c r="BJ63" s="38" t="s">
        <v>33</v>
      </c>
      <c r="BK63" s="48" t="s">
        <v>33</v>
      </c>
      <c r="BL63" s="48" t="s">
        <v>33</v>
      </c>
      <c r="BM63" s="48" t="s">
        <v>33</v>
      </c>
      <c r="BN63" s="48" t="s">
        <v>33</v>
      </c>
      <c r="BO63" s="48" t="s">
        <v>33</v>
      </c>
      <c r="BP63" s="48" t="s">
        <v>33</v>
      </c>
      <c r="BQ63" s="48" t="s">
        <v>33</v>
      </c>
      <c r="BR63" s="48" t="s">
        <v>33</v>
      </c>
      <c r="BS63" s="48" t="s">
        <v>33</v>
      </c>
      <c r="BT63" s="48" t="s">
        <v>33</v>
      </c>
      <c r="BU63" s="48" t="s">
        <v>33</v>
      </c>
      <c r="BV63" s="48" t="s">
        <v>33</v>
      </c>
    </row>
    <row r="64" spans="2:76" ht="15.75">
      <c r="B64" s="24">
        <f>B36</f>
        <v>2020</v>
      </c>
      <c r="C64" s="660">
        <f>IF('הנחות עבודה'!$C$4=$B$168,C172,IF('הנחות עבודה'!$C$4=$B$194,C198,C224))</f>
        <v>6.4147628560000207</v>
      </c>
      <c r="D64" s="661">
        <f>IF('הנחות עבודה'!$C$4=$B$168,D172,IF('הנחות עבודה'!$C$4=$B$194,D198,D224))</f>
        <v>0</v>
      </c>
      <c r="E64" s="661">
        <f ca="1">IF('הנחות עבודה'!$C$4=$B$168,E172,IF('הנחות עבודה'!$C$4=$B$194,E198,E224))</f>
        <v>8.4379203999999514E-2</v>
      </c>
      <c r="F64" s="661">
        <f ca="1">IF('הנחות עבודה'!$C$4=$B$168,F172,IF('הנחות עבודה'!$C$4=$B$194,F198,F224))</f>
        <v>0.15329999999997584</v>
      </c>
      <c r="G64" s="661">
        <f ca="1">IF('הנחות עבודה'!$C$4=$B$168,G172,IF('הנחות עבודה'!$C$4=$B$194,G198,G224))</f>
        <v>0.7377660400000029</v>
      </c>
      <c r="H64" s="661">
        <f>IF('הנחות עבודה'!$C$4=$B$168,H172,IF('הנחות עבודה'!$C$4=$B$194,H198,H224))</f>
        <v>0</v>
      </c>
      <c r="I64" s="661">
        <f>IF('הנחות עבודה'!$C$4=$B$168,I172,IF('הנחות עבודה'!$C$4=$B$194,I198,I224))</f>
        <v>0</v>
      </c>
      <c r="J64" s="661">
        <f ca="1">IF('הנחות עבודה'!$C$4=$B$168,J172,IF('הנחות עבודה'!$C$4=$B$194,J198,J224))</f>
        <v>48.709192899999998</v>
      </c>
      <c r="K64" s="661">
        <f>IF('הנחות עבודה'!$C$4=$B$168,K172,IF('הנחות עבודה'!$C$4=$B$194,K198,K224))</f>
        <v>0</v>
      </c>
      <c r="L64" s="661">
        <f>IF('הנחות עבודה'!$C$4=$B$168,L172,IF('הנחות עבודה'!$C$4=$B$194,L198,L224))</f>
        <v>0</v>
      </c>
      <c r="M64" s="41">
        <f>IF('הנחות עבודה'!$C$4=$B$168,M172,IF('הנחות עבודה'!$C$4=$B$194,M198,M224))</f>
        <v>17.459679999999999</v>
      </c>
      <c r="N64" s="662">
        <f>IF('הנחות עבודה'!$C$4=$B$168,N172,IF('הנחות עבודה'!$C$4=$B$194,N198,N224))</f>
        <v>0.34300000000000003</v>
      </c>
      <c r="O64" s="663">
        <f>IF('הנחות עבודה'!$C$4=$B$168,O172,IF('הנחות עבודה'!$C$4=$B$194,O198,O224))</f>
        <v>0</v>
      </c>
      <c r="P64" s="664">
        <f>IF('הנחות עבודה'!$C$4=$B$168,P172,IF('הנחות עבודה'!$C$4=$B$194,P198,P224))</f>
        <v>6.4147628560000207</v>
      </c>
      <c r="Q64" s="664">
        <f ca="1">IF('הנחות עבודה'!$C$4=$B$168,Q172,IF('הנחות עבודה'!$C$4=$B$194,Q198,Q224))</f>
        <v>8.4379203999999514E-2</v>
      </c>
      <c r="R64" s="664">
        <f ca="1">IF('הנחות עבודה'!$C$4=$B$168,R172,IF('הנחות עבודה'!$C$4=$B$194,R198,R224))</f>
        <v>0.15329999999997584</v>
      </c>
      <c r="S64" s="664">
        <f ca="1">IF('הנחות עבודה'!$C$4=$B$168,S172,IF('הנחות עבודה'!$C$4=$B$194,S198,S224))</f>
        <v>0.7377660400000029</v>
      </c>
      <c r="T64" s="664">
        <f>IF('הנחות עבודה'!$C$4=$B$168,T172,IF('הנחות עבודה'!$C$4=$B$194,T198,T224))</f>
        <v>0</v>
      </c>
      <c r="U64" s="664">
        <f>IF('הנחות עבודה'!$C$4=$B$168,U172,IF('הנחות עבודה'!$C$4=$B$194,U198,U224))</f>
        <v>0</v>
      </c>
      <c r="V64" s="664">
        <f ca="1">IF('הנחות עבודה'!$C$4=$B$168,V172,IF('הנחות עבודה'!$C$4=$B$194,V198,V224))</f>
        <v>48.709192899999998</v>
      </c>
      <c r="W64" s="664">
        <f>IF('הנחות עבודה'!$C$4=$B$168,W172,IF('הנחות עבודה'!$C$4=$B$194,W198,W224))</f>
        <v>0</v>
      </c>
      <c r="X64" s="664">
        <f>IF('הנחות עבודה'!$C$4=$B$168,X172,IF('הנחות עבודה'!$C$4=$B$194,X198,X224))</f>
        <v>0</v>
      </c>
      <c r="Y64" s="664">
        <f>IF('הנחות עבודה'!$C$4=$B$168,Y172,IF('הנחות עבודה'!$C$4=$B$194,Y198,Y224))</f>
        <v>17.459679999999999</v>
      </c>
      <c r="Z64" s="664">
        <f>IF('הנחות עבודה'!$C$4=$B$168,Z172,IF('הנחות עבודה'!$C$4=$B$194,Z198,Z224))</f>
        <v>0.34300000000000003</v>
      </c>
      <c r="AA64" s="660">
        <f>IF('הנחות עבודה'!$C$4=$B$168,AA172,IF('הנחות עבודה'!$C$4=$B$194,AA198,AA224))</f>
        <v>6.4147628560000207</v>
      </c>
      <c r="AB64" s="661">
        <f>IF('הנחות עבודה'!$C$4=$B$168,AB172,IF('הנחות עבודה'!$C$4=$B$194,AB198,AB224))</f>
        <v>0</v>
      </c>
      <c r="AC64" s="661">
        <f ca="1">IF('הנחות עבודה'!$C$4=$B$168,AC172,IF('הנחות עבודה'!$C$4=$B$194,AC198,AC224))</f>
        <v>8.4379203999999514E-2</v>
      </c>
      <c r="AD64" s="661">
        <f ca="1">IF('הנחות עבודה'!$C$4=$B$168,AD172,IF('הנחות עבודה'!$C$4=$B$194,AD198,AD224))</f>
        <v>0.15329999999997584</v>
      </c>
      <c r="AE64" s="661">
        <f ca="1">IF('הנחות עבודה'!$C$4=$B$168,AE172,IF('הנחות עבודה'!$C$4=$B$194,AE198,AE224))</f>
        <v>0.7377660400000029</v>
      </c>
      <c r="AF64" s="661">
        <f>IF('הנחות עבודה'!$C$4=$B$168,AF172,IF('הנחות עבודה'!$C$4=$B$194,AF198,AF224))</f>
        <v>0</v>
      </c>
      <c r="AG64" s="661">
        <f>IF('הנחות עבודה'!$C$4=$B$168,AG172,IF('הנחות עבודה'!$C$4=$B$194,AG198,AG224))</f>
        <v>0</v>
      </c>
      <c r="AH64" s="661">
        <f ca="1">IF('הנחות עבודה'!$C$4=$B$168,AH172,IF('הנחות עבודה'!$C$4=$B$194,AH198,AH224))</f>
        <v>48.709192899999998</v>
      </c>
      <c r="AI64" s="661">
        <f>IF('הנחות עבודה'!$C$4=$B$168,AI172,IF('הנחות עבודה'!$C$4=$B$194,AI198,AI224))</f>
        <v>0</v>
      </c>
      <c r="AJ64" s="661">
        <f>IF('הנחות עבודה'!$C$4=$B$168,AJ172,IF('הנחות עבודה'!$C$4=$B$194,AJ198,AJ224))</f>
        <v>0</v>
      </c>
      <c r="AK64" s="41">
        <f>IF('הנחות עבודה'!$C$4=$B$168,AK172,IF('הנחות עבודה'!$C$4=$B$194,AK198,AK224))</f>
        <v>17.459679999999999</v>
      </c>
      <c r="AL64" s="662">
        <f>IF('הנחות עבודה'!$C$4=$B$168,AL172,IF('הנחות עבודה'!$C$4=$B$194,AL198,AL224))</f>
        <v>0.34300000000000003</v>
      </c>
      <c r="AM64" s="663">
        <f>IF('הנחות עבודה'!$C$4=$B$168,AM172,IF('הנחות עבודה'!$C$4=$B$194,AM198,AM224))</f>
        <v>0</v>
      </c>
      <c r="AN64" s="664">
        <f>IF('הנחות עבודה'!$C$4=$B$168,AN172,IF('הנחות עבודה'!$C$4=$B$194,AN198,AN224))</f>
        <v>6.4147628560000207</v>
      </c>
      <c r="AO64" s="664">
        <f ca="1">IF('הנחות עבודה'!$C$4=$B$168,AO172,IF('הנחות עבודה'!$C$4=$B$194,AO198,AO224))</f>
        <v>8.4379203999999514E-2</v>
      </c>
      <c r="AP64" s="664">
        <f ca="1">IF('הנחות עבודה'!$C$4=$B$168,AP172,IF('הנחות עבודה'!$C$4=$B$194,AP198,AP224))</f>
        <v>0.15329999999997584</v>
      </c>
      <c r="AQ64" s="664">
        <f ca="1">IF('הנחות עבודה'!$C$4=$B$168,AQ172,IF('הנחות עבודה'!$C$4=$B$194,AQ198,AQ224))</f>
        <v>0.7377660400000029</v>
      </c>
      <c r="AR64" s="664">
        <f>IF('הנחות עבודה'!$C$4=$B$168,AR172,IF('הנחות עבודה'!$C$4=$B$194,AR198,AR224))</f>
        <v>0</v>
      </c>
      <c r="AS64" s="664">
        <f>IF('הנחות עבודה'!$C$4=$B$168,AS172,IF('הנחות עבודה'!$C$4=$B$194,AS198,AS224))</f>
        <v>0</v>
      </c>
      <c r="AT64" s="664">
        <f ca="1">IF('הנחות עבודה'!$C$4=$B$168,AT172,IF('הנחות עבודה'!$C$4=$B$194,AT198,AT224))</f>
        <v>48.709192899999998</v>
      </c>
      <c r="AU64" s="664">
        <f>IF('הנחות עבודה'!$C$4=$B$168,AU172,IF('הנחות עבודה'!$C$4=$B$194,AU198,AU224))</f>
        <v>0</v>
      </c>
      <c r="AV64" s="664">
        <f>IF('הנחות עבודה'!$C$4=$B$168,AV172,IF('הנחות עבודה'!$C$4=$B$194,AV198,AV224))</f>
        <v>0</v>
      </c>
      <c r="AW64" s="664">
        <f>IF('הנחות עבודה'!$C$4=$B$168,AW172,IF('הנחות עבודה'!$C$4=$B$194,AW198,AW224))</f>
        <v>17.459679999999999</v>
      </c>
      <c r="AX64" s="664">
        <f>IF('הנחות עבודה'!$C$4=$B$168,AX172,IF('הנחות עבודה'!$C$4=$B$194,AX198,AX224))</f>
        <v>0.34300000000000003</v>
      </c>
      <c r="AY64" s="660">
        <f>IF('הנחות עבודה'!$C$4=$B$168,AY172,IF('הנחות עבודה'!$C$4=$B$194,AY198,AY224))</f>
        <v>6.4147628560000207</v>
      </c>
      <c r="AZ64" s="661">
        <f>IF('הנחות עבודה'!$C$4=$B$168,AZ172,IF('הנחות עבודה'!$C$4=$B$194,AZ198,AZ224))</f>
        <v>0</v>
      </c>
      <c r="BA64" s="661">
        <f ca="1">IF('הנחות עבודה'!$C$4=$B$168,BA172,IF('הנחות עבודה'!$C$4=$B$194,BA198,BA224))</f>
        <v>8.4379203999999514E-2</v>
      </c>
      <c r="BB64" s="661">
        <f ca="1">IF('הנחות עבודה'!$C$4=$B$168,BB172,IF('הנחות עבודה'!$C$4=$B$194,BB198,BB224))</f>
        <v>0.15329999999997584</v>
      </c>
      <c r="BC64" s="661">
        <f ca="1">IF('הנחות עבודה'!$C$4=$B$168,BC172,IF('הנחות עבודה'!$C$4=$B$194,BC198,BC224))</f>
        <v>0.7377660400000029</v>
      </c>
      <c r="BD64" s="661">
        <f>IF('הנחות עבודה'!$C$4=$B$168,BD172,IF('הנחות עבודה'!$C$4=$B$194,BD198,BD224))</f>
        <v>0</v>
      </c>
      <c r="BE64" s="661">
        <f>IF('הנחות עבודה'!$C$4=$B$168,BE172,IF('הנחות עבודה'!$C$4=$B$194,BE198,BE224))</f>
        <v>0</v>
      </c>
      <c r="BF64" s="661">
        <f ca="1">IF('הנחות עבודה'!$C$4=$B$168,BF172,IF('הנחות עבודה'!$C$4=$B$194,BF198,BF224))</f>
        <v>48.709192899999998</v>
      </c>
      <c r="BG64" s="661">
        <f>IF('הנחות עבודה'!$C$4=$B$168,BG172,IF('הנחות עבודה'!$C$4=$B$194,BG198,BG224))</f>
        <v>0</v>
      </c>
      <c r="BH64" s="661">
        <f>IF('הנחות עבודה'!$C$4=$B$168,BH172,IF('הנחות עבודה'!$C$4=$B$194,BH198,BH224))</f>
        <v>0</v>
      </c>
      <c r="BI64" s="661">
        <f>IF('הנחות עבודה'!$C$4=$B$168,BI172,IF('הנחות עבודה'!$C$4=$B$194,BI198,BI224))</f>
        <v>17.459679999999999</v>
      </c>
      <c r="BJ64" s="661">
        <f>IF('הנחות עבודה'!$C$4=$B$168,BJ172,IF('הנחות עבודה'!$C$4=$B$194,BJ198,BJ224))</f>
        <v>0.34300000000000003</v>
      </c>
      <c r="BK64" s="665">
        <f>IF('הנחות עבודה'!$C$4=$B$168,BK172,IF('הנחות עבודה'!$C$4=$B$194,BK198,BK224))</f>
        <v>0</v>
      </c>
      <c r="BL64" s="664">
        <f>IF('הנחות עבודה'!$C$4=$B$168,BL172,IF('הנחות עבודה'!$C$4=$B$194,BL198,BL224))</f>
        <v>6.4147628560000207</v>
      </c>
      <c r="BM64" s="664">
        <f ca="1">IF('הנחות עבודה'!$C$4=$B$168,BM172,IF('הנחות עבודה'!$C$4=$B$194,BM198,BM224))</f>
        <v>8.4379203999999514E-2</v>
      </c>
      <c r="BN64" s="664">
        <f ca="1">IF('הנחות עבודה'!$C$4=$B$168,BN172,IF('הנחות עבודה'!$C$4=$B$194,BN198,BN224))</f>
        <v>0.15329999999997584</v>
      </c>
      <c r="BO64" s="664">
        <f ca="1">IF('הנחות עבודה'!$C$4=$B$168,BO172,IF('הנחות עבודה'!$C$4=$B$194,BO198,BO224))</f>
        <v>0.7377660400000029</v>
      </c>
      <c r="BP64" s="664">
        <f>IF('הנחות עבודה'!$C$4=$B$168,BP172,IF('הנחות עבודה'!$C$4=$B$194,BP198,BP224))</f>
        <v>0</v>
      </c>
      <c r="BQ64" s="664">
        <f>IF('הנחות עבודה'!$C$4=$B$168,BQ172,IF('הנחות עבודה'!$C$4=$B$194,BQ198,BQ224))</f>
        <v>0</v>
      </c>
      <c r="BR64" s="664">
        <f ca="1">IF('הנחות עבודה'!$C$4=$B$168,BR172,IF('הנחות עבודה'!$C$4=$B$194,BR198,BR224))</f>
        <v>48.709192899999998</v>
      </c>
      <c r="BS64" s="664">
        <f>IF('הנחות עבודה'!$C$4=$B$168,BS172,IF('הנחות עבודה'!$C$4=$B$194,BS198,BS224))</f>
        <v>0</v>
      </c>
      <c r="BT64" s="664">
        <f>IF('הנחות עבודה'!$C$4=$B$168,BT172,IF('הנחות עבודה'!$C$4=$B$194,BT198,BT224))</f>
        <v>0</v>
      </c>
      <c r="BU64" s="664">
        <f>IF('הנחות עבודה'!$C$4=$B$168,BU172,IF('הנחות עבודה'!$C$4=$B$194,BU198,BU224))</f>
        <v>17.459679999999999</v>
      </c>
      <c r="BV64" s="666">
        <f>IF('הנחות עבודה'!$C$4=$B$168,BV172,IF('הנחות עבודה'!$C$4=$B$194,BV198,BV224))</f>
        <v>0.34300000000000003</v>
      </c>
      <c r="BX64" s="552"/>
    </row>
    <row r="65" spans="2:79" ht="15.75">
      <c r="B65" s="10">
        <f t="shared" ref="B65:B66" si="225">+B64+1</f>
        <v>2021</v>
      </c>
      <c r="C65" s="667">
        <f>IF('הנחות עבודה'!$C$4=$B$168,C173,IF('הנחות עבודה'!$C$4=$B$194,C199,C225))</f>
        <v>6.9084150280000509</v>
      </c>
      <c r="D65" s="668">
        <f>IF('הנחות עבודה'!$C$4=$B$168,D173,IF('הנחות עבודה'!$C$4=$B$194,D199,D225))</f>
        <v>0</v>
      </c>
      <c r="E65" s="668">
        <f ca="1">IF('הנחות עבודה'!$C$4=$B$168,E173,IF('הנחות עבודה'!$C$4=$B$194,E199,E225))</f>
        <v>8.4379203999999514E-2</v>
      </c>
      <c r="F65" s="668">
        <f ca="1">IF('הנחות עבודה'!$C$4=$B$168,F173,IF('הנחות עבודה'!$C$4=$B$194,F199,F225))</f>
        <v>0.33725999999994682</v>
      </c>
      <c r="G65" s="668">
        <f ca="1">IF('הנחות עבודה'!$C$4=$B$168,G173,IF('הנחות עבודה'!$C$4=$B$194,G199,G225))</f>
        <v>0.7377660400000029</v>
      </c>
      <c r="H65" s="668">
        <f>IF('הנחות עבודה'!$C$4=$B$168,H173,IF('הנחות עבודה'!$C$4=$B$194,H199,H225))</f>
        <v>0</v>
      </c>
      <c r="I65" s="668">
        <f>IF('הנחות עבודה'!$C$4=$B$168,I173,IF('הנחות עבודה'!$C$4=$B$194,I199,I225))</f>
        <v>0</v>
      </c>
      <c r="J65" s="668">
        <f ca="1">IF('הנחות עבודה'!$C$4=$B$168,J173,IF('הנחות עבודה'!$C$4=$B$194,J199,J225))</f>
        <v>50.241011728000004</v>
      </c>
      <c r="K65" s="668">
        <f>IF('הנחות עבודה'!$C$4=$B$168,K173,IF('הנחות עבודה'!$C$4=$B$194,K199,K225))</f>
        <v>0</v>
      </c>
      <c r="L65" s="668">
        <f>IF('הנחות עבודה'!$C$4=$B$168,L173,IF('הנחות עבודה'!$C$4=$B$194,L199,L225))</f>
        <v>0</v>
      </c>
      <c r="M65" s="44">
        <f>IF('הנחות עבודה'!$C$4=$B$168,M173,IF('הנחות עבודה'!$C$4=$B$194,M199,M225))</f>
        <v>17.459679999999999</v>
      </c>
      <c r="N65" s="669">
        <f>IF('הנחות עבודה'!$C$4=$B$168,N173,IF('הנחות עבודה'!$C$4=$B$194,N199,N225))</f>
        <v>0.34300000000000003</v>
      </c>
      <c r="O65" s="670">
        <f>IF('הנחות עבודה'!$C$4=$B$168,O173,IF('הנחות עבודה'!$C$4=$B$194,O199,O225))</f>
        <v>0</v>
      </c>
      <c r="P65" s="671">
        <f>IF('הנחות עבודה'!$C$4=$B$168,P173,IF('הנחות עבודה'!$C$4=$B$194,P199,P225))</f>
        <v>6.9084150280000509</v>
      </c>
      <c r="Q65" s="671">
        <f ca="1">IF('הנחות עבודה'!$C$4=$B$168,Q173,IF('הנחות עבודה'!$C$4=$B$194,Q199,Q225))</f>
        <v>8.4379203999999514E-2</v>
      </c>
      <c r="R65" s="671">
        <f ca="1">IF('הנחות עבודה'!$C$4=$B$168,R173,IF('הנחות עבודה'!$C$4=$B$194,R199,R225))</f>
        <v>0.33725999999994682</v>
      </c>
      <c r="S65" s="671">
        <f ca="1">IF('הנחות עבודה'!$C$4=$B$168,S173,IF('הנחות עבודה'!$C$4=$B$194,S199,S225))</f>
        <v>0.7377660400000029</v>
      </c>
      <c r="T65" s="671">
        <f>IF('הנחות עבודה'!$C$4=$B$168,T173,IF('הנחות עבודה'!$C$4=$B$194,T199,T225))</f>
        <v>0</v>
      </c>
      <c r="U65" s="671">
        <f>IF('הנחות עבודה'!$C$4=$B$168,U173,IF('הנחות עבודה'!$C$4=$B$194,U199,U225))</f>
        <v>0</v>
      </c>
      <c r="V65" s="671">
        <f ca="1">IF('הנחות עבודה'!$C$4=$B$168,V173,IF('הנחות עבודה'!$C$4=$B$194,V199,V225))</f>
        <v>50.241011728000004</v>
      </c>
      <c r="W65" s="671">
        <f>IF('הנחות עבודה'!$C$4=$B$168,W173,IF('הנחות עבודה'!$C$4=$B$194,W199,W225))</f>
        <v>0</v>
      </c>
      <c r="X65" s="671">
        <f>IF('הנחות עבודה'!$C$4=$B$168,X173,IF('הנחות עבודה'!$C$4=$B$194,X199,X225))</f>
        <v>0</v>
      </c>
      <c r="Y65" s="671">
        <f>IF('הנחות עבודה'!$C$4=$B$168,Y173,IF('הנחות עבודה'!$C$4=$B$194,Y199,Y225))</f>
        <v>17.459679999999999</v>
      </c>
      <c r="Z65" s="671">
        <f>IF('הנחות עבודה'!$C$4=$B$168,Z173,IF('הנחות עבודה'!$C$4=$B$194,Z199,Z225))</f>
        <v>0.34300000000000003</v>
      </c>
      <c r="AA65" s="667">
        <f>IF('הנחות עבודה'!$C$4=$B$168,AA173,IF('הנחות עבודה'!$C$4=$B$194,AA199,AA225))</f>
        <v>7.5934186360000524</v>
      </c>
      <c r="AB65" s="668">
        <f>IF('הנחות עבודה'!$C$4=$B$168,AB173,IF('הנחות עבודה'!$C$4=$B$194,AB199,AB225))</f>
        <v>0</v>
      </c>
      <c r="AC65" s="668">
        <f ca="1">IF('הנחות עבודה'!$C$4=$B$168,AC173,IF('הנחות עבודה'!$C$4=$B$194,AC199,AC225))</f>
        <v>8.4379203999999514E-2</v>
      </c>
      <c r="AD65" s="668">
        <f ca="1">IF('הנחות עבודה'!$C$4=$B$168,AD173,IF('הנחות עבודה'!$C$4=$B$194,AD199,AD225))</f>
        <v>0.33725999999994682</v>
      </c>
      <c r="AE65" s="668">
        <f ca="1">IF('הנחות עבודה'!$C$4=$B$168,AE173,IF('הנחות עבודה'!$C$4=$B$194,AE199,AE225))</f>
        <v>0.7377660400000029</v>
      </c>
      <c r="AF65" s="668">
        <f>IF('הנחות עבודה'!$C$4=$B$168,AF173,IF('הנחות עבודה'!$C$4=$B$194,AF199,AF225))</f>
        <v>0</v>
      </c>
      <c r="AG65" s="668">
        <f>IF('הנחות עבודה'!$C$4=$B$168,AG173,IF('הנחות עבודה'!$C$4=$B$194,AG199,AG225))</f>
        <v>0</v>
      </c>
      <c r="AH65" s="668">
        <f ca="1">IF('הנחות עבודה'!$C$4=$B$168,AH173,IF('הנחות עבודה'!$C$4=$B$194,AH199,AH225))</f>
        <v>49.556008120000001</v>
      </c>
      <c r="AI65" s="668">
        <f>IF('הנחות עבודה'!$C$4=$B$168,AI173,IF('הנחות עבודה'!$C$4=$B$194,AI199,AI225))</f>
        <v>0</v>
      </c>
      <c r="AJ65" s="668">
        <f>IF('הנחות עבודה'!$C$4=$B$168,AJ173,IF('הנחות עבודה'!$C$4=$B$194,AJ199,AJ225))</f>
        <v>0</v>
      </c>
      <c r="AK65" s="44">
        <f>IF('הנחות עבודה'!$C$4=$B$168,AK173,IF('הנחות עבודה'!$C$4=$B$194,AK199,AK225))</f>
        <v>17.459679999999999</v>
      </c>
      <c r="AL65" s="669">
        <f>IF('הנחות עבודה'!$C$4=$B$168,AL173,IF('הנחות עבודה'!$C$4=$B$194,AL199,AL225))</f>
        <v>0.34300000000000003</v>
      </c>
      <c r="AM65" s="670">
        <f>IF('הנחות עבודה'!$C$4=$B$168,AM173,IF('הנחות עבודה'!$C$4=$B$194,AM199,AM225))</f>
        <v>0</v>
      </c>
      <c r="AN65" s="671">
        <f>IF('הנחות עבודה'!$C$4=$B$168,AN173,IF('הנחות עבודה'!$C$4=$B$194,AN199,AN225))</f>
        <v>7.5934186360000524</v>
      </c>
      <c r="AO65" s="671">
        <f ca="1">IF('הנחות עבודה'!$C$4=$B$168,AO173,IF('הנחות עבודה'!$C$4=$B$194,AO199,AO225))</f>
        <v>8.4379203999999514E-2</v>
      </c>
      <c r="AP65" s="671">
        <f ca="1">IF('הנחות עבודה'!$C$4=$B$168,AP173,IF('הנחות עבודה'!$C$4=$B$194,AP199,AP225))</f>
        <v>0.33725999999994682</v>
      </c>
      <c r="AQ65" s="671">
        <f ca="1">IF('הנחות עבודה'!$C$4=$B$168,AQ173,IF('הנחות עבודה'!$C$4=$B$194,AQ199,AQ225))</f>
        <v>0.7377660400000029</v>
      </c>
      <c r="AR65" s="671">
        <f>IF('הנחות עבודה'!$C$4=$B$168,AR173,IF('הנחות עבודה'!$C$4=$B$194,AR199,AR225))</f>
        <v>0</v>
      </c>
      <c r="AS65" s="671">
        <f>IF('הנחות עבודה'!$C$4=$B$168,AS173,IF('הנחות עבודה'!$C$4=$B$194,AS199,AS225))</f>
        <v>0</v>
      </c>
      <c r="AT65" s="671">
        <f ca="1">IF('הנחות עבודה'!$C$4=$B$168,AT173,IF('הנחות עבודה'!$C$4=$B$194,AT199,AT225))</f>
        <v>49.556008120000001</v>
      </c>
      <c r="AU65" s="671">
        <f>IF('הנחות עבודה'!$C$4=$B$168,AU173,IF('הנחות עבודה'!$C$4=$B$194,AU199,AU225))</f>
        <v>0</v>
      </c>
      <c r="AV65" s="671">
        <f>IF('הנחות עבודה'!$C$4=$B$168,AV173,IF('הנחות עבודה'!$C$4=$B$194,AV199,AV225))</f>
        <v>0</v>
      </c>
      <c r="AW65" s="671">
        <f>IF('הנחות עבודה'!$C$4=$B$168,AW173,IF('הנחות עבודה'!$C$4=$B$194,AW199,AW225))</f>
        <v>17.459679999999999</v>
      </c>
      <c r="AX65" s="671">
        <f>IF('הנחות עבודה'!$C$4=$B$168,AX173,IF('הנחות עבודה'!$C$4=$B$194,AX199,AX225))</f>
        <v>0.34300000000000003</v>
      </c>
      <c r="AY65" s="667">
        <f>IF('הנחות עבודה'!$C$4=$B$168,AY173,IF('הנחות עבודה'!$C$4=$B$194,AY199,AY225))</f>
        <v>7.973976196000053</v>
      </c>
      <c r="AZ65" s="668">
        <f>IF('הנחות עבודה'!$C$4=$B$168,AZ173,IF('הנחות עבודה'!$C$4=$B$194,AZ199,AZ225))</f>
        <v>0</v>
      </c>
      <c r="BA65" s="668">
        <f ca="1">IF('הנחות עבודה'!$C$4=$B$168,BA173,IF('הנחות עבודה'!$C$4=$B$194,BA199,BA225))</f>
        <v>8.4379203999999514E-2</v>
      </c>
      <c r="BB65" s="668">
        <f ca="1">IF('הנחות עבודה'!$C$4=$B$168,BB173,IF('הנחות עבודה'!$C$4=$B$194,BB199,BB225))</f>
        <v>0.15329999999997584</v>
      </c>
      <c r="BC65" s="668">
        <f ca="1">IF('הנחות עבודה'!$C$4=$B$168,BC173,IF('הנחות עבודה'!$C$4=$B$194,BC199,BC225))</f>
        <v>0.7377660400000029</v>
      </c>
      <c r="BD65" s="668">
        <f>IF('הנחות עבודה'!$C$4=$B$168,BD173,IF('הנחות עבודה'!$C$4=$B$194,BD199,BD225))</f>
        <v>0</v>
      </c>
      <c r="BE65" s="668">
        <f>IF('הנחות עבודה'!$C$4=$B$168,BE173,IF('הנחות עבודה'!$C$4=$B$194,BE199,BE225))</f>
        <v>0</v>
      </c>
      <c r="BF65" s="668">
        <f ca="1">IF('הנחות עבודה'!$C$4=$B$168,BF173,IF('הנחות עבודה'!$C$4=$B$194,BF199,BF225))</f>
        <v>49.359410559999972</v>
      </c>
      <c r="BG65" s="668">
        <f>IF('הנחות עבודה'!$C$4=$B$168,BG173,IF('הנחות עבודה'!$C$4=$B$194,BG199,BG225))</f>
        <v>0</v>
      </c>
      <c r="BH65" s="668">
        <f>IF('הנחות עבודה'!$C$4=$B$168,BH173,IF('הנחות עבודה'!$C$4=$B$194,BH199,BH225))</f>
        <v>0</v>
      </c>
      <c r="BI65" s="668">
        <f>IF('הנחות עבודה'!$C$4=$B$168,BI173,IF('הנחות עבודה'!$C$4=$B$194,BI199,BI225))</f>
        <v>17.459679999999999</v>
      </c>
      <c r="BJ65" s="668">
        <f>IF('הנחות עבודה'!$C$4=$B$168,BJ173,IF('הנחות עבודה'!$C$4=$B$194,BJ199,BJ225))</f>
        <v>0.34300000000000003</v>
      </c>
      <c r="BK65" s="672">
        <f>IF('הנחות עבודה'!$C$4=$B$168,BK173,IF('הנחות עבודה'!$C$4=$B$194,BK199,BK225))</f>
        <v>0</v>
      </c>
      <c r="BL65" s="671">
        <f>IF('הנחות עבודה'!$C$4=$B$168,BL173,IF('הנחות עבודה'!$C$4=$B$194,BL199,BL225))</f>
        <v>7.973976196000053</v>
      </c>
      <c r="BM65" s="671">
        <f ca="1">IF('הנחות עבודה'!$C$4=$B$168,BM173,IF('הנחות עבודה'!$C$4=$B$194,BM199,BM225))</f>
        <v>8.4379203999999514E-2</v>
      </c>
      <c r="BN65" s="671">
        <f ca="1">IF('הנחות עבודה'!$C$4=$B$168,BN173,IF('הנחות עבודה'!$C$4=$B$194,BN199,BN225))</f>
        <v>0.15329999999997584</v>
      </c>
      <c r="BO65" s="671">
        <f ca="1">IF('הנחות עבודה'!$C$4=$B$168,BO173,IF('הנחות עבודה'!$C$4=$B$194,BO199,BO225))</f>
        <v>0.7377660400000029</v>
      </c>
      <c r="BP65" s="671">
        <f>IF('הנחות עבודה'!$C$4=$B$168,BP173,IF('הנחות עבודה'!$C$4=$B$194,BP199,BP225))</f>
        <v>0</v>
      </c>
      <c r="BQ65" s="671">
        <f>IF('הנחות עבודה'!$C$4=$B$168,BQ173,IF('הנחות עבודה'!$C$4=$B$194,BQ199,BQ225))</f>
        <v>0</v>
      </c>
      <c r="BR65" s="671">
        <f ca="1">IF('הנחות עבודה'!$C$4=$B$168,BR173,IF('הנחות עבודה'!$C$4=$B$194,BR199,BR225))</f>
        <v>49.359410559999972</v>
      </c>
      <c r="BS65" s="671">
        <f>IF('הנחות עבודה'!$C$4=$B$168,BS173,IF('הנחות עבודה'!$C$4=$B$194,BS199,BS225))</f>
        <v>0</v>
      </c>
      <c r="BT65" s="671">
        <f>IF('הנחות עבודה'!$C$4=$B$168,BT173,IF('הנחות עבודה'!$C$4=$B$194,BT199,BT225))</f>
        <v>0</v>
      </c>
      <c r="BU65" s="671">
        <f>IF('הנחות עבודה'!$C$4=$B$168,BU173,IF('הנחות עבודה'!$C$4=$B$194,BU199,BU225))</f>
        <v>17.459679999999999</v>
      </c>
      <c r="BV65" s="673">
        <f>IF('הנחות עבודה'!$C$4=$B$168,BV173,IF('הנחות עבודה'!$C$4=$B$194,BV199,BV225))</f>
        <v>0.34300000000000003</v>
      </c>
      <c r="BX65" s="552"/>
    </row>
    <row r="66" spans="2:79" ht="15.75">
      <c r="B66" s="10">
        <f t="shared" si="225"/>
        <v>2022</v>
      </c>
      <c r="C66" s="667">
        <f>IF('הנחות עבודה'!$C$4=$B$168,C174,IF('הנחות עבודה'!$C$4=$B$194,C200,C226))</f>
        <v>7.0555605900000593</v>
      </c>
      <c r="D66" s="668">
        <f>IF('הנחות עבודה'!$C$4=$B$168,D174,IF('הנחות עבודה'!$C$4=$B$194,D200,D226))</f>
        <v>0</v>
      </c>
      <c r="E66" s="668">
        <f ca="1">IF('הנחות עבודה'!$C$4=$B$168,E174,IF('הנחות עבודה'!$C$4=$B$194,E200,E226))</f>
        <v>0.59668151399999658</v>
      </c>
      <c r="F66" s="668">
        <f ca="1">IF('הנחות עבודה'!$C$4=$B$168,F174,IF('הנחות עבודה'!$C$4=$B$194,F200,F226))</f>
        <v>0.36791999999994196</v>
      </c>
      <c r="G66" s="668">
        <f ca="1">IF('הנחות עבודה'!$C$4=$B$168,G174,IF('הנחות עבודה'!$C$4=$B$194,G200,G226))</f>
        <v>0.7377660400000029</v>
      </c>
      <c r="H66" s="668">
        <f>IF('הנחות עבודה'!$C$4=$B$168,H174,IF('הנחות עבודה'!$C$4=$B$194,H200,H226))</f>
        <v>0</v>
      </c>
      <c r="I66" s="668">
        <f>IF('הנחות עבודה'!$C$4=$B$168,I174,IF('הנחות עבודה'!$C$4=$B$194,I200,I226))</f>
        <v>1.30576</v>
      </c>
      <c r="J66" s="668">
        <f ca="1">IF('הנחות עבודה'!$C$4=$B$168,J174,IF('הנחות עבודה'!$C$4=$B$194,J200,J226))</f>
        <v>51.585658855999995</v>
      </c>
      <c r="K66" s="668">
        <f>IF('הנחות עבודה'!$C$4=$B$168,K174,IF('הנחות עבודה'!$C$4=$B$194,K200,K226))</f>
        <v>0</v>
      </c>
      <c r="L66" s="668">
        <f>IF('הנחות עבודה'!$C$4=$B$168,L174,IF('הנחות עבודה'!$C$4=$B$194,L200,L226))</f>
        <v>0</v>
      </c>
      <c r="M66" s="44">
        <f>IF('הנחות עבודה'!$C$4=$B$168,M174,IF('הנחות עבודה'!$C$4=$B$194,M200,M226))</f>
        <v>16.202909999999999</v>
      </c>
      <c r="N66" s="669">
        <f>IF('הנחות עבודה'!$C$4=$B$168,N174,IF('הנחות עבודה'!$C$4=$B$194,N200,N226))</f>
        <v>0.34353</v>
      </c>
      <c r="O66" s="670">
        <f>IF('הנחות עבודה'!$C$4=$B$168,O174,IF('הנחות עבודה'!$C$4=$B$194,O200,O226))</f>
        <v>0</v>
      </c>
      <c r="P66" s="671">
        <f>IF('הנחות עבודה'!$C$4=$B$168,P174,IF('הנחות עבודה'!$C$4=$B$194,P200,P226))</f>
        <v>7.0555605900000593</v>
      </c>
      <c r="Q66" s="671">
        <f ca="1">IF('הנחות עבודה'!$C$4=$B$168,Q174,IF('הנחות עבודה'!$C$4=$B$194,Q200,Q226))</f>
        <v>0.59668151399999658</v>
      </c>
      <c r="R66" s="671">
        <f ca="1">IF('הנחות עבודה'!$C$4=$B$168,R174,IF('הנחות עבודה'!$C$4=$B$194,R200,R226))</f>
        <v>0.36791999999994196</v>
      </c>
      <c r="S66" s="671">
        <f ca="1">IF('הנחות עבודה'!$C$4=$B$168,S174,IF('הנחות עבודה'!$C$4=$B$194,S200,S226))</f>
        <v>0.7377660400000029</v>
      </c>
      <c r="T66" s="671">
        <f>IF('הנחות עבודה'!$C$4=$B$168,T174,IF('הנחות עבודה'!$C$4=$B$194,T200,T226))</f>
        <v>0</v>
      </c>
      <c r="U66" s="671">
        <f>IF('הנחות עבודה'!$C$4=$B$168,U174,IF('הנחות עבודה'!$C$4=$B$194,U200,U226))</f>
        <v>1.30576</v>
      </c>
      <c r="V66" s="671">
        <f ca="1">IF('הנחות עבודה'!$C$4=$B$168,V174,IF('הנחות עבודה'!$C$4=$B$194,V200,V226))</f>
        <v>51.585658855999995</v>
      </c>
      <c r="W66" s="671">
        <f>IF('הנחות עבודה'!$C$4=$B$168,W174,IF('הנחות עבודה'!$C$4=$B$194,W200,W226))</f>
        <v>0</v>
      </c>
      <c r="X66" s="671">
        <f>IF('הנחות עבודה'!$C$4=$B$168,X174,IF('הנחות עבודה'!$C$4=$B$194,X200,X226))</f>
        <v>0</v>
      </c>
      <c r="Y66" s="671">
        <f>IF('הנחות עבודה'!$C$4=$B$168,Y174,IF('הנחות עבודה'!$C$4=$B$194,Y200,Y226))</f>
        <v>16.202909999999999</v>
      </c>
      <c r="Z66" s="671">
        <f>IF('הנחות עבודה'!$C$4=$B$168,Z174,IF('הנחות עבודה'!$C$4=$B$194,Z200,Z226))</f>
        <v>0.34353</v>
      </c>
      <c r="AA66" s="667">
        <f>IF('הנחות עבודה'!$C$4=$B$168,AA174,IF('הנחות עבודה'!$C$4=$B$194,AA200,AA226))</f>
        <v>8.4630847560000575</v>
      </c>
      <c r="AB66" s="668">
        <f>IF('הנחות עבודה'!$C$4=$B$168,AB174,IF('הנחות עבודה'!$C$4=$B$194,AB200,AB226))</f>
        <v>0</v>
      </c>
      <c r="AC66" s="668">
        <f ca="1">IF('הנחות עבודה'!$C$4=$B$168,AC174,IF('הנחות עבודה'!$C$4=$B$194,AC200,AC226))</f>
        <v>0.59668151399999658</v>
      </c>
      <c r="AD66" s="668">
        <f ca="1">IF('הנחות עבודה'!$C$4=$B$168,AD174,IF('הנחות עבודה'!$C$4=$B$194,AD200,AD226))</f>
        <v>0.36791999999994196</v>
      </c>
      <c r="AE66" s="668">
        <f ca="1">IF('הנחות עבודה'!$C$4=$B$168,AE174,IF('הנחות עבודה'!$C$4=$B$194,AE200,AE226))</f>
        <v>0.7377660400000029</v>
      </c>
      <c r="AF66" s="668">
        <f>IF('הנחות עבודה'!$C$4=$B$168,AF174,IF('הנחות עבודה'!$C$4=$B$194,AF200,AF226))</f>
        <v>0</v>
      </c>
      <c r="AG66" s="668">
        <f>IF('הנחות עבודה'!$C$4=$B$168,AG174,IF('הנחות עבודה'!$C$4=$B$194,AG200,AG226))</f>
        <v>1.26959</v>
      </c>
      <c r="AH66" s="668">
        <f ca="1">IF('הנחות עבודה'!$C$4=$B$168,AH174,IF('הנחות עבודה'!$C$4=$B$194,AH200,AH226))</f>
        <v>50.214274689999996</v>
      </c>
      <c r="AI66" s="668">
        <f>IF('הנחות עבודה'!$C$4=$B$168,AI174,IF('הנחות עבודה'!$C$4=$B$194,AI200,AI226))</f>
        <v>0</v>
      </c>
      <c r="AJ66" s="668">
        <f>IF('הנחות עבודה'!$C$4=$B$168,AJ174,IF('הנחות עבודה'!$C$4=$B$194,AJ200,AJ226))</f>
        <v>0</v>
      </c>
      <c r="AK66" s="44">
        <f>IF('הנחות עבודה'!$C$4=$B$168,AK174,IF('הנחות עבודה'!$C$4=$B$194,AK200,AK226))</f>
        <v>16.203489999999999</v>
      </c>
      <c r="AL66" s="669">
        <f>IF('הנחות עבודה'!$C$4=$B$168,AL174,IF('הנחות עבודה'!$C$4=$B$194,AL200,AL226))</f>
        <v>0.34298000000000001</v>
      </c>
      <c r="AM66" s="670">
        <f>IF('הנחות עבודה'!$C$4=$B$168,AM174,IF('הנחות עבודה'!$C$4=$B$194,AM200,AM226))</f>
        <v>0</v>
      </c>
      <c r="AN66" s="671">
        <f>IF('הנחות עבודה'!$C$4=$B$168,AN174,IF('הנחות עבודה'!$C$4=$B$194,AN200,AN226))</f>
        <v>8.4630847560000575</v>
      </c>
      <c r="AO66" s="671">
        <f ca="1">IF('הנחות עבודה'!$C$4=$B$168,AO174,IF('הנחות עבודה'!$C$4=$B$194,AO200,AO226))</f>
        <v>0.59668151399999658</v>
      </c>
      <c r="AP66" s="671">
        <f ca="1">IF('הנחות עבודה'!$C$4=$B$168,AP174,IF('הנחות עבודה'!$C$4=$B$194,AP200,AP226))</f>
        <v>0.36791999999994196</v>
      </c>
      <c r="AQ66" s="671">
        <f ca="1">IF('הנחות עבודה'!$C$4=$B$168,AQ174,IF('הנחות עבודה'!$C$4=$B$194,AQ200,AQ226))</f>
        <v>0.7377660400000029</v>
      </c>
      <c r="AR66" s="671">
        <f>IF('הנחות עבודה'!$C$4=$B$168,AR174,IF('הנחות עבודה'!$C$4=$B$194,AR200,AR226))</f>
        <v>0</v>
      </c>
      <c r="AS66" s="671">
        <f>IF('הנחות עבודה'!$C$4=$B$168,AS174,IF('הנחות עבודה'!$C$4=$B$194,AS200,AS226))</f>
        <v>1.26959</v>
      </c>
      <c r="AT66" s="671">
        <f ca="1">IF('הנחות עבודה'!$C$4=$B$168,AT174,IF('הנחות עבודה'!$C$4=$B$194,AT200,AT226))</f>
        <v>50.214274689999996</v>
      </c>
      <c r="AU66" s="671">
        <f>IF('הנחות עבודה'!$C$4=$B$168,AU174,IF('הנחות עבודה'!$C$4=$B$194,AU200,AU226))</f>
        <v>0</v>
      </c>
      <c r="AV66" s="671">
        <f>IF('הנחות עבודה'!$C$4=$B$168,AV174,IF('הנחות עבודה'!$C$4=$B$194,AV200,AV226))</f>
        <v>0</v>
      </c>
      <c r="AW66" s="671">
        <f>IF('הנחות עבודה'!$C$4=$B$168,AW174,IF('הנחות עבודה'!$C$4=$B$194,AW200,AW226))</f>
        <v>16.203489999999999</v>
      </c>
      <c r="AX66" s="671">
        <f>IF('הנחות עבודה'!$C$4=$B$168,AX174,IF('הנחות עבודה'!$C$4=$B$194,AX200,AX226))</f>
        <v>0.34298000000000001</v>
      </c>
      <c r="AY66" s="667">
        <f>IF('הנחות עבודה'!$C$4=$B$168,AY174,IF('הנחות עבודה'!$C$4=$B$194,AY200,AY226))</f>
        <v>9.2450426260000551</v>
      </c>
      <c r="AZ66" s="668">
        <f>IF('הנחות עבודה'!$C$4=$B$168,AZ174,IF('הנחות עבודה'!$C$4=$B$194,AZ200,AZ226))</f>
        <v>0</v>
      </c>
      <c r="BA66" s="668">
        <f ca="1">IF('הנחות עבודה'!$C$4=$B$168,BA174,IF('הנחות עבודה'!$C$4=$B$194,BA200,BA226))</f>
        <v>0.59668151399999658</v>
      </c>
      <c r="BB66" s="668">
        <f ca="1">IF('הנחות עבודה'!$C$4=$B$168,BB174,IF('הנחות עבודה'!$C$4=$B$194,BB200,BB226))</f>
        <v>0.33725999999994682</v>
      </c>
      <c r="BC66" s="668">
        <f ca="1">IF('הנחות עבודה'!$C$4=$B$168,BC174,IF('הנחות עבודה'!$C$4=$B$194,BC200,BC226))</f>
        <v>0.7377660400000029</v>
      </c>
      <c r="BD66" s="668">
        <f>IF('הנחות עבודה'!$C$4=$B$168,BD174,IF('הנחות עבודה'!$C$4=$B$194,BD200,BD226))</f>
        <v>0</v>
      </c>
      <c r="BE66" s="668">
        <f>IF('הנחות עבודה'!$C$4=$B$168,BE174,IF('הנחות עבודה'!$C$4=$B$194,BE200,BE226))</f>
        <v>1.2567900000000001</v>
      </c>
      <c r="BF66" s="668">
        <f ca="1">IF('הנחות עבודה'!$C$4=$B$168,BF174,IF('הנחות עבודה'!$C$4=$B$194,BF200,BF226))</f>
        <v>49.476356819999992</v>
      </c>
      <c r="BG66" s="668">
        <f>IF('הנחות עבודה'!$C$4=$B$168,BG174,IF('הנחות עבודה'!$C$4=$B$194,BG200,BG226))</f>
        <v>0</v>
      </c>
      <c r="BH66" s="668">
        <f>IF('הנחות עבודה'!$C$4=$B$168,BH174,IF('הנחות עבודה'!$C$4=$B$194,BH200,BH226))</f>
        <v>0</v>
      </c>
      <c r="BI66" s="668">
        <f>IF('הנחות עבודה'!$C$4=$B$168,BI174,IF('הנחות עבודה'!$C$4=$B$194,BI200,BI226))</f>
        <v>16.20289</v>
      </c>
      <c r="BJ66" s="668">
        <f>IF('הנחות עבודה'!$C$4=$B$168,BJ174,IF('הנחות עבודה'!$C$4=$B$194,BJ200,BJ226))</f>
        <v>0.34300000000000003</v>
      </c>
      <c r="BK66" s="672">
        <f>IF('הנחות עבודה'!$C$4=$B$168,BK174,IF('הנחות עבודה'!$C$4=$B$194,BK200,BK226))</f>
        <v>0</v>
      </c>
      <c r="BL66" s="671">
        <f>IF('הנחות עבודה'!$C$4=$B$168,BL174,IF('הנחות עבודה'!$C$4=$B$194,BL200,BL226))</f>
        <v>9.2450426260000551</v>
      </c>
      <c r="BM66" s="671">
        <f ca="1">IF('הנחות עבודה'!$C$4=$B$168,BM174,IF('הנחות עבודה'!$C$4=$B$194,BM200,BM226))</f>
        <v>0.59668151399999658</v>
      </c>
      <c r="BN66" s="671">
        <f ca="1">IF('הנחות עבודה'!$C$4=$B$168,BN174,IF('הנחות עבודה'!$C$4=$B$194,BN200,BN226))</f>
        <v>0.33725999999994682</v>
      </c>
      <c r="BO66" s="671">
        <f ca="1">IF('הנחות עבודה'!$C$4=$B$168,BO174,IF('הנחות עבודה'!$C$4=$B$194,BO200,BO226))</f>
        <v>0.7377660400000029</v>
      </c>
      <c r="BP66" s="671">
        <f>IF('הנחות עבודה'!$C$4=$B$168,BP174,IF('הנחות עבודה'!$C$4=$B$194,BP200,BP226))</f>
        <v>0</v>
      </c>
      <c r="BQ66" s="671">
        <f>IF('הנחות עבודה'!$C$4=$B$168,BQ174,IF('הנחות עבודה'!$C$4=$B$194,BQ200,BQ226))</f>
        <v>1.2567900000000001</v>
      </c>
      <c r="BR66" s="671">
        <f ca="1">IF('הנחות עבודה'!$C$4=$B$168,BR174,IF('הנחות עבודה'!$C$4=$B$194,BR200,BR226))</f>
        <v>49.476356819999992</v>
      </c>
      <c r="BS66" s="671">
        <f>IF('הנחות עבודה'!$C$4=$B$168,BS174,IF('הנחות עבודה'!$C$4=$B$194,BS200,BS226))</f>
        <v>0</v>
      </c>
      <c r="BT66" s="671">
        <f>IF('הנחות עבודה'!$C$4=$B$168,BT174,IF('הנחות עבודה'!$C$4=$B$194,BT200,BT226))</f>
        <v>0</v>
      </c>
      <c r="BU66" s="671">
        <f>IF('הנחות עבודה'!$C$4=$B$168,BU174,IF('הנחות עבודה'!$C$4=$B$194,BU200,BU226))</f>
        <v>16.20289</v>
      </c>
      <c r="BV66" s="673">
        <f>IF('הנחות עבודה'!$C$4=$B$168,BV174,IF('הנחות עבודה'!$C$4=$B$194,BV200,BV226))</f>
        <v>0.34300000000000003</v>
      </c>
      <c r="BX66" s="552"/>
    </row>
    <row r="67" spans="2:79" ht="15.75">
      <c r="B67" s="10">
        <f>+B66+1</f>
        <v>2023</v>
      </c>
      <c r="C67" s="667">
        <f>IF('הנחות עבודה'!$C$4=$B$168,C175,IF('הנחות עבודה'!$C$4=$B$194,C201,C227))</f>
        <v>7.2139161130000691</v>
      </c>
      <c r="D67" s="668">
        <f>IF('הנחות עבודה'!$C$4=$B$168,D175,IF('הנחות עבודה'!$C$4=$B$194,D201,D227))</f>
        <v>0</v>
      </c>
      <c r="E67" s="668">
        <f ca="1">IF('הנחות עבודה'!$C$4=$B$168,E175,IF('הנחות עבודה'!$C$4=$B$194,E201,E227))</f>
        <v>1.1300786249999935</v>
      </c>
      <c r="F67" s="668">
        <f ca="1">IF('הנחות עבודה'!$C$4=$B$168,F175,IF('הנחות עבודה'!$C$4=$B$194,F201,F227))</f>
        <v>0.39857999999993715</v>
      </c>
      <c r="G67" s="668">
        <f ca="1">IF('הנחות עבודה'!$C$4=$B$168,G175,IF('הנחות עבודה'!$C$4=$B$194,G201,G227))</f>
        <v>0.7377660400000029</v>
      </c>
      <c r="H67" s="668">
        <f>IF('הנחות עבודה'!$C$4=$B$168,H175,IF('הנחות עבודה'!$C$4=$B$194,H201,H227))</f>
        <v>0</v>
      </c>
      <c r="I67" s="668">
        <f>IF('הנחות עבודה'!$C$4=$B$168,I175,IF('הנחות עבודה'!$C$4=$B$194,I201,I227))</f>
        <v>2.0048499999999998</v>
      </c>
      <c r="J67" s="668">
        <f ca="1">IF('הנחות עבודה'!$C$4=$B$168,J175,IF('הנחות עבודה'!$C$4=$B$194,J201,J227))</f>
        <v>57.255080221999997</v>
      </c>
      <c r="K67" s="668">
        <f>IF('הנחות עבודה'!$C$4=$B$168,K175,IF('הנחות עבודה'!$C$4=$B$194,K201,K227))</f>
        <v>0</v>
      </c>
      <c r="L67" s="668">
        <f>IF('הנחות עבודה'!$C$4=$B$168,L175,IF('הנחות עבודה'!$C$4=$B$194,L201,L227))</f>
        <v>0</v>
      </c>
      <c r="M67" s="44">
        <f>IF('הנחות עבודה'!$C$4=$B$168,M175,IF('הנחות עבודה'!$C$4=$B$194,M201,M227))</f>
        <v>11.26074</v>
      </c>
      <c r="N67" s="669">
        <f>IF('הנחות עבודה'!$C$4=$B$168,N175,IF('הנחות עבודה'!$C$4=$B$194,N201,N227))</f>
        <v>0.34086</v>
      </c>
      <c r="O67" s="670">
        <f>IF('הנחות עבודה'!$C$4=$B$168,O175,IF('הנחות עבודה'!$C$4=$B$194,O201,O227))</f>
        <v>0</v>
      </c>
      <c r="P67" s="671">
        <f>IF('הנחות עבודה'!$C$4=$B$168,P175,IF('הנחות עבודה'!$C$4=$B$194,P201,P227))</f>
        <v>7.2139161130000691</v>
      </c>
      <c r="Q67" s="671">
        <f ca="1">IF('הנחות עבודה'!$C$4=$B$168,Q175,IF('הנחות עבודה'!$C$4=$B$194,Q201,Q227))</f>
        <v>1.1300786249999935</v>
      </c>
      <c r="R67" s="671">
        <f ca="1">IF('הנחות עבודה'!$C$4=$B$168,R175,IF('הנחות עבודה'!$C$4=$B$194,R201,R227))</f>
        <v>0.39857999999993715</v>
      </c>
      <c r="S67" s="671">
        <f ca="1">IF('הנחות עבודה'!$C$4=$B$168,S175,IF('הנחות עבודה'!$C$4=$B$194,S201,S227))</f>
        <v>0.7377660400000029</v>
      </c>
      <c r="T67" s="671">
        <f>IF('הנחות עבודה'!$C$4=$B$168,T175,IF('הנחות עבודה'!$C$4=$B$194,T201,T227))</f>
        <v>0</v>
      </c>
      <c r="U67" s="671">
        <f>IF('הנחות עבודה'!$C$4=$B$168,U175,IF('הנחות עבודה'!$C$4=$B$194,U201,U227))</f>
        <v>2.0048499999999998</v>
      </c>
      <c r="V67" s="671">
        <f ca="1">IF('הנחות עבודה'!$C$4=$B$168,V175,IF('הנחות עבודה'!$C$4=$B$194,V201,V227))</f>
        <v>57.255080221999997</v>
      </c>
      <c r="W67" s="671">
        <f>IF('הנחות עבודה'!$C$4=$B$168,W175,IF('הנחות עבודה'!$C$4=$B$194,W201,W227))</f>
        <v>0</v>
      </c>
      <c r="X67" s="671">
        <f>IF('הנחות עבודה'!$C$4=$B$168,X175,IF('הנחות עבודה'!$C$4=$B$194,X201,X227))</f>
        <v>0</v>
      </c>
      <c r="Y67" s="671">
        <f>IF('הנחות עבודה'!$C$4=$B$168,Y175,IF('הנחות עבודה'!$C$4=$B$194,Y201,Y227))</f>
        <v>11.26074</v>
      </c>
      <c r="Z67" s="671">
        <f>IF('הנחות עבודה'!$C$4=$B$168,Z175,IF('הנחות עבודה'!$C$4=$B$194,Z201,Z227))</f>
        <v>0.34086</v>
      </c>
      <c r="AA67" s="667">
        <f>IF('הנחות עבודה'!$C$4=$B$168,AA175,IF('הנחות עבודה'!$C$4=$B$194,AA201,AA227))</f>
        <v>9.3831466300000663</v>
      </c>
      <c r="AB67" s="668">
        <f>IF('הנחות עבודה'!$C$4=$B$168,AB175,IF('הנחות עבודה'!$C$4=$B$194,AB201,AB227))</f>
        <v>0</v>
      </c>
      <c r="AC67" s="668">
        <f ca="1">IF('הנחות עבודה'!$C$4=$B$168,AC175,IF('הנחות עבודה'!$C$4=$B$194,AC201,AC227))</f>
        <v>1.1300786249999935</v>
      </c>
      <c r="AD67" s="668">
        <f ca="1">IF('הנחות עבודה'!$C$4=$B$168,AD175,IF('הנחות עבודה'!$C$4=$B$194,AD201,AD227))</f>
        <v>0.39857999999993715</v>
      </c>
      <c r="AE67" s="668">
        <f ca="1">IF('הנחות עבודה'!$C$4=$B$168,AE175,IF('הנחות עבודה'!$C$4=$B$194,AE201,AE227))</f>
        <v>0.7377660400000029</v>
      </c>
      <c r="AF67" s="668">
        <f>IF('הנחות עבודה'!$C$4=$B$168,AF175,IF('הנחות עבודה'!$C$4=$B$194,AF201,AF227))</f>
        <v>0</v>
      </c>
      <c r="AG67" s="668">
        <f>IF('הנחות עבודה'!$C$4=$B$168,AG175,IF('הנחות עבודה'!$C$4=$B$194,AG201,AG227))</f>
        <v>1.95722</v>
      </c>
      <c r="AH67" s="668">
        <f ca="1">IF('הנחות עבודה'!$C$4=$B$168,AH175,IF('הנחות עבודה'!$C$4=$B$194,AH201,AH227))</f>
        <v>55.136999704999994</v>
      </c>
      <c r="AI67" s="668">
        <f>IF('הנחות עבודה'!$C$4=$B$168,AI175,IF('הנחות עבודה'!$C$4=$B$194,AI201,AI227))</f>
        <v>0</v>
      </c>
      <c r="AJ67" s="668">
        <f>IF('הנחות עבודה'!$C$4=$B$168,AJ175,IF('הנחות עבודה'!$C$4=$B$194,AJ201,AJ227))</f>
        <v>0</v>
      </c>
      <c r="AK67" s="44">
        <f>IF('הנחות עבודה'!$C$4=$B$168,AK175,IF('הנחות עבודה'!$C$4=$B$194,AK201,AK227))</f>
        <v>11.256959999999999</v>
      </c>
      <c r="AL67" s="669">
        <f>IF('הנחות עבודה'!$C$4=$B$168,AL175,IF('הנחות עבודה'!$C$4=$B$194,AL201,AL227))</f>
        <v>0.34111999999999998</v>
      </c>
      <c r="AM67" s="670">
        <f>IF('הנחות עבודה'!$C$4=$B$168,AM175,IF('הנחות עבודה'!$C$4=$B$194,AM201,AM227))</f>
        <v>0</v>
      </c>
      <c r="AN67" s="671">
        <f>IF('הנחות עבודה'!$C$4=$B$168,AN175,IF('הנחות עבודה'!$C$4=$B$194,AN201,AN227))</f>
        <v>9.3831466300000663</v>
      </c>
      <c r="AO67" s="671">
        <f ca="1">IF('הנחות עבודה'!$C$4=$B$168,AO175,IF('הנחות עבודה'!$C$4=$B$194,AO201,AO227))</f>
        <v>1.1300786249999935</v>
      </c>
      <c r="AP67" s="671">
        <f ca="1">IF('הנחות עבודה'!$C$4=$B$168,AP175,IF('הנחות עבודה'!$C$4=$B$194,AP201,AP227))</f>
        <v>0.39857999999993715</v>
      </c>
      <c r="AQ67" s="671">
        <f ca="1">IF('הנחות עבודה'!$C$4=$B$168,AQ175,IF('הנחות עבודה'!$C$4=$B$194,AQ201,AQ227))</f>
        <v>0.7377660400000029</v>
      </c>
      <c r="AR67" s="671">
        <f>IF('הנחות עבודה'!$C$4=$B$168,AR175,IF('הנחות עבודה'!$C$4=$B$194,AR201,AR227))</f>
        <v>0</v>
      </c>
      <c r="AS67" s="671">
        <f>IF('הנחות עבודה'!$C$4=$B$168,AS175,IF('הנחות עבודה'!$C$4=$B$194,AS201,AS227))</f>
        <v>1.95722</v>
      </c>
      <c r="AT67" s="671">
        <f ca="1">IF('הנחות עבודה'!$C$4=$B$168,AT175,IF('הנחות עבודה'!$C$4=$B$194,AT201,AT227))</f>
        <v>55.136999704999994</v>
      </c>
      <c r="AU67" s="671">
        <f>IF('הנחות עבודה'!$C$4=$B$168,AU175,IF('הנחות עבודה'!$C$4=$B$194,AU201,AU227))</f>
        <v>0</v>
      </c>
      <c r="AV67" s="671">
        <f>IF('הנחות עבודה'!$C$4=$B$168,AV175,IF('הנחות עבודה'!$C$4=$B$194,AV201,AV227))</f>
        <v>0</v>
      </c>
      <c r="AW67" s="671">
        <f>IF('הנחות עבודה'!$C$4=$B$168,AW175,IF('הנחות עבודה'!$C$4=$B$194,AW201,AW227))</f>
        <v>11.256959999999999</v>
      </c>
      <c r="AX67" s="671">
        <f>IF('הנחות עבודה'!$C$4=$B$168,AX175,IF('הנחות עבודה'!$C$4=$B$194,AX201,AX227))</f>
        <v>0.34111999999999998</v>
      </c>
      <c r="AY67" s="667">
        <f>IF('הנחות עבודה'!$C$4=$B$168,AY175,IF('הנחות עבודה'!$C$4=$B$194,AY201,AY227))</f>
        <v>10.588274695000063</v>
      </c>
      <c r="AZ67" s="668">
        <f>IF('הנחות עבודה'!$C$4=$B$168,AZ175,IF('הנחות עבודה'!$C$4=$B$194,AZ201,AZ227))</f>
        <v>0</v>
      </c>
      <c r="BA67" s="668">
        <f ca="1">IF('הנחות עבודה'!$C$4=$B$168,BA175,IF('הנחות עבודה'!$C$4=$B$194,BA201,BA227))</f>
        <v>1.1300786249999935</v>
      </c>
      <c r="BB67" s="668">
        <f ca="1">IF('הנחות עבודה'!$C$4=$B$168,BB175,IF('הנחות עבודה'!$C$4=$B$194,BB201,BB227))</f>
        <v>0.36791999999994196</v>
      </c>
      <c r="BC67" s="668">
        <f ca="1">IF('הנחות עבודה'!$C$4=$B$168,BC175,IF('הנחות עבודה'!$C$4=$B$194,BC201,BC227))</f>
        <v>0.7377660400000029</v>
      </c>
      <c r="BD67" s="668">
        <f>IF('הנחות עבודה'!$C$4=$B$168,BD175,IF('הנחות עבודה'!$C$4=$B$194,BD201,BD227))</f>
        <v>0</v>
      </c>
      <c r="BE67" s="668">
        <f>IF('הנחות עבודה'!$C$4=$B$168,BE175,IF('הנחות עבודה'!$C$4=$B$194,BE201,BE227))</f>
        <v>1.9442300000000001</v>
      </c>
      <c r="BF67" s="668">
        <f ca="1">IF('הנחות עבודה'!$C$4=$B$168,BF175,IF('הנחות עבודה'!$C$4=$B$194,BF201,BF227))</f>
        <v>53.975601639999994</v>
      </c>
      <c r="BG67" s="668">
        <f>IF('הנחות עבודה'!$C$4=$B$168,BG175,IF('הנחות עבודה'!$C$4=$B$194,BG201,BG227))</f>
        <v>0</v>
      </c>
      <c r="BH67" s="668">
        <f>IF('הנחות עבודה'!$C$4=$B$168,BH175,IF('הנחות עבודה'!$C$4=$B$194,BH201,BH227))</f>
        <v>0</v>
      </c>
      <c r="BI67" s="668">
        <f>IF('הנחות עבודה'!$C$4=$B$168,BI175,IF('הנחות עבודה'!$C$4=$B$194,BI201,BI227))</f>
        <v>11.257200000000001</v>
      </c>
      <c r="BJ67" s="668">
        <f>IF('הנחות עבודה'!$C$4=$B$168,BJ175,IF('הנחות עבודה'!$C$4=$B$194,BJ201,BJ227))</f>
        <v>0.34079999999999999</v>
      </c>
      <c r="BK67" s="672">
        <f>IF('הנחות עבודה'!$C$4=$B$168,BK175,IF('הנחות עבודה'!$C$4=$B$194,BK201,BK227))</f>
        <v>0</v>
      </c>
      <c r="BL67" s="671">
        <f>IF('הנחות עבודה'!$C$4=$B$168,BL175,IF('הנחות עבודה'!$C$4=$B$194,BL201,BL227))</f>
        <v>10.588274695000063</v>
      </c>
      <c r="BM67" s="671">
        <f ca="1">IF('הנחות עבודה'!$C$4=$B$168,BM175,IF('הנחות עבודה'!$C$4=$B$194,BM201,BM227))</f>
        <v>1.1300786249999935</v>
      </c>
      <c r="BN67" s="671">
        <f ca="1">IF('הנחות עבודה'!$C$4=$B$168,BN175,IF('הנחות עבודה'!$C$4=$B$194,BN201,BN227))</f>
        <v>0.36791999999994196</v>
      </c>
      <c r="BO67" s="671">
        <f ca="1">IF('הנחות עבודה'!$C$4=$B$168,BO175,IF('הנחות עבודה'!$C$4=$B$194,BO201,BO227))</f>
        <v>0.7377660400000029</v>
      </c>
      <c r="BP67" s="671">
        <f>IF('הנחות עבודה'!$C$4=$B$168,BP175,IF('הנחות עבודה'!$C$4=$B$194,BP201,BP227))</f>
        <v>0</v>
      </c>
      <c r="BQ67" s="671">
        <f>IF('הנחות עבודה'!$C$4=$B$168,BQ175,IF('הנחות עבודה'!$C$4=$B$194,BQ201,BQ227))</f>
        <v>1.9442300000000001</v>
      </c>
      <c r="BR67" s="671">
        <f ca="1">IF('הנחות עבודה'!$C$4=$B$168,BR175,IF('הנחות עבודה'!$C$4=$B$194,BR201,BR227))</f>
        <v>53.975601639999994</v>
      </c>
      <c r="BS67" s="671">
        <f>IF('הנחות עבודה'!$C$4=$B$168,BS175,IF('הנחות עבודה'!$C$4=$B$194,BS201,BS227))</f>
        <v>0</v>
      </c>
      <c r="BT67" s="671">
        <f>IF('הנחות עבודה'!$C$4=$B$168,BT175,IF('הנחות עבודה'!$C$4=$B$194,BT201,BT227))</f>
        <v>0</v>
      </c>
      <c r="BU67" s="671">
        <f>IF('הנחות עבודה'!$C$4=$B$168,BU175,IF('הנחות עבודה'!$C$4=$B$194,BU201,BU227))</f>
        <v>11.257200000000001</v>
      </c>
      <c r="BV67" s="673">
        <f>IF('הנחות עבודה'!$C$4=$B$168,BV175,IF('הנחות עבודה'!$C$4=$B$194,BV201,BV227))</f>
        <v>0.34079999999999999</v>
      </c>
      <c r="BX67" s="552"/>
    </row>
    <row r="68" spans="2:79" ht="15.75">
      <c r="B68" s="10">
        <f t="shared" ref="B68:B84" si="226">+B67+1</f>
        <v>2024</v>
      </c>
      <c r="C68" s="667">
        <f>IF('הנחות עבודה'!$C$4=$B$168,C176,IF('הנחות עבודה'!$C$4=$B$194,C202,C228))</f>
        <v>7.3761071770000788</v>
      </c>
      <c r="D68" s="668">
        <f>IF('הנחות עבודה'!$C$4=$B$168,D176,IF('הנחות עבודה'!$C$4=$B$194,D202,D228))</f>
        <v>0</v>
      </c>
      <c r="E68" s="668">
        <f ca="1">IF('הנחות עבודה'!$C$4=$B$168,E176,IF('הנחות עבודה'!$C$4=$B$194,E202,E228))</f>
        <v>1.6664892789999906</v>
      </c>
      <c r="F68" s="668">
        <f ca="1">IF('הנחות עבודה'!$C$4=$B$168,F176,IF('הנחות עבודה'!$C$4=$B$194,F202,F228))</f>
        <v>0.42923999999993229</v>
      </c>
      <c r="G68" s="668">
        <f ca="1">IF('הנחות עבודה'!$C$4=$B$168,G176,IF('הנחות עבודה'!$C$4=$B$194,G202,G228))</f>
        <v>0.7377660400000029</v>
      </c>
      <c r="H68" s="668">
        <f>IF('הנחות עבודה'!$C$4=$B$168,H176,IF('הנחות עבודה'!$C$4=$B$194,H202,H228))</f>
        <v>0</v>
      </c>
      <c r="I68" s="668">
        <f>IF('הנחות עבודה'!$C$4=$B$168,I176,IF('הנחות עבודה'!$C$4=$B$194,I202,I228))</f>
        <v>2.64059</v>
      </c>
      <c r="J68" s="668">
        <f ca="1">IF('הנחות עבודה'!$C$4=$B$168,J176,IF('הנחות עבודה'!$C$4=$B$194,J202,J228))</f>
        <v>59.578921503999993</v>
      </c>
      <c r="K68" s="668">
        <f>IF('הנחות עבודה'!$C$4=$B$168,K176,IF('הנחות עבודה'!$C$4=$B$194,K202,K228))</f>
        <v>0</v>
      </c>
      <c r="L68" s="668">
        <f>IF('הנחות עבודה'!$C$4=$B$168,L176,IF('הנחות עבודה'!$C$4=$B$194,L202,L228))</f>
        <v>0</v>
      </c>
      <c r="M68" s="44">
        <f>IF('הנחות עבודה'!$C$4=$B$168,M176,IF('הנחות עבודה'!$C$4=$B$194,M202,M228))</f>
        <v>9.5552499999999991</v>
      </c>
      <c r="N68" s="669">
        <f>IF('הנחות עבודה'!$C$4=$B$168,N176,IF('הנחות עבודה'!$C$4=$B$194,N202,N228))</f>
        <v>0.35113999999999995</v>
      </c>
      <c r="O68" s="670">
        <f>IF('הנחות עבודה'!$C$4=$B$168,O176,IF('הנחות עבודה'!$C$4=$B$194,O202,O228))</f>
        <v>0</v>
      </c>
      <c r="P68" s="671">
        <f>IF('הנחות עבודה'!$C$4=$B$168,P176,IF('הנחות עבודה'!$C$4=$B$194,P202,P228))</f>
        <v>7.3761071770000788</v>
      </c>
      <c r="Q68" s="671">
        <f ca="1">IF('הנחות עבודה'!$C$4=$B$168,Q176,IF('הנחות עבודה'!$C$4=$B$194,Q202,Q228))</f>
        <v>1.6664892789999906</v>
      </c>
      <c r="R68" s="671">
        <f ca="1">IF('הנחות עבודה'!$C$4=$B$168,R176,IF('הנחות עבודה'!$C$4=$B$194,R202,R228))</f>
        <v>0.42923999999993229</v>
      </c>
      <c r="S68" s="671">
        <f ca="1">IF('הנחות עבודה'!$C$4=$B$168,S176,IF('הנחות עבודה'!$C$4=$B$194,S202,S228))</f>
        <v>0.7377660400000029</v>
      </c>
      <c r="T68" s="671">
        <f>IF('הנחות עבודה'!$C$4=$B$168,T176,IF('הנחות עבודה'!$C$4=$B$194,T202,T228))</f>
        <v>0</v>
      </c>
      <c r="U68" s="671">
        <f>IF('הנחות עבודה'!$C$4=$B$168,U176,IF('הנחות עבודה'!$C$4=$B$194,U202,U228))</f>
        <v>2.64059</v>
      </c>
      <c r="V68" s="671">
        <f ca="1">IF('הנחות עבודה'!$C$4=$B$168,V176,IF('הנחות עבודה'!$C$4=$B$194,V202,V228))</f>
        <v>59.578921503999993</v>
      </c>
      <c r="W68" s="671">
        <f>IF('הנחות עבודה'!$C$4=$B$168,W176,IF('הנחות עבודה'!$C$4=$B$194,W202,W228))</f>
        <v>0</v>
      </c>
      <c r="X68" s="671">
        <f>IF('הנחות עבודה'!$C$4=$B$168,X176,IF('הנחות עבודה'!$C$4=$B$194,X202,X228))</f>
        <v>0</v>
      </c>
      <c r="Y68" s="671">
        <f>IF('הנחות עבודה'!$C$4=$B$168,Y176,IF('הנחות עבודה'!$C$4=$B$194,Y202,Y228))</f>
        <v>9.5552499999999991</v>
      </c>
      <c r="Z68" s="671">
        <f>IF('הנחות עבודה'!$C$4=$B$168,Z176,IF('הנחות עבודה'!$C$4=$B$194,Z202,Z228))</f>
        <v>0.35113999999999995</v>
      </c>
      <c r="AA68" s="667">
        <f>IF('הנחות עבודה'!$C$4=$B$168,AA176,IF('הנחות עבודה'!$C$4=$B$194,AA202,AA228))</f>
        <v>10.340185321000073</v>
      </c>
      <c r="AB68" s="668">
        <f>IF('הנחות עבודה'!$C$4=$B$168,AB176,IF('הנחות עבודה'!$C$4=$B$194,AB202,AB228))</f>
        <v>0</v>
      </c>
      <c r="AC68" s="668">
        <f ca="1">IF('הנחות עבודה'!$C$4=$B$168,AC176,IF('הנחות עבודה'!$C$4=$B$194,AC202,AC228))</f>
        <v>1.6664892789999906</v>
      </c>
      <c r="AD68" s="668">
        <f ca="1">IF('הנחות עבודה'!$C$4=$B$168,AD176,IF('הנחות עבודה'!$C$4=$B$194,AD202,AD228))</f>
        <v>0.42923999999993229</v>
      </c>
      <c r="AE68" s="668">
        <f ca="1">IF('הנחות עבודה'!$C$4=$B$168,AE176,IF('הנחות עבודה'!$C$4=$B$194,AE202,AE228))</f>
        <v>0.7377660400000029</v>
      </c>
      <c r="AF68" s="668">
        <f>IF('הנחות עבודה'!$C$4=$B$168,AF176,IF('הנחות עבודה'!$C$4=$B$194,AF202,AF228))</f>
        <v>0</v>
      </c>
      <c r="AG68" s="668">
        <f>IF('הנחות עבודה'!$C$4=$B$168,AG176,IF('הנחות עבודה'!$C$4=$B$194,AG202,AG228))</f>
        <v>2.57762</v>
      </c>
      <c r="AH68" s="668">
        <f ca="1">IF('הנחות עבודה'!$C$4=$B$168,AH176,IF('הנחות עבודה'!$C$4=$B$194,AH202,AH228))</f>
        <v>56.700923360000004</v>
      </c>
      <c r="AI68" s="668">
        <f>IF('הנחות עבודה'!$C$4=$B$168,AI176,IF('הנחות עבודה'!$C$4=$B$194,AI202,AI228))</f>
        <v>0</v>
      </c>
      <c r="AJ68" s="668">
        <f>IF('הנחות עבודה'!$C$4=$B$168,AJ176,IF('הנחות עבודה'!$C$4=$B$194,AJ202,AJ228))</f>
        <v>0</v>
      </c>
      <c r="AK68" s="44">
        <f>IF('הנחות עבודה'!$C$4=$B$168,AK176,IF('הנחות עבודה'!$C$4=$B$194,AK202,AK228))</f>
        <v>9.5328900000000001</v>
      </c>
      <c r="AL68" s="669">
        <f>IF('הנחות עבודה'!$C$4=$B$168,AL176,IF('הנחות עבודה'!$C$4=$B$194,AL202,AL228))</f>
        <v>0.35038999999999998</v>
      </c>
      <c r="AM68" s="670">
        <f>IF('הנחות עבודה'!$C$4=$B$168,AM176,IF('הנחות עבודה'!$C$4=$B$194,AM202,AM228))</f>
        <v>0</v>
      </c>
      <c r="AN68" s="671">
        <f>IF('הנחות עבודה'!$C$4=$B$168,AN176,IF('הנחות עבודה'!$C$4=$B$194,AN202,AN228))</f>
        <v>10.340185321000073</v>
      </c>
      <c r="AO68" s="671">
        <f ca="1">IF('הנחות עבודה'!$C$4=$B$168,AO176,IF('הנחות עבודה'!$C$4=$B$194,AO202,AO228))</f>
        <v>1.6664892789999906</v>
      </c>
      <c r="AP68" s="671">
        <f ca="1">IF('הנחות עבודה'!$C$4=$B$168,AP176,IF('הנחות עבודה'!$C$4=$B$194,AP202,AP228))</f>
        <v>0.42923999999993229</v>
      </c>
      <c r="AQ68" s="671">
        <f ca="1">IF('הנחות עבודה'!$C$4=$B$168,AQ176,IF('הנחות עבודה'!$C$4=$B$194,AQ202,AQ228))</f>
        <v>0.7377660400000029</v>
      </c>
      <c r="AR68" s="671">
        <f>IF('הנחות עבודה'!$C$4=$B$168,AR176,IF('הנחות עבודה'!$C$4=$B$194,AR202,AR228))</f>
        <v>0</v>
      </c>
      <c r="AS68" s="671">
        <f>IF('הנחות עבודה'!$C$4=$B$168,AS176,IF('הנחות עבודה'!$C$4=$B$194,AS202,AS228))</f>
        <v>2.57762</v>
      </c>
      <c r="AT68" s="671">
        <f ca="1">IF('הנחות עבודה'!$C$4=$B$168,AT176,IF('הנחות עבודה'!$C$4=$B$194,AT202,AT228))</f>
        <v>56.700923360000004</v>
      </c>
      <c r="AU68" s="671">
        <f>IF('הנחות עבודה'!$C$4=$B$168,AU176,IF('הנחות עבודה'!$C$4=$B$194,AU202,AU228))</f>
        <v>0</v>
      </c>
      <c r="AV68" s="671">
        <f>IF('הנחות עבודה'!$C$4=$B$168,AV176,IF('הנחות עבודה'!$C$4=$B$194,AV202,AV228))</f>
        <v>0</v>
      </c>
      <c r="AW68" s="671">
        <f>IF('הנחות עבודה'!$C$4=$B$168,AW176,IF('הנחות עבודה'!$C$4=$B$194,AW202,AW228))</f>
        <v>9.5328900000000001</v>
      </c>
      <c r="AX68" s="671">
        <f>IF('הנחות עבודה'!$C$4=$B$168,AX176,IF('הנחות עבודה'!$C$4=$B$194,AX202,AX228))</f>
        <v>0.35038999999999998</v>
      </c>
      <c r="AY68" s="667">
        <f>IF('הנחות עבודה'!$C$4=$B$168,AY176,IF('הנחות עבודה'!$C$4=$B$194,AY202,AY228))</f>
        <v>11.986895401000073</v>
      </c>
      <c r="AZ68" s="668">
        <f>IF('הנחות עבודה'!$C$4=$B$168,AZ176,IF('הנחות עבודה'!$C$4=$B$194,AZ202,AZ228))</f>
        <v>0</v>
      </c>
      <c r="BA68" s="668">
        <f ca="1">IF('הנחות עבודה'!$C$4=$B$168,BA176,IF('הנחות עבודה'!$C$4=$B$194,BA202,BA228))</f>
        <v>1.6664892789999906</v>
      </c>
      <c r="BB68" s="668">
        <f ca="1">IF('הנחות עבודה'!$C$4=$B$168,BB176,IF('הנחות עבודה'!$C$4=$B$194,BB202,BB228))</f>
        <v>0.39857999999993715</v>
      </c>
      <c r="BC68" s="668">
        <f ca="1">IF('הנחות עבודה'!$C$4=$B$168,BC176,IF('הנחות עבודה'!$C$4=$B$194,BC202,BC228))</f>
        <v>0.7377660400000029</v>
      </c>
      <c r="BD68" s="668">
        <f>IF('הנחות עבודה'!$C$4=$B$168,BD176,IF('הנחות עבודה'!$C$4=$B$194,BD202,BD228))</f>
        <v>0</v>
      </c>
      <c r="BE68" s="668">
        <f>IF('הנחות עבודה'!$C$4=$B$168,BE176,IF('הנחות עבודה'!$C$4=$B$194,BE202,BE228))</f>
        <v>2.5639499999999997</v>
      </c>
      <c r="BF68" s="668">
        <f ca="1">IF('הנחות עבודה'!$C$4=$B$168,BF176,IF('הנחות עבודה'!$C$4=$B$194,BF202,BF228))</f>
        <v>55.103853280000003</v>
      </c>
      <c r="BG68" s="668">
        <f>IF('הנחות עבודה'!$C$4=$B$168,BG176,IF('הנחות עבודה'!$C$4=$B$194,BG202,BG228))</f>
        <v>0</v>
      </c>
      <c r="BH68" s="668">
        <f>IF('הנחות עבודה'!$C$4=$B$168,BH176,IF('הנחות עבודה'!$C$4=$B$194,BH202,BH228))</f>
        <v>0</v>
      </c>
      <c r="BI68" s="668">
        <f>IF('הנחות עבודה'!$C$4=$B$168,BI176,IF('הנחות עבודה'!$C$4=$B$194,BI202,BI228))</f>
        <v>9.5279799999999994</v>
      </c>
      <c r="BJ68" s="668">
        <f>IF('הנחות עבודה'!$C$4=$B$168,BJ176,IF('הנחות עבודה'!$C$4=$B$194,BJ202,BJ228))</f>
        <v>0.34998999999999997</v>
      </c>
      <c r="BK68" s="672">
        <f>IF('הנחות עבודה'!$C$4=$B$168,BK176,IF('הנחות עבודה'!$C$4=$B$194,BK202,BK228))</f>
        <v>0</v>
      </c>
      <c r="BL68" s="671">
        <f>IF('הנחות עבודה'!$C$4=$B$168,BL176,IF('הנחות עבודה'!$C$4=$B$194,BL202,BL228))</f>
        <v>11.986895401000073</v>
      </c>
      <c r="BM68" s="671">
        <f ca="1">IF('הנחות עבודה'!$C$4=$B$168,BM176,IF('הנחות עבודה'!$C$4=$B$194,BM202,BM228))</f>
        <v>1.6664892789999906</v>
      </c>
      <c r="BN68" s="671">
        <f ca="1">IF('הנחות עבודה'!$C$4=$B$168,BN176,IF('הנחות עבודה'!$C$4=$B$194,BN202,BN228))</f>
        <v>0.39857999999993715</v>
      </c>
      <c r="BO68" s="671">
        <f ca="1">IF('הנחות עבודה'!$C$4=$B$168,BO176,IF('הנחות עבודה'!$C$4=$B$194,BO202,BO228))</f>
        <v>0.7377660400000029</v>
      </c>
      <c r="BP68" s="671">
        <f>IF('הנחות עבודה'!$C$4=$B$168,BP176,IF('הנחות עבודה'!$C$4=$B$194,BP202,BP228))</f>
        <v>0</v>
      </c>
      <c r="BQ68" s="671">
        <f>IF('הנחות עבודה'!$C$4=$B$168,BQ176,IF('הנחות עבודה'!$C$4=$B$194,BQ202,BQ228))</f>
        <v>2.5639499999999997</v>
      </c>
      <c r="BR68" s="671">
        <f ca="1">IF('הנחות עבודה'!$C$4=$B$168,BR176,IF('הנחות עבודה'!$C$4=$B$194,BR202,BR228))</f>
        <v>55.103853280000003</v>
      </c>
      <c r="BS68" s="671">
        <f>IF('הנחות עבודה'!$C$4=$B$168,BS176,IF('הנחות עבודה'!$C$4=$B$194,BS202,BS228))</f>
        <v>0</v>
      </c>
      <c r="BT68" s="671">
        <f>IF('הנחות עבודה'!$C$4=$B$168,BT176,IF('הנחות עבודה'!$C$4=$B$194,BT202,BT228))</f>
        <v>0</v>
      </c>
      <c r="BU68" s="671">
        <f>IF('הנחות עבודה'!$C$4=$B$168,BU176,IF('הנחות עבודה'!$C$4=$B$194,BU202,BU228))</f>
        <v>9.5279799999999994</v>
      </c>
      <c r="BV68" s="673">
        <f>IF('הנחות עבודה'!$C$4=$B$168,BV176,IF('הנחות עבודה'!$C$4=$B$194,BV202,BV228))</f>
        <v>0.34998999999999997</v>
      </c>
      <c r="BX68" s="552"/>
    </row>
    <row r="69" spans="2:79" ht="15.75">
      <c r="B69" s="10">
        <f t="shared" si="226"/>
        <v>2025</v>
      </c>
      <c r="C69" s="667">
        <f>IF('הנחות עבודה'!$C$4=$B$168,C177,IF('הנחות עבודה'!$C$4=$B$194,C203,C229))</f>
        <v>7.6295322100000806</v>
      </c>
      <c r="D69" s="668">
        <f>IF('הנחות עבודה'!$C$4=$B$168,D177,IF('הנחות עבודה'!$C$4=$B$194,D203,D229))</f>
        <v>0</v>
      </c>
      <c r="E69" s="668">
        <f ca="1">IF('הנחות עבודה'!$C$4=$B$168,E177,IF('הנחות עבודה'!$C$4=$B$194,E203,E229))</f>
        <v>2.1998863899999876</v>
      </c>
      <c r="F69" s="668">
        <f ca="1">IF('הנחות עבודה'!$C$4=$B$168,F177,IF('הנחות עבודה'!$C$4=$B$194,F203,F229))</f>
        <v>0.45989999999992748</v>
      </c>
      <c r="G69" s="668">
        <f ca="1">IF('הנחות עבודה'!$C$4=$B$168,G177,IF('הנחות עבודה'!$C$4=$B$194,G203,G229))</f>
        <v>0.7377660400000029</v>
      </c>
      <c r="H69" s="668">
        <f>IF('הנחות עבודה'!$C$4=$B$168,H177,IF('הנחות עבודה'!$C$4=$B$194,H203,H229))</f>
        <v>0</v>
      </c>
      <c r="I69" s="668">
        <f>IF('הנחות עבודה'!$C$4=$B$168,I177,IF('הנחות עבודה'!$C$4=$B$194,I203,I229))</f>
        <v>9.2489899999999992</v>
      </c>
      <c r="J69" s="668">
        <f ca="1">IF('הנחות עבודה'!$C$4=$B$168,J177,IF('הנחות עבודה'!$C$4=$B$194,J203,J229))</f>
        <v>61.419493360000004</v>
      </c>
      <c r="K69" s="668">
        <f>IF('הנחות עבודה'!$C$4=$B$168,K177,IF('הנחות עבודה'!$C$4=$B$194,K203,K229))</f>
        <v>0</v>
      </c>
      <c r="L69" s="668">
        <f>IF('הנחות עבודה'!$C$4=$B$168,L177,IF('הנחות עבודה'!$C$4=$B$194,L203,L229))</f>
        <v>0</v>
      </c>
      <c r="M69" s="44">
        <f>IF('הנחות עבודה'!$C$4=$B$168,M177,IF('הנחות עבודה'!$C$4=$B$194,M203,M229))</f>
        <v>2.7700200000000001</v>
      </c>
      <c r="N69" s="669">
        <f>IF('הנחות עבודה'!$C$4=$B$168,N177,IF('הנחות עבודה'!$C$4=$B$194,N203,N229))</f>
        <v>0.35813999999999996</v>
      </c>
      <c r="O69" s="670">
        <f>IF('הנחות עבודה'!$C$4=$B$168,O177,IF('הנחות עבודה'!$C$4=$B$194,O203,O229))</f>
        <v>0</v>
      </c>
      <c r="P69" s="671">
        <f>IF('הנחות עבודה'!$C$4=$B$168,P177,IF('הנחות עבודה'!$C$4=$B$194,P203,P229))</f>
        <v>7.6295322100000806</v>
      </c>
      <c r="Q69" s="671">
        <f ca="1">IF('הנחות עבודה'!$C$4=$B$168,Q177,IF('הנחות עבודה'!$C$4=$B$194,Q203,Q229))</f>
        <v>2.1998863899999876</v>
      </c>
      <c r="R69" s="671">
        <f ca="1">IF('הנחות עבודה'!$C$4=$B$168,R177,IF('הנחות עבודה'!$C$4=$B$194,R203,R229))</f>
        <v>0.45989999999992748</v>
      </c>
      <c r="S69" s="671">
        <f ca="1">IF('הנחות עבודה'!$C$4=$B$168,S177,IF('הנחות עבודה'!$C$4=$B$194,S203,S229))</f>
        <v>0.7377660400000029</v>
      </c>
      <c r="T69" s="671">
        <f>IF('הנחות עבודה'!$C$4=$B$168,T177,IF('הנחות עבודה'!$C$4=$B$194,T203,T229))</f>
        <v>0</v>
      </c>
      <c r="U69" s="671">
        <f>IF('הנחות עבודה'!$C$4=$B$168,U177,IF('הנחות עבודה'!$C$4=$B$194,U203,U229))</f>
        <v>9.2489899999999992</v>
      </c>
      <c r="V69" s="671">
        <f ca="1">IF('הנחות עבודה'!$C$4=$B$168,V177,IF('הנחות עבודה'!$C$4=$B$194,V203,V229))</f>
        <v>61.419493360000004</v>
      </c>
      <c r="W69" s="671">
        <f>IF('הנחות עבודה'!$C$4=$B$168,W177,IF('הנחות עבודה'!$C$4=$B$194,W203,W229))</f>
        <v>0</v>
      </c>
      <c r="X69" s="671">
        <f>IF('הנחות עבודה'!$C$4=$B$168,X177,IF('הנחות עבודה'!$C$4=$B$194,X203,X229))</f>
        <v>0</v>
      </c>
      <c r="Y69" s="671">
        <f>IF('הנחות עבודה'!$C$4=$B$168,Y177,IF('הנחות עבודה'!$C$4=$B$194,Y203,Y229))</f>
        <v>2.7700200000000001</v>
      </c>
      <c r="Z69" s="671">
        <f>IF('הנחות עבודה'!$C$4=$B$168,Z177,IF('הנחות עבודה'!$C$4=$B$194,Z203,Z229))</f>
        <v>0.35813999999999996</v>
      </c>
      <c r="AA69" s="667">
        <f>IF('הנחות עבודה'!$C$4=$B$168,AA177,IF('הנחות עבודה'!$C$4=$B$194,AA203,AA229))</f>
        <v>11.446599970000078</v>
      </c>
      <c r="AB69" s="668">
        <f>IF('הנחות עבודה'!$C$4=$B$168,AB177,IF('הנחות עבודה'!$C$4=$B$194,AB203,AB229))</f>
        <v>0</v>
      </c>
      <c r="AC69" s="668">
        <f ca="1">IF('הנחות עבודה'!$C$4=$B$168,AC177,IF('הנחות עבודה'!$C$4=$B$194,AC203,AC229))</f>
        <v>2.1998863899999876</v>
      </c>
      <c r="AD69" s="668">
        <f ca="1">IF('הנחות עבודה'!$C$4=$B$168,AD177,IF('הנחות עבודה'!$C$4=$B$194,AD203,AD229))</f>
        <v>0.45989999999992748</v>
      </c>
      <c r="AE69" s="668">
        <f ca="1">IF('הנחות עבודה'!$C$4=$B$168,AE177,IF('הנחות עבודה'!$C$4=$B$194,AE203,AE229))</f>
        <v>0.7377660400000029</v>
      </c>
      <c r="AF69" s="668">
        <f>IF('הנחות עבודה'!$C$4=$B$168,AF177,IF('הנחות עבודה'!$C$4=$B$194,AF203,AF229))</f>
        <v>0</v>
      </c>
      <c r="AG69" s="668">
        <f>IF('הנחות עבודה'!$C$4=$B$168,AG177,IF('הנחות עבודה'!$C$4=$B$194,AG203,AG229))</f>
        <v>8.9133699999999987</v>
      </c>
      <c r="AH69" s="668">
        <f ca="1">IF('הנחות עבודה'!$C$4=$B$168,AH177,IF('הנחות עבודה'!$C$4=$B$194,AH203,AH229))</f>
        <v>57.945445600000014</v>
      </c>
      <c r="AI69" s="668">
        <f>IF('הנחות עבודה'!$C$4=$B$168,AI177,IF('הנחות עבודה'!$C$4=$B$194,AI203,AI229))</f>
        <v>0</v>
      </c>
      <c r="AJ69" s="668">
        <f>IF('הנחות עבודה'!$C$4=$B$168,AJ177,IF('הנחות עבודה'!$C$4=$B$194,AJ203,AJ229))</f>
        <v>0</v>
      </c>
      <c r="AK69" s="44">
        <f>IF('הנחות עבודה'!$C$4=$B$168,AK177,IF('הנחות עבודה'!$C$4=$B$194,AK203,AK229))</f>
        <v>2.7658299999999998</v>
      </c>
      <c r="AL69" s="669">
        <f>IF('הנחות עבודה'!$C$4=$B$168,AL177,IF('הנחות עבודה'!$C$4=$B$194,AL203,AL229))</f>
        <v>0.35492999999999997</v>
      </c>
      <c r="AM69" s="670">
        <f>IF('הנחות עבודה'!$C$4=$B$168,AM177,IF('הנחות עבודה'!$C$4=$B$194,AM203,AM229))</f>
        <v>0</v>
      </c>
      <c r="AN69" s="671">
        <f>IF('הנחות עבודה'!$C$4=$B$168,AN177,IF('הנחות עבודה'!$C$4=$B$194,AN203,AN229))</f>
        <v>11.446599970000078</v>
      </c>
      <c r="AO69" s="671">
        <f ca="1">IF('הנחות עבודה'!$C$4=$B$168,AO177,IF('הנחות עבודה'!$C$4=$B$194,AO203,AO229))</f>
        <v>2.1998863899999876</v>
      </c>
      <c r="AP69" s="671">
        <f ca="1">IF('הנחות עבודה'!$C$4=$B$168,AP177,IF('הנחות עבודה'!$C$4=$B$194,AP203,AP229))</f>
        <v>0.45989999999992748</v>
      </c>
      <c r="AQ69" s="671">
        <f ca="1">IF('הנחות עבודה'!$C$4=$B$168,AQ177,IF('הנחות עבודה'!$C$4=$B$194,AQ203,AQ229))</f>
        <v>0.7377660400000029</v>
      </c>
      <c r="AR69" s="671">
        <f>IF('הנחות עבודה'!$C$4=$B$168,AR177,IF('הנחות עבודה'!$C$4=$B$194,AR203,AR229))</f>
        <v>0</v>
      </c>
      <c r="AS69" s="671">
        <f>IF('הנחות עבודה'!$C$4=$B$168,AS177,IF('הנחות עבודה'!$C$4=$B$194,AS203,AS229))</f>
        <v>8.9133699999999987</v>
      </c>
      <c r="AT69" s="671">
        <f ca="1">IF('הנחות עבודה'!$C$4=$B$168,AT177,IF('הנחות עבודה'!$C$4=$B$194,AT203,AT229))</f>
        <v>57.945445600000014</v>
      </c>
      <c r="AU69" s="671">
        <f>IF('הנחות עבודה'!$C$4=$B$168,AU177,IF('הנחות עבודה'!$C$4=$B$194,AU203,AU229))</f>
        <v>0</v>
      </c>
      <c r="AV69" s="671">
        <f>IF('הנחות עבודה'!$C$4=$B$168,AV177,IF('הנחות עבודה'!$C$4=$B$194,AV203,AV229))</f>
        <v>0</v>
      </c>
      <c r="AW69" s="671">
        <f>IF('הנחות עבודה'!$C$4=$B$168,AW177,IF('הנחות עבודה'!$C$4=$B$194,AW203,AW229))</f>
        <v>2.7658299999999998</v>
      </c>
      <c r="AX69" s="671">
        <f>IF('הנחות עבודה'!$C$4=$B$168,AX177,IF('הנחות עבודה'!$C$4=$B$194,AX203,AX229))</f>
        <v>0.35492999999999997</v>
      </c>
      <c r="AY69" s="667">
        <f>IF('הנחות עבודה'!$C$4=$B$168,AY177,IF('הנחות עבודה'!$C$4=$B$194,AY203,AY229))</f>
        <v>13.567193170000079</v>
      </c>
      <c r="AZ69" s="668">
        <f>IF('הנחות עבודה'!$C$4=$B$168,AZ177,IF('הנחות עבודה'!$C$4=$B$194,AZ203,AZ229))</f>
        <v>0</v>
      </c>
      <c r="BA69" s="668">
        <f ca="1">IF('הנחות עבודה'!$C$4=$B$168,BA177,IF('הנחות עבודה'!$C$4=$B$194,BA203,BA229))</f>
        <v>2.1998863899999876</v>
      </c>
      <c r="BB69" s="668">
        <f ca="1">IF('הנחות עבודה'!$C$4=$B$168,BB177,IF('הנחות עבודה'!$C$4=$B$194,BB203,BB229))</f>
        <v>0.42923999999993229</v>
      </c>
      <c r="BC69" s="668">
        <f ca="1">IF('הנחות עבודה'!$C$4=$B$168,BC177,IF('הנחות עבודה'!$C$4=$B$194,BC203,BC229))</f>
        <v>0.7377660400000029</v>
      </c>
      <c r="BD69" s="668">
        <f>IF('הנחות עבודה'!$C$4=$B$168,BD177,IF('הנחות עבודה'!$C$4=$B$194,BD203,BD229))</f>
        <v>0</v>
      </c>
      <c r="BE69" s="668">
        <f>IF('הנחות עבודה'!$C$4=$B$168,BE177,IF('הנחות עבודה'!$C$4=$B$194,BE203,BE229))</f>
        <v>8.94374</v>
      </c>
      <c r="BF69" s="668">
        <f ca="1">IF('הנחות עבודה'!$C$4=$B$168,BF177,IF('הנחות עבודה'!$C$4=$B$194,BF203,BF229))</f>
        <v>55.830952400000001</v>
      </c>
      <c r="BG69" s="668">
        <f>IF('הנחות עבודה'!$C$4=$B$168,BG177,IF('הנחות עבודה'!$C$4=$B$194,BG203,BG229))</f>
        <v>0</v>
      </c>
      <c r="BH69" s="668">
        <f>IF('הנחות עבודה'!$C$4=$B$168,BH177,IF('הנחות עבודה'!$C$4=$B$194,BH203,BH229))</f>
        <v>0</v>
      </c>
      <c r="BI69" s="668">
        <f>IF('הנחות עבודה'!$C$4=$B$168,BI177,IF('הנחות עבודה'!$C$4=$B$194,BI203,BI229))</f>
        <v>2.7608999999999999</v>
      </c>
      <c r="BJ69" s="668">
        <f>IF('הנחות עבודה'!$C$4=$B$168,BJ177,IF('הנחות עבודה'!$C$4=$B$194,BJ203,BJ229))</f>
        <v>0.35405000000000003</v>
      </c>
      <c r="BK69" s="672">
        <f>IF('הנחות עבודה'!$C$4=$B$168,BK177,IF('הנחות עבודה'!$C$4=$B$194,BK203,BK229))</f>
        <v>0</v>
      </c>
      <c r="BL69" s="671">
        <f>IF('הנחות עבודה'!$C$4=$B$168,BL177,IF('הנחות עבודה'!$C$4=$B$194,BL203,BL229))</f>
        <v>13.567193170000079</v>
      </c>
      <c r="BM69" s="671">
        <f ca="1">IF('הנחות עבודה'!$C$4=$B$168,BM177,IF('הנחות עבודה'!$C$4=$B$194,BM203,BM229))</f>
        <v>2.1998863899999876</v>
      </c>
      <c r="BN69" s="671">
        <f ca="1">IF('הנחות עבודה'!$C$4=$B$168,BN177,IF('הנחות עבודה'!$C$4=$B$194,BN203,BN229))</f>
        <v>0.42923999999993229</v>
      </c>
      <c r="BO69" s="671">
        <f ca="1">IF('הנחות עבודה'!$C$4=$B$168,BO177,IF('הנחות עבודה'!$C$4=$B$194,BO203,BO229))</f>
        <v>0.7377660400000029</v>
      </c>
      <c r="BP69" s="671">
        <f>IF('הנחות עבודה'!$C$4=$B$168,BP177,IF('הנחות עבודה'!$C$4=$B$194,BP203,BP229))</f>
        <v>0</v>
      </c>
      <c r="BQ69" s="671">
        <f>IF('הנחות עבודה'!$C$4=$B$168,BQ177,IF('הנחות עבודה'!$C$4=$B$194,BQ203,BQ229))</f>
        <v>8.94374</v>
      </c>
      <c r="BR69" s="671">
        <f ca="1">IF('הנחות עבודה'!$C$4=$B$168,BR177,IF('הנחות עבודה'!$C$4=$B$194,BR203,BR229))</f>
        <v>55.830952400000001</v>
      </c>
      <c r="BS69" s="671">
        <f>IF('הנחות עבודה'!$C$4=$B$168,BS177,IF('הנחות עבודה'!$C$4=$B$194,BS203,BS229))</f>
        <v>0</v>
      </c>
      <c r="BT69" s="671">
        <f>IF('הנחות עבודה'!$C$4=$B$168,BT177,IF('הנחות עבודה'!$C$4=$B$194,BT203,BT229))</f>
        <v>0</v>
      </c>
      <c r="BU69" s="671">
        <f>IF('הנחות עבודה'!$C$4=$B$168,BU177,IF('הנחות עבודה'!$C$4=$B$194,BU203,BU229))</f>
        <v>2.7608999999999999</v>
      </c>
      <c r="BV69" s="673">
        <f>IF('הנחות עבודה'!$C$4=$B$168,BV177,IF('הנחות עבודה'!$C$4=$B$194,BV203,BV229))</f>
        <v>0.35405000000000003</v>
      </c>
      <c r="BX69" s="552"/>
    </row>
    <row r="70" spans="2:79" ht="15.75">
      <c r="B70" s="10">
        <f t="shared" si="226"/>
        <v>2026</v>
      </c>
      <c r="C70" s="667">
        <f>IF('הנחות עבודה'!$C$4=$B$168,C178,IF('הנחות עבודה'!$C$4=$B$194,C204,C230))</f>
        <v>8.6007286900000874</v>
      </c>
      <c r="D70" s="668">
        <f>IF('הנחות עבודה'!$C$4=$B$168,D178,IF('הנחות עבודה'!$C$4=$B$194,D204,D230))</f>
        <v>0</v>
      </c>
      <c r="E70" s="668">
        <f ca="1">IF('הנחות עבודה'!$C$4=$B$168,E178,IF('הנחות עבודה'!$C$4=$B$194,E204,E230))</f>
        <v>2.1998863899999876</v>
      </c>
      <c r="F70" s="668">
        <f ca="1">IF('הנחות עבודה'!$C$4=$B$168,F178,IF('הנחות עבודה'!$C$4=$B$194,F204,F230))</f>
        <v>0.49055999999992267</v>
      </c>
      <c r="G70" s="668">
        <f ca="1">IF('הנחות עבודה'!$C$4=$B$168,G178,IF('הנחות עבודה'!$C$4=$B$194,G204,G230))</f>
        <v>0.7377660400000029</v>
      </c>
      <c r="H70" s="668">
        <f>IF('הנחות עבודה'!$C$4=$B$168,H178,IF('הנחות עבודה'!$C$4=$B$194,H204,H230))</f>
        <v>0</v>
      </c>
      <c r="I70" s="668">
        <f>IF('הנחות עבודה'!$C$4=$B$168,I178,IF('הנחות עבודה'!$C$4=$B$194,I204,I230))</f>
        <v>15.301380000000002</v>
      </c>
      <c r="J70" s="668">
        <f ca="1">IF('הנחות עבודה'!$C$4=$B$168,J178,IF('הנחות עבודה'!$C$4=$B$194,J204,J230))</f>
        <v>59.476838880000003</v>
      </c>
      <c r="K70" s="668">
        <f>IF('הנחות עבודה'!$C$4=$B$168,K178,IF('הנחות עבודה'!$C$4=$B$194,K204,K230))</f>
        <v>0</v>
      </c>
      <c r="L70" s="668">
        <f>IF('הנחות עבודה'!$C$4=$B$168,L178,IF('הנחות עבודה'!$C$4=$B$194,L204,L230))</f>
        <v>0</v>
      </c>
      <c r="M70" s="44">
        <f>IF('הנחות עבודה'!$C$4=$B$168,M178,IF('הנחות עבודה'!$C$4=$B$194,M204,M230))</f>
        <v>0</v>
      </c>
      <c r="N70" s="669">
        <f>IF('הנחות עבודה'!$C$4=$B$168,N178,IF('הנחות עבודה'!$C$4=$B$194,N204,N230))</f>
        <v>0.35907999999999995</v>
      </c>
      <c r="O70" s="670">
        <f>IF('הנחות עבודה'!$C$4=$B$168,O178,IF('הנחות עבודה'!$C$4=$B$194,O204,O230))</f>
        <v>0</v>
      </c>
      <c r="P70" s="671">
        <f>IF('הנחות עבודה'!$C$4=$B$168,P178,IF('הנחות עבודה'!$C$4=$B$194,P204,P230))</f>
        <v>8.6007286900000874</v>
      </c>
      <c r="Q70" s="671">
        <f ca="1">IF('הנחות עבודה'!$C$4=$B$168,Q178,IF('הנחות עבודה'!$C$4=$B$194,Q204,Q230))</f>
        <v>2.1998863899999876</v>
      </c>
      <c r="R70" s="671">
        <f ca="1">IF('הנחות עבודה'!$C$4=$B$168,R178,IF('הנחות עבודה'!$C$4=$B$194,R204,R230))</f>
        <v>0.49055999999992267</v>
      </c>
      <c r="S70" s="671">
        <f ca="1">IF('הנחות עבודה'!$C$4=$B$168,S178,IF('הנחות עבודה'!$C$4=$B$194,S204,S230))</f>
        <v>0.7377660400000029</v>
      </c>
      <c r="T70" s="671">
        <f>IF('הנחות עבודה'!$C$4=$B$168,T178,IF('הנחות עבודה'!$C$4=$B$194,T204,T230))</f>
        <v>0</v>
      </c>
      <c r="U70" s="671">
        <f>IF('הנחות עבודה'!$C$4=$B$168,U178,IF('הנחות עבודה'!$C$4=$B$194,U204,U230))</f>
        <v>15.301380000000002</v>
      </c>
      <c r="V70" s="671">
        <f ca="1">IF('הנחות עבודה'!$C$4=$B$168,V178,IF('הנחות עבודה'!$C$4=$B$194,V204,V230))</f>
        <v>59.476838880000003</v>
      </c>
      <c r="W70" s="671">
        <f>IF('הנחות עבודה'!$C$4=$B$168,W178,IF('הנחות עבודה'!$C$4=$B$194,W204,W230))</f>
        <v>0</v>
      </c>
      <c r="X70" s="671">
        <f>IF('הנחות עבודה'!$C$4=$B$168,X178,IF('הנחות עבודה'!$C$4=$B$194,X204,X230))</f>
        <v>0</v>
      </c>
      <c r="Y70" s="671">
        <f>IF('הנחות עבודה'!$C$4=$B$168,Y178,IF('הנחות עבודה'!$C$4=$B$194,Y204,Y230))</f>
        <v>0</v>
      </c>
      <c r="Z70" s="671">
        <f>IF('הנחות עבודה'!$C$4=$B$168,Z178,IF('הנחות עבודה'!$C$4=$B$194,Z204,Z230))</f>
        <v>0.35907999999999995</v>
      </c>
      <c r="AA70" s="667">
        <f>IF('הנחות עבודה'!$C$4=$B$168,AA178,IF('הנחות עבודה'!$C$4=$B$194,AA204,AA230))</f>
        <v>13.133373170000084</v>
      </c>
      <c r="AB70" s="668">
        <f>IF('הנחות עבודה'!$C$4=$B$168,AB178,IF('הנחות עבודה'!$C$4=$B$194,AB204,AB230))</f>
        <v>0</v>
      </c>
      <c r="AC70" s="668">
        <f ca="1">IF('הנחות עבודה'!$C$4=$B$168,AC178,IF('הנחות עבודה'!$C$4=$B$194,AC204,AC230))</f>
        <v>2.1998863899999876</v>
      </c>
      <c r="AD70" s="668">
        <f ca="1">IF('הנחות עבודה'!$C$4=$B$168,AD178,IF('הנחות עבודה'!$C$4=$B$194,AD204,AD230))</f>
        <v>0.49055999999992267</v>
      </c>
      <c r="AE70" s="668">
        <f ca="1">IF('הנחות עבודה'!$C$4=$B$168,AE178,IF('הנחות עבודה'!$C$4=$B$194,AE204,AE230))</f>
        <v>0.7377660400000029</v>
      </c>
      <c r="AF70" s="668">
        <f>IF('הנחות עבודה'!$C$4=$B$168,AF178,IF('הנחות עבודה'!$C$4=$B$194,AF204,AF230))</f>
        <v>0</v>
      </c>
      <c r="AG70" s="668">
        <f>IF('הנחות עבודה'!$C$4=$B$168,AG178,IF('הנחות עבודה'!$C$4=$B$194,AG204,AG230))</f>
        <v>14.962330000000001</v>
      </c>
      <c r="AH70" s="668">
        <f ca="1">IF('הנחות עבודה'!$C$4=$B$168,AH178,IF('הנחות עבודה'!$C$4=$B$194,AH204,AH230))</f>
        <v>55.286324399999998</v>
      </c>
      <c r="AI70" s="668">
        <f>IF('הנחות עבודה'!$C$4=$B$168,AI178,IF('הנחות עבודה'!$C$4=$B$194,AI204,AI230))</f>
        <v>0</v>
      </c>
      <c r="AJ70" s="668">
        <f>IF('הנחות עבודה'!$C$4=$B$168,AJ178,IF('הנחות עבודה'!$C$4=$B$194,AJ204,AJ230))</f>
        <v>0</v>
      </c>
      <c r="AK70" s="44">
        <f>IF('הנחות עבודה'!$C$4=$B$168,AK178,IF('הנחות עבודה'!$C$4=$B$194,AK204,AK230))</f>
        <v>0</v>
      </c>
      <c r="AL70" s="669">
        <f>IF('הנחות עבודה'!$C$4=$B$168,AL178,IF('הנחות עבודה'!$C$4=$B$194,AL204,AL230))</f>
        <v>0.35600000000000004</v>
      </c>
      <c r="AM70" s="670">
        <f>IF('הנחות עבודה'!$C$4=$B$168,AM178,IF('הנחות עבודה'!$C$4=$B$194,AM204,AM230))</f>
        <v>0</v>
      </c>
      <c r="AN70" s="671">
        <f>IF('הנחות עבודה'!$C$4=$B$168,AN178,IF('הנחות עבודה'!$C$4=$B$194,AN204,AN230))</f>
        <v>13.133373170000084</v>
      </c>
      <c r="AO70" s="671">
        <f ca="1">IF('הנחות עבודה'!$C$4=$B$168,AO178,IF('הנחות עבודה'!$C$4=$B$194,AO204,AO230))</f>
        <v>2.1998863899999876</v>
      </c>
      <c r="AP70" s="671">
        <f ca="1">IF('הנחות עבודה'!$C$4=$B$168,AP178,IF('הנחות עבודה'!$C$4=$B$194,AP204,AP230))</f>
        <v>0.49055999999992267</v>
      </c>
      <c r="AQ70" s="671">
        <f ca="1">IF('הנחות עבודה'!$C$4=$B$168,AQ178,IF('הנחות עבודה'!$C$4=$B$194,AQ204,AQ230))</f>
        <v>0.7377660400000029</v>
      </c>
      <c r="AR70" s="671">
        <f>IF('הנחות עבודה'!$C$4=$B$168,AR178,IF('הנחות עבודה'!$C$4=$B$194,AR204,AR230))</f>
        <v>0</v>
      </c>
      <c r="AS70" s="671">
        <f>IF('הנחות עבודה'!$C$4=$B$168,AS178,IF('הנחות עבודה'!$C$4=$B$194,AS204,AS230))</f>
        <v>14.962330000000001</v>
      </c>
      <c r="AT70" s="671">
        <f ca="1">IF('הנחות עבודה'!$C$4=$B$168,AT178,IF('הנחות עבודה'!$C$4=$B$194,AT204,AT230))</f>
        <v>55.286324399999998</v>
      </c>
      <c r="AU70" s="671">
        <f>IF('הנחות עבודה'!$C$4=$B$168,AU178,IF('הנחות עבודה'!$C$4=$B$194,AU204,AU230))</f>
        <v>0</v>
      </c>
      <c r="AV70" s="671">
        <f>IF('הנחות עבודה'!$C$4=$B$168,AV178,IF('הנחות עבודה'!$C$4=$B$194,AV204,AV230))</f>
        <v>0</v>
      </c>
      <c r="AW70" s="671">
        <f>IF('הנחות עבודה'!$C$4=$B$168,AW178,IF('הנחות עבודה'!$C$4=$B$194,AW204,AW230))</f>
        <v>0</v>
      </c>
      <c r="AX70" s="671">
        <f>IF('הנחות עבודה'!$C$4=$B$168,AX178,IF('הנחות עבודה'!$C$4=$B$194,AX204,AX230))</f>
        <v>0.35600000000000004</v>
      </c>
      <c r="AY70" s="667">
        <f>IF('הנחות עבודה'!$C$4=$B$168,AY178,IF('הנחות עבודה'!$C$4=$B$194,AY204,AY230))</f>
        <v>15.748360370000082</v>
      </c>
      <c r="AZ70" s="668">
        <f>IF('הנחות עבודה'!$C$4=$B$168,AZ178,IF('הנחות עבודה'!$C$4=$B$194,AZ204,AZ230))</f>
        <v>0</v>
      </c>
      <c r="BA70" s="668">
        <f ca="1">IF('הנחות עבודה'!$C$4=$B$168,BA178,IF('הנחות עבודה'!$C$4=$B$194,BA204,BA230))</f>
        <v>2.1998863899999876</v>
      </c>
      <c r="BB70" s="668">
        <f ca="1">IF('הנחות עבודה'!$C$4=$B$168,BB178,IF('הנחות עבודה'!$C$4=$B$194,BB204,BB230))</f>
        <v>0.45989999999992748</v>
      </c>
      <c r="BC70" s="668">
        <f ca="1">IF('הנחות עבודה'!$C$4=$B$168,BC178,IF('הנחות עבודה'!$C$4=$B$194,BC204,BC230))</f>
        <v>0.7377660400000029</v>
      </c>
      <c r="BD70" s="668">
        <f>IF('הנחות עבודה'!$C$4=$B$168,BD178,IF('הנחות עבודה'!$C$4=$B$194,BD204,BD230))</f>
        <v>0</v>
      </c>
      <c r="BE70" s="668">
        <f>IF('הנחות עבודה'!$C$4=$B$168,BE178,IF('הנחות עבודה'!$C$4=$B$194,BE204,BE230))</f>
        <v>15.082000000000001</v>
      </c>
      <c r="BF70" s="668">
        <f ca="1">IF('הנחות עבודה'!$C$4=$B$168,BF178,IF('הנחות עבודה'!$C$4=$B$194,BF204,BF230))</f>
        <v>52.583027200000004</v>
      </c>
      <c r="BG70" s="668">
        <f>IF('הנחות עבודה'!$C$4=$B$168,BG178,IF('הנחות עבודה'!$C$4=$B$194,BG204,BG230))</f>
        <v>0</v>
      </c>
      <c r="BH70" s="668">
        <f>IF('הנחות עבודה'!$C$4=$B$168,BH178,IF('הנחות עבודה'!$C$4=$B$194,BH204,BH230))</f>
        <v>0</v>
      </c>
      <c r="BI70" s="668">
        <f>IF('הנחות עבודה'!$C$4=$B$168,BI178,IF('הנחות עבודה'!$C$4=$B$194,BI204,BI230))</f>
        <v>0</v>
      </c>
      <c r="BJ70" s="668">
        <f>IF('הנחות עבודה'!$C$4=$B$168,BJ178,IF('הנחות עבודה'!$C$4=$B$194,BJ204,BJ230))</f>
        <v>0.35529999999999995</v>
      </c>
      <c r="BK70" s="672">
        <f>IF('הנחות עבודה'!$C$4=$B$168,BK178,IF('הנחות עבודה'!$C$4=$B$194,BK204,BK230))</f>
        <v>0</v>
      </c>
      <c r="BL70" s="671">
        <f>IF('הנחות עבודה'!$C$4=$B$168,BL178,IF('הנחות עבודה'!$C$4=$B$194,BL204,BL230))</f>
        <v>15.748360370000082</v>
      </c>
      <c r="BM70" s="671">
        <f ca="1">IF('הנחות עבודה'!$C$4=$B$168,BM178,IF('הנחות עבודה'!$C$4=$B$194,BM204,BM230))</f>
        <v>2.1998863899999876</v>
      </c>
      <c r="BN70" s="671">
        <f ca="1">IF('הנחות עבודה'!$C$4=$B$168,BN178,IF('הנחות עבודה'!$C$4=$B$194,BN204,BN230))</f>
        <v>0.45989999999992748</v>
      </c>
      <c r="BO70" s="671">
        <f ca="1">IF('הנחות עבודה'!$C$4=$B$168,BO178,IF('הנחות עבודה'!$C$4=$B$194,BO204,BO230))</f>
        <v>0.7377660400000029</v>
      </c>
      <c r="BP70" s="671">
        <f>IF('הנחות עבודה'!$C$4=$B$168,BP178,IF('הנחות עבודה'!$C$4=$B$194,BP204,BP230))</f>
        <v>0</v>
      </c>
      <c r="BQ70" s="671">
        <f>IF('הנחות עבודה'!$C$4=$B$168,BQ178,IF('הנחות עבודה'!$C$4=$B$194,BQ204,BQ230))</f>
        <v>15.082000000000001</v>
      </c>
      <c r="BR70" s="671">
        <f ca="1">IF('הנחות עבודה'!$C$4=$B$168,BR178,IF('הנחות עבודה'!$C$4=$B$194,BR204,BR230))</f>
        <v>52.583027200000004</v>
      </c>
      <c r="BS70" s="671">
        <f>IF('הנחות עבודה'!$C$4=$B$168,BS178,IF('הנחות עבודה'!$C$4=$B$194,BS204,BS230))</f>
        <v>0</v>
      </c>
      <c r="BT70" s="671">
        <f>IF('הנחות עבודה'!$C$4=$B$168,BT178,IF('הנחות עבודה'!$C$4=$B$194,BT204,BT230))</f>
        <v>0</v>
      </c>
      <c r="BU70" s="671">
        <f>IF('הנחות עבודה'!$C$4=$B$168,BU178,IF('הנחות עבודה'!$C$4=$B$194,BU204,BU230))</f>
        <v>0</v>
      </c>
      <c r="BV70" s="673">
        <f>IF('הנחות עבודה'!$C$4=$B$168,BV178,IF('הנחות עבודה'!$C$4=$B$194,BV204,BV230))</f>
        <v>0.35529999999999995</v>
      </c>
      <c r="BX70" s="552"/>
      <c r="BY70" s="301"/>
      <c r="BZ70" s="301"/>
      <c r="CA70" s="301"/>
    </row>
    <row r="71" spans="2:79" ht="15.75">
      <c r="B71" s="10">
        <f t="shared" si="226"/>
        <v>2027</v>
      </c>
      <c r="C71" s="667">
        <f>IF('הנחות עבודה'!$C$4=$B$168,C179,IF('הנחות עבודה'!$C$4=$B$194,C205,C231))</f>
        <v>9.6195384920000926</v>
      </c>
      <c r="D71" s="668">
        <f>IF('הנחות עבודה'!$C$4=$B$168,D179,IF('הנחות עבודה'!$C$4=$B$194,D205,D231))</f>
        <v>0</v>
      </c>
      <c r="E71" s="668">
        <f ca="1">IF('הנחות עבודה'!$C$4=$B$168,E179,IF('הנחות עבודה'!$C$4=$B$194,E205,E231))</f>
        <v>2.1998863899999876</v>
      </c>
      <c r="F71" s="668">
        <f ca="1">IF('הנחות עבודה'!$C$4=$B$168,F179,IF('הנחות עבודה'!$C$4=$B$194,F205,F231))</f>
        <v>0.52121999999991786</v>
      </c>
      <c r="G71" s="668">
        <f ca="1">IF('הנחות עבודה'!$C$4=$B$168,G179,IF('הנחות עבודה'!$C$4=$B$194,G205,G231))</f>
        <v>0.7377660400000029</v>
      </c>
      <c r="H71" s="668">
        <f>IF('הנחות עבודה'!$C$4=$B$168,H179,IF('הנחות עבודה'!$C$4=$B$194,H205,H231))</f>
        <v>0</v>
      </c>
      <c r="I71" s="668">
        <f>IF('הנחות עבודה'!$C$4=$B$168,I179,IF('הנחות עבודה'!$C$4=$B$194,I205,I231))</f>
        <v>14.945649999999999</v>
      </c>
      <c r="J71" s="668">
        <f ca="1">IF('הנחות עבודה'!$C$4=$B$168,J179,IF('הנחות עבודה'!$C$4=$B$194,J205,J231))</f>
        <v>61.202026078000003</v>
      </c>
      <c r="K71" s="668">
        <f>IF('הנחות עבודה'!$C$4=$B$168,K179,IF('הנחות עבודה'!$C$4=$B$194,K205,K231))</f>
        <v>0</v>
      </c>
      <c r="L71" s="668">
        <f>IF('הנחות עבודה'!$C$4=$B$168,L179,IF('הנחות עבודה'!$C$4=$B$194,L205,L231))</f>
        <v>0</v>
      </c>
      <c r="M71" s="44">
        <f>IF('הנחות עבודה'!$C$4=$B$168,M179,IF('הנחות עבודה'!$C$4=$B$194,M205,M231))</f>
        <v>0</v>
      </c>
      <c r="N71" s="669">
        <f>IF('הנחות עבודה'!$C$4=$B$168,N179,IF('הנחות עבודה'!$C$4=$B$194,N205,N231))</f>
        <v>0.35207000000000005</v>
      </c>
      <c r="O71" s="670">
        <f>IF('הנחות עבודה'!$C$4=$B$168,O179,IF('הנחות עבודה'!$C$4=$B$194,O205,O231))</f>
        <v>0</v>
      </c>
      <c r="P71" s="671">
        <f>IF('הנחות עבודה'!$C$4=$B$168,P179,IF('הנחות עבודה'!$C$4=$B$194,P205,P231))</f>
        <v>9.6195384920000926</v>
      </c>
      <c r="Q71" s="671">
        <f ca="1">IF('הנחות עבודה'!$C$4=$B$168,Q179,IF('הנחות עבודה'!$C$4=$B$194,Q205,Q231))</f>
        <v>2.1998863899999876</v>
      </c>
      <c r="R71" s="671">
        <f ca="1">IF('הנחות עבודה'!$C$4=$B$168,R179,IF('הנחות עבודה'!$C$4=$B$194,R205,R231))</f>
        <v>0.52121999999991786</v>
      </c>
      <c r="S71" s="671">
        <f ca="1">IF('הנחות עבודה'!$C$4=$B$168,S179,IF('הנחות עבודה'!$C$4=$B$194,S205,S231))</f>
        <v>0.7377660400000029</v>
      </c>
      <c r="T71" s="671">
        <f>IF('הנחות עבודה'!$C$4=$B$168,T179,IF('הנחות עבודה'!$C$4=$B$194,T205,T231))</f>
        <v>0</v>
      </c>
      <c r="U71" s="671">
        <f>IF('הנחות עבודה'!$C$4=$B$168,U179,IF('הנחות עבודה'!$C$4=$B$194,U205,U231))</f>
        <v>14.945649999999999</v>
      </c>
      <c r="V71" s="671">
        <f ca="1">IF('הנחות עבודה'!$C$4=$B$168,V179,IF('הנחות עבודה'!$C$4=$B$194,V205,V231))</f>
        <v>61.202026078000003</v>
      </c>
      <c r="W71" s="671">
        <f>IF('הנחות עבודה'!$C$4=$B$168,W179,IF('הנחות עבודה'!$C$4=$B$194,W205,W231))</f>
        <v>0</v>
      </c>
      <c r="X71" s="671">
        <f>IF('הנחות עבודה'!$C$4=$B$168,X179,IF('הנחות עבודה'!$C$4=$B$194,X205,X231))</f>
        <v>0</v>
      </c>
      <c r="Y71" s="671">
        <f>IF('הנחות עבודה'!$C$4=$B$168,Y179,IF('הנחות עבודה'!$C$4=$B$194,Y205,Y231))</f>
        <v>0</v>
      </c>
      <c r="Z71" s="671">
        <f>IF('הנחות עבודה'!$C$4=$B$168,Z179,IF('הנחות עבודה'!$C$4=$B$194,Z205,Z231))</f>
        <v>0.35207000000000005</v>
      </c>
      <c r="AA71" s="667">
        <f>IF('הנחות עבודה'!$C$4=$B$168,AA179,IF('הנחות עבודה'!$C$4=$B$194,AA205,AA231))</f>
        <v>14.904649755000092</v>
      </c>
      <c r="AB71" s="668">
        <f>IF('הנחות עבודה'!$C$4=$B$168,AB179,IF('הנחות עבודה'!$C$4=$B$194,AB205,AB231))</f>
        <v>0</v>
      </c>
      <c r="AC71" s="668">
        <f ca="1">IF('הנחות עבודה'!$C$4=$B$168,AC179,IF('הנחות עבודה'!$C$4=$B$194,AC205,AC231))</f>
        <v>2.1998863899999876</v>
      </c>
      <c r="AD71" s="668">
        <f ca="1">IF('הנחות עבודה'!$C$4=$B$168,AD179,IF('הנחות עבודה'!$C$4=$B$194,AD205,AD231))</f>
        <v>0.52121999999991786</v>
      </c>
      <c r="AE71" s="668">
        <f ca="1">IF('הנחות עבודה'!$C$4=$B$168,AE179,IF('הנחות עבודה'!$C$4=$B$194,AE205,AE231))</f>
        <v>0.7377660400000029</v>
      </c>
      <c r="AF71" s="668">
        <f>IF('הנחות עבודה'!$C$4=$B$168,AF179,IF('הנחות עבודה'!$C$4=$B$194,AF205,AF231))</f>
        <v>0</v>
      </c>
      <c r="AG71" s="668">
        <f>IF('הנחות עבודה'!$C$4=$B$168,AG179,IF('הנחות עבודה'!$C$4=$B$194,AG205,AG231))</f>
        <v>14.828890000000001</v>
      </c>
      <c r="AH71" s="668">
        <f ca="1">IF('הנחות עבודה'!$C$4=$B$168,AH179,IF('הנחות עבודה'!$C$4=$B$194,AH205,AH231))</f>
        <v>56.035124815000003</v>
      </c>
      <c r="AI71" s="668">
        <f>IF('הנחות עבודה'!$C$4=$B$168,AI179,IF('הנחות עבודה'!$C$4=$B$194,AI205,AI231))</f>
        <v>0</v>
      </c>
      <c r="AJ71" s="668">
        <f>IF('הנחות עבודה'!$C$4=$B$168,AJ179,IF('הנחות עבודה'!$C$4=$B$194,AJ205,AJ231))</f>
        <v>0</v>
      </c>
      <c r="AK71" s="44">
        <f>IF('הנחות עבודה'!$C$4=$B$168,AK179,IF('הנחות עבודה'!$C$4=$B$194,AK205,AK231))</f>
        <v>0</v>
      </c>
      <c r="AL71" s="669">
        <f>IF('הנחות עבודה'!$C$4=$B$168,AL179,IF('הנחות עבודה'!$C$4=$B$194,AL205,AL231))</f>
        <v>0.35062000000000004</v>
      </c>
      <c r="AM71" s="670">
        <f>IF('הנחות עבודה'!$C$4=$B$168,AM179,IF('הנחות עבודה'!$C$4=$B$194,AM205,AM231))</f>
        <v>0</v>
      </c>
      <c r="AN71" s="671">
        <f>IF('הנחות עבודה'!$C$4=$B$168,AN179,IF('הנחות עבודה'!$C$4=$B$194,AN205,AN231))</f>
        <v>14.904649755000092</v>
      </c>
      <c r="AO71" s="671">
        <f ca="1">IF('הנחות עבודה'!$C$4=$B$168,AO179,IF('הנחות עבודה'!$C$4=$B$194,AO205,AO231))</f>
        <v>2.1998863899999876</v>
      </c>
      <c r="AP71" s="671">
        <f ca="1">IF('הנחות עבודה'!$C$4=$B$168,AP179,IF('הנחות עבודה'!$C$4=$B$194,AP205,AP231))</f>
        <v>0.52121999999991786</v>
      </c>
      <c r="AQ71" s="671">
        <f ca="1">IF('הנחות עבודה'!$C$4=$B$168,AQ179,IF('הנחות עבודה'!$C$4=$B$194,AQ205,AQ231))</f>
        <v>0.7377660400000029</v>
      </c>
      <c r="AR71" s="671">
        <f>IF('הנחות עבודה'!$C$4=$B$168,AR179,IF('הנחות עבודה'!$C$4=$B$194,AR205,AR231))</f>
        <v>0</v>
      </c>
      <c r="AS71" s="671">
        <f>IF('הנחות עבודה'!$C$4=$B$168,AS179,IF('הנחות עבודה'!$C$4=$B$194,AS205,AS231))</f>
        <v>14.828890000000001</v>
      </c>
      <c r="AT71" s="671">
        <f ca="1">IF('הנחות עבודה'!$C$4=$B$168,AT179,IF('הנחות עבודה'!$C$4=$B$194,AT205,AT231))</f>
        <v>56.035124815000003</v>
      </c>
      <c r="AU71" s="671">
        <f>IF('הנחות עבודה'!$C$4=$B$168,AU179,IF('הנחות עבודה'!$C$4=$B$194,AU205,AU231))</f>
        <v>0</v>
      </c>
      <c r="AV71" s="671">
        <f>IF('הנחות עבודה'!$C$4=$B$168,AV179,IF('הנחות עבודה'!$C$4=$B$194,AV205,AV231))</f>
        <v>0</v>
      </c>
      <c r="AW71" s="671">
        <f>IF('הנחות עבודה'!$C$4=$B$168,AW179,IF('הנחות עבודה'!$C$4=$B$194,AW205,AW231))</f>
        <v>0</v>
      </c>
      <c r="AX71" s="671">
        <f>IF('הנחות עבודה'!$C$4=$B$168,AX179,IF('הנחות עבודה'!$C$4=$B$194,AX205,AX231))</f>
        <v>0.35062000000000004</v>
      </c>
      <c r="AY71" s="667">
        <f>IF('הנחות עבודה'!$C$4=$B$168,AY179,IF('הנחות עבודה'!$C$4=$B$194,AY205,AY231))</f>
        <v>18.039885250000083</v>
      </c>
      <c r="AZ71" s="668">
        <f>IF('הנחות עבודה'!$C$4=$B$168,AZ179,IF('הנחות עבודה'!$C$4=$B$194,AZ205,AZ231))</f>
        <v>0</v>
      </c>
      <c r="BA71" s="668">
        <f ca="1">IF('הנחות עבודה'!$C$4=$B$168,BA179,IF('הנחות עבודה'!$C$4=$B$194,BA205,BA231))</f>
        <v>2.1998863899999876</v>
      </c>
      <c r="BB71" s="668">
        <f ca="1">IF('הנחות עבודה'!$C$4=$B$168,BB179,IF('הנחות עבודה'!$C$4=$B$194,BB205,BB231))</f>
        <v>0.49055999999992267</v>
      </c>
      <c r="BC71" s="668">
        <f ca="1">IF('הנחות עבודה'!$C$4=$B$168,BC179,IF('הנחות עבודה'!$C$4=$B$194,BC205,BC231))</f>
        <v>0.7377660400000029</v>
      </c>
      <c r="BD71" s="668">
        <f>IF('הנחות עבודה'!$C$4=$B$168,BD179,IF('הנחות עבודה'!$C$4=$B$194,BD205,BD231))</f>
        <v>0</v>
      </c>
      <c r="BE71" s="668">
        <f>IF('הנחות עבודה'!$C$4=$B$168,BE179,IF('הנחות עבודה'!$C$4=$B$194,BE205,BE231))</f>
        <v>15.039</v>
      </c>
      <c r="BF71" s="668">
        <f ca="1">IF('הנחות עבודה'!$C$4=$B$168,BF179,IF('הנחות עבודה'!$C$4=$B$194,BF205,BF231))</f>
        <v>52.721159320000005</v>
      </c>
      <c r="BG71" s="668">
        <f>IF('הנחות עבודה'!$C$4=$B$168,BG179,IF('הנחות עבודה'!$C$4=$B$194,BG205,BG231))</f>
        <v>0</v>
      </c>
      <c r="BH71" s="668">
        <f>IF('הנחות עבודה'!$C$4=$B$168,BH179,IF('הנחות עבודה'!$C$4=$B$194,BH205,BH231))</f>
        <v>0</v>
      </c>
      <c r="BI71" s="668">
        <f>IF('הנחות עבודה'!$C$4=$B$168,BI179,IF('הנחות עבודה'!$C$4=$B$194,BI205,BI231))</f>
        <v>0</v>
      </c>
      <c r="BJ71" s="668">
        <f>IF('הנחות עבודה'!$C$4=$B$168,BJ179,IF('הנחות עבודה'!$C$4=$B$194,BJ205,BJ231))</f>
        <v>0.34989999999999999</v>
      </c>
      <c r="BK71" s="672">
        <f>IF('הנחות עבודה'!$C$4=$B$168,BK179,IF('הנחות עבודה'!$C$4=$B$194,BK205,BK231))</f>
        <v>0</v>
      </c>
      <c r="BL71" s="671">
        <f>IF('הנחות עבודה'!$C$4=$B$168,BL179,IF('הנחות עבודה'!$C$4=$B$194,BL205,BL231))</f>
        <v>18.039885250000083</v>
      </c>
      <c r="BM71" s="671">
        <f ca="1">IF('הנחות עבודה'!$C$4=$B$168,BM179,IF('הנחות עבודה'!$C$4=$B$194,BM205,BM231))</f>
        <v>2.1998863899999876</v>
      </c>
      <c r="BN71" s="671">
        <f ca="1">IF('הנחות עבודה'!$C$4=$B$168,BN179,IF('הנחות עבודה'!$C$4=$B$194,BN205,BN231))</f>
        <v>0.49055999999992267</v>
      </c>
      <c r="BO71" s="671">
        <f ca="1">IF('הנחות עבודה'!$C$4=$B$168,BO179,IF('הנחות עבודה'!$C$4=$B$194,BO205,BO231))</f>
        <v>0.7377660400000029</v>
      </c>
      <c r="BP71" s="671">
        <f>IF('הנחות עבודה'!$C$4=$B$168,BP179,IF('הנחות עבודה'!$C$4=$B$194,BP205,BP231))</f>
        <v>0</v>
      </c>
      <c r="BQ71" s="671">
        <f>IF('הנחות עבודה'!$C$4=$B$168,BQ179,IF('הנחות עבודה'!$C$4=$B$194,BQ205,BQ231))</f>
        <v>15.039</v>
      </c>
      <c r="BR71" s="671">
        <f ca="1">IF('הנחות עבודה'!$C$4=$B$168,BR179,IF('הנחות עבודה'!$C$4=$B$194,BR205,BR231))</f>
        <v>52.721159320000005</v>
      </c>
      <c r="BS71" s="671">
        <f>IF('הנחות עבודה'!$C$4=$B$168,BS179,IF('הנחות עבודה'!$C$4=$B$194,BS205,BS231))</f>
        <v>0</v>
      </c>
      <c r="BT71" s="671">
        <f>IF('הנחות עבודה'!$C$4=$B$168,BT179,IF('הנחות עבודה'!$C$4=$B$194,BT205,BT231))</f>
        <v>0</v>
      </c>
      <c r="BU71" s="671">
        <f>IF('הנחות עבודה'!$C$4=$B$168,BU179,IF('הנחות עבודה'!$C$4=$B$194,BU205,BU231))</f>
        <v>0</v>
      </c>
      <c r="BV71" s="673">
        <f>IF('הנחות עבודה'!$C$4=$B$168,BV179,IF('הנחות עבודה'!$C$4=$B$194,BV205,BV231))</f>
        <v>0.34989999999999999</v>
      </c>
      <c r="BX71" s="552"/>
      <c r="BY71" s="301"/>
      <c r="BZ71" s="301"/>
      <c r="CA71" s="301"/>
    </row>
    <row r="72" spans="2:79" ht="15.75">
      <c r="B72" s="10">
        <f t="shared" si="226"/>
        <v>2028</v>
      </c>
      <c r="C72" s="667">
        <f>IF('הנחות עבודה'!$C$4=$B$168,C180,IF('הנחות עבודה'!$C$4=$B$194,C206,C232))</f>
        <v>10.650187164000101</v>
      </c>
      <c r="D72" s="668">
        <f>IF('הנחות עבודה'!$C$4=$B$168,D180,IF('הנחות עבודה'!$C$4=$B$194,D206,D232))</f>
        <v>0</v>
      </c>
      <c r="E72" s="668">
        <f ca="1">IF('הנחות עבודה'!$C$4=$B$168,E180,IF('הנחות עבודה'!$C$4=$B$194,E206,E232))</f>
        <v>2.1998863899999876</v>
      </c>
      <c r="F72" s="668">
        <f ca="1">IF('הנחות עבודה'!$C$4=$B$168,F180,IF('הנחות עבודה'!$C$4=$B$194,F206,F232))</f>
        <v>0.551879999999913</v>
      </c>
      <c r="G72" s="668">
        <f ca="1">IF('הנחות עבודה'!$C$4=$B$168,G180,IF('הנחות עבודה'!$C$4=$B$194,G206,G232))</f>
        <v>0.7377660400000029</v>
      </c>
      <c r="H72" s="668">
        <f>IF('הנחות עבודה'!$C$4=$B$168,H180,IF('הנחות עבודה'!$C$4=$B$194,H206,H232))</f>
        <v>0</v>
      </c>
      <c r="I72" s="668">
        <f>IF('הנחות עבודה'!$C$4=$B$168,I180,IF('הנחות עבודה'!$C$4=$B$194,I206,I232))</f>
        <v>14.63696</v>
      </c>
      <c r="J72" s="668">
        <f ca="1">IF('הנחות עבודה'!$C$4=$B$168,J180,IF('הנחות עבודה'!$C$4=$B$194,J206,J232))</f>
        <v>62.683791405999997</v>
      </c>
      <c r="K72" s="668">
        <f>IF('הנחות עבודה'!$C$4=$B$168,K180,IF('הנחות עבודה'!$C$4=$B$194,K206,K232))</f>
        <v>0</v>
      </c>
      <c r="L72" s="668">
        <f>IF('הנחות עבודה'!$C$4=$B$168,L180,IF('הנחות עבודה'!$C$4=$B$194,L206,L232))</f>
        <v>0</v>
      </c>
      <c r="M72" s="44">
        <f>IF('הנחות עבודה'!$C$4=$B$168,M180,IF('הנחות עבודה'!$C$4=$B$194,M206,M232))</f>
        <v>0</v>
      </c>
      <c r="N72" s="669">
        <f>IF('הנחות עבודה'!$C$4=$B$168,N180,IF('הנחות עבודה'!$C$4=$B$194,N206,N232))</f>
        <v>0.35589000000000004</v>
      </c>
      <c r="O72" s="670">
        <f>IF('הנחות עבודה'!$C$4=$B$168,O180,IF('הנחות עבודה'!$C$4=$B$194,O206,O232))</f>
        <v>0</v>
      </c>
      <c r="P72" s="671">
        <f>IF('הנחות עבודה'!$C$4=$B$168,P180,IF('הנחות עבודה'!$C$4=$B$194,P206,P232))</f>
        <v>10.650187164000101</v>
      </c>
      <c r="Q72" s="671">
        <f ca="1">IF('הנחות עבודה'!$C$4=$B$168,Q180,IF('הנחות עבודה'!$C$4=$B$194,Q206,Q232))</f>
        <v>2.1998863899999876</v>
      </c>
      <c r="R72" s="671">
        <f ca="1">IF('הנחות עבודה'!$C$4=$B$168,R180,IF('הנחות עבודה'!$C$4=$B$194,R206,R232))</f>
        <v>0.551879999999913</v>
      </c>
      <c r="S72" s="671">
        <f ca="1">IF('הנחות עבודה'!$C$4=$B$168,S180,IF('הנחות עבודה'!$C$4=$B$194,S206,S232))</f>
        <v>0.7377660400000029</v>
      </c>
      <c r="T72" s="671">
        <f>IF('הנחות עבודה'!$C$4=$B$168,T180,IF('הנחות עבודה'!$C$4=$B$194,T206,T232))</f>
        <v>0</v>
      </c>
      <c r="U72" s="671">
        <f>IF('הנחות עבודה'!$C$4=$B$168,U180,IF('הנחות עבודה'!$C$4=$B$194,U206,U232))</f>
        <v>14.63696</v>
      </c>
      <c r="V72" s="671">
        <f ca="1">IF('הנחות עבודה'!$C$4=$B$168,V180,IF('הנחות עבודה'!$C$4=$B$194,V206,V232))</f>
        <v>62.683791405999997</v>
      </c>
      <c r="W72" s="671">
        <f>IF('הנחות עבודה'!$C$4=$B$168,W180,IF('הנחות עבודה'!$C$4=$B$194,W206,W232))</f>
        <v>0</v>
      </c>
      <c r="X72" s="671">
        <f>IF('הנחות עבודה'!$C$4=$B$168,X180,IF('הנחות עבודה'!$C$4=$B$194,X206,X232))</f>
        <v>0</v>
      </c>
      <c r="Y72" s="671">
        <f>IF('הנחות עבודה'!$C$4=$B$168,Y180,IF('הנחות עבודה'!$C$4=$B$194,Y206,Y232))</f>
        <v>0</v>
      </c>
      <c r="Z72" s="671">
        <f>IF('הנחות עבודה'!$C$4=$B$168,Z180,IF('הנחות עבודה'!$C$4=$B$194,Z206,Z232))</f>
        <v>0.35589000000000004</v>
      </c>
      <c r="AA72" s="667">
        <f>IF('הנחות עבודה'!$C$4=$B$168,AA180,IF('הנחות עבודה'!$C$4=$B$194,AA206,AA232))</f>
        <v>16.710066990000101</v>
      </c>
      <c r="AB72" s="668">
        <f>IF('הנחות עבודה'!$C$4=$B$168,AB180,IF('הנחות עבודה'!$C$4=$B$194,AB206,AB232))</f>
        <v>0</v>
      </c>
      <c r="AC72" s="668">
        <f ca="1">IF('הנחות עבודה'!$C$4=$B$168,AC180,IF('הנחות עבודה'!$C$4=$B$194,AC206,AC232))</f>
        <v>2.1998863899999876</v>
      </c>
      <c r="AD72" s="668">
        <f ca="1">IF('הנחות עבודה'!$C$4=$B$168,AD180,IF('הנחות עבודה'!$C$4=$B$194,AD206,AD232))</f>
        <v>0.551879999999913</v>
      </c>
      <c r="AE72" s="668">
        <f ca="1">IF('הנחות עבודה'!$C$4=$B$168,AE180,IF('הנחות עבודה'!$C$4=$B$194,AE206,AE232))</f>
        <v>0.7377660400000029</v>
      </c>
      <c r="AF72" s="668">
        <f>IF('הנחות עבודה'!$C$4=$B$168,AF180,IF('הנחות עבודה'!$C$4=$B$194,AF206,AF232))</f>
        <v>0</v>
      </c>
      <c r="AG72" s="668">
        <f>IF('הנחות עבודה'!$C$4=$B$168,AG180,IF('הנחות עבודה'!$C$4=$B$194,AG206,AG232))</f>
        <v>14.951639999999999</v>
      </c>
      <c r="AH72" s="668">
        <f ca="1">IF('הנחות עבודה'!$C$4=$B$168,AH180,IF('הנחות עבודה'!$C$4=$B$194,AH206,AH232))</f>
        <v>56.307621579999996</v>
      </c>
      <c r="AI72" s="668">
        <f>IF('הנחות עבודה'!$C$4=$B$168,AI180,IF('הנחות עבודה'!$C$4=$B$194,AI206,AI232))</f>
        <v>0</v>
      </c>
      <c r="AJ72" s="668">
        <f>IF('הנחות עבודה'!$C$4=$B$168,AJ180,IF('הנחות עבודה'!$C$4=$B$194,AJ206,AJ232))</f>
        <v>0</v>
      </c>
      <c r="AK72" s="44">
        <f>IF('הנחות עבודה'!$C$4=$B$168,AK180,IF('הנחות עבודה'!$C$4=$B$194,AK206,AK232))</f>
        <v>0</v>
      </c>
      <c r="AL72" s="669">
        <f>IF('הנחות עבודה'!$C$4=$B$168,AL180,IF('הנחות עבודה'!$C$4=$B$194,AL206,AL232))</f>
        <v>0.35749999999999998</v>
      </c>
      <c r="AM72" s="670">
        <f>IF('הנחות עבודה'!$C$4=$B$168,AM180,IF('הנחות עבודה'!$C$4=$B$194,AM206,AM232))</f>
        <v>0</v>
      </c>
      <c r="AN72" s="671">
        <f>IF('הנחות עבודה'!$C$4=$B$168,AN180,IF('הנחות עבודה'!$C$4=$B$194,AN206,AN232))</f>
        <v>16.710066990000101</v>
      </c>
      <c r="AO72" s="671">
        <f ca="1">IF('הנחות עבודה'!$C$4=$B$168,AO180,IF('הנחות עבודה'!$C$4=$B$194,AO206,AO232))</f>
        <v>2.1998863899999876</v>
      </c>
      <c r="AP72" s="671">
        <f ca="1">IF('הנחות עבודה'!$C$4=$B$168,AP180,IF('הנחות עבודה'!$C$4=$B$194,AP206,AP232))</f>
        <v>0.551879999999913</v>
      </c>
      <c r="AQ72" s="671">
        <f ca="1">IF('הנחות עבודה'!$C$4=$B$168,AQ180,IF('הנחות עבודה'!$C$4=$B$194,AQ206,AQ232))</f>
        <v>0.7377660400000029</v>
      </c>
      <c r="AR72" s="671">
        <f>IF('הנחות עבודה'!$C$4=$B$168,AR180,IF('הנחות עבודה'!$C$4=$B$194,AR206,AR232))</f>
        <v>0</v>
      </c>
      <c r="AS72" s="671">
        <f>IF('הנחות עבודה'!$C$4=$B$168,AS180,IF('הנחות עבודה'!$C$4=$B$194,AS206,AS232))</f>
        <v>14.951639999999999</v>
      </c>
      <c r="AT72" s="671">
        <f ca="1">IF('הנחות עבודה'!$C$4=$B$168,AT180,IF('הנחות עבודה'!$C$4=$B$194,AT206,AT232))</f>
        <v>56.307621579999996</v>
      </c>
      <c r="AU72" s="671">
        <f>IF('הנחות עבודה'!$C$4=$B$168,AU180,IF('הנחות עבודה'!$C$4=$B$194,AU206,AU232))</f>
        <v>0</v>
      </c>
      <c r="AV72" s="671">
        <f>IF('הנחות עבודה'!$C$4=$B$168,AV180,IF('הנחות עבודה'!$C$4=$B$194,AV206,AV232))</f>
        <v>0</v>
      </c>
      <c r="AW72" s="671">
        <f>IF('הנחות עבודה'!$C$4=$B$168,AW180,IF('הנחות עבודה'!$C$4=$B$194,AW206,AW232))</f>
        <v>0</v>
      </c>
      <c r="AX72" s="671">
        <f>IF('הנחות עבודה'!$C$4=$B$168,AX180,IF('הנחות עבודה'!$C$4=$B$194,AX206,AX232))</f>
        <v>0.35749999999999998</v>
      </c>
      <c r="AY72" s="667">
        <f>IF('הנחות עבודה'!$C$4=$B$168,AY180,IF('הנחות עבודה'!$C$4=$B$194,AY206,AY232))</f>
        <v>20.382721430000093</v>
      </c>
      <c r="AZ72" s="668">
        <f>IF('הנחות עבודה'!$C$4=$B$168,AZ180,IF('הנחות עבודה'!$C$4=$B$194,AZ206,AZ232))</f>
        <v>0</v>
      </c>
      <c r="BA72" s="668">
        <f ca="1">IF('הנחות עבודה'!$C$4=$B$168,BA180,IF('הנחות עבודה'!$C$4=$B$194,BA206,BA232))</f>
        <v>2.1998863899999876</v>
      </c>
      <c r="BB72" s="668">
        <f ca="1">IF('הנחות עבודה'!$C$4=$B$168,BB180,IF('הנחות עבודה'!$C$4=$B$194,BB206,BB232))</f>
        <v>0.52121999999991786</v>
      </c>
      <c r="BC72" s="668">
        <f ca="1">IF('הנחות עבודה'!$C$4=$B$168,BC180,IF('הנחות עבודה'!$C$4=$B$194,BC206,BC232))</f>
        <v>0.7377660400000029</v>
      </c>
      <c r="BD72" s="668">
        <f>IF('הנחות עבודה'!$C$4=$B$168,BD180,IF('הנחות עבודה'!$C$4=$B$194,BD206,BD232))</f>
        <v>0</v>
      </c>
      <c r="BE72" s="668">
        <f>IF('הנחות עבודה'!$C$4=$B$168,BE180,IF('הנחות עבודה'!$C$4=$B$194,BE206,BE232))</f>
        <v>15.288</v>
      </c>
      <c r="BF72" s="668">
        <f ca="1">IF('הנחות עבודה'!$C$4=$B$168,BF180,IF('הנחות עבודה'!$C$4=$B$194,BF206,BF232))</f>
        <v>52.32866714</v>
      </c>
      <c r="BG72" s="668">
        <f>IF('הנחות עבודה'!$C$4=$B$168,BG180,IF('הנחות עבודה'!$C$4=$B$194,BG206,BG232))</f>
        <v>0</v>
      </c>
      <c r="BH72" s="668">
        <f>IF('הנחות עבודה'!$C$4=$B$168,BH180,IF('הנחות עבודה'!$C$4=$B$194,BH206,BH232))</f>
        <v>0</v>
      </c>
      <c r="BI72" s="668">
        <f>IF('הנחות עבודה'!$C$4=$B$168,BI180,IF('הנחות עבודה'!$C$4=$B$194,BI206,BI232))</f>
        <v>0</v>
      </c>
      <c r="BJ72" s="668">
        <f>IF('הנחות עבודה'!$C$4=$B$168,BJ180,IF('הנחות עבודה'!$C$4=$B$194,BJ206,BJ232))</f>
        <v>0.35809999999999997</v>
      </c>
      <c r="BK72" s="672">
        <f>IF('הנחות עבודה'!$C$4=$B$168,BK180,IF('הנחות עבודה'!$C$4=$B$194,BK206,BK232))</f>
        <v>0</v>
      </c>
      <c r="BL72" s="671">
        <f>IF('הנחות עבודה'!$C$4=$B$168,BL180,IF('הנחות עבודה'!$C$4=$B$194,BL206,BL232))</f>
        <v>20.382721430000093</v>
      </c>
      <c r="BM72" s="671">
        <f ca="1">IF('הנחות עבודה'!$C$4=$B$168,BM180,IF('הנחות עבודה'!$C$4=$B$194,BM206,BM232))</f>
        <v>2.1998863899999876</v>
      </c>
      <c r="BN72" s="671">
        <f ca="1">IF('הנחות עבודה'!$C$4=$B$168,BN180,IF('הנחות עבודה'!$C$4=$B$194,BN206,BN232))</f>
        <v>0.52121999999991786</v>
      </c>
      <c r="BO72" s="671">
        <f ca="1">IF('הנחות עבודה'!$C$4=$B$168,BO180,IF('הנחות עבודה'!$C$4=$B$194,BO206,BO232))</f>
        <v>0.7377660400000029</v>
      </c>
      <c r="BP72" s="671">
        <f>IF('הנחות עבודה'!$C$4=$B$168,BP180,IF('הנחות עבודה'!$C$4=$B$194,BP206,BP232))</f>
        <v>0</v>
      </c>
      <c r="BQ72" s="671">
        <f>IF('הנחות עבודה'!$C$4=$B$168,BQ180,IF('הנחות עבודה'!$C$4=$B$194,BQ206,BQ232))</f>
        <v>15.288</v>
      </c>
      <c r="BR72" s="671">
        <f ca="1">IF('הנחות עבודה'!$C$4=$B$168,BR180,IF('הנחות עבודה'!$C$4=$B$194,BR206,BR232))</f>
        <v>52.32866714</v>
      </c>
      <c r="BS72" s="671">
        <f>IF('הנחות עבודה'!$C$4=$B$168,BS180,IF('הנחות עבודה'!$C$4=$B$194,BS206,BS232))</f>
        <v>0</v>
      </c>
      <c r="BT72" s="671">
        <f>IF('הנחות עבודה'!$C$4=$B$168,BT180,IF('הנחות עבודה'!$C$4=$B$194,BT206,BT232))</f>
        <v>0</v>
      </c>
      <c r="BU72" s="671">
        <f>IF('הנחות עבודה'!$C$4=$B$168,BU180,IF('הנחות עבודה'!$C$4=$B$194,BU206,BU232))</f>
        <v>0</v>
      </c>
      <c r="BV72" s="673">
        <f>IF('הנחות עבודה'!$C$4=$B$168,BV180,IF('הנחות עבודה'!$C$4=$B$194,BV206,BV232))</f>
        <v>0.35809999999999997</v>
      </c>
      <c r="BX72" s="552"/>
      <c r="BY72" s="301"/>
      <c r="BZ72" s="301"/>
      <c r="CA72" s="301"/>
    </row>
    <row r="73" spans="2:79" ht="15.75">
      <c r="B73" s="10">
        <f t="shared" si="226"/>
        <v>2029</v>
      </c>
      <c r="C73" s="667">
        <f>IF('הנחות עבודה'!$C$4=$B$168,C181,IF('הנחות עבודה'!$C$4=$B$194,C207,C233))</f>
        <v>11.808267010000106</v>
      </c>
      <c r="D73" s="668">
        <f>IF('הנחות עבודה'!$C$4=$B$168,D181,IF('הנחות עבודה'!$C$4=$B$194,D207,D233))</f>
        <v>0</v>
      </c>
      <c r="E73" s="668">
        <f ca="1">IF('הנחות עבודה'!$C$4=$B$168,E181,IF('הנחות עבודה'!$C$4=$B$194,E207,E233))</f>
        <v>2.1998863899999876</v>
      </c>
      <c r="F73" s="668">
        <f ca="1">IF('הנחות עבודה'!$C$4=$B$168,F181,IF('הנחות עבודה'!$C$4=$B$194,F207,F233))</f>
        <v>0.58253999999990813</v>
      </c>
      <c r="G73" s="668">
        <f ca="1">IF('הנחות עבודה'!$C$4=$B$168,G181,IF('הנחות עבודה'!$C$4=$B$194,G207,G233))</f>
        <v>0.7377660400000029</v>
      </c>
      <c r="H73" s="668">
        <f>IF('הנחות עבודה'!$C$4=$B$168,H181,IF('הנחות עבודה'!$C$4=$B$194,H207,H233))</f>
        <v>0</v>
      </c>
      <c r="I73" s="668">
        <f>IF('הנחות עבודה'!$C$4=$B$168,I181,IF('הנחות עבודה'!$C$4=$B$194,I207,I233))</f>
        <v>14.69609</v>
      </c>
      <c r="J73" s="668">
        <f ca="1">IF('הנחות עבודה'!$C$4=$B$168,J181,IF('הנחות עבודה'!$C$4=$B$194,J207,J233))</f>
        <v>64.23705056</v>
      </c>
      <c r="K73" s="668">
        <f>IF('הנחות עבודה'!$C$4=$B$168,K181,IF('הנחות עבודה'!$C$4=$B$194,K207,K233))</f>
        <v>0</v>
      </c>
      <c r="L73" s="668">
        <f>IF('הנחות עבודה'!$C$4=$B$168,L181,IF('הנחות עבודה'!$C$4=$B$194,L207,L233))</f>
        <v>0</v>
      </c>
      <c r="M73" s="44">
        <f>IF('הנחות עבודה'!$C$4=$B$168,M181,IF('הנחות עבודה'!$C$4=$B$194,M207,M233))</f>
        <v>0</v>
      </c>
      <c r="N73" s="669">
        <f>IF('הנחות עבודה'!$C$4=$B$168,N181,IF('הנחות עבודה'!$C$4=$B$194,N207,N233))</f>
        <v>0.35852000000000001</v>
      </c>
      <c r="O73" s="670">
        <f>IF('הנחות עבודה'!$C$4=$B$168,O181,IF('הנחות עבודה'!$C$4=$B$194,O207,O233))</f>
        <v>0</v>
      </c>
      <c r="P73" s="671">
        <f>IF('הנחות עבודה'!$C$4=$B$168,P181,IF('הנחות עבודה'!$C$4=$B$194,P207,P233))</f>
        <v>11.808267010000106</v>
      </c>
      <c r="Q73" s="671">
        <f ca="1">IF('הנחות עבודה'!$C$4=$B$168,Q181,IF('הנחות עבודה'!$C$4=$B$194,Q207,Q233))</f>
        <v>2.1998863899999876</v>
      </c>
      <c r="R73" s="671">
        <f ca="1">IF('הנחות עבודה'!$C$4=$B$168,R181,IF('הנחות עבודה'!$C$4=$B$194,R207,R233))</f>
        <v>0.58253999999990813</v>
      </c>
      <c r="S73" s="671">
        <f ca="1">IF('הנחות עבודה'!$C$4=$B$168,S181,IF('הנחות עבודה'!$C$4=$B$194,S207,S233))</f>
        <v>0.7377660400000029</v>
      </c>
      <c r="T73" s="671">
        <f>IF('הנחות עבודה'!$C$4=$B$168,T181,IF('הנחות עבודה'!$C$4=$B$194,T207,T233))</f>
        <v>0</v>
      </c>
      <c r="U73" s="671">
        <f>IF('הנחות עבודה'!$C$4=$B$168,U181,IF('הנחות עבודה'!$C$4=$B$194,U207,U233))</f>
        <v>14.69609</v>
      </c>
      <c r="V73" s="671">
        <f ca="1">IF('הנחות עבודה'!$C$4=$B$168,V181,IF('הנחות עבודה'!$C$4=$B$194,V207,V233))</f>
        <v>64.23705056</v>
      </c>
      <c r="W73" s="671">
        <f>IF('הנחות עבודה'!$C$4=$B$168,W181,IF('הנחות עבודה'!$C$4=$B$194,W207,W233))</f>
        <v>0</v>
      </c>
      <c r="X73" s="671">
        <f>IF('הנחות עבודה'!$C$4=$B$168,X181,IF('הנחות עבודה'!$C$4=$B$194,X207,X233))</f>
        <v>0</v>
      </c>
      <c r="Y73" s="671">
        <f>IF('הנחות עבודה'!$C$4=$B$168,Y181,IF('הנחות עבודה'!$C$4=$B$194,Y207,Y233))</f>
        <v>0</v>
      </c>
      <c r="Z73" s="671">
        <f>IF('הנחות עבודה'!$C$4=$B$168,Z181,IF('הנחות עבודה'!$C$4=$B$194,Z207,Z233))</f>
        <v>0.35852000000000001</v>
      </c>
      <c r="AA73" s="667">
        <f>IF('הנחות עבודה'!$C$4=$B$168,AA181,IF('הנחות עבודה'!$C$4=$B$194,AA207,AA233))</f>
        <v>18.715535770000102</v>
      </c>
      <c r="AB73" s="668">
        <f>IF('הנחות עבודה'!$C$4=$B$168,AB181,IF('הנחות עבודה'!$C$4=$B$194,AB207,AB233))</f>
        <v>0</v>
      </c>
      <c r="AC73" s="668">
        <f ca="1">IF('הנחות עבודה'!$C$4=$B$168,AC181,IF('הנחות עבודה'!$C$4=$B$194,AC207,AC233))</f>
        <v>2.1998863899999876</v>
      </c>
      <c r="AD73" s="668">
        <f ca="1">IF('הנחות עבודה'!$C$4=$B$168,AD181,IF('הנחות עבודה'!$C$4=$B$194,AD207,AD233))</f>
        <v>0.58253999999990813</v>
      </c>
      <c r="AE73" s="668">
        <f ca="1">IF('הנחות עבודה'!$C$4=$B$168,AE181,IF('הנחות עבודה'!$C$4=$B$194,AE207,AE233))</f>
        <v>0.7377660400000029</v>
      </c>
      <c r="AF73" s="668">
        <f>IF('הנחות עבודה'!$C$4=$B$168,AF181,IF('הנחות עבודה'!$C$4=$B$194,AF207,AF233))</f>
        <v>0</v>
      </c>
      <c r="AG73" s="668">
        <f>IF('הנחות עבודה'!$C$4=$B$168,AG181,IF('הנחות עבודה'!$C$4=$B$194,AG207,AG233))</f>
        <v>15.215110000000001</v>
      </c>
      <c r="AH73" s="668">
        <f ca="1">IF('הנחות עבודה'!$C$4=$B$168,AH181,IF('הנחות עבודה'!$C$4=$B$194,AH207,AH233))</f>
        <v>56.809641799999994</v>
      </c>
      <c r="AI73" s="668">
        <f>IF('הנחות עבודה'!$C$4=$B$168,AI181,IF('הנחות עבודה'!$C$4=$B$194,AI207,AI233))</f>
        <v>0</v>
      </c>
      <c r="AJ73" s="668">
        <f>IF('הנחות עבודה'!$C$4=$B$168,AJ181,IF('הנחות עבודה'!$C$4=$B$194,AJ207,AJ233))</f>
        <v>0</v>
      </c>
      <c r="AK73" s="44">
        <f>IF('הנחות עבודה'!$C$4=$B$168,AK181,IF('הנחות עבודה'!$C$4=$B$194,AK207,AK233))</f>
        <v>0</v>
      </c>
      <c r="AL73" s="669">
        <f>IF('הנחות עבודה'!$C$4=$B$168,AL181,IF('הנחות עבודה'!$C$4=$B$194,AL207,AL233))</f>
        <v>0.35964000000000002</v>
      </c>
      <c r="AM73" s="670">
        <f>IF('הנחות עבודה'!$C$4=$B$168,AM181,IF('הנחות עבודה'!$C$4=$B$194,AM207,AM233))</f>
        <v>0</v>
      </c>
      <c r="AN73" s="671">
        <f>IF('הנחות עבודה'!$C$4=$B$168,AN181,IF('הנחות עבודה'!$C$4=$B$194,AN207,AN233))</f>
        <v>18.715535770000102</v>
      </c>
      <c r="AO73" s="671">
        <f ca="1">IF('הנחות עבודה'!$C$4=$B$168,AO181,IF('הנחות עבודה'!$C$4=$B$194,AO207,AO233))</f>
        <v>2.1998863899999876</v>
      </c>
      <c r="AP73" s="671">
        <f ca="1">IF('הנחות עבודה'!$C$4=$B$168,AP181,IF('הנחות עבודה'!$C$4=$B$194,AP207,AP233))</f>
        <v>0.58253999999990813</v>
      </c>
      <c r="AQ73" s="671">
        <f ca="1">IF('הנחות עבודה'!$C$4=$B$168,AQ181,IF('הנחות עבודה'!$C$4=$B$194,AQ207,AQ233))</f>
        <v>0.7377660400000029</v>
      </c>
      <c r="AR73" s="671">
        <f>IF('הנחות עבודה'!$C$4=$B$168,AR181,IF('הנחות עבודה'!$C$4=$B$194,AR207,AR233))</f>
        <v>0</v>
      </c>
      <c r="AS73" s="671">
        <f>IF('הנחות עבודה'!$C$4=$B$168,AS181,IF('הנחות עבודה'!$C$4=$B$194,AS207,AS233))</f>
        <v>15.215110000000001</v>
      </c>
      <c r="AT73" s="671">
        <f ca="1">IF('הנחות עבודה'!$C$4=$B$168,AT181,IF('הנחות עבודה'!$C$4=$B$194,AT207,AT233))</f>
        <v>56.809641799999994</v>
      </c>
      <c r="AU73" s="671">
        <f>IF('הנחות עבודה'!$C$4=$B$168,AU181,IF('הנחות עבודה'!$C$4=$B$194,AU207,AU233))</f>
        <v>0</v>
      </c>
      <c r="AV73" s="671">
        <f>IF('הנחות עבודה'!$C$4=$B$168,AV181,IF('הנחות עבודה'!$C$4=$B$194,AV207,AV233))</f>
        <v>0</v>
      </c>
      <c r="AW73" s="671">
        <f>IF('הנחות עבודה'!$C$4=$B$168,AW181,IF('הנחות עבודה'!$C$4=$B$194,AW207,AW233))</f>
        <v>0</v>
      </c>
      <c r="AX73" s="671">
        <f>IF('הנחות עבודה'!$C$4=$B$168,AX181,IF('הנחות עבודה'!$C$4=$B$194,AX207,AX233))</f>
        <v>0.35964000000000002</v>
      </c>
      <c r="AY73" s="667">
        <f>IF('הנחות עבודה'!$C$4=$B$168,AY181,IF('הנחות עבודה'!$C$4=$B$194,AY207,AY233))</f>
        <v>22.973441170000097</v>
      </c>
      <c r="AZ73" s="668">
        <f>IF('הנחות עבודה'!$C$4=$B$168,AZ181,IF('הנחות עבודה'!$C$4=$B$194,AZ207,AZ233))</f>
        <v>0</v>
      </c>
      <c r="BA73" s="668">
        <f ca="1">IF('הנחות עבודה'!$C$4=$B$168,BA181,IF('הנחות עבודה'!$C$4=$B$194,BA207,BA233))</f>
        <v>2.1998863899999876</v>
      </c>
      <c r="BB73" s="668">
        <f ca="1">IF('הנחות עבודה'!$C$4=$B$168,BB181,IF('הנחות עבודה'!$C$4=$B$194,BB207,BB233))</f>
        <v>0.551879999999913</v>
      </c>
      <c r="BC73" s="668">
        <f ca="1">IF('הנחות עבודה'!$C$4=$B$168,BC181,IF('הנחות עבודה'!$C$4=$B$194,BC207,BC233))</f>
        <v>0.7377660400000029</v>
      </c>
      <c r="BD73" s="668">
        <f>IF('הנחות עבודה'!$C$4=$B$168,BD181,IF('הנחות עבודה'!$C$4=$B$194,BD207,BD233))</f>
        <v>0</v>
      </c>
      <c r="BE73" s="668">
        <f>IF('הנחות עבודה'!$C$4=$B$168,BE181,IF('הנחות עבודה'!$C$4=$B$194,BE207,BE233))</f>
        <v>15.605</v>
      </c>
      <c r="BF73" s="668">
        <f ca="1">IF('הנחות עבודה'!$C$4=$B$168,BF181,IF('הנחות עבודה'!$C$4=$B$194,BF207,BF233))</f>
        <v>52.187646399999998</v>
      </c>
      <c r="BG73" s="668">
        <f>IF('הנחות עבודה'!$C$4=$B$168,BG181,IF('הנחות עבודה'!$C$4=$B$194,BG207,BG233))</f>
        <v>0</v>
      </c>
      <c r="BH73" s="668">
        <f>IF('הנחות עבודה'!$C$4=$B$168,BH181,IF('הנחות עבודה'!$C$4=$B$194,BH207,BH233))</f>
        <v>0</v>
      </c>
      <c r="BI73" s="668">
        <f>IF('הנחות עבודה'!$C$4=$B$168,BI181,IF('הנחות עבודה'!$C$4=$B$194,BI207,BI233))</f>
        <v>0</v>
      </c>
      <c r="BJ73" s="668">
        <f>IF('הנחות עבודה'!$C$4=$B$168,BJ181,IF('הנחות עבודה'!$C$4=$B$194,BJ207,BJ233))</f>
        <v>0.36449999999999999</v>
      </c>
      <c r="BK73" s="672">
        <f>IF('הנחות עבודה'!$C$4=$B$168,BK181,IF('הנחות עבודה'!$C$4=$B$194,BK207,BK233))</f>
        <v>0</v>
      </c>
      <c r="BL73" s="671">
        <f>IF('הנחות עבודה'!$C$4=$B$168,BL181,IF('הנחות עבודה'!$C$4=$B$194,BL207,BL233))</f>
        <v>22.973441170000097</v>
      </c>
      <c r="BM73" s="671">
        <f ca="1">IF('הנחות עבודה'!$C$4=$B$168,BM181,IF('הנחות עבודה'!$C$4=$B$194,BM207,BM233))</f>
        <v>2.1998863899999876</v>
      </c>
      <c r="BN73" s="671">
        <f ca="1">IF('הנחות עבודה'!$C$4=$B$168,BN181,IF('הנחות עבודה'!$C$4=$B$194,BN207,BN233))</f>
        <v>0.551879999999913</v>
      </c>
      <c r="BO73" s="671">
        <f ca="1">IF('הנחות עבודה'!$C$4=$B$168,BO181,IF('הנחות עבודה'!$C$4=$B$194,BO207,BO233))</f>
        <v>0.7377660400000029</v>
      </c>
      <c r="BP73" s="671">
        <f>IF('הנחות עבודה'!$C$4=$B$168,BP181,IF('הנחות עבודה'!$C$4=$B$194,BP207,BP233))</f>
        <v>0</v>
      </c>
      <c r="BQ73" s="671">
        <f>IF('הנחות עבודה'!$C$4=$B$168,BQ181,IF('הנחות עבודה'!$C$4=$B$194,BQ207,BQ233))</f>
        <v>15.605</v>
      </c>
      <c r="BR73" s="671">
        <f ca="1">IF('הנחות עבודה'!$C$4=$B$168,BR181,IF('הנחות עבודה'!$C$4=$B$194,BR207,BR233))</f>
        <v>52.187646399999998</v>
      </c>
      <c r="BS73" s="671">
        <f>IF('הנחות עבודה'!$C$4=$B$168,BS181,IF('הנחות עבודה'!$C$4=$B$194,BS207,BS233))</f>
        <v>0</v>
      </c>
      <c r="BT73" s="671">
        <f>IF('הנחות עבודה'!$C$4=$B$168,BT181,IF('הנחות עבודה'!$C$4=$B$194,BT207,BT233))</f>
        <v>0</v>
      </c>
      <c r="BU73" s="671">
        <f>IF('הנחות עבודה'!$C$4=$B$168,BU181,IF('הנחות עבודה'!$C$4=$B$194,BU207,BU233))</f>
        <v>0</v>
      </c>
      <c r="BV73" s="673">
        <f>IF('הנחות עבודה'!$C$4=$B$168,BV181,IF('הנחות עבודה'!$C$4=$B$194,BV207,BV233))</f>
        <v>0.36449999999999999</v>
      </c>
      <c r="BX73" s="552"/>
      <c r="BY73" s="301"/>
      <c r="BZ73" s="301"/>
      <c r="CA73" s="301"/>
    </row>
    <row r="74" spans="2:79" ht="15.75">
      <c r="B74" s="10">
        <f t="shared" si="226"/>
        <v>2030</v>
      </c>
      <c r="C74" s="667">
        <f>IF('הנחות עבודה'!$C$4=$B$168,C182,IF('הנחות עבודה'!$C$4=$B$194,C208,C234))</f>
        <v>12.982706840000105</v>
      </c>
      <c r="D74" s="668">
        <f>IF('הנחות עבודה'!$C$4=$B$168,D182,IF('הנחות עבודה'!$C$4=$B$194,D208,D234))</f>
        <v>0</v>
      </c>
      <c r="E74" s="668">
        <f ca="1">IF('הנחות עבודה'!$C$4=$B$168,E182,IF('הנחות עבודה'!$C$4=$B$194,E208,E234))</f>
        <v>2.1998863899999876</v>
      </c>
      <c r="F74" s="668">
        <f ca="1">IF('הנחות עבודה'!$C$4=$B$168,F182,IF('הנחות עבודה'!$C$4=$B$194,F208,F234))</f>
        <v>0.61319999999990338</v>
      </c>
      <c r="G74" s="668">
        <f ca="1">IF('הנחות עבודה'!$C$4=$B$168,G182,IF('הנחות עבודה'!$C$4=$B$194,G208,G234))</f>
        <v>0.7377660400000029</v>
      </c>
      <c r="H74" s="668">
        <f>IF('הנחות עבודה'!$C$4=$B$168,H182,IF('הנחות עבודה'!$C$4=$B$194,H208,H234))</f>
        <v>0</v>
      </c>
      <c r="I74" s="668">
        <f>IF('הנחות עבודה'!$C$4=$B$168,I182,IF('הנחות עבודה'!$C$4=$B$194,I208,I234))</f>
        <v>14.550709999999999</v>
      </c>
      <c r="J74" s="668">
        <f ca="1">IF('הנחות עבודה'!$C$4=$B$168,J182,IF('הנחות עבודה'!$C$4=$B$194,J208,J234))</f>
        <v>65.818201729999998</v>
      </c>
      <c r="K74" s="668">
        <f>IF('הנחות עבודה'!$C$4=$B$168,K182,IF('הנחות עבודה'!$C$4=$B$194,K208,K234))</f>
        <v>0</v>
      </c>
      <c r="L74" s="668">
        <f>IF('הנחות עבודה'!$C$4=$B$168,L182,IF('הנחות עבודה'!$C$4=$B$194,L208,L234))</f>
        <v>0</v>
      </c>
      <c r="M74" s="44">
        <f>IF('הנחות עבודה'!$C$4=$B$168,M182,IF('הנחות עבודה'!$C$4=$B$194,M208,M234))</f>
        <v>0</v>
      </c>
      <c r="N74" s="669">
        <f>IF('הנחות עבודה'!$C$4=$B$168,N182,IF('הנחות עבודה'!$C$4=$B$194,N208,N234))</f>
        <v>0.35375999999999996</v>
      </c>
      <c r="O74" s="670">
        <f>IF('הנחות עבודה'!$C$4=$B$168,O182,IF('הנחות עבודה'!$C$4=$B$194,O208,O234))</f>
        <v>0</v>
      </c>
      <c r="P74" s="671">
        <f>IF('הנחות עבודה'!$C$4=$B$168,P182,IF('הנחות עבודה'!$C$4=$B$194,P208,P234))</f>
        <v>12.982706840000105</v>
      </c>
      <c r="Q74" s="671">
        <f ca="1">IF('הנחות עבודה'!$C$4=$B$168,Q182,IF('הנחות עבודה'!$C$4=$B$194,Q208,Q234))</f>
        <v>2.1998863899999876</v>
      </c>
      <c r="R74" s="671">
        <f ca="1">IF('הנחות עבודה'!$C$4=$B$168,R182,IF('הנחות עבודה'!$C$4=$B$194,R208,R234))</f>
        <v>0.61319999999990338</v>
      </c>
      <c r="S74" s="671">
        <f ca="1">IF('הנחות עבודה'!$C$4=$B$168,S182,IF('הנחות עבודה'!$C$4=$B$194,S208,S234))</f>
        <v>0.7377660400000029</v>
      </c>
      <c r="T74" s="671">
        <f>IF('הנחות עבודה'!$C$4=$B$168,T182,IF('הנחות עבודה'!$C$4=$B$194,T208,T234))</f>
        <v>0</v>
      </c>
      <c r="U74" s="671">
        <f>IF('הנחות עבודה'!$C$4=$B$168,U182,IF('הנחות עבודה'!$C$4=$B$194,U208,U234))</f>
        <v>14.550709999999999</v>
      </c>
      <c r="V74" s="671">
        <f ca="1">IF('הנחות עבודה'!$C$4=$B$168,V182,IF('הנחות עבודה'!$C$4=$B$194,V208,V234))</f>
        <v>65.818201729999998</v>
      </c>
      <c r="W74" s="671">
        <f>IF('הנחות עבודה'!$C$4=$B$168,W182,IF('הנחות עבודה'!$C$4=$B$194,W208,W234))</f>
        <v>0</v>
      </c>
      <c r="X74" s="671">
        <f>IF('הנחות עבודה'!$C$4=$B$168,X182,IF('הנחות עבודה'!$C$4=$B$194,X208,X234))</f>
        <v>0</v>
      </c>
      <c r="Y74" s="671">
        <f>IF('הנחות עבודה'!$C$4=$B$168,Y182,IF('הנחות עבודה'!$C$4=$B$194,Y208,Y234))</f>
        <v>0</v>
      </c>
      <c r="Z74" s="671">
        <f>IF('הנחות עבודה'!$C$4=$B$168,Z182,IF('הנחות עבודה'!$C$4=$B$194,Z208,Z234))</f>
        <v>0.35375999999999996</v>
      </c>
      <c r="AA74" s="667">
        <f>IF('הנחות עבודה'!$C$4=$B$168,AA182,IF('הנחות עבודה'!$C$4=$B$194,AA208,AA234))</f>
        <v>20.763205320000111</v>
      </c>
      <c r="AB74" s="668">
        <f>IF('הנחות עבודה'!$C$4=$B$168,AB182,IF('הנחות עבודה'!$C$4=$B$194,AB208,AB234))</f>
        <v>0</v>
      </c>
      <c r="AC74" s="668">
        <f ca="1">IF('הנחות עבודה'!$C$4=$B$168,AC182,IF('הנחות עבודה'!$C$4=$B$194,AC208,AC234))</f>
        <v>2.1998863899999876</v>
      </c>
      <c r="AD74" s="668">
        <f ca="1">IF('הנחות עבודה'!$C$4=$B$168,AD182,IF('הנחות עבודה'!$C$4=$B$194,AD208,AD234))</f>
        <v>0.61319999999990338</v>
      </c>
      <c r="AE74" s="668">
        <f ca="1">IF('הנחות עבודה'!$C$4=$B$168,AE182,IF('הנחות עבודה'!$C$4=$B$194,AE208,AE234))</f>
        <v>0.7377660400000029</v>
      </c>
      <c r="AF74" s="668">
        <f>IF('הנחות עבודה'!$C$4=$B$168,AF182,IF('הנחות עבודה'!$C$4=$B$194,AF208,AF234))</f>
        <v>0</v>
      </c>
      <c r="AG74" s="668">
        <f>IF('הנחות עבודה'!$C$4=$B$168,AG182,IF('הנחות עבודה'!$C$4=$B$194,AG208,AG234))</f>
        <v>15.414509999999998</v>
      </c>
      <c r="AH74" s="668">
        <f ca="1">IF('הנחות עבודה'!$C$4=$B$168,AH182,IF('הנחות עבודה'!$C$4=$B$194,AH208,AH234))</f>
        <v>57.169833249999996</v>
      </c>
      <c r="AI74" s="668">
        <f>IF('הנחות עבודה'!$C$4=$B$168,AI182,IF('הנחות עבודה'!$C$4=$B$194,AI208,AI234))</f>
        <v>0</v>
      </c>
      <c r="AJ74" s="668">
        <f>IF('הנחות עבודה'!$C$4=$B$168,AJ182,IF('הנחות עבודה'!$C$4=$B$194,AJ208,AJ234))</f>
        <v>0</v>
      </c>
      <c r="AK74" s="44">
        <f>IF('הנחות עבודה'!$C$4=$B$168,AK182,IF('הנחות עבודה'!$C$4=$B$194,AK208,AK234))</f>
        <v>0</v>
      </c>
      <c r="AL74" s="669">
        <f>IF('הנחות עבודה'!$C$4=$B$168,AL182,IF('הנחות עבודה'!$C$4=$B$194,AL208,AL234))</f>
        <v>0.35783000000000004</v>
      </c>
      <c r="AM74" s="670">
        <f>IF('הנחות עבודה'!$C$4=$B$168,AM182,IF('הנחות עבודה'!$C$4=$B$194,AM208,AM234))</f>
        <v>0</v>
      </c>
      <c r="AN74" s="671">
        <f>IF('הנחות עבודה'!$C$4=$B$168,AN182,IF('הנחות עבודה'!$C$4=$B$194,AN208,AN234))</f>
        <v>20.763205320000111</v>
      </c>
      <c r="AO74" s="671">
        <f ca="1">IF('הנחות עבודה'!$C$4=$B$168,AO182,IF('הנחות עבודה'!$C$4=$B$194,AO208,AO234))</f>
        <v>2.1998863899999876</v>
      </c>
      <c r="AP74" s="671">
        <f ca="1">IF('הנחות עבודה'!$C$4=$B$168,AP182,IF('הנחות עבודה'!$C$4=$B$194,AP208,AP234))</f>
        <v>0.61319999999990338</v>
      </c>
      <c r="AQ74" s="671">
        <f ca="1">IF('הנחות עבודה'!$C$4=$B$168,AQ182,IF('הנחות עבודה'!$C$4=$B$194,AQ208,AQ234))</f>
        <v>0.7377660400000029</v>
      </c>
      <c r="AR74" s="671">
        <f>IF('הנחות עבודה'!$C$4=$B$168,AR182,IF('הנחות עבודה'!$C$4=$B$194,AR208,AR234))</f>
        <v>0</v>
      </c>
      <c r="AS74" s="671">
        <f>IF('הנחות עבודה'!$C$4=$B$168,AS182,IF('הנחות עבודה'!$C$4=$B$194,AS208,AS234))</f>
        <v>15.414509999999998</v>
      </c>
      <c r="AT74" s="671">
        <f ca="1">IF('הנחות עבודה'!$C$4=$B$168,AT182,IF('הנחות עבודה'!$C$4=$B$194,AT208,AT234))</f>
        <v>57.169833249999996</v>
      </c>
      <c r="AU74" s="671">
        <f>IF('הנחות עבודה'!$C$4=$B$168,AU182,IF('הנחות עבודה'!$C$4=$B$194,AU208,AU234))</f>
        <v>0</v>
      </c>
      <c r="AV74" s="671">
        <f>IF('הנחות עבודה'!$C$4=$B$168,AV182,IF('הנחות עבודה'!$C$4=$B$194,AV208,AV234))</f>
        <v>0</v>
      </c>
      <c r="AW74" s="671">
        <f>IF('הנחות עבודה'!$C$4=$B$168,AW182,IF('הנחות עבודה'!$C$4=$B$194,AW208,AW234))</f>
        <v>0</v>
      </c>
      <c r="AX74" s="671">
        <f>IF('הנחות עבודה'!$C$4=$B$168,AX182,IF('הנחות עבודה'!$C$4=$B$194,AX208,AX234))</f>
        <v>0.35783000000000004</v>
      </c>
      <c r="AY74" s="667">
        <f>IF('הנחות עבודה'!$C$4=$B$168,AY182,IF('הנחות עבודה'!$C$4=$B$194,AY208,AY234))</f>
        <v>25.626016870000111</v>
      </c>
      <c r="AZ74" s="668">
        <f>IF('הנחות עבודה'!$C$4=$B$168,AZ182,IF('הנחות עבודה'!$C$4=$B$194,AZ208,AZ234))</f>
        <v>0</v>
      </c>
      <c r="BA74" s="668">
        <f ca="1">IF('הנחות עבודה'!$C$4=$B$168,BA182,IF('הנחות עבודה'!$C$4=$B$194,BA208,BA234))</f>
        <v>2.1998863899999876</v>
      </c>
      <c r="BB74" s="668">
        <f ca="1">IF('הנחות עבודה'!$C$4=$B$168,BB182,IF('הנחות עבודה'!$C$4=$B$194,BB208,BB234))</f>
        <v>0.58253999999990813</v>
      </c>
      <c r="BC74" s="668">
        <f ca="1">IF('הנחות עבודה'!$C$4=$B$168,BC182,IF('הנחות עבודה'!$C$4=$B$194,BC208,BC234))</f>
        <v>0.7377660400000029</v>
      </c>
      <c r="BD74" s="668">
        <f>IF('הנחות עבודה'!$C$4=$B$168,BD182,IF('הנחות עבודה'!$C$4=$B$194,BD208,BD234))</f>
        <v>0</v>
      </c>
      <c r="BE74" s="668">
        <f>IF('הנחות עבודה'!$C$4=$B$168,BE182,IF('הנחות עבודה'!$C$4=$B$194,BE208,BE234))</f>
        <v>15.702</v>
      </c>
      <c r="BF74" s="668">
        <f ca="1">IF('הנחות עבודה'!$C$4=$B$168,BF182,IF('הנחות עבודה'!$C$4=$B$194,BF208,BF234))</f>
        <v>52.051221699999985</v>
      </c>
      <c r="BG74" s="668">
        <f>IF('הנחות עבודה'!$C$4=$B$168,BG182,IF('הנחות עבודה'!$C$4=$B$194,BG208,BG234))</f>
        <v>0</v>
      </c>
      <c r="BH74" s="668">
        <f>IF('הנחות עבודה'!$C$4=$B$168,BH182,IF('הנחות עבודה'!$C$4=$B$194,BH208,BH234))</f>
        <v>0</v>
      </c>
      <c r="BI74" s="668">
        <f>IF('הנחות עבודה'!$C$4=$B$168,BI182,IF('הנחות עבודה'!$C$4=$B$194,BI208,BI234))</f>
        <v>0</v>
      </c>
      <c r="BJ74" s="668">
        <f>IF('הנחות עבודה'!$C$4=$B$168,BJ182,IF('הנחות עבודה'!$C$4=$B$194,BJ208,BJ234))</f>
        <v>0.35680000000000001</v>
      </c>
      <c r="BK74" s="672">
        <f>IF('הנחות עבודה'!$C$4=$B$168,BK182,IF('הנחות עבודה'!$C$4=$B$194,BK208,BK234))</f>
        <v>0</v>
      </c>
      <c r="BL74" s="671">
        <f>IF('הנחות עבודה'!$C$4=$B$168,BL182,IF('הנחות עבודה'!$C$4=$B$194,BL208,BL234))</f>
        <v>25.626016870000111</v>
      </c>
      <c r="BM74" s="671">
        <f ca="1">IF('הנחות עבודה'!$C$4=$B$168,BM182,IF('הנחות עבודה'!$C$4=$B$194,BM208,BM234))</f>
        <v>2.1998863899999876</v>
      </c>
      <c r="BN74" s="671">
        <f ca="1">IF('הנחות עבודה'!$C$4=$B$168,BN182,IF('הנחות עבודה'!$C$4=$B$194,BN208,BN234))</f>
        <v>0.58253999999990813</v>
      </c>
      <c r="BO74" s="671">
        <f ca="1">IF('הנחות עבודה'!$C$4=$B$168,BO182,IF('הנחות עבודה'!$C$4=$B$194,BO208,BO234))</f>
        <v>0.7377660400000029</v>
      </c>
      <c r="BP74" s="671">
        <f>IF('הנחות עבודה'!$C$4=$B$168,BP182,IF('הנחות עבודה'!$C$4=$B$194,BP208,BP234))</f>
        <v>0</v>
      </c>
      <c r="BQ74" s="671">
        <f>IF('הנחות עבודה'!$C$4=$B$168,BQ182,IF('הנחות עבודה'!$C$4=$B$194,BQ208,BQ234))</f>
        <v>15.702</v>
      </c>
      <c r="BR74" s="671">
        <f ca="1">IF('הנחות עבודה'!$C$4=$B$168,BR182,IF('הנחות עבודה'!$C$4=$B$194,BR208,BR234))</f>
        <v>52.051221699999985</v>
      </c>
      <c r="BS74" s="671">
        <f>IF('הנחות עבודה'!$C$4=$B$168,BS182,IF('הנחות עבודה'!$C$4=$B$194,BS208,BS234))</f>
        <v>0</v>
      </c>
      <c r="BT74" s="671">
        <f>IF('הנחות עבודה'!$C$4=$B$168,BT182,IF('הנחות עבודה'!$C$4=$B$194,BT208,BT234))</f>
        <v>0</v>
      </c>
      <c r="BU74" s="671">
        <f>IF('הנחות עבודה'!$C$4=$B$168,BU182,IF('הנחות עבודה'!$C$4=$B$194,BU208,BU234))</f>
        <v>0</v>
      </c>
      <c r="BV74" s="673">
        <f>IF('הנחות עבודה'!$C$4=$B$168,BV182,IF('הנחות עבודה'!$C$4=$B$194,BV208,BV234))</f>
        <v>0.35680000000000001</v>
      </c>
      <c r="BX74" s="853"/>
      <c r="BY74" s="301"/>
      <c r="BZ74" s="301"/>
      <c r="CA74" s="301"/>
    </row>
    <row r="75" spans="2:79" ht="15.75">
      <c r="B75" s="10">
        <f t="shared" si="226"/>
        <v>2031</v>
      </c>
      <c r="C75" s="667">
        <f>IF('הנחות עבודה'!$C$4=$B$168,C183,IF('הנחות עבודה'!$C$4=$B$194,C209,C235))</f>
        <v>12.904810598960104</v>
      </c>
      <c r="D75" s="668">
        <f>IF('הנחות עבודה'!$C$4=$B$168,D183,IF('הנחות עבודה'!$C$4=$B$194,D209,D235))</f>
        <v>0</v>
      </c>
      <c r="E75" s="668">
        <f ca="1">IF('הנחות עבודה'!$C$4=$B$168,E183,IF('הנחות עבודה'!$C$4=$B$194,E209,E235))</f>
        <v>2.1998863899999876</v>
      </c>
      <c r="F75" s="668">
        <f ca="1">IF('הנחות עבודה'!$C$4=$B$168,F183,IF('הנחות עבודה'!$C$4=$B$194,F209,F235))</f>
        <v>0.61319999999990338</v>
      </c>
      <c r="G75" s="668">
        <f ca="1">IF('הנחות עבודה'!$C$4=$B$168,G183,IF('הנחות עבודה'!$C$4=$B$194,G209,G235))</f>
        <v>0.7377660400000029</v>
      </c>
      <c r="H75" s="668">
        <f>IF('הנחות עבודה'!$C$4=$B$168,H183,IF('הנחות עבודה'!$C$4=$B$194,H209,H235))</f>
        <v>0</v>
      </c>
      <c r="I75" s="668">
        <f>IF('הנחות עבודה'!$C$4=$B$168,I183,IF('הנחות עבודה'!$C$4=$B$194,I209,I235))</f>
        <v>14.496930000000001</v>
      </c>
      <c r="J75" s="668">
        <f ca="1">IF('הנחות עבודה'!$C$4=$B$168,J183,IF('הנחות עבודה'!$C$4=$B$194,J209,J235))</f>
        <v>68.872114901040007</v>
      </c>
      <c r="K75" s="668">
        <f>IF('הנחות עבודה'!$C$4=$B$168,K183,IF('הנחות עבודה'!$C$4=$B$194,K209,K235))</f>
        <v>0</v>
      </c>
      <c r="L75" s="668">
        <f>IF('הנחות עבודה'!$C$4=$B$168,L183,IF('הנחות עבודה'!$C$4=$B$194,L209,L235))</f>
        <v>0</v>
      </c>
      <c r="M75" s="44">
        <f>IF('הנחות עבודה'!$C$4=$B$168,M183,IF('הנחות עבודה'!$C$4=$B$194,M209,M235))</f>
        <v>0</v>
      </c>
      <c r="N75" s="669">
        <f>IF('הנחות עבודה'!$C$4=$B$168,N183,IF('הנחות עבודה'!$C$4=$B$194,N209,N235))</f>
        <v>0.34921000000000002</v>
      </c>
      <c r="O75" s="670">
        <f>IF('הנחות עבודה'!$C$4=$B$168,O183,IF('הנחות עבודה'!$C$4=$B$194,O209,O235))</f>
        <v>0</v>
      </c>
      <c r="P75" s="671">
        <f>IF('הנחות עבודה'!$C$4=$B$168,P183,IF('הנחות עבודה'!$C$4=$B$194,P209,P235))</f>
        <v>12.904810598960104</v>
      </c>
      <c r="Q75" s="671">
        <f ca="1">IF('הנחות עבודה'!$C$4=$B$168,Q183,IF('הנחות עבודה'!$C$4=$B$194,Q209,Q235))</f>
        <v>2.1998863899999876</v>
      </c>
      <c r="R75" s="671">
        <f ca="1">IF('הנחות עבודה'!$C$4=$B$168,R183,IF('הנחות עבודה'!$C$4=$B$194,R209,R235))</f>
        <v>0.61319999999990338</v>
      </c>
      <c r="S75" s="671">
        <f ca="1">IF('הנחות עבודה'!$C$4=$B$168,S183,IF('הנחות עבודה'!$C$4=$B$194,S209,S235))</f>
        <v>0.7377660400000029</v>
      </c>
      <c r="T75" s="671">
        <f>IF('הנחות עבודה'!$C$4=$B$168,T183,IF('הנחות עבודה'!$C$4=$B$194,T209,T235))</f>
        <v>0</v>
      </c>
      <c r="U75" s="671">
        <f>IF('הנחות עבודה'!$C$4=$B$168,U183,IF('הנחות עבודה'!$C$4=$B$194,U209,U235))</f>
        <v>14.496930000000001</v>
      </c>
      <c r="V75" s="671">
        <f ca="1">IF('הנחות עבודה'!$C$4=$B$168,V183,IF('הנחות עבודה'!$C$4=$B$194,V209,V235))</f>
        <v>68.872114901040007</v>
      </c>
      <c r="W75" s="671">
        <f>IF('הנחות עבודה'!$C$4=$B$168,W183,IF('הנחות עבודה'!$C$4=$B$194,W209,W235))</f>
        <v>0</v>
      </c>
      <c r="X75" s="671">
        <f>IF('הנחות עבודה'!$C$4=$B$168,X183,IF('הנחות עבודה'!$C$4=$B$194,X209,X235))</f>
        <v>0</v>
      </c>
      <c r="Y75" s="671">
        <f>IF('הנחות עבודה'!$C$4=$B$168,Y183,IF('הנחות עבודה'!$C$4=$B$194,Y209,Y235))</f>
        <v>0</v>
      </c>
      <c r="Z75" s="671">
        <f>IF('הנחות עבודה'!$C$4=$B$168,Z183,IF('הנחות עבודה'!$C$4=$B$194,Z209,Z235))</f>
        <v>0.34921000000000002</v>
      </c>
      <c r="AA75" s="667">
        <f>IF('הנחות עבודה'!$C$4=$B$168,AA183,IF('הנחות עבודה'!$C$4=$B$194,AA209,AA235))</f>
        <v>20.638626088080109</v>
      </c>
      <c r="AB75" s="668">
        <f>IF('הנחות עבודה'!$C$4=$B$168,AB183,IF('הנחות עבודה'!$C$4=$B$194,AB209,AB235))</f>
        <v>0</v>
      </c>
      <c r="AC75" s="668">
        <f ca="1">IF('הנחות עבודה'!$C$4=$B$168,AC183,IF('הנחות עבודה'!$C$4=$B$194,AC209,AC235))</f>
        <v>2.1998863899999876</v>
      </c>
      <c r="AD75" s="668">
        <f ca="1">IF('הנחות עבודה'!$C$4=$B$168,AD183,IF('הנחות עבודה'!$C$4=$B$194,AD209,AD235))</f>
        <v>0.61319999999990338</v>
      </c>
      <c r="AE75" s="668">
        <f ca="1">IF('הנחות עבודה'!$C$4=$B$168,AE183,IF('הנחות עבודה'!$C$4=$B$194,AE209,AE235))</f>
        <v>0.7377660400000029</v>
      </c>
      <c r="AF75" s="668">
        <f>IF('הנחות עבודה'!$C$4=$B$168,AF183,IF('הנחות עבודה'!$C$4=$B$194,AF209,AF235))</f>
        <v>0</v>
      </c>
      <c r="AG75" s="668">
        <f>IF('הנחות עבודה'!$C$4=$B$168,AG183,IF('הנחות עבודה'!$C$4=$B$194,AG209,AG235))</f>
        <v>15.3995</v>
      </c>
      <c r="AH75" s="668">
        <f ca="1">IF('הנחות עבודה'!$C$4=$B$168,AH183,IF('הנחות עבודה'!$C$4=$B$194,AH209,AH235))</f>
        <v>60.235999411919998</v>
      </c>
      <c r="AI75" s="668">
        <f>IF('הנחות עבודה'!$C$4=$B$168,AI183,IF('הנחות עבודה'!$C$4=$B$194,AI209,AI235))</f>
        <v>0</v>
      </c>
      <c r="AJ75" s="668">
        <f>IF('הנחות עבודה'!$C$4=$B$168,AJ183,IF('הנחות עבודה'!$C$4=$B$194,AJ209,AJ235))</f>
        <v>0</v>
      </c>
      <c r="AK75" s="44">
        <f>IF('הנחות עבודה'!$C$4=$B$168,AK183,IF('הנחות עבודה'!$C$4=$B$194,AK209,AK235))</f>
        <v>0</v>
      </c>
      <c r="AL75" s="669">
        <f>IF('הנחות עבודה'!$C$4=$B$168,AL183,IF('הנחות עבודה'!$C$4=$B$194,AL209,AL235))</f>
        <v>0.34894000000000003</v>
      </c>
      <c r="AM75" s="670">
        <f>IF('הנחות עבודה'!$C$4=$B$168,AM183,IF('הנחות עבודה'!$C$4=$B$194,AM209,AM235))</f>
        <v>0</v>
      </c>
      <c r="AN75" s="671">
        <f>IF('הנחות עבודה'!$C$4=$B$168,AN183,IF('הנחות עבודה'!$C$4=$B$194,AN209,AN235))</f>
        <v>20.638626088080109</v>
      </c>
      <c r="AO75" s="671">
        <f ca="1">IF('הנחות עבודה'!$C$4=$B$168,AO183,IF('הנחות עבודה'!$C$4=$B$194,AO209,AO235))</f>
        <v>2.1998863899999876</v>
      </c>
      <c r="AP75" s="671">
        <f ca="1">IF('הנחות עבודה'!$C$4=$B$168,AP183,IF('הנחות עבודה'!$C$4=$B$194,AP209,AP235))</f>
        <v>0.61319999999990338</v>
      </c>
      <c r="AQ75" s="671">
        <f ca="1">IF('הנחות עבודה'!$C$4=$B$168,AQ183,IF('הנחות עבודה'!$C$4=$B$194,AQ209,AQ235))</f>
        <v>0.7377660400000029</v>
      </c>
      <c r="AR75" s="671">
        <f>IF('הנחות עבודה'!$C$4=$B$168,AR183,IF('הנחות עבודה'!$C$4=$B$194,AR209,AR235))</f>
        <v>0</v>
      </c>
      <c r="AS75" s="671">
        <f>IF('הנחות עבודה'!$C$4=$B$168,AS183,IF('הנחות עבודה'!$C$4=$B$194,AS209,AS235))</f>
        <v>15.3995</v>
      </c>
      <c r="AT75" s="671">
        <f ca="1">IF('הנחות עבודה'!$C$4=$B$168,AT183,IF('הנחות עבודה'!$C$4=$B$194,AT209,AT235))</f>
        <v>60.235999411919998</v>
      </c>
      <c r="AU75" s="671">
        <f>IF('הנחות עבודה'!$C$4=$B$168,AU183,IF('הנחות עבודה'!$C$4=$B$194,AU209,AU235))</f>
        <v>0</v>
      </c>
      <c r="AV75" s="671">
        <f>IF('הנחות עבודה'!$C$4=$B$168,AV183,IF('הנחות עבודה'!$C$4=$B$194,AV209,AV235))</f>
        <v>0</v>
      </c>
      <c r="AW75" s="671">
        <f>IF('הנחות עבודה'!$C$4=$B$168,AW183,IF('הנחות עבודה'!$C$4=$B$194,AW209,AW235))</f>
        <v>0</v>
      </c>
      <c r="AX75" s="671">
        <f>IF('הנחות עבודה'!$C$4=$B$168,AX183,IF('הנחות עבודה'!$C$4=$B$194,AX209,AX235))</f>
        <v>0.34894000000000003</v>
      </c>
      <c r="AY75" s="667">
        <f>IF('הנחות עבודה'!$C$4=$B$168,AY183,IF('הנחות עבודה'!$C$4=$B$194,AY209,AY235))</f>
        <v>25.47226076878011</v>
      </c>
      <c r="AZ75" s="668">
        <f>IF('הנחות עבודה'!$C$4=$B$168,AZ183,IF('הנחות עבודה'!$C$4=$B$194,AZ209,AZ235))</f>
        <v>0</v>
      </c>
      <c r="BA75" s="668">
        <f ca="1">IF('הנחות עבודה'!$C$4=$B$168,BA183,IF('הנחות עבודה'!$C$4=$B$194,BA209,BA235))</f>
        <v>2.1998863899999876</v>
      </c>
      <c r="BB75" s="668">
        <f ca="1">IF('הנחות עבודה'!$C$4=$B$168,BB183,IF('הנחות עבודה'!$C$4=$B$194,BB209,BB235))</f>
        <v>0.61319999999990338</v>
      </c>
      <c r="BC75" s="668">
        <f ca="1">IF('הנחות עבודה'!$C$4=$B$168,BC183,IF('הנחות עבודה'!$C$4=$B$194,BC209,BC235))</f>
        <v>0.7377660400000029</v>
      </c>
      <c r="BD75" s="668">
        <f>IF('הנחות עבודה'!$C$4=$B$168,BD183,IF('הנחות עבודה'!$C$4=$B$194,BD209,BD235))</f>
        <v>0</v>
      </c>
      <c r="BE75" s="668">
        <f>IF('הנחות עבודה'!$C$4=$B$168,BE183,IF('הנחות עבודה'!$C$4=$B$194,BE209,BE235))</f>
        <v>15.718</v>
      </c>
      <c r="BF75" s="668">
        <f ca="1">IF('הנחות עבודה'!$C$4=$B$168,BF183,IF('הנחות עבודה'!$C$4=$B$194,BF209,BF235))</f>
        <v>55.086504731219996</v>
      </c>
      <c r="BG75" s="668">
        <f>IF('הנחות עבודה'!$C$4=$B$168,BG183,IF('הנחות עבודה'!$C$4=$B$194,BG209,BG235))</f>
        <v>0</v>
      </c>
      <c r="BH75" s="668">
        <f>IF('הנחות עבודה'!$C$4=$B$168,BH183,IF('הנחות עבודה'!$C$4=$B$194,BH209,BH235))</f>
        <v>0</v>
      </c>
      <c r="BI75" s="668">
        <f>IF('הנחות עבודה'!$C$4=$B$168,BI183,IF('הנחות עבודה'!$C$4=$B$194,BI209,BI235))</f>
        <v>0</v>
      </c>
      <c r="BJ75" s="668">
        <f>IF('הנחות עבודה'!$C$4=$B$168,BJ183,IF('הנחות עבודה'!$C$4=$B$194,BJ209,BJ235))</f>
        <v>0.3463</v>
      </c>
      <c r="BK75" s="672">
        <f>IF('הנחות עבודה'!$C$4=$B$168,BK183,IF('הנחות עבודה'!$C$4=$B$194,BK209,BK235))</f>
        <v>0</v>
      </c>
      <c r="BL75" s="671">
        <f>IF('הנחות עבודה'!$C$4=$B$168,BL183,IF('הנחות עבודה'!$C$4=$B$194,BL209,BL235))</f>
        <v>25.47226076878011</v>
      </c>
      <c r="BM75" s="671">
        <f ca="1">IF('הנחות עבודה'!$C$4=$B$168,BM183,IF('הנחות עבודה'!$C$4=$B$194,BM209,BM235))</f>
        <v>2.1998863899999876</v>
      </c>
      <c r="BN75" s="671">
        <f ca="1">IF('הנחות עבודה'!$C$4=$B$168,BN183,IF('הנחות עבודה'!$C$4=$B$194,BN209,BN235))</f>
        <v>0.61319999999990338</v>
      </c>
      <c r="BO75" s="671">
        <f ca="1">IF('הנחות עבודה'!$C$4=$B$168,BO183,IF('הנחות עבודה'!$C$4=$B$194,BO209,BO235))</f>
        <v>0.7377660400000029</v>
      </c>
      <c r="BP75" s="671">
        <f>IF('הנחות עבודה'!$C$4=$B$168,BP183,IF('הנחות עבודה'!$C$4=$B$194,BP209,BP235))</f>
        <v>0</v>
      </c>
      <c r="BQ75" s="671">
        <f>IF('הנחות עבודה'!$C$4=$B$168,BQ183,IF('הנחות עבודה'!$C$4=$B$194,BQ209,BQ235))</f>
        <v>15.718</v>
      </c>
      <c r="BR75" s="671">
        <f ca="1">IF('הנחות עבודה'!$C$4=$B$168,BR183,IF('הנחות עבודה'!$C$4=$B$194,BR209,BR235))</f>
        <v>55.086504731219996</v>
      </c>
      <c r="BS75" s="671">
        <f>IF('הנחות עבודה'!$C$4=$B$168,BS183,IF('הנחות עבודה'!$C$4=$B$194,BS209,BS235))</f>
        <v>0</v>
      </c>
      <c r="BT75" s="671">
        <f>IF('הנחות עבודה'!$C$4=$B$168,BT183,IF('הנחות עבודה'!$C$4=$B$194,BT209,BT235))</f>
        <v>0</v>
      </c>
      <c r="BU75" s="671">
        <f>IF('הנחות עבודה'!$C$4=$B$168,BU183,IF('הנחות עבודה'!$C$4=$B$194,BU209,BU235))</f>
        <v>0</v>
      </c>
      <c r="BV75" s="673">
        <f>IF('הנחות עבודה'!$C$4=$B$168,BV183,IF('הנחות עבודה'!$C$4=$B$194,BV209,BV235))</f>
        <v>0.3463</v>
      </c>
      <c r="BX75" s="552"/>
      <c r="BY75" s="301"/>
      <c r="BZ75" s="301"/>
      <c r="CA75" s="301"/>
    </row>
    <row r="76" spans="2:79" ht="15.75">
      <c r="B76" s="10">
        <f t="shared" si="226"/>
        <v>2032</v>
      </c>
      <c r="C76" s="667">
        <f>IF('הנחות עבודה'!$C$4=$B$168,C184,IF('הנחות עבודה'!$C$4=$B$194,C210,C236))</f>
        <v>12.82738173536635</v>
      </c>
      <c r="D76" s="668">
        <f>IF('הנחות עבודה'!$C$4=$B$168,D184,IF('הנחות עבודה'!$C$4=$B$194,D210,D236))</f>
        <v>0</v>
      </c>
      <c r="E76" s="668">
        <f ca="1">IF('הנחות עבודה'!$C$4=$B$168,E184,IF('הנחות עבודה'!$C$4=$B$194,E210,E236))</f>
        <v>2.1998863899999876</v>
      </c>
      <c r="F76" s="668">
        <f ca="1">IF('הנחות עבודה'!$C$4=$B$168,F184,IF('הנחות עבודה'!$C$4=$B$194,F210,F236))</f>
        <v>0.61319999999990338</v>
      </c>
      <c r="G76" s="668">
        <f ca="1">IF('הנחות עבודה'!$C$4=$B$168,G184,IF('הנחות עבודה'!$C$4=$B$194,G210,G236))</f>
        <v>0.7377660400000029</v>
      </c>
      <c r="H76" s="668">
        <f>IF('הנחות עבודה'!$C$4=$B$168,H184,IF('הנחות עבודה'!$C$4=$B$194,H210,H236))</f>
        <v>0</v>
      </c>
      <c r="I76" s="668">
        <f>IF('הנחות עבודה'!$C$4=$B$168,I184,IF('הנחות עבודה'!$C$4=$B$194,I210,I236))</f>
        <v>14.490209999999999</v>
      </c>
      <c r="J76" s="668">
        <f ca="1">IF('הנחות עבודה'!$C$4=$B$168,J184,IF('הנחות עבודה'!$C$4=$B$194,J210,J236))</f>
        <v>71.965581302533764</v>
      </c>
      <c r="K76" s="668">
        <f>IF('הנחות עבודה'!$C$4=$B$168,K184,IF('הנחות עבודה'!$C$4=$B$194,K210,K236))</f>
        <v>0</v>
      </c>
      <c r="L76" s="668">
        <f>IF('הנחות עבודה'!$C$4=$B$168,L184,IF('הנחות עבודה'!$C$4=$B$194,L210,L236))</f>
        <v>0</v>
      </c>
      <c r="M76" s="44">
        <f>IF('הנחות עבודה'!$C$4=$B$168,M184,IF('הנחות עבודה'!$C$4=$B$194,M210,M236))</f>
        <v>0</v>
      </c>
      <c r="N76" s="669">
        <f>IF('הנחות עבודה'!$C$4=$B$168,N184,IF('הנחות עבודה'!$C$4=$B$194,N210,N236))</f>
        <v>0.34510999999999997</v>
      </c>
      <c r="O76" s="670">
        <f>IF('הנחות עבודה'!$C$4=$B$168,O184,IF('הנחות עבודה'!$C$4=$B$194,O210,O236))</f>
        <v>0</v>
      </c>
      <c r="P76" s="671">
        <f>IF('הנחות עבודה'!$C$4=$B$168,P184,IF('הנחות עבודה'!$C$4=$B$194,P210,P236))</f>
        <v>12.82738173536635</v>
      </c>
      <c r="Q76" s="671">
        <f ca="1">IF('הנחות עבודה'!$C$4=$B$168,Q184,IF('הנחות עבודה'!$C$4=$B$194,Q210,Q236))</f>
        <v>2.1998863899999876</v>
      </c>
      <c r="R76" s="671">
        <f ca="1">IF('הנחות עבודה'!$C$4=$B$168,R184,IF('הנחות עבודה'!$C$4=$B$194,R210,R236))</f>
        <v>0.61319999999990338</v>
      </c>
      <c r="S76" s="671">
        <f ca="1">IF('הנחות עבודה'!$C$4=$B$168,S184,IF('הנחות עבודה'!$C$4=$B$194,S210,S236))</f>
        <v>0.7377660400000029</v>
      </c>
      <c r="T76" s="671">
        <f>IF('הנחות עבודה'!$C$4=$B$168,T184,IF('הנחות עבודה'!$C$4=$B$194,T210,T236))</f>
        <v>0</v>
      </c>
      <c r="U76" s="671">
        <f>IF('הנחות עבודה'!$C$4=$B$168,U184,IF('הנחות עבודה'!$C$4=$B$194,U210,U236))</f>
        <v>14.490209999999999</v>
      </c>
      <c r="V76" s="671">
        <f ca="1">IF('הנחות עבודה'!$C$4=$B$168,V184,IF('הנחות עבודה'!$C$4=$B$194,V210,V236))</f>
        <v>71.965581302533764</v>
      </c>
      <c r="W76" s="671">
        <f>IF('הנחות עבודה'!$C$4=$B$168,W184,IF('הנחות עבודה'!$C$4=$B$194,W210,W236))</f>
        <v>0</v>
      </c>
      <c r="X76" s="671">
        <f>IF('הנחות עבודה'!$C$4=$B$168,X184,IF('הנחות עבודה'!$C$4=$B$194,X210,X236))</f>
        <v>0</v>
      </c>
      <c r="Y76" s="671">
        <f>IF('הנחות עבודה'!$C$4=$B$168,Y184,IF('הנחות עבודה'!$C$4=$B$194,Y210,Y236))</f>
        <v>0</v>
      </c>
      <c r="Z76" s="671">
        <f>IF('הנחות עבודה'!$C$4=$B$168,Z184,IF('הנחות עבודה'!$C$4=$B$194,Z210,Z236))</f>
        <v>0.34510999999999997</v>
      </c>
      <c r="AA76" s="667">
        <f>IF('הנחות עבודה'!$C$4=$B$168,AA184,IF('הנחות עבודה'!$C$4=$B$194,AA210,AA236))</f>
        <v>20.514794331551624</v>
      </c>
      <c r="AB76" s="668">
        <f>IF('הנחות עבודה'!$C$4=$B$168,AB184,IF('הנחות עבודה'!$C$4=$B$194,AB210,AB236))</f>
        <v>0</v>
      </c>
      <c r="AC76" s="668">
        <f ca="1">IF('הנחות עבודה'!$C$4=$B$168,AC184,IF('הנחות עבודה'!$C$4=$B$194,AC210,AC236))</f>
        <v>2.1998863899999876</v>
      </c>
      <c r="AD76" s="668">
        <f ca="1">IF('הנחות עבודה'!$C$4=$B$168,AD184,IF('הנחות עבודה'!$C$4=$B$194,AD210,AD236))</f>
        <v>0.61319999999990338</v>
      </c>
      <c r="AE76" s="668">
        <f ca="1">IF('הנחות עבודה'!$C$4=$B$168,AE184,IF('הנחות עבודה'!$C$4=$B$194,AE210,AE236))</f>
        <v>0.7377660400000029</v>
      </c>
      <c r="AF76" s="668">
        <f>IF('הנחות עבודה'!$C$4=$B$168,AF184,IF('הנחות עבודה'!$C$4=$B$194,AF210,AF236))</f>
        <v>0</v>
      </c>
      <c r="AG76" s="668">
        <f>IF('הנחות עבודה'!$C$4=$B$168,AG184,IF('הנחות עבודה'!$C$4=$B$194,AG210,AG236))</f>
        <v>15.459100000000001</v>
      </c>
      <c r="AH76" s="668">
        <f ca="1">IF('הנחות עבודה'!$C$4=$B$168,AH184,IF('הנחות עבודה'!$C$4=$B$194,AH210,AH236))</f>
        <v>63.308568706348488</v>
      </c>
      <c r="AI76" s="668">
        <f>IF('הנחות עבודה'!$C$4=$B$168,AI184,IF('הנחות עבודה'!$C$4=$B$194,AI210,AI236))</f>
        <v>0</v>
      </c>
      <c r="AJ76" s="668">
        <f>IF('הנחות עבודה'!$C$4=$B$168,AJ184,IF('הנחות עבודה'!$C$4=$B$194,AJ210,AJ236))</f>
        <v>0</v>
      </c>
      <c r="AK76" s="44">
        <f>IF('הנחות עבודה'!$C$4=$B$168,AK184,IF('הנחות עבודה'!$C$4=$B$194,AK210,AK236))</f>
        <v>0</v>
      </c>
      <c r="AL76" s="669">
        <f>IF('הנחות עבודה'!$C$4=$B$168,AL184,IF('הנחות עבודה'!$C$4=$B$194,AL210,AL236))</f>
        <v>0.34581999999999996</v>
      </c>
      <c r="AM76" s="670">
        <f>IF('הנחות עבודה'!$C$4=$B$168,AM184,IF('הנחות עבודה'!$C$4=$B$194,AM210,AM236))</f>
        <v>0</v>
      </c>
      <c r="AN76" s="671">
        <f>IF('הנחות עבודה'!$C$4=$B$168,AN184,IF('הנחות עבודה'!$C$4=$B$194,AN210,AN236))</f>
        <v>20.514794331551624</v>
      </c>
      <c r="AO76" s="671">
        <f ca="1">IF('הנחות עבודה'!$C$4=$B$168,AO184,IF('הנחות עבודה'!$C$4=$B$194,AO210,AO236))</f>
        <v>2.1998863899999876</v>
      </c>
      <c r="AP76" s="671">
        <f ca="1">IF('הנחות עבודה'!$C$4=$B$168,AP184,IF('הנחות עבודה'!$C$4=$B$194,AP210,AP236))</f>
        <v>0.61319999999990338</v>
      </c>
      <c r="AQ76" s="671">
        <f ca="1">IF('הנחות עבודה'!$C$4=$B$168,AQ184,IF('הנחות עבודה'!$C$4=$B$194,AQ210,AQ236))</f>
        <v>0.7377660400000029</v>
      </c>
      <c r="AR76" s="671">
        <f>IF('הנחות עבודה'!$C$4=$B$168,AR184,IF('הנחות עבודה'!$C$4=$B$194,AR210,AR236))</f>
        <v>0</v>
      </c>
      <c r="AS76" s="671">
        <f>IF('הנחות עבודה'!$C$4=$B$168,AS184,IF('הנחות עבודה'!$C$4=$B$194,AS210,AS236))</f>
        <v>15.459100000000001</v>
      </c>
      <c r="AT76" s="671">
        <f ca="1">IF('הנחות עבודה'!$C$4=$B$168,AT184,IF('הנחות עבודה'!$C$4=$B$194,AT210,AT236))</f>
        <v>63.308568706348488</v>
      </c>
      <c r="AU76" s="671">
        <f>IF('הנחות עבודה'!$C$4=$B$168,AU184,IF('הנחות עבודה'!$C$4=$B$194,AU210,AU236))</f>
        <v>0</v>
      </c>
      <c r="AV76" s="671">
        <f>IF('הנחות עבודה'!$C$4=$B$168,AV184,IF('הנחות עבודה'!$C$4=$B$194,AV210,AV236))</f>
        <v>0</v>
      </c>
      <c r="AW76" s="671">
        <f>IF('הנחות עבודה'!$C$4=$B$168,AW184,IF('הנחות עבודה'!$C$4=$B$194,AW210,AW236))</f>
        <v>0</v>
      </c>
      <c r="AX76" s="671">
        <f>IF('הנחות עבודה'!$C$4=$B$168,AX184,IF('הנחות עבודה'!$C$4=$B$194,AX210,AX236))</f>
        <v>0.34581999999999996</v>
      </c>
      <c r="AY76" s="667">
        <f>IF('הנחות עבודה'!$C$4=$B$168,AY184,IF('הנחות עבודה'!$C$4=$B$194,AY210,AY236))</f>
        <v>25.319427204167425</v>
      </c>
      <c r="AZ76" s="668">
        <f>IF('הנחות עבודה'!$C$4=$B$168,AZ184,IF('הנחות עבודה'!$C$4=$B$194,AZ210,AZ236))</f>
        <v>0</v>
      </c>
      <c r="BA76" s="668">
        <f ca="1">IF('הנחות עבודה'!$C$4=$B$168,BA184,IF('הנחות עבודה'!$C$4=$B$194,BA210,BA236))</f>
        <v>2.1998863899999876</v>
      </c>
      <c r="BB76" s="668">
        <f ca="1">IF('הנחות עבודה'!$C$4=$B$168,BB184,IF('הנחות עבודה'!$C$4=$B$194,BB210,BB236))</f>
        <v>0.61319999999990338</v>
      </c>
      <c r="BC76" s="668">
        <f ca="1">IF('הנחות עבודה'!$C$4=$B$168,BC184,IF('הנחות עבודה'!$C$4=$B$194,BC210,BC236))</f>
        <v>0.7377660400000029</v>
      </c>
      <c r="BD76" s="668">
        <f>IF('הנחות עבודה'!$C$4=$B$168,BD184,IF('הנחות עבודה'!$C$4=$B$194,BD210,BD236))</f>
        <v>0</v>
      </c>
      <c r="BE76" s="668">
        <f>IF('הנחות עבודה'!$C$4=$B$168,BE184,IF('הנחות עבודה'!$C$4=$B$194,BE210,BE236))</f>
        <v>15.814</v>
      </c>
      <c r="BF76" s="668">
        <f ca="1">IF('הנחות עבודה'!$C$4=$B$168,BF184,IF('הנחות עבודה'!$C$4=$B$194,BF210,BF236))</f>
        <v>58.154855833732682</v>
      </c>
      <c r="BG76" s="668">
        <f>IF('הנחות עבודה'!$C$4=$B$168,BG184,IF('הנחות עבודה'!$C$4=$B$194,BG210,BG236))</f>
        <v>0</v>
      </c>
      <c r="BH76" s="668">
        <f>IF('הנחות עבודה'!$C$4=$B$168,BH184,IF('הנחות עבודה'!$C$4=$B$194,BH210,BH236))</f>
        <v>0</v>
      </c>
      <c r="BI76" s="668">
        <f>IF('הנחות עבודה'!$C$4=$B$168,BI184,IF('הנחות עבודה'!$C$4=$B$194,BI210,BI236))</f>
        <v>0</v>
      </c>
      <c r="BJ76" s="668">
        <f>IF('הנחות עבודה'!$C$4=$B$168,BJ184,IF('הנחות עבודה'!$C$4=$B$194,BJ210,BJ236))</f>
        <v>0.34</v>
      </c>
      <c r="BK76" s="672">
        <f>IF('הנחות עבודה'!$C$4=$B$168,BK184,IF('הנחות עבודה'!$C$4=$B$194,BK210,BK236))</f>
        <v>0</v>
      </c>
      <c r="BL76" s="671">
        <f>IF('הנחות עבודה'!$C$4=$B$168,BL184,IF('הנחות עבודה'!$C$4=$B$194,BL210,BL236))</f>
        <v>25.319427204167425</v>
      </c>
      <c r="BM76" s="671">
        <f ca="1">IF('הנחות עבודה'!$C$4=$B$168,BM184,IF('הנחות עבודה'!$C$4=$B$194,BM210,BM236))</f>
        <v>2.1998863899999876</v>
      </c>
      <c r="BN76" s="671">
        <f ca="1">IF('הנחות עבודה'!$C$4=$B$168,BN184,IF('הנחות עבודה'!$C$4=$B$194,BN210,BN236))</f>
        <v>0.61319999999990338</v>
      </c>
      <c r="BO76" s="671">
        <f ca="1">IF('הנחות עבודה'!$C$4=$B$168,BO184,IF('הנחות עבודה'!$C$4=$B$194,BO210,BO236))</f>
        <v>0.7377660400000029</v>
      </c>
      <c r="BP76" s="671">
        <f>IF('הנחות עבודה'!$C$4=$B$168,BP184,IF('הנחות עבודה'!$C$4=$B$194,BP210,BP236))</f>
        <v>0</v>
      </c>
      <c r="BQ76" s="671">
        <f>IF('הנחות עבודה'!$C$4=$B$168,BQ184,IF('הנחות עבודה'!$C$4=$B$194,BQ210,BQ236))</f>
        <v>15.814</v>
      </c>
      <c r="BR76" s="671">
        <f ca="1">IF('הנחות עבודה'!$C$4=$B$168,BR184,IF('הנחות עבודה'!$C$4=$B$194,BR210,BR236))</f>
        <v>58.154855833732682</v>
      </c>
      <c r="BS76" s="671">
        <f>IF('הנחות עבודה'!$C$4=$B$168,BS184,IF('הנחות עבודה'!$C$4=$B$194,BS210,BS236))</f>
        <v>0</v>
      </c>
      <c r="BT76" s="671">
        <f>IF('הנחות עבודה'!$C$4=$B$168,BT184,IF('הנחות עבודה'!$C$4=$B$194,BT210,BT236))</f>
        <v>0</v>
      </c>
      <c r="BU76" s="671">
        <f>IF('הנחות עבודה'!$C$4=$B$168,BU184,IF('הנחות עבודה'!$C$4=$B$194,BU210,BU236))</f>
        <v>0</v>
      </c>
      <c r="BV76" s="673">
        <f>IF('הנחות עבודה'!$C$4=$B$168,BV184,IF('הנחות עבודה'!$C$4=$B$194,BV210,BV236))</f>
        <v>0.34</v>
      </c>
      <c r="BX76" s="552"/>
      <c r="BY76" s="301"/>
      <c r="BZ76" s="301"/>
      <c r="CA76" s="301"/>
    </row>
    <row r="77" spans="2:79" ht="15.75">
      <c r="B77" s="10">
        <f t="shared" si="226"/>
        <v>2033</v>
      </c>
      <c r="C77" s="667">
        <f>IF('הנחות עבודה'!$C$4=$B$168,C185,IF('הנחות עבודה'!$C$4=$B$194,C211,C237))</f>
        <v>12.750417444954151</v>
      </c>
      <c r="D77" s="668">
        <f>IF('הנחות עבודה'!$C$4=$B$168,D185,IF('הנחות עבודה'!$C$4=$B$194,D211,D237))</f>
        <v>0</v>
      </c>
      <c r="E77" s="668">
        <f ca="1">IF('הנחות עבודה'!$C$4=$B$168,E185,IF('הנחות עבודה'!$C$4=$B$194,E211,E237))</f>
        <v>2.1998863899999876</v>
      </c>
      <c r="F77" s="668">
        <f ca="1">IF('הנחות עבודה'!$C$4=$B$168,F185,IF('הנחות עבודה'!$C$4=$B$194,F211,F237))</f>
        <v>0.61319999999990338</v>
      </c>
      <c r="G77" s="668">
        <f ca="1">IF('הנחות עבודה'!$C$4=$B$168,G185,IF('הנחות עבודה'!$C$4=$B$194,G211,G237))</f>
        <v>0.7377660400000029</v>
      </c>
      <c r="H77" s="668">
        <f>IF('הנחות עבודה'!$C$4=$B$168,H185,IF('הנחות עבודה'!$C$4=$B$194,H211,H237))</f>
        <v>0</v>
      </c>
      <c r="I77" s="668">
        <f>IF('הנחות עבודה'!$C$4=$B$168,I185,IF('הנחות עבודה'!$C$4=$B$194,I211,I237))</f>
        <v>14.790119999999998</v>
      </c>
      <c r="J77" s="668">
        <f ca="1">IF('הנחות עבודה'!$C$4=$B$168,J185,IF('הנחות עבודה'!$C$4=$B$194,J211,J237))</f>
        <v>74.831239656982973</v>
      </c>
      <c r="K77" s="668">
        <f>IF('הנחות עבודה'!$C$4=$B$168,K185,IF('הנחות עבודה'!$C$4=$B$194,K211,K237))</f>
        <v>0</v>
      </c>
      <c r="L77" s="668">
        <f>IF('הנחות עבודה'!$C$4=$B$168,L185,IF('הנחות עבודה'!$C$4=$B$194,L211,L237))</f>
        <v>0</v>
      </c>
      <c r="M77" s="44">
        <f>IF('הנחות עבודה'!$C$4=$B$168,M185,IF('הנחות עבודה'!$C$4=$B$194,M211,M237))</f>
        <v>0</v>
      </c>
      <c r="N77" s="669">
        <f>IF('הנחות עבודה'!$C$4=$B$168,N185,IF('הנחות עבודה'!$C$4=$B$194,N211,N237))</f>
        <v>0.35187999999999997</v>
      </c>
      <c r="O77" s="670">
        <f>IF('הנחות עבודה'!$C$4=$B$168,O185,IF('הנחות עבודה'!$C$4=$B$194,O211,O237))</f>
        <v>0</v>
      </c>
      <c r="P77" s="671">
        <f>IF('הנחות עבודה'!$C$4=$B$168,P185,IF('הנחות עבודה'!$C$4=$B$194,P211,P237))</f>
        <v>12.750417444954151</v>
      </c>
      <c r="Q77" s="671">
        <f ca="1">IF('הנחות עבודה'!$C$4=$B$168,Q185,IF('הנחות עבודה'!$C$4=$B$194,Q211,Q237))</f>
        <v>2.1998863899999876</v>
      </c>
      <c r="R77" s="671">
        <f ca="1">IF('הנחות עבודה'!$C$4=$B$168,R185,IF('הנחות עבודה'!$C$4=$B$194,R211,R237))</f>
        <v>0.61319999999990338</v>
      </c>
      <c r="S77" s="671">
        <f ca="1">IF('הנחות עבודה'!$C$4=$B$168,S185,IF('הנחות עבודה'!$C$4=$B$194,S211,S237))</f>
        <v>0.7377660400000029</v>
      </c>
      <c r="T77" s="671">
        <f>IF('הנחות עבודה'!$C$4=$B$168,T185,IF('הנחות עבודה'!$C$4=$B$194,T211,T237))</f>
        <v>0</v>
      </c>
      <c r="U77" s="671">
        <f>IF('הנחות עבודה'!$C$4=$B$168,U185,IF('הנחות עבודה'!$C$4=$B$194,U211,U237))</f>
        <v>14.790119999999998</v>
      </c>
      <c r="V77" s="671">
        <f ca="1">IF('הנחות עבודה'!$C$4=$B$168,V185,IF('הנחות עבודה'!$C$4=$B$194,V211,V237))</f>
        <v>74.831239656982973</v>
      </c>
      <c r="W77" s="671">
        <f>IF('הנחות עבודה'!$C$4=$B$168,W185,IF('הנחות עבודה'!$C$4=$B$194,W211,W237))</f>
        <v>0</v>
      </c>
      <c r="X77" s="671">
        <f>IF('הנחות עבודה'!$C$4=$B$168,X185,IF('הנחות עבודה'!$C$4=$B$194,X211,X237))</f>
        <v>0</v>
      </c>
      <c r="Y77" s="671">
        <f>IF('הנחות עבודה'!$C$4=$B$168,Y185,IF('הנחות עבודה'!$C$4=$B$194,Y211,Y237))</f>
        <v>0</v>
      </c>
      <c r="Z77" s="671">
        <f>IF('הנחות עבודה'!$C$4=$B$168,Z185,IF('הנחות עבודה'!$C$4=$B$194,Z211,Z237))</f>
        <v>0.35187999999999997</v>
      </c>
      <c r="AA77" s="667">
        <f>IF('הנחות עבודה'!$C$4=$B$168,AA185,IF('הנחות עבודה'!$C$4=$B$194,AA211,AA237))</f>
        <v>20.391705565562319</v>
      </c>
      <c r="AB77" s="668">
        <f>IF('הנחות עבודה'!$C$4=$B$168,AB185,IF('הנחות עבודה'!$C$4=$B$194,AB211,AB237))</f>
        <v>0</v>
      </c>
      <c r="AC77" s="668">
        <f ca="1">IF('הנחות עבודה'!$C$4=$B$168,AC185,IF('הנחות עבודה'!$C$4=$B$194,AC211,AC237))</f>
        <v>2.1998863899999876</v>
      </c>
      <c r="AD77" s="668">
        <f ca="1">IF('הנחות עבודה'!$C$4=$B$168,AD185,IF('הנחות עבודה'!$C$4=$B$194,AD211,AD237))</f>
        <v>0.61319999999990338</v>
      </c>
      <c r="AE77" s="668">
        <f ca="1">IF('הנחות עבודה'!$C$4=$B$168,AE185,IF('הנחות עבודה'!$C$4=$B$194,AE211,AE237))</f>
        <v>0.7377660400000029</v>
      </c>
      <c r="AF77" s="668">
        <f>IF('הנחות עבודה'!$C$4=$B$168,AF185,IF('הנחות עבודה'!$C$4=$B$194,AF211,AF237))</f>
        <v>0</v>
      </c>
      <c r="AG77" s="668">
        <f>IF('הנחות עבודה'!$C$4=$B$168,AG185,IF('הנחות עבודה'!$C$4=$B$194,AG211,AG237))</f>
        <v>15.75886</v>
      </c>
      <c r="AH77" s="668">
        <f ca="1">IF('הנחות עבודה'!$C$4=$B$168,AH185,IF('הנחות עבודה'!$C$4=$B$194,AH211,AH237))</f>
        <v>66.217181536374795</v>
      </c>
      <c r="AI77" s="668">
        <f>IF('הנחות עבודה'!$C$4=$B$168,AI185,IF('הנחות עבודה'!$C$4=$B$194,AI211,AI237))</f>
        <v>0</v>
      </c>
      <c r="AJ77" s="668">
        <f>IF('הנחות עבודה'!$C$4=$B$168,AJ185,IF('הנחות עבודה'!$C$4=$B$194,AJ211,AJ237))</f>
        <v>0</v>
      </c>
      <c r="AK77" s="44">
        <f>IF('הנחות עבודה'!$C$4=$B$168,AK185,IF('הנחות עבודה'!$C$4=$B$194,AK211,AK237))</f>
        <v>0</v>
      </c>
      <c r="AL77" s="669">
        <f>IF('הנחות עבודה'!$C$4=$B$168,AL185,IF('הנחות עבודה'!$C$4=$B$194,AL211,AL237))</f>
        <v>0.35591</v>
      </c>
      <c r="AM77" s="670">
        <f>IF('הנחות עבודה'!$C$4=$B$168,AM185,IF('הנחות עבודה'!$C$4=$B$194,AM211,AM237))</f>
        <v>0</v>
      </c>
      <c r="AN77" s="671">
        <f>IF('הנחות עבודה'!$C$4=$B$168,AN185,IF('הנחות עבודה'!$C$4=$B$194,AN211,AN237))</f>
        <v>20.391705565562319</v>
      </c>
      <c r="AO77" s="671">
        <f ca="1">IF('הנחות עבודה'!$C$4=$B$168,AO185,IF('הנחות עבודה'!$C$4=$B$194,AO211,AO237))</f>
        <v>2.1998863899999876</v>
      </c>
      <c r="AP77" s="671">
        <f ca="1">IF('הנחות עבודה'!$C$4=$B$168,AP185,IF('הנחות עבודה'!$C$4=$B$194,AP211,AP237))</f>
        <v>0.61319999999990338</v>
      </c>
      <c r="AQ77" s="671">
        <f ca="1">IF('הנחות עבודה'!$C$4=$B$168,AQ185,IF('הנחות עבודה'!$C$4=$B$194,AQ211,AQ237))</f>
        <v>0.7377660400000029</v>
      </c>
      <c r="AR77" s="671">
        <f>IF('הנחות עבודה'!$C$4=$B$168,AR185,IF('הנחות עבודה'!$C$4=$B$194,AR211,AR237))</f>
        <v>0</v>
      </c>
      <c r="AS77" s="671">
        <f>IF('הנחות עבודה'!$C$4=$B$168,AS185,IF('הנחות עבודה'!$C$4=$B$194,AS211,AS237))</f>
        <v>15.75886</v>
      </c>
      <c r="AT77" s="671">
        <f ca="1">IF('הנחות עבודה'!$C$4=$B$168,AT185,IF('הנחות עבודה'!$C$4=$B$194,AT211,AT237))</f>
        <v>66.217181536374795</v>
      </c>
      <c r="AU77" s="671">
        <f>IF('הנחות עבודה'!$C$4=$B$168,AU185,IF('הנחות עבודה'!$C$4=$B$194,AU211,AU237))</f>
        <v>0</v>
      </c>
      <c r="AV77" s="671">
        <f>IF('הנחות עבודה'!$C$4=$B$168,AV185,IF('הנחות עבודה'!$C$4=$B$194,AV211,AV237))</f>
        <v>0</v>
      </c>
      <c r="AW77" s="671">
        <f>IF('הנחות עבודה'!$C$4=$B$168,AW185,IF('הנחות עבודה'!$C$4=$B$194,AW211,AW237))</f>
        <v>0</v>
      </c>
      <c r="AX77" s="671">
        <f>IF('הנחות עבודה'!$C$4=$B$168,AX185,IF('הנחות עבודה'!$C$4=$B$194,AX211,AX237))</f>
        <v>0.35591</v>
      </c>
      <c r="AY77" s="667">
        <f>IF('הנחות עבודה'!$C$4=$B$168,AY185,IF('הנחות עבודה'!$C$4=$B$194,AY211,AY237))</f>
        <v>25.167510640942421</v>
      </c>
      <c r="AZ77" s="668">
        <f>IF('הנחות עבודה'!$C$4=$B$168,AZ185,IF('הנחות עבודה'!$C$4=$B$194,AZ211,AZ237))</f>
        <v>0</v>
      </c>
      <c r="BA77" s="668">
        <f ca="1">IF('הנחות עבודה'!$C$4=$B$168,BA185,IF('הנחות עבודה'!$C$4=$B$194,BA211,BA237))</f>
        <v>2.1998863899999876</v>
      </c>
      <c r="BB77" s="668">
        <f ca="1">IF('הנחות עבודה'!$C$4=$B$168,BB185,IF('הנחות עבודה'!$C$4=$B$194,BB211,BB237))</f>
        <v>0.61319999999990338</v>
      </c>
      <c r="BC77" s="668">
        <f ca="1">IF('הנחות עבודה'!$C$4=$B$168,BC185,IF('הנחות עבודה'!$C$4=$B$194,BC211,BC237))</f>
        <v>0.7377660400000029</v>
      </c>
      <c r="BD77" s="668">
        <f>IF('הנחות עבודה'!$C$4=$B$168,BD185,IF('הנחות עבודה'!$C$4=$B$194,BD211,BD237))</f>
        <v>0</v>
      </c>
      <c r="BE77" s="668">
        <f>IF('הנחות עבודה'!$C$4=$B$168,BE185,IF('הנחות עבודה'!$C$4=$B$194,BE211,BE237))</f>
        <v>16.167000000000002</v>
      </c>
      <c r="BF77" s="668">
        <f ca="1">IF('הנחות עבודה'!$C$4=$B$168,BF185,IF('הנחות עבודה'!$C$4=$B$194,BF211,BF237))</f>
        <v>61.039046460994697</v>
      </c>
      <c r="BG77" s="668">
        <f>IF('הנחות עבודה'!$C$4=$B$168,BG185,IF('הנחות עבודה'!$C$4=$B$194,BG211,BG237))</f>
        <v>0</v>
      </c>
      <c r="BH77" s="668">
        <f>IF('הנחות עבודה'!$C$4=$B$168,BH185,IF('הנחות עבודה'!$C$4=$B$194,BH211,BH237))</f>
        <v>0</v>
      </c>
      <c r="BI77" s="668">
        <f>IF('הנחות עבודה'!$C$4=$B$168,BI185,IF('הנחות עבודה'!$C$4=$B$194,BI211,BI237))</f>
        <v>0</v>
      </c>
      <c r="BJ77" s="668">
        <f>IF('הנחות עבודה'!$C$4=$B$168,BJ185,IF('הנחות עבודה'!$C$4=$B$194,BJ211,BJ237))</f>
        <v>0.35010000000000002</v>
      </c>
      <c r="BK77" s="672">
        <f>IF('הנחות עבודה'!$C$4=$B$168,BK185,IF('הנחות עבודה'!$C$4=$B$194,BK211,BK237))</f>
        <v>0</v>
      </c>
      <c r="BL77" s="671">
        <f>IF('הנחות עבודה'!$C$4=$B$168,BL185,IF('הנחות עבודה'!$C$4=$B$194,BL211,BL237))</f>
        <v>25.167510640942421</v>
      </c>
      <c r="BM77" s="671">
        <f ca="1">IF('הנחות עבודה'!$C$4=$B$168,BM185,IF('הנחות עבודה'!$C$4=$B$194,BM211,BM237))</f>
        <v>2.1998863899999876</v>
      </c>
      <c r="BN77" s="671">
        <f ca="1">IF('הנחות עבודה'!$C$4=$B$168,BN185,IF('הנחות עבודה'!$C$4=$B$194,BN211,BN237))</f>
        <v>0.61319999999990338</v>
      </c>
      <c r="BO77" s="671">
        <f ca="1">IF('הנחות עבודה'!$C$4=$B$168,BO185,IF('הנחות עבודה'!$C$4=$B$194,BO211,BO237))</f>
        <v>0.7377660400000029</v>
      </c>
      <c r="BP77" s="671">
        <f>IF('הנחות עבודה'!$C$4=$B$168,BP185,IF('הנחות עבודה'!$C$4=$B$194,BP211,BP237))</f>
        <v>0</v>
      </c>
      <c r="BQ77" s="671">
        <f>IF('הנחות עבודה'!$C$4=$B$168,BQ185,IF('הנחות עבודה'!$C$4=$B$194,BQ211,BQ237))</f>
        <v>16.167000000000002</v>
      </c>
      <c r="BR77" s="671">
        <f ca="1">IF('הנחות עבודה'!$C$4=$B$168,BR185,IF('הנחות עבודה'!$C$4=$B$194,BR211,BR237))</f>
        <v>61.039046460994697</v>
      </c>
      <c r="BS77" s="671">
        <f>IF('הנחות עבודה'!$C$4=$B$168,BS185,IF('הנחות עבודה'!$C$4=$B$194,BS211,BS237))</f>
        <v>0</v>
      </c>
      <c r="BT77" s="671">
        <f>IF('הנחות עבודה'!$C$4=$B$168,BT185,IF('הנחות עבודה'!$C$4=$B$194,BT211,BT237))</f>
        <v>0</v>
      </c>
      <c r="BU77" s="671">
        <f>IF('הנחות עבודה'!$C$4=$B$168,BU185,IF('הנחות עבודה'!$C$4=$B$194,BU211,BU237))</f>
        <v>0</v>
      </c>
      <c r="BV77" s="673">
        <f>IF('הנחות עבודה'!$C$4=$B$168,BV185,IF('הנחות עבודה'!$C$4=$B$194,BV211,BV237))</f>
        <v>0.35010000000000002</v>
      </c>
      <c r="BX77" s="552"/>
      <c r="BY77" s="301"/>
      <c r="BZ77" s="301"/>
      <c r="CA77" s="301"/>
    </row>
    <row r="78" spans="2:79" ht="15.75">
      <c r="B78" s="10">
        <f t="shared" si="226"/>
        <v>2034</v>
      </c>
      <c r="C78" s="667">
        <f>IF('הנחות עבודה'!$C$4=$B$168,C186,IF('הנחות עבודה'!$C$4=$B$194,C212,C238))</f>
        <v>12.673914940284423</v>
      </c>
      <c r="D78" s="668">
        <f>IF('הנחות עבודה'!$C$4=$B$168,D186,IF('הנחות עבודה'!$C$4=$B$194,D212,D238))</f>
        <v>0</v>
      </c>
      <c r="E78" s="668">
        <f ca="1">IF('הנחות עבודה'!$C$4=$B$168,E186,IF('הנחות עבודה'!$C$4=$B$194,E212,E238))</f>
        <v>2.1998863899999876</v>
      </c>
      <c r="F78" s="668">
        <f ca="1">IF('הנחות עבודה'!$C$4=$B$168,F186,IF('הנחות עבודה'!$C$4=$B$194,F212,F238))</f>
        <v>0.61319999999990338</v>
      </c>
      <c r="G78" s="668">
        <f ca="1">IF('הנחות עבודה'!$C$4=$B$168,G186,IF('הנחות עבודה'!$C$4=$B$194,G212,G238))</f>
        <v>0.7377660400000029</v>
      </c>
      <c r="H78" s="668">
        <f>IF('הנחות עבודה'!$C$4=$B$168,H186,IF('הנחות עבודה'!$C$4=$B$194,H212,H238))</f>
        <v>0</v>
      </c>
      <c r="I78" s="668">
        <f>IF('הנחות עבודה'!$C$4=$B$168,I186,IF('הנחות עבודה'!$C$4=$B$194,I212,I238))</f>
        <v>14.716479999999999</v>
      </c>
      <c r="J78" s="668">
        <f ca="1">IF('הנחות עבודה'!$C$4=$B$168,J186,IF('הנחות עבודה'!$C$4=$B$194,J212,J238))</f>
        <v>78.175137447610808</v>
      </c>
      <c r="K78" s="668">
        <f>IF('הנחות עבודה'!$C$4=$B$168,K186,IF('הנחות עבודה'!$C$4=$B$194,K212,K238))</f>
        <v>0</v>
      </c>
      <c r="L78" s="668">
        <f>IF('הנחות עבודה'!$C$4=$B$168,L186,IF('הנחות עבודה'!$C$4=$B$194,L212,L238))</f>
        <v>0</v>
      </c>
      <c r="M78" s="44">
        <f>IF('הנחות עבודה'!$C$4=$B$168,M186,IF('הנחות עבודה'!$C$4=$B$194,M212,M238))</f>
        <v>0</v>
      </c>
      <c r="N78" s="669">
        <f>IF('הנחות עבודה'!$C$4=$B$168,N186,IF('הנחות עבודה'!$C$4=$B$194,N212,N238))</f>
        <v>0.34636</v>
      </c>
      <c r="O78" s="670">
        <f>IF('הנחות עבודה'!$C$4=$B$168,O186,IF('הנחות עבודה'!$C$4=$B$194,O212,O238))</f>
        <v>0</v>
      </c>
      <c r="P78" s="671">
        <f>IF('הנחות עבודה'!$C$4=$B$168,P186,IF('הנחות עבודה'!$C$4=$B$194,P212,P238))</f>
        <v>12.673914940284423</v>
      </c>
      <c r="Q78" s="671">
        <f ca="1">IF('הנחות עבודה'!$C$4=$B$168,Q186,IF('הנחות עבודה'!$C$4=$B$194,Q212,Q238))</f>
        <v>2.1998863899999876</v>
      </c>
      <c r="R78" s="671">
        <f ca="1">IF('הנחות עבודה'!$C$4=$B$168,R186,IF('הנחות עבודה'!$C$4=$B$194,R212,R238))</f>
        <v>0.61319999999990338</v>
      </c>
      <c r="S78" s="671">
        <f ca="1">IF('הנחות עבודה'!$C$4=$B$168,S186,IF('הנחות עבודה'!$C$4=$B$194,S212,S238))</f>
        <v>0.7377660400000029</v>
      </c>
      <c r="T78" s="671">
        <f>IF('הנחות עבודה'!$C$4=$B$168,T186,IF('הנחות עבודה'!$C$4=$B$194,T212,T238))</f>
        <v>0</v>
      </c>
      <c r="U78" s="671">
        <f>IF('הנחות עבודה'!$C$4=$B$168,U186,IF('הנחות עבודה'!$C$4=$B$194,U212,U238))</f>
        <v>14.716479999999999</v>
      </c>
      <c r="V78" s="671">
        <f ca="1">IF('הנחות עבודה'!$C$4=$B$168,V186,IF('הנחות עבודה'!$C$4=$B$194,V212,V238))</f>
        <v>78.175137447610808</v>
      </c>
      <c r="W78" s="671">
        <f>IF('הנחות עבודה'!$C$4=$B$168,W186,IF('הנחות עבודה'!$C$4=$B$194,W212,W238))</f>
        <v>0</v>
      </c>
      <c r="X78" s="671">
        <f>IF('הנחות עבודה'!$C$4=$B$168,X186,IF('הנחות עבודה'!$C$4=$B$194,X212,X238))</f>
        <v>0</v>
      </c>
      <c r="Y78" s="671">
        <f>IF('הנחות עבודה'!$C$4=$B$168,Y186,IF('הנחות עבודה'!$C$4=$B$194,Y212,Y238))</f>
        <v>0</v>
      </c>
      <c r="Z78" s="671">
        <f>IF('הנחות עבודה'!$C$4=$B$168,Z186,IF('הנחות עבודה'!$C$4=$B$194,Z212,Z238))</f>
        <v>0.34636</v>
      </c>
      <c r="AA78" s="667">
        <f>IF('הנחות עבודה'!$C$4=$B$168,AA186,IF('הנחות עבודה'!$C$4=$B$194,AA212,AA238))</f>
        <v>20.269355332168946</v>
      </c>
      <c r="AB78" s="668">
        <f>IF('הנחות עבודה'!$C$4=$B$168,AB186,IF('הנחות עבודה'!$C$4=$B$194,AB212,AB238))</f>
        <v>0</v>
      </c>
      <c r="AC78" s="668">
        <f ca="1">IF('הנחות עבודה'!$C$4=$B$168,AC186,IF('הנחות עבודה'!$C$4=$B$194,AC212,AC238))</f>
        <v>2.1998863899999876</v>
      </c>
      <c r="AD78" s="668">
        <f ca="1">IF('הנחות עבודה'!$C$4=$B$168,AD186,IF('הנחות עבודה'!$C$4=$B$194,AD212,AD238))</f>
        <v>0.61319999999990338</v>
      </c>
      <c r="AE78" s="668">
        <f ca="1">IF('הנחות עבודה'!$C$4=$B$168,AE186,IF('הנחות עבודה'!$C$4=$B$194,AE212,AE238))</f>
        <v>0.7377660400000029</v>
      </c>
      <c r="AF78" s="668">
        <f>IF('הנחות עבודה'!$C$4=$B$168,AF186,IF('הנחות עבודה'!$C$4=$B$194,AF212,AF238))</f>
        <v>0</v>
      </c>
      <c r="AG78" s="668">
        <f>IF('הנחות עבודה'!$C$4=$B$168,AG186,IF('הנחות עבודה'!$C$4=$B$194,AG212,AG238))</f>
        <v>15.69491</v>
      </c>
      <c r="AH78" s="668">
        <f ca="1">IF('הנחות עבודה'!$C$4=$B$168,AH186,IF('הנחות עבודה'!$C$4=$B$194,AH212,AH238))</f>
        <v>69.596227055726288</v>
      </c>
      <c r="AI78" s="668">
        <f>IF('הנחות עבודה'!$C$4=$B$168,AI186,IF('הנחות עבודה'!$C$4=$B$194,AI212,AI238))</f>
        <v>0</v>
      </c>
      <c r="AJ78" s="668">
        <f>IF('הנחות עבודה'!$C$4=$B$168,AJ186,IF('הנחות עבודה'!$C$4=$B$194,AJ212,AJ238))</f>
        <v>0</v>
      </c>
      <c r="AK78" s="44">
        <f>IF('הנחות עבודה'!$C$4=$B$168,AK186,IF('הנחות עבודה'!$C$4=$B$194,AK212,AK238))</f>
        <v>0</v>
      </c>
      <c r="AL78" s="669">
        <f>IF('הנחות עבודה'!$C$4=$B$168,AL186,IF('הנחות עבודה'!$C$4=$B$194,AL212,AL238))</f>
        <v>0.35139999999999999</v>
      </c>
      <c r="AM78" s="670">
        <f>IF('הנחות עבודה'!$C$4=$B$168,AM186,IF('הנחות עבודה'!$C$4=$B$194,AM212,AM238))</f>
        <v>0</v>
      </c>
      <c r="AN78" s="671">
        <f>IF('הנחות עבודה'!$C$4=$B$168,AN186,IF('הנחות עבודה'!$C$4=$B$194,AN212,AN238))</f>
        <v>20.269355332168946</v>
      </c>
      <c r="AO78" s="671">
        <f ca="1">IF('הנחות עבודה'!$C$4=$B$168,AO186,IF('הנחות עבודה'!$C$4=$B$194,AO212,AO238))</f>
        <v>2.1998863899999876</v>
      </c>
      <c r="AP78" s="671">
        <f ca="1">IF('הנחות עבודה'!$C$4=$B$168,AP186,IF('הנחות עבודה'!$C$4=$B$194,AP212,AP238))</f>
        <v>0.61319999999990338</v>
      </c>
      <c r="AQ78" s="671">
        <f ca="1">IF('הנחות עבודה'!$C$4=$B$168,AQ186,IF('הנחות עבודה'!$C$4=$B$194,AQ212,AQ238))</f>
        <v>0.7377660400000029</v>
      </c>
      <c r="AR78" s="671">
        <f>IF('הנחות עבודה'!$C$4=$B$168,AR186,IF('הנחות עבודה'!$C$4=$B$194,AR212,AR238))</f>
        <v>0</v>
      </c>
      <c r="AS78" s="671">
        <f>IF('הנחות עבודה'!$C$4=$B$168,AS186,IF('הנחות עבודה'!$C$4=$B$194,AS212,AS238))</f>
        <v>15.69491</v>
      </c>
      <c r="AT78" s="671">
        <f ca="1">IF('הנחות עבודה'!$C$4=$B$168,AT186,IF('הנחות עבודה'!$C$4=$B$194,AT212,AT238))</f>
        <v>69.596227055726288</v>
      </c>
      <c r="AU78" s="671">
        <f>IF('הנחות עבודה'!$C$4=$B$168,AU186,IF('הנחות עבודה'!$C$4=$B$194,AU212,AU238))</f>
        <v>0</v>
      </c>
      <c r="AV78" s="671">
        <f>IF('הנחות עבודה'!$C$4=$B$168,AV186,IF('הנחות עבודה'!$C$4=$B$194,AV212,AV238))</f>
        <v>0</v>
      </c>
      <c r="AW78" s="671">
        <f>IF('הנחות עבודה'!$C$4=$B$168,AW186,IF('הנחות עבודה'!$C$4=$B$194,AW212,AW238))</f>
        <v>0</v>
      </c>
      <c r="AX78" s="671">
        <f>IF('הנחות עבודה'!$C$4=$B$168,AX186,IF('הנחות עבודה'!$C$4=$B$194,AX212,AX238))</f>
        <v>0.35139999999999999</v>
      </c>
      <c r="AY78" s="667">
        <f>IF('הנחות עבודה'!$C$4=$B$168,AY186,IF('הנחות עבודה'!$C$4=$B$194,AY212,AY238))</f>
        <v>25.016505577096769</v>
      </c>
      <c r="AZ78" s="668">
        <f>IF('הנחות עבודה'!$C$4=$B$168,AZ186,IF('הנחות עבודה'!$C$4=$B$194,AZ212,AZ238))</f>
        <v>0</v>
      </c>
      <c r="BA78" s="668">
        <f ca="1">IF('הנחות עבודה'!$C$4=$B$168,BA186,IF('הנחות עבודה'!$C$4=$B$194,BA212,BA238))</f>
        <v>2.1998863899999876</v>
      </c>
      <c r="BB78" s="668">
        <f ca="1">IF('הנחות עבודה'!$C$4=$B$168,BB186,IF('הנחות עבודה'!$C$4=$B$194,BB212,BB238))</f>
        <v>0.61319999999990338</v>
      </c>
      <c r="BC78" s="668">
        <f ca="1">IF('הנחות עבודה'!$C$4=$B$168,BC186,IF('הנחות עבודה'!$C$4=$B$194,BC212,BC238))</f>
        <v>0.7377660400000029</v>
      </c>
      <c r="BD78" s="668">
        <f>IF('הנחות עבודה'!$C$4=$B$168,BD186,IF('הנחות עבודה'!$C$4=$B$194,BD212,BD238))</f>
        <v>0</v>
      </c>
      <c r="BE78" s="668">
        <f>IF('הנחות עבודה'!$C$4=$B$168,BE186,IF('הנחות עבודה'!$C$4=$B$194,BE212,BE238))</f>
        <v>16.077000000000002</v>
      </c>
      <c r="BF78" s="668">
        <f ca="1">IF('הנחות עבודה'!$C$4=$B$168,BF186,IF('הנחות עבודה'!$C$4=$B$194,BF212,BF238))</f>
        <v>64.475086810798459</v>
      </c>
      <c r="BG78" s="668">
        <f>IF('הנחות עבודה'!$C$4=$B$168,BG186,IF('הנחות עבודה'!$C$4=$B$194,BG212,BG238))</f>
        <v>0</v>
      </c>
      <c r="BH78" s="668">
        <f>IF('הנחות עבודה'!$C$4=$B$168,BH186,IF('הנחות עבודה'!$C$4=$B$194,BH212,BH238))</f>
        <v>0</v>
      </c>
      <c r="BI78" s="668">
        <f>IF('הנחות עבודה'!$C$4=$B$168,BI186,IF('הנחות עבודה'!$C$4=$B$194,BI212,BI238))</f>
        <v>0</v>
      </c>
      <c r="BJ78" s="668">
        <f>IF('הנחות עבודה'!$C$4=$B$168,BJ186,IF('הנחות עבודה'!$C$4=$B$194,BJ212,BJ238))</f>
        <v>0.34329999999999999</v>
      </c>
      <c r="BK78" s="672">
        <f>IF('הנחות עבודה'!$C$4=$B$168,BK186,IF('הנחות עבודה'!$C$4=$B$194,BK212,BK238))</f>
        <v>0</v>
      </c>
      <c r="BL78" s="671">
        <f>IF('הנחות עבודה'!$C$4=$B$168,BL186,IF('הנחות עבודה'!$C$4=$B$194,BL212,BL238))</f>
        <v>25.016505577096769</v>
      </c>
      <c r="BM78" s="671">
        <f ca="1">IF('הנחות עבודה'!$C$4=$B$168,BM186,IF('הנחות עבודה'!$C$4=$B$194,BM212,BM238))</f>
        <v>2.1998863899999876</v>
      </c>
      <c r="BN78" s="671">
        <f ca="1">IF('הנחות עבודה'!$C$4=$B$168,BN186,IF('הנחות עבודה'!$C$4=$B$194,BN212,BN238))</f>
        <v>0.61319999999990338</v>
      </c>
      <c r="BO78" s="671">
        <f ca="1">IF('הנחות עבודה'!$C$4=$B$168,BO186,IF('הנחות עבודה'!$C$4=$B$194,BO212,BO238))</f>
        <v>0.7377660400000029</v>
      </c>
      <c r="BP78" s="671">
        <f>IF('הנחות עבודה'!$C$4=$B$168,BP186,IF('הנחות עבודה'!$C$4=$B$194,BP212,BP238))</f>
        <v>0</v>
      </c>
      <c r="BQ78" s="671">
        <f>IF('הנחות עבודה'!$C$4=$B$168,BQ186,IF('הנחות עבודה'!$C$4=$B$194,BQ212,BQ238))</f>
        <v>16.077000000000002</v>
      </c>
      <c r="BR78" s="671">
        <f ca="1">IF('הנחות עבודה'!$C$4=$B$168,BR186,IF('הנחות עבודה'!$C$4=$B$194,BR212,BR238))</f>
        <v>64.475086810798459</v>
      </c>
      <c r="BS78" s="671">
        <f>IF('הנחות עבודה'!$C$4=$B$168,BS186,IF('הנחות עבודה'!$C$4=$B$194,BS212,BS238))</f>
        <v>0</v>
      </c>
      <c r="BT78" s="671">
        <f>IF('הנחות עבודה'!$C$4=$B$168,BT186,IF('הנחות עבודה'!$C$4=$B$194,BT212,BT238))</f>
        <v>0</v>
      </c>
      <c r="BU78" s="671">
        <f>IF('הנחות עבודה'!$C$4=$B$168,BU186,IF('הנחות עבודה'!$C$4=$B$194,BU212,BU238))</f>
        <v>0</v>
      </c>
      <c r="BV78" s="673">
        <f>IF('הנחות עבודה'!$C$4=$B$168,BV186,IF('הנחות עבודה'!$C$4=$B$194,BV212,BV238))</f>
        <v>0.34329999999999999</v>
      </c>
      <c r="BX78" s="552"/>
      <c r="BY78" s="301"/>
      <c r="BZ78" s="301"/>
      <c r="CA78" s="301"/>
    </row>
    <row r="79" spans="2:79" ht="15.75">
      <c r="B79" s="10">
        <f t="shared" si="226"/>
        <v>2035</v>
      </c>
      <c r="C79" s="667">
        <f>IF('הנחות עבודה'!$C$4=$B$168,C187,IF('הנחות עבודה'!$C$4=$B$194,C213,C239))</f>
        <v>12.597871450642717</v>
      </c>
      <c r="D79" s="668">
        <f>IF('הנחות עבודה'!$C$4=$B$168,D187,IF('הנחות עבודה'!$C$4=$B$194,D213,D239))</f>
        <v>0</v>
      </c>
      <c r="E79" s="668">
        <f ca="1">IF('הנחות עבודה'!$C$4=$B$168,E187,IF('הנחות עבודה'!$C$4=$B$194,E213,E239))</f>
        <v>2.1998863899999876</v>
      </c>
      <c r="F79" s="668">
        <f ca="1">IF('הנחות עבודה'!$C$4=$B$168,F187,IF('הנחות עבודה'!$C$4=$B$194,F213,F239))</f>
        <v>0.61319999999990338</v>
      </c>
      <c r="G79" s="668">
        <f ca="1">IF('הנחות עבודה'!$C$4=$B$168,G187,IF('הנחות עבודה'!$C$4=$B$194,G213,G239))</f>
        <v>0.7377660400000029</v>
      </c>
      <c r="H79" s="668">
        <f>IF('הנחות עבודה'!$C$4=$B$168,H187,IF('הנחות עבודה'!$C$4=$B$194,H213,H239))</f>
        <v>0</v>
      </c>
      <c r="I79" s="668">
        <f>IF('הנחות עבודה'!$C$4=$B$168,I187,IF('הנחות עבודה'!$C$4=$B$194,I213,I239))</f>
        <v>14.811360000000001</v>
      </c>
      <c r="J79" s="668">
        <f ca="1">IF('הנחות עבודה'!$C$4=$B$168,J187,IF('הנחות עבודה'!$C$4=$B$194,J213,J239))</f>
        <v>81.441213281789373</v>
      </c>
      <c r="K79" s="668">
        <f>IF('הנחות עבודה'!$C$4=$B$168,K187,IF('הנחות עבודה'!$C$4=$B$194,K213,K239))</f>
        <v>0</v>
      </c>
      <c r="L79" s="668">
        <f>IF('הנחות עבודה'!$C$4=$B$168,L187,IF('הנחות עבודה'!$C$4=$B$194,L213,L239))</f>
        <v>0</v>
      </c>
      <c r="M79" s="44">
        <f>IF('הנחות עבודה'!$C$4=$B$168,M187,IF('הנחות עבודה'!$C$4=$B$194,M213,M239))</f>
        <v>0</v>
      </c>
      <c r="N79" s="669">
        <f>IF('הנחות עבודה'!$C$4=$B$168,N187,IF('הנחות עבודה'!$C$4=$B$194,N213,N239))</f>
        <v>0.34532999999999997</v>
      </c>
      <c r="O79" s="670">
        <f>IF('הנחות עבודה'!$C$4=$B$168,O187,IF('הנחות עבודה'!$C$4=$B$194,O213,O239))</f>
        <v>0</v>
      </c>
      <c r="P79" s="671">
        <f>IF('הנחות עבודה'!$C$4=$B$168,P187,IF('הנחות עבודה'!$C$4=$B$194,P213,P239))</f>
        <v>12.597871450642717</v>
      </c>
      <c r="Q79" s="671">
        <f ca="1">IF('הנחות עבודה'!$C$4=$B$168,Q187,IF('הנחות עבודה'!$C$4=$B$194,Q213,Q239))</f>
        <v>2.1998863899999876</v>
      </c>
      <c r="R79" s="671">
        <f ca="1">IF('הנחות עבודה'!$C$4=$B$168,R187,IF('הנחות עבודה'!$C$4=$B$194,R213,R239))</f>
        <v>0.61319999999990338</v>
      </c>
      <c r="S79" s="671">
        <f ca="1">IF('הנחות עבודה'!$C$4=$B$168,S187,IF('הנחות עבודה'!$C$4=$B$194,S213,S239))</f>
        <v>0.7377660400000029</v>
      </c>
      <c r="T79" s="671">
        <f>IF('הנחות עבודה'!$C$4=$B$168,T187,IF('הנחות עבודה'!$C$4=$B$194,T213,T239))</f>
        <v>0</v>
      </c>
      <c r="U79" s="671">
        <f>IF('הנחות עבודה'!$C$4=$B$168,U187,IF('הנחות עבודה'!$C$4=$B$194,U213,U239))</f>
        <v>14.811360000000001</v>
      </c>
      <c r="V79" s="671">
        <f ca="1">IF('הנחות עבודה'!$C$4=$B$168,V187,IF('הנחות עבודה'!$C$4=$B$194,V213,V239))</f>
        <v>81.441213281789373</v>
      </c>
      <c r="W79" s="671">
        <f>IF('הנחות עבודה'!$C$4=$B$168,W187,IF('הנחות עבודה'!$C$4=$B$194,W213,W239))</f>
        <v>0</v>
      </c>
      <c r="X79" s="671">
        <f>IF('הנחות עבודה'!$C$4=$B$168,X187,IF('הנחות עבודה'!$C$4=$B$194,X213,X239))</f>
        <v>0</v>
      </c>
      <c r="Y79" s="671">
        <f>IF('הנחות עבודה'!$C$4=$B$168,Y187,IF('הנחות עבודה'!$C$4=$B$194,Y213,Y239))</f>
        <v>0</v>
      </c>
      <c r="Z79" s="671">
        <f>IF('הנחות עבודה'!$C$4=$B$168,Z187,IF('הנחות עבודה'!$C$4=$B$194,Z213,Z239))</f>
        <v>0.34532999999999997</v>
      </c>
      <c r="AA79" s="667">
        <f>IF('הנחות עבודה'!$C$4=$B$168,AA187,IF('הנחות עבודה'!$C$4=$B$194,AA213,AA239))</f>
        <v>20.147739200175927</v>
      </c>
      <c r="AB79" s="668">
        <f>IF('הנחות עבודה'!$C$4=$B$168,AB187,IF('הנחות עבודה'!$C$4=$B$194,AB213,AB239))</f>
        <v>0</v>
      </c>
      <c r="AC79" s="668">
        <f ca="1">IF('הנחות עבודה'!$C$4=$B$168,AC187,IF('הנחות עבודה'!$C$4=$B$194,AC213,AC239))</f>
        <v>2.1998863899999876</v>
      </c>
      <c r="AD79" s="668">
        <f ca="1">IF('הנחות עבודה'!$C$4=$B$168,AD187,IF('הנחות עבודה'!$C$4=$B$194,AD213,AD239))</f>
        <v>0.61319999999990338</v>
      </c>
      <c r="AE79" s="668">
        <f ca="1">IF('הנחות עבודה'!$C$4=$B$168,AE187,IF('הנחות עבודה'!$C$4=$B$194,AE213,AE239))</f>
        <v>0.7377660400000029</v>
      </c>
      <c r="AF79" s="668">
        <f>IF('הנחות עבודה'!$C$4=$B$168,AF187,IF('הנחות עבודה'!$C$4=$B$194,AF213,AF239))</f>
        <v>0</v>
      </c>
      <c r="AG79" s="668">
        <f>IF('הנחות עבודה'!$C$4=$B$168,AG187,IF('הנחות עבודה'!$C$4=$B$194,AG213,AG239))</f>
        <v>15.831440000000001</v>
      </c>
      <c r="AH79" s="668">
        <f ca="1">IF('הנחות עבודה'!$C$4=$B$168,AH187,IF('הנחות עבודה'!$C$4=$B$194,AH213,AH239))</f>
        <v>72.869845532256164</v>
      </c>
      <c r="AI79" s="668">
        <f>IF('הנחות עבודה'!$C$4=$B$168,AI187,IF('הנחות עבודה'!$C$4=$B$194,AI213,AI239))</f>
        <v>0</v>
      </c>
      <c r="AJ79" s="668">
        <f>IF('הנחות עבודה'!$C$4=$B$168,AJ187,IF('הנחות עבודה'!$C$4=$B$194,AJ213,AJ239))</f>
        <v>0</v>
      </c>
      <c r="AK79" s="44">
        <f>IF('הנחות עבודה'!$C$4=$B$168,AK187,IF('הנחות עבודה'!$C$4=$B$194,AK213,AK239))</f>
        <v>0</v>
      </c>
      <c r="AL79" s="669">
        <f>IF('הנחות עבודה'!$C$4=$B$168,AL187,IF('הנחות עבודה'!$C$4=$B$194,AL213,AL239))</f>
        <v>0.34675</v>
      </c>
      <c r="AM79" s="670">
        <f>IF('הנחות עבודה'!$C$4=$B$168,AM187,IF('הנחות עבודה'!$C$4=$B$194,AM213,AM239))</f>
        <v>0</v>
      </c>
      <c r="AN79" s="671">
        <f>IF('הנחות עבודה'!$C$4=$B$168,AN187,IF('הנחות עבודה'!$C$4=$B$194,AN213,AN239))</f>
        <v>20.147739200175927</v>
      </c>
      <c r="AO79" s="671">
        <f ca="1">IF('הנחות עבודה'!$C$4=$B$168,AO187,IF('הנחות עבודה'!$C$4=$B$194,AO213,AO239))</f>
        <v>2.1998863899999876</v>
      </c>
      <c r="AP79" s="671">
        <f ca="1">IF('הנחות עבודה'!$C$4=$B$168,AP187,IF('הנחות עבודה'!$C$4=$B$194,AP213,AP239))</f>
        <v>0.61319999999990338</v>
      </c>
      <c r="AQ79" s="671">
        <f ca="1">IF('הנחות עבודה'!$C$4=$B$168,AQ187,IF('הנחות עבודה'!$C$4=$B$194,AQ213,AQ239))</f>
        <v>0.7377660400000029</v>
      </c>
      <c r="AR79" s="671">
        <f>IF('הנחות עבודה'!$C$4=$B$168,AR187,IF('הנחות עבודה'!$C$4=$B$194,AR213,AR239))</f>
        <v>0</v>
      </c>
      <c r="AS79" s="671">
        <f>IF('הנחות עבודה'!$C$4=$B$168,AS187,IF('הנחות עבודה'!$C$4=$B$194,AS213,AS239))</f>
        <v>15.831440000000001</v>
      </c>
      <c r="AT79" s="671">
        <f ca="1">IF('הנחות עבודה'!$C$4=$B$168,AT187,IF('הנחות עבודה'!$C$4=$B$194,AT213,AT239))</f>
        <v>72.869845532256164</v>
      </c>
      <c r="AU79" s="671">
        <f>IF('הנחות עבודה'!$C$4=$B$168,AU187,IF('הנחות עבודה'!$C$4=$B$194,AU213,AU239))</f>
        <v>0</v>
      </c>
      <c r="AV79" s="671">
        <f>IF('הנחות עבודה'!$C$4=$B$168,AV187,IF('הנחות עבודה'!$C$4=$B$194,AV213,AV239))</f>
        <v>0</v>
      </c>
      <c r="AW79" s="671">
        <f>IF('הנחות עבודה'!$C$4=$B$168,AW187,IF('הנחות עבודה'!$C$4=$B$194,AW213,AW239))</f>
        <v>0</v>
      </c>
      <c r="AX79" s="671">
        <f>IF('הנחות עבודה'!$C$4=$B$168,AX187,IF('הנחות עבודה'!$C$4=$B$194,AX213,AX239))</f>
        <v>0.34675</v>
      </c>
      <c r="AY79" s="667">
        <f>IF('הנחות עבודה'!$C$4=$B$168,AY187,IF('הנחות עבודה'!$C$4=$B$194,AY213,AY239))</f>
        <v>24.866406543634188</v>
      </c>
      <c r="AZ79" s="668">
        <f>IF('הנחות עבודה'!$C$4=$B$168,AZ187,IF('הנחות עבודה'!$C$4=$B$194,AZ213,AZ239))</f>
        <v>0</v>
      </c>
      <c r="BA79" s="668">
        <f ca="1">IF('הנחות עבודה'!$C$4=$B$168,BA187,IF('הנחות עבודה'!$C$4=$B$194,BA213,BA239))</f>
        <v>2.1998863899999876</v>
      </c>
      <c r="BB79" s="668">
        <f ca="1">IF('הנחות עבודה'!$C$4=$B$168,BB187,IF('הנחות עבודה'!$C$4=$B$194,BB213,BB239))</f>
        <v>0.61319999999990338</v>
      </c>
      <c r="BC79" s="668">
        <f ca="1">IF('הנחות עבודה'!$C$4=$B$168,BC187,IF('הנחות עבודה'!$C$4=$B$194,BC213,BC239))</f>
        <v>0.7377660400000029</v>
      </c>
      <c r="BD79" s="668">
        <f>IF('הנחות עבודה'!$C$4=$B$168,BD187,IF('הנחות עבודה'!$C$4=$B$194,BD213,BD239))</f>
        <v>0</v>
      </c>
      <c r="BE79" s="668">
        <f>IF('הנחות עבודה'!$C$4=$B$168,BE187,IF('הנחות עבודה'!$C$4=$B$194,BE213,BE239))</f>
        <v>16.170000000000002</v>
      </c>
      <c r="BF79" s="668">
        <f ca="1">IF('הנחות עבודה'!$C$4=$B$168,BF187,IF('הנחות עבודה'!$C$4=$B$194,BF213,BF239))</f>
        <v>67.815868188797907</v>
      </c>
      <c r="BG79" s="668">
        <f>IF('הנחות עבודה'!$C$4=$B$168,BG187,IF('הנחות עבודה'!$C$4=$B$194,BG213,BG239))</f>
        <v>0</v>
      </c>
      <c r="BH79" s="668">
        <f>IF('הנחות עבודה'!$C$4=$B$168,BH187,IF('הנחות עבודה'!$C$4=$B$194,BH213,BH239))</f>
        <v>0</v>
      </c>
      <c r="BI79" s="668">
        <f>IF('הנחות עבודה'!$C$4=$B$168,BI187,IF('הנחות עבודה'!$C$4=$B$194,BI213,BI239))</f>
        <v>0</v>
      </c>
      <c r="BJ79" s="668">
        <f>IF('הנחות עבודה'!$C$4=$B$168,BJ187,IF('הנחות עבודה'!$C$4=$B$194,BJ213,BJ239))</f>
        <v>0.34350000000000003</v>
      </c>
      <c r="BK79" s="672">
        <f>IF('הנחות עבודה'!$C$4=$B$168,BK187,IF('הנחות עבודה'!$C$4=$B$194,BK213,BK239))</f>
        <v>0</v>
      </c>
      <c r="BL79" s="671">
        <f>IF('הנחות עבודה'!$C$4=$B$168,BL187,IF('הנחות עבודה'!$C$4=$B$194,BL213,BL239))</f>
        <v>24.866406543634188</v>
      </c>
      <c r="BM79" s="671">
        <f ca="1">IF('הנחות עבודה'!$C$4=$B$168,BM187,IF('הנחות עבודה'!$C$4=$B$194,BM213,BM239))</f>
        <v>2.1998863899999876</v>
      </c>
      <c r="BN79" s="671">
        <f ca="1">IF('הנחות עבודה'!$C$4=$B$168,BN187,IF('הנחות עבודה'!$C$4=$B$194,BN213,BN239))</f>
        <v>0.61319999999990338</v>
      </c>
      <c r="BO79" s="671">
        <f ca="1">IF('הנחות עבודה'!$C$4=$B$168,BO187,IF('הנחות עבודה'!$C$4=$B$194,BO213,BO239))</f>
        <v>0.7377660400000029</v>
      </c>
      <c r="BP79" s="671">
        <f>IF('הנחות עבודה'!$C$4=$B$168,BP187,IF('הנחות עבודה'!$C$4=$B$194,BP213,BP239))</f>
        <v>0</v>
      </c>
      <c r="BQ79" s="671">
        <f>IF('הנחות עבודה'!$C$4=$B$168,BQ187,IF('הנחות עבודה'!$C$4=$B$194,BQ213,BQ239))</f>
        <v>16.170000000000002</v>
      </c>
      <c r="BR79" s="671">
        <f ca="1">IF('הנחות עבודה'!$C$4=$B$168,BR187,IF('הנחות עבודה'!$C$4=$B$194,BR213,BR239))</f>
        <v>67.815868188797907</v>
      </c>
      <c r="BS79" s="671">
        <f>IF('הנחות עבודה'!$C$4=$B$168,BS187,IF('הנחות עבודה'!$C$4=$B$194,BS213,BS239))</f>
        <v>0</v>
      </c>
      <c r="BT79" s="671">
        <f>IF('הנחות עבודה'!$C$4=$B$168,BT187,IF('הנחות עבודה'!$C$4=$B$194,BT213,BT239))</f>
        <v>0</v>
      </c>
      <c r="BU79" s="671">
        <f>IF('הנחות עבודה'!$C$4=$B$168,BU187,IF('הנחות עבודה'!$C$4=$B$194,BU213,BU239))</f>
        <v>0</v>
      </c>
      <c r="BV79" s="673">
        <f>IF('הנחות עבודה'!$C$4=$B$168,BV187,IF('הנחות עבודה'!$C$4=$B$194,BV213,BV239))</f>
        <v>0.34350000000000003</v>
      </c>
      <c r="BX79" s="552"/>
      <c r="BY79" s="301"/>
      <c r="BZ79" s="301"/>
      <c r="CA79" s="301"/>
    </row>
    <row r="80" spans="2:79" ht="15.75">
      <c r="B80" s="10">
        <f t="shared" si="226"/>
        <v>2036</v>
      </c>
      <c r="C80" s="667">
        <f>IF('הנחות עבודה'!$C$4=$B$168,C188,IF('הנחות עבודה'!$C$4=$B$194,C214,C240))</f>
        <v>12.522284221938861</v>
      </c>
      <c r="D80" s="668">
        <f>IF('הנחות עבודה'!$C$4=$B$168,D188,IF('הנחות עבודה'!$C$4=$B$194,D214,D240))</f>
        <v>0</v>
      </c>
      <c r="E80" s="668">
        <f ca="1">IF('הנחות עבודה'!$C$4=$B$168,E188,IF('הנחות עבודה'!$C$4=$B$194,E214,E240))</f>
        <v>2.1998863899999876</v>
      </c>
      <c r="F80" s="668">
        <f ca="1">IF('הנחות עבודה'!$C$4=$B$168,F188,IF('הנחות עבודה'!$C$4=$B$194,F214,F240))</f>
        <v>0.61319999999990338</v>
      </c>
      <c r="G80" s="668">
        <f ca="1">IF('הנחות עבודה'!$C$4=$B$168,G188,IF('הנחות עבודה'!$C$4=$B$194,G214,G240))</f>
        <v>0.7377660400000029</v>
      </c>
      <c r="H80" s="668">
        <f>IF('הנחות עבודה'!$C$4=$B$168,H188,IF('הנחות עבודה'!$C$4=$B$194,H214,H240))</f>
        <v>0</v>
      </c>
      <c r="I80" s="668">
        <f>IF('הנחות עבודה'!$C$4=$B$168,I188,IF('הנחות עבודה'!$C$4=$B$194,I214,I240))</f>
        <v>15.116680000000001</v>
      </c>
      <c r="J80" s="668">
        <f ca="1">IF('הנחות עבודה'!$C$4=$B$168,J188,IF('הנחות עבודה'!$C$4=$B$194,J214,J240))</f>
        <v>84.59119932536619</v>
      </c>
      <c r="K80" s="668">
        <f>IF('הנחות עבודה'!$C$4=$B$168,K188,IF('הנחות עבודה'!$C$4=$B$194,K214,K240))</f>
        <v>0</v>
      </c>
      <c r="L80" s="668">
        <f>IF('הנחות עבודה'!$C$4=$B$168,L188,IF('הנחות עבודה'!$C$4=$B$194,L214,L240))</f>
        <v>0</v>
      </c>
      <c r="M80" s="44">
        <f>IF('הנחות עבודה'!$C$4=$B$168,M188,IF('הנחות עבודה'!$C$4=$B$194,M214,M240))</f>
        <v>0</v>
      </c>
      <c r="N80" s="669">
        <f>IF('הנחות עבודה'!$C$4=$B$168,N188,IF('הנחות עבודה'!$C$4=$B$194,N214,N240))</f>
        <v>0.34800999999999999</v>
      </c>
      <c r="O80" s="670">
        <f>IF('הנחות עבודה'!$C$4=$B$168,O188,IF('הנחות עבודה'!$C$4=$B$194,O214,O240))</f>
        <v>0</v>
      </c>
      <c r="P80" s="671">
        <f>IF('הנחות עבודה'!$C$4=$B$168,P188,IF('הנחות עבודה'!$C$4=$B$194,P214,P240))</f>
        <v>12.522284221938861</v>
      </c>
      <c r="Q80" s="671">
        <f ca="1">IF('הנחות עבודה'!$C$4=$B$168,Q188,IF('הנחות עבודה'!$C$4=$B$194,Q214,Q240))</f>
        <v>2.1998863899999876</v>
      </c>
      <c r="R80" s="671">
        <f ca="1">IF('הנחות עבודה'!$C$4=$B$168,R188,IF('הנחות עבודה'!$C$4=$B$194,R214,R240))</f>
        <v>0.61319999999990338</v>
      </c>
      <c r="S80" s="671">
        <f ca="1">IF('הנחות עבודה'!$C$4=$B$168,S188,IF('הנחות עבודה'!$C$4=$B$194,S214,S240))</f>
        <v>0.7377660400000029</v>
      </c>
      <c r="T80" s="671">
        <f>IF('הנחות עבודה'!$C$4=$B$168,T188,IF('הנחות עבודה'!$C$4=$B$194,T214,T240))</f>
        <v>0</v>
      </c>
      <c r="U80" s="671">
        <f>IF('הנחות עבודה'!$C$4=$B$168,U188,IF('הנחות עבודה'!$C$4=$B$194,U214,U240))</f>
        <v>15.116680000000001</v>
      </c>
      <c r="V80" s="671">
        <f ca="1">IF('הנחות עבודה'!$C$4=$B$168,V188,IF('הנחות עבודה'!$C$4=$B$194,V214,V240))</f>
        <v>84.59119932536619</v>
      </c>
      <c r="W80" s="671">
        <f>IF('הנחות עבודה'!$C$4=$B$168,W188,IF('הנחות עבודה'!$C$4=$B$194,W214,W240))</f>
        <v>0</v>
      </c>
      <c r="X80" s="671">
        <f>IF('הנחות עבודה'!$C$4=$B$168,X188,IF('הנחות עבודה'!$C$4=$B$194,X214,X240))</f>
        <v>0</v>
      </c>
      <c r="Y80" s="671">
        <f>IF('הנחות עבודה'!$C$4=$B$168,Y188,IF('הנחות עבודה'!$C$4=$B$194,Y214,Y240))</f>
        <v>0</v>
      </c>
      <c r="Z80" s="671">
        <f>IF('הנחות עבודה'!$C$4=$B$168,Z188,IF('הנחות עבודה'!$C$4=$B$194,Z214,Z240))</f>
        <v>0.34800999999999999</v>
      </c>
      <c r="AA80" s="667">
        <f>IF('הנחות עבודה'!$C$4=$B$168,AA188,IF('הנחות עבודה'!$C$4=$B$194,AA214,AA240))</f>
        <v>20.026852764974876</v>
      </c>
      <c r="AB80" s="668">
        <f>IF('הנחות עבודה'!$C$4=$B$168,AB188,IF('הנחות עבודה'!$C$4=$B$194,AB214,AB240))</f>
        <v>0</v>
      </c>
      <c r="AC80" s="668">
        <f ca="1">IF('הנחות עבודה'!$C$4=$B$168,AC188,IF('הנחות עבודה'!$C$4=$B$194,AC214,AC240))</f>
        <v>2.1998863899999876</v>
      </c>
      <c r="AD80" s="668">
        <f ca="1">IF('הנחות עבודה'!$C$4=$B$168,AD188,IF('הנחות עבודה'!$C$4=$B$194,AD214,AD240))</f>
        <v>0.61319999999990338</v>
      </c>
      <c r="AE80" s="668">
        <f ca="1">IF('הנחות עבודה'!$C$4=$B$168,AE188,IF('הנחות עבודה'!$C$4=$B$194,AE214,AE240))</f>
        <v>0.7377660400000029</v>
      </c>
      <c r="AF80" s="668">
        <f>IF('הנחות עבודה'!$C$4=$B$168,AF188,IF('הנחות עבודה'!$C$4=$B$194,AF214,AF240))</f>
        <v>0</v>
      </c>
      <c r="AG80" s="668">
        <f>IF('הנחות עבודה'!$C$4=$B$168,AG188,IF('הנחות עבודה'!$C$4=$B$194,AG214,AG240))</f>
        <v>15.992709999999999</v>
      </c>
      <c r="AH80" s="668">
        <f ca="1">IF('הנחות עבודה'!$C$4=$B$168,AH188,IF('הנחות עבודה'!$C$4=$B$194,AH214,AH240))</f>
        <v>76.209020782330185</v>
      </c>
      <c r="AI80" s="668">
        <f>IF('הנחות עבודה'!$C$4=$B$168,AI188,IF('הנחות עבודה'!$C$4=$B$194,AI214,AI240))</f>
        <v>0</v>
      </c>
      <c r="AJ80" s="668">
        <f>IF('הנחות עבודה'!$C$4=$B$168,AJ188,IF('הנחות עבודה'!$C$4=$B$194,AJ214,AJ240))</f>
        <v>0</v>
      </c>
      <c r="AK80" s="44">
        <f>IF('הנחות עבודה'!$C$4=$B$168,AK188,IF('הנחות עבודה'!$C$4=$B$194,AK214,AK240))</f>
        <v>0</v>
      </c>
      <c r="AL80" s="669">
        <f>IF('הנחות עבודה'!$C$4=$B$168,AL188,IF('הנחות עבודה'!$C$4=$B$194,AL214,AL240))</f>
        <v>0.34959000000000001</v>
      </c>
      <c r="AM80" s="670">
        <f>IF('הנחות עבודה'!$C$4=$B$168,AM188,IF('הנחות עבודה'!$C$4=$B$194,AM214,AM240))</f>
        <v>0</v>
      </c>
      <c r="AN80" s="671">
        <f>IF('הנחות עבודה'!$C$4=$B$168,AN188,IF('הנחות עבודה'!$C$4=$B$194,AN214,AN240))</f>
        <v>20.026852764974876</v>
      </c>
      <c r="AO80" s="671">
        <f ca="1">IF('הנחות עבודה'!$C$4=$B$168,AO188,IF('הנחות עבודה'!$C$4=$B$194,AO214,AO240))</f>
        <v>2.1998863899999876</v>
      </c>
      <c r="AP80" s="671">
        <f ca="1">IF('הנחות עבודה'!$C$4=$B$168,AP188,IF('הנחות עבודה'!$C$4=$B$194,AP214,AP240))</f>
        <v>0.61319999999990338</v>
      </c>
      <c r="AQ80" s="671">
        <f ca="1">IF('הנחות עבודה'!$C$4=$B$168,AQ188,IF('הנחות עבודה'!$C$4=$B$194,AQ214,AQ240))</f>
        <v>0.7377660400000029</v>
      </c>
      <c r="AR80" s="671">
        <f>IF('הנחות עבודה'!$C$4=$B$168,AR188,IF('הנחות עבודה'!$C$4=$B$194,AR214,AR240))</f>
        <v>0</v>
      </c>
      <c r="AS80" s="671">
        <f>IF('הנחות עבודה'!$C$4=$B$168,AS188,IF('הנחות עבודה'!$C$4=$B$194,AS214,AS240))</f>
        <v>15.992709999999999</v>
      </c>
      <c r="AT80" s="671">
        <f ca="1">IF('הנחות עבודה'!$C$4=$B$168,AT188,IF('הנחות עבודה'!$C$4=$B$194,AT214,AT240))</f>
        <v>76.209020782330185</v>
      </c>
      <c r="AU80" s="671">
        <f>IF('הנחות עבודה'!$C$4=$B$168,AU188,IF('הנחות עבודה'!$C$4=$B$194,AU214,AU240))</f>
        <v>0</v>
      </c>
      <c r="AV80" s="671">
        <f>IF('הנחות עבודה'!$C$4=$B$168,AV188,IF('הנחות עבודה'!$C$4=$B$194,AV214,AV240))</f>
        <v>0</v>
      </c>
      <c r="AW80" s="671">
        <f>IF('הנחות עבודה'!$C$4=$B$168,AW188,IF('הנחות עבודה'!$C$4=$B$194,AW214,AW240))</f>
        <v>0</v>
      </c>
      <c r="AX80" s="671">
        <f>IF('הנחות עבודה'!$C$4=$B$168,AX188,IF('הנחות עבודה'!$C$4=$B$194,AX214,AX240))</f>
        <v>0.34959000000000001</v>
      </c>
      <c r="AY80" s="667">
        <f>IF('הנחות עבודה'!$C$4=$B$168,AY188,IF('הנחות עבודה'!$C$4=$B$194,AY214,AY240))</f>
        <v>24.717208104372386</v>
      </c>
      <c r="AZ80" s="668">
        <f>IF('הנחות עבודה'!$C$4=$B$168,AZ188,IF('הנחות עבודה'!$C$4=$B$194,AZ214,AZ240))</f>
        <v>0</v>
      </c>
      <c r="BA80" s="668">
        <f ca="1">IF('הנחות עבודה'!$C$4=$B$168,BA188,IF('הנחות עבודה'!$C$4=$B$194,BA214,BA240))</f>
        <v>2.1998863899999876</v>
      </c>
      <c r="BB80" s="668">
        <f ca="1">IF('הנחות עבודה'!$C$4=$B$168,BB188,IF('הנחות עבודה'!$C$4=$B$194,BB214,BB240))</f>
        <v>0.61319999999990338</v>
      </c>
      <c r="BC80" s="668">
        <f ca="1">IF('הנחות עבודה'!$C$4=$B$168,BC188,IF('הנחות עבודה'!$C$4=$B$194,BC214,BC240))</f>
        <v>0.7377660400000029</v>
      </c>
      <c r="BD80" s="668">
        <f>IF('הנחות עבודה'!$C$4=$B$168,BD188,IF('הנחות עבודה'!$C$4=$B$194,BD214,BD240))</f>
        <v>0</v>
      </c>
      <c r="BE80" s="668">
        <f>IF('הנחות עבודה'!$C$4=$B$168,BE188,IF('הנחות עבודה'!$C$4=$B$194,BE214,BE240))</f>
        <v>16.321999999999999</v>
      </c>
      <c r="BF80" s="668">
        <f ca="1">IF('הנחות עבודה'!$C$4=$B$168,BF188,IF('הנחות עבודה'!$C$4=$B$194,BF214,BF240))</f>
        <v>71.191865442932666</v>
      </c>
      <c r="BG80" s="668">
        <f>IF('הנחות עבודה'!$C$4=$B$168,BG188,IF('הנחות עבודה'!$C$4=$B$194,BG214,BG240))</f>
        <v>0</v>
      </c>
      <c r="BH80" s="668">
        <f>IF('הנחות עבודה'!$C$4=$B$168,BH188,IF('הנחות עבודה'!$C$4=$B$194,BH214,BH240))</f>
        <v>0</v>
      </c>
      <c r="BI80" s="668">
        <f>IF('הנחות עבודה'!$C$4=$B$168,BI188,IF('הנחות עבודה'!$C$4=$B$194,BI214,BI240))</f>
        <v>0</v>
      </c>
      <c r="BJ80" s="668">
        <f>IF('הנחות עבודה'!$C$4=$B$168,BJ188,IF('הנחות עבודה'!$C$4=$B$194,BJ214,BJ240))</f>
        <v>0.34710000000000002</v>
      </c>
      <c r="BK80" s="672">
        <f>IF('הנחות עבודה'!$C$4=$B$168,BK188,IF('הנחות עבודה'!$C$4=$B$194,BK214,BK240))</f>
        <v>0</v>
      </c>
      <c r="BL80" s="671">
        <f>IF('הנחות עבודה'!$C$4=$B$168,BL188,IF('הנחות עבודה'!$C$4=$B$194,BL214,BL240))</f>
        <v>24.717208104372386</v>
      </c>
      <c r="BM80" s="671">
        <f ca="1">IF('הנחות עבודה'!$C$4=$B$168,BM188,IF('הנחות עבודה'!$C$4=$B$194,BM214,BM240))</f>
        <v>2.1998863899999876</v>
      </c>
      <c r="BN80" s="671">
        <f ca="1">IF('הנחות עבודה'!$C$4=$B$168,BN188,IF('הנחות עבודה'!$C$4=$B$194,BN214,BN240))</f>
        <v>0.61319999999990338</v>
      </c>
      <c r="BO80" s="671">
        <f ca="1">IF('הנחות עבודה'!$C$4=$B$168,BO188,IF('הנחות עבודה'!$C$4=$B$194,BO214,BO240))</f>
        <v>0.7377660400000029</v>
      </c>
      <c r="BP80" s="671">
        <f>IF('הנחות עבודה'!$C$4=$B$168,BP188,IF('הנחות עבודה'!$C$4=$B$194,BP214,BP240))</f>
        <v>0</v>
      </c>
      <c r="BQ80" s="671">
        <f>IF('הנחות עבודה'!$C$4=$B$168,BQ188,IF('הנחות עבודה'!$C$4=$B$194,BQ214,BQ240))</f>
        <v>16.321999999999999</v>
      </c>
      <c r="BR80" s="671">
        <f ca="1">IF('הנחות עבודה'!$C$4=$B$168,BR188,IF('הנחות עבודה'!$C$4=$B$194,BR214,BR240))</f>
        <v>71.191865442932666</v>
      </c>
      <c r="BS80" s="671">
        <f>IF('הנחות עבודה'!$C$4=$B$168,BS188,IF('הנחות עבודה'!$C$4=$B$194,BS214,BS240))</f>
        <v>0</v>
      </c>
      <c r="BT80" s="671">
        <f>IF('הנחות עבודה'!$C$4=$B$168,BT188,IF('הנחות עבודה'!$C$4=$B$194,BT214,BT240))</f>
        <v>0</v>
      </c>
      <c r="BU80" s="671">
        <f>IF('הנחות עבודה'!$C$4=$B$168,BU188,IF('הנחות עבודה'!$C$4=$B$194,BU214,BU240))</f>
        <v>0</v>
      </c>
      <c r="BV80" s="673">
        <f>IF('הנחות עבודה'!$C$4=$B$168,BV188,IF('הנחות עבודה'!$C$4=$B$194,BV214,BV240))</f>
        <v>0.34710000000000002</v>
      </c>
      <c r="BX80" s="552"/>
      <c r="BY80" s="301"/>
      <c r="BZ80" s="301"/>
      <c r="CA80" s="301"/>
    </row>
    <row r="81" spans="2:79" ht="15.75">
      <c r="B81" s="10">
        <f t="shared" si="226"/>
        <v>2037</v>
      </c>
      <c r="C81" s="667">
        <f>IF('הנחות עבודה'!$C$4=$B$168,C189,IF('הנחות עבודה'!$C$4=$B$194,C215,C241))</f>
        <v>12.44715051660723</v>
      </c>
      <c r="D81" s="668">
        <f>IF('הנחות עבודה'!$C$4=$B$168,D189,IF('הנחות עבודה'!$C$4=$B$194,D215,D241))</f>
        <v>0</v>
      </c>
      <c r="E81" s="668">
        <f ca="1">IF('הנחות עבודה'!$C$4=$B$168,E189,IF('הנחות עבודה'!$C$4=$B$194,E215,E241))</f>
        <v>2.1998863899999876</v>
      </c>
      <c r="F81" s="668">
        <f ca="1">IF('הנחות עבודה'!$C$4=$B$168,F189,IF('הנחות עבודה'!$C$4=$B$194,F215,F241))</f>
        <v>0.61319999999990338</v>
      </c>
      <c r="G81" s="668">
        <f ca="1">IF('הנחות עבודה'!$C$4=$B$168,G189,IF('הנחות עבודה'!$C$4=$B$194,G215,G241))</f>
        <v>0.7377660400000029</v>
      </c>
      <c r="H81" s="668">
        <f>IF('הנחות עבודה'!$C$4=$B$168,H189,IF('הנחות עבודה'!$C$4=$B$194,H215,H241))</f>
        <v>0</v>
      </c>
      <c r="I81" s="668">
        <f>IF('הנחות עבודה'!$C$4=$B$168,I189,IF('הנחות עבודה'!$C$4=$B$194,I215,I241))</f>
        <v>15.286460000000002</v>
      </c>
      <c r="J81" s="668">
        <f ca="1">IF('הנחות עבודה'!$C$4=$B$168,J189,IF('הנחות עבודה'!$C$4=$B$194,J215,J241))</f>
        <v>87.980223810016966</v>
      </c>
      <c r="K81" s="668">
        <f>IF('הנחות עבודה'!$C$4=$B$168,K189,IF('הנחות עבודה'!$C$4=$B$194,K215,K241))</f>
        <v>0</v>
      </c>
      <c r="L81" s="668">
        <f>IF('הנחות עבודה'!$C$4=$B$168,L189,IF('הנחות עבודה'!$C$4=$B$194,L215,L241))</f>
        <v>0</v>
      </c>
      <c r="M81" s="44">
        <f>IF('הנחות עבודה'!$C$4=$B$168,M189,IF('הנחות עבודה'!$C$4=$B$194,M215,M241))</f>
        <v>0</v>
      </c>
      <c r="N81" s="669">
        <f>IF('הנחות עבודה'!$C$4=$B$168,N189,IF('הנחות עבודה'!$C$4=$B$194,N215,N241))</f>
        <v>0.34821000000000002</v>
      </c>
      <c r="O81" s="670">
        <f>IF('הנחות עבודה'!$C$4=$B$168,O189,IF('הנחות עבודה'!$C$4=$B$194,O215,O241))</f>
        <v>0</v>
      </c>
      <c r="P81" s="671">
        <f>IF('הנחות עבודה'!$C$4=$B$168,P189,IF('הנחות עבודה'!$C$4=$B$194,P215,P241))</f>
        <v>12.44715051660723</v>
      </c>
      <c r="Q81" s="671">
        <f ca="1">IF('הנחות עבודה'!$C$4=$B$168,Q189,IF('הנחות עבודה'!$C$4=$B$194,Q215,Q241))</f>
        <v>2.1998863899999876</v>
      </c>
      <c r="R81" s="671">
        <f ca="1">IF('הנחות עבודה'!$C$4=$B$168,R189,IF('הנחות עבודה'!$C$4=$B$194,R215,R241))</f>
        <v>0.61319999999990338</v>
      </c>
      <c r="S81" s="671">
        <f ca="1">IF('הנחות עבודה'!$C$4=$B$168,S189,IF('הנחות עבודה'!$C$4=$B$194,S215,S241))</f>
        <v>0.7377660400000029</v>
      </c>
      <c r="T81" s="671">
        <f>IF('הנחות עבודה'!$C$4=$B$168,T189,IF('הנחות עבודה'!$C$4=$B$194,T215,T241))</f>
        <v>0</v>
      </c>
      <c r="U81" s="671">
        <f>IF('הנחות עבודה'!$C$4=$B$168,U189,IF('הנחות עבודה'!$C$4=$B$194,U215,U241))</f>
        <v>15.286460000000002</v>
      </c>
      <c r="V81" s="671">
        <f ca="1">IF('הנחות עבודה'!$C$4=$B$168,V189,IF('הנחות עבודה'!$C$4=$B$194,V215,V241))</f>
        <v>87.980223810016966</v>
      </c>
      <c r="W81" s="671">
        <f>IF('הנחות עבודה'!$C$4=$B$168,W189,IF('הנחות עבודה'!$C$4=$B$194,W215,W241))</f>
        <v>0</v>
      </c>
      <c r="X81" s="671">
        <f>IF('הנחות עבודה'!$C$4=$B$168,X189,IF('הנחות עבודה'!$C$4=$B$194,X215,X241))</f>
        <v>0</v>
      </c>
      <c r="Y81" s="671">
        <f>IF('הנחות עבודה'!$C$4=$B$168,Y189,IF('הנחות עבודה'!$C$4=$B$194,Y215,Y241))</f>
        <v>0</v>
      </c>
      <c r="Z81" s="671">
        <f>IF('הנחות עבודה'!$C$4=$B$168,Z189,IF('הנחות עבודה'!$C$4=$B$194,Z215,Z241))</f>
        <v>0.34821000000000002</v>
      </c>
      <c r="AA81" s="667">
        <f>IF('הנחות עבודה'!$C$4=$B$168,AA189,IF('הנחות עבודה'!$C$4=$B$194,AA215,AA241))</f>
        <v>19.906691648385024</v>
      </c>
      <c r="AB81" s="668">
        <f>IF('הנחות עבודה'!$C$4=$B$168,AB189,IF('הנחות עבודה'!$C$4=$B$194,AB215,AB241))</f>
        <v>0</v>
      </c>
      <c r="AC81" s="668">
        <f ca="1">IF('הנחות עבודה'!$C$4=$B$168,AC189,IF('הנחות עבודה'!$C$4=$B$194,AC215,AC241))</f>
        <v>2.1998863899999876</v>
      </c>
      <c r="AD81" s="668">
        <f ca="1">IF('הנחות עבודה'!$C$4=$B$168,AD189,IF('הנחות עבודה'!$C$4=$B$194,AD215,AD241))</f>
        <v>0.61319999999990338</v>
      </c>
      <c r="AE81" s="668">
        <f ca="1">IF('הנחות עבודה'!$C$4=$B$168,AE189,IF('הנחות עבודה'!$C$4=$B$194,AE215,AE241))</f>
        <v>0.7377660400000029</v>
      </c>
      <c r="AF81" s="668">
        <f>IF('הנחות עבודה'!$C$4=$B$168,AF189,IF('הנחות עבודה'!$C$4=$B$194,AF215,AF241))</f>
        <v>0</v>
      </c>
      <c r="AG81" s="668">
        <f>IF('הנחות עבודה'!$C$4=$B$168,AG189,IF('הנחות עבודה'!$C$4=$B$194,AG215,AG241))</f>
        <v>15.96213</v>
      </c>
      <c r="AH81" s="668">
        <f ca="1">IF('הנחות עבודה'!$C$4=$B$168,AH189,IF('הנחות עבודה'!$C$4=$B$194,AH215,AH241))</f>
        <v>79.840972678239183</v>
      </c>
      <c r="AI81" s="668">
        <f>IF('הנחות עבודה'!$C$4=$B$168,AI189,IF('הנחות עבודה'!$C$4=$B$194,AI215,AI241))</f>
        <v>0</v>
      </c>
      <c r="AJ81" s="668">
        <f>IF('הנחות עבודה'!$C$4=$B$168,AJ189,IF('הנחות עבודה'!$C$4=$B$194,AJ215,AJ241))</f>
        <v>0</v>
      </c>
      <c r="AK81" s="44">
        <f>IF('הנחות עבודה'!$C$4=$B$168,AK189,IF('הנחות עבודה'!$C$4=$B$194,AK215,AK241))</f>
        <v>0</v>
      </c>
      <c r="AL81" s="669">
        <f>IF('הנחות עבודה'!$C$4=$B$168,AL189,IF('הנחות עבודה'!$C$4=$B$194,AL215,AL241))</f>
        <v>0.35224999999999995</v>
      </c>
      <c r="AM81" s="670">
        <f>IF('הנחות עבודה'!$C$4=$B$168,AM189,IF('הנחות עבודה'!$C$4=$B$194,AM215,AM241))</f>
        <v>0</v>
      </c>
      <c r="AN81" s="671">
        <f>IF('הנחות עבודה'!$C$4=$B$168,AN189,IF('הנחות עבודה'!$C$4=$B$194,AN215,AN241))</f>
        <v>19.906691648385024</v>
      </c>
      <c r="AO81" s="671">
        <f ca="1">IF('הנחות עבודה'!$C$4=$B$168,AO189,IF('הנחות עבודה'!$C$4=$B$194,AO215,AO241))</f>
        <v>2.1998863899999876</v>
      </c>
      <c r="AP81" s="671">
        <f ca="1">IF('הנחות עבודה'!$C$4=$B$168,AP189,IF('הנחות עבודה'!$C$4=$B$194,AP215,AP241))</f>
        <v>0.61319999999990338</v>
      </c>
      <c r="AQ81" s="671">
        <f ca="1">IF('הנחות עבודה'!$C$4=$B$168,AQ189,IF('הנחות עבודה'!$C$4=$B$194,AQ215,AQ241))</f>
        <v>0.7377660400000029</v>
      </c>
      <c r="AR81" s="671">
        <f>IF('הנחות עבודה'!$C$4=$B$168,AR189,IF('הנחות עבודה'!$C$4=$B$194,AR215,AR241))</f>
        <v>0</v>
      </c>
      <c r="AS81" s="671">
        <f>IF('הנחות עבודה'!$C$4=$B$168,AS189,IF('הנחות עבודה'!$C$4=$B$194,AS215,AS241))</f>
        <v>15.96213</v>
      </c>
      <c r="AT81" s="671">
        <f ca="1">IF('הנחות עבודה'!$C$4=$B$168,AT189,IF('הנחות עבודה'!$C$4=$B$194,AT215,AT241))</f>
        <v>79.840972678239183</v>
      </c>
      <c r="AU81" s="671">
        <f>IF('הנחות עבודה'!$C$4=$B$168,AU189,IF('הנחות עבודה'!$C$4=$B$194,AU215,AU241))</f>
        <v>0</v>
      </c>
      <c r="AV81" s="671">
        <f>IF('הנחות עבודה'!$C$4=$B$168,AV189,IF('הנחות עבודה'!$C$4=$B$194,AV215,AV241))</f>
        <v>0</v>
      </c>
      <c r="AW81" s="671">
        <f>IF('הנחות עבודה'!$C$4=$B$168,AW189,IF('הנחות עבודה'!$C$4=$B$194,AW215,AW241))</f>
        <v>0</v>
      </c>
      <c r="AX81" s="671">
        <f>IF('הנחות עבודה'!$C$4=$B$168,AX189,IF('הנחות עבודה'!$C$4=$B$194,AX215,AX241))</f>
        <v>0.35224999999999995</v>
      </c>
      <c r="AY81" s="667">
        <f>IF('הנחות עבודה'!$C$4=$B$168,AY189,IF('הנחות עבודה'!$C$4=$B$194,AY215,AY241))</f>
        <v>24.568904855746148</v>
      </c>
      <c r="AZ81" s="668">
        <f>IF('הנחות עבודה'!$C$4=$B$168,AZ189,IF('הנחות עבודה'!$C$4=$B$194,AZ215,AZ241))</f>
        <v>0</v>
      </c>
      <c r="BA81" s="668">
        <f ca="1">IF('הנחות עבודה'!$C$4=$B$168,BA189,IF('הנחות עבודה'!$C$4=$B$194,BA215,BA241))</f>
        <v>2.1998863899999876</v>
      </c>
      <c r="BB81" s="668">
        <f ca="1">IF('הנחות עבודה'!$C$4=$B$168,BB189,IF('הנחות עבודה'!$C$4=$B$194,BB215,BB241))</f>
        <v>0.61319999999990338</v>
      </c>
      <c r="BC81" s="668">
        <f ca="1">IF('הנחות עבודה'!$C$4=$B$168,BC189,IF('הנחות עבודה'!$C$4=$B$194,BC215,BC241))</f>
        <v>0.7377660400000029</v>
      </c>
      <c r="BD81" s="668">
        <f>IF('הנחות עבודה'!$C$4=$B$168,BD189,IF('הנחות עבודה'!$C$4=$B$194,BD215,BD241))</f>
        <v>0</v>
      </c>
      <c r="BE81" s="668">
        <f>IF('הנחות עבודה'!$C$4=$B$168,BE189,IF('הנחות עבודה'!$C$4=$B$194,BE215,BE241))</f>
        <v>16.283000000000001</v>
      </c>
      <c r="BF81" s="668">
        <f ca="1">IF('הנחות עבודה'!$C$4=$B$168,BF189,IF('הנחות עבודה'!$C$4=$B$194,BF215,BF241))</f>
        <v>74.864239470878047</v>
      </c>
      <c r="BG81" s="668">
        <f>IF('הנחות עבודה'!$C$4=$B$168,BG189,IF('הנחות עבודה'!$C$4=$B$194,BG215,BG241))</f>
        <v>0</v>
      </c>
      <c r="BH81" s="668">
        <f>IF('הנחות עבודה'!$C$4=$B$168,BH189,IF('הנחות עבודה'!$C$4=$B$194,BH215,BH241))</f>
        <v>0</v>
      </c>
      <c r="BI81" s="668">
        <f>IF('הנחות עבודה'!$C$4=$B$168,BI189,IF('הנחות עבודה'!$C$4=$B$194,BI215,BI241))</f>
        <v>0</v>
      </c>
      <c r="BJ81" s="668">
        <f>IF('הנחות עבודה'!$C$4=$B$168,BJ189,IF('הנחות עבודה'!$C$4=$B$194,BJ215,BJ241))</f>
        <v>0.34590000000000004</v>
      </c>
      <c r="BK81" s="672">
        <f>IF('הנחות עבודה'!$C$4=$B$168,BK189,IF('הנחות עבודה'!$C$4=$B$194,BK215,BK241))</f>
        <v>0</v>
      </c>
      <c r="BL81" s="671">
        <f>IF('הנחות עבודה'!$C$4=$B$168,BL189,IF('הנחות עבודה'!$C$4=$B$194,BL215,BL241))</f>
        <v>24.568904855746148</v>
      </c>
      <c r="BM81" s="671">
        <f ca="1">IF('הנחות עבודה'!$C$4=$B$168,BM189,IF('הנחות עבודה'!$C$4=$B$194,BM215,BM241))</f>
        <v>2.1998863899999876</v>
      </c>
      <c r="BN81" s="671">
        <f ca="1">IF('הנחות עבודה'!$C$4=$B$168,BN189,IF('הנחות עבודה'!$C$4=$B$194,BN215,BN241))</f>
        <v>0.61319999999990338</v>
      </c>
      <c r="BO81" s="671">
        <f ca="1">IF('הנחות עבודה'!$C$4=$B$168,BO189,IF('הנחות עבודה'!$C$4=$B$194,BO215,BO241))</f>
        <v>0.7377660400000029</v>
      </c>
      <c r="BP81" s="671">
        <f>IF('הנחות עבודה'!$C$4=$B$168,BP189,IF('הנחות עבודה'!$C$4=$B$194,BP215,BP241))</f>
        <v>0</v>
      </c>
      <c r="BQ81" s="671">
        <f>IF('הנחות עבודה'!$C$4=$B$168,BQ189,IF('הנחות עבודה'!$C$4=$B$194,BQ215,BQ241))</f>
        <v>16.283000000000001</v>
      </c>
      <c r="BR81" s="671">
        <f ca="1">IF('הנחות עבודה'!$C$4=$B$168,BR189,IF('הנחות עבודה'!$C$4=$B$194,BR215,BR241))</f>
        <v>74.864239470878047</v>
      </c>
      <c r="BS81" s="671">
        <f>IF('הנחות עבודה'!$C$4=$B$168,BS189,IF('הנחות עבודה'!$C$4=$B$194,BS215,BS241))</f>
        <v>0</v>
      </c>
      <c r="BT81" s="671">
        <f>IF('הנחות עבודה'!$C$4=$B$168,BT189,IF('הנחות עבודה'!$C$4=$B$194,BT215,BT241))</f>
        <v>0</v>
      </c>
      <c r="BU81" s="671">
        <f>IF('הנחות עבודה'!$C$4=$B$168,BU189,IF('הנחות עבודה'!$C$4=$B$194,BU215,BU241))</f>
        <v>0</v>
      </c>
      <c r="BV81" s="673">
        <f>IF('הנחות עבודה'!$C$4=$B$168,BV189,IF('הנחות עבודה'!$C$4=$B$194,BV215,BV241))</f>
        <v>0.34590000000000004</v>
      </c>
      <c r="BX81" s="552"/>
      <c r="BY81" s="301"/>
      <c r="BZ81" s="301"/>
      <c r="CA81" s="301"/>
    </row>
    <row r="82" spans="2:79" ht="15.75">
      <c r="B82" s="10">
        <f t="shared" si="226"/>
        <v>2038</v>
      </c>
      <c r="C82" s="667">
        <f>IF('הנחות עבודה'!$C$4=$B$168,C190,IF('הנחות עבודה'!$C$4=$B$194,C216,C242))</f>
        <v>12.372467613507585</v>
      </c>
      <c r="D82" s="668">
        <f>IF('הנחות עבודה'!$C$4=$B$168,D190,IF('הנחות עבודה'!$C$4=$B$194,D216,D242))</f>
        <v>0</v>
      </c>
      <c r="E82" s="668">
        <f ca="1">IF('הנחות עבודה'!$C$4=$B$168,E190,IF('הנחות עבודה'!$C$4=$B$194,E216,E242))</f>
        <v>2.1998863899999876</v>
      </c>
      <c r="F82" s="668">
        <f ca="1">IF('הנחות עבודה'!$C$4=$B$168,F190,IF('הנחות עבודה'!$C$4=$B$194,F216,F242))</f>
        <v>0.61319999999990338</v>
      </c>
      <c r="G82" s="668">
        <f ca="1">IF('הנחות עבודה'!$C$4=$B$168,G190,IF('הנחות עבודה'!$C$4=$B$194,G216,G242))</f>
        <v>0.7377660400000029</v>
      </c>
      <c r="H82" s="668">
        <f>IF('הנחות עבודה'!$C$4=$B$168,H190,IF('הנחות עבודה'!$C$4=$B$194,H216,H242))</f>
        <v>0</v>
      </c>
      <c r="I82" s="668">
        <f>IF('הנחות עבודה'!$C$4=$B$168,I190,IF('הנחות עבודה'!$C$4=$B$194,I216,I242))</f>
        <v>15.45416</v>
      </c>
      <c r="J82" s="668">
        <f ca="1">IF('הנחות עבודה'!$C$4=$B$168,J190,IF('הנחות עבודה'!$C$4=$B$194,J216,J242))</f>
        <v>91.481063615815344</v>
      </c>
      <c r="K82" s="668">
        <f>IF('הנחות עבודה'!$C$4=$B$168,K190,IF('הנחות עבודה'!$C$4=$B$194,K216,K242))</f>
        <v>0</v>
      </c>
      <c r="L82" s="668">
        <f>IF('הנחות עבודה'!$C$4=$B$168,L190,IF('הנחות עבודה'!$C$4=$B$194,L216,L242))</f>
        <v>0</v>
      </c>
      <c r="M82" s="44">
        <f>IF('הנחות עבודה'!$C$4=$B$168,M190,IF('הנחות עבודה'!$C$4=$B$194,M216,M242))</f>
        <v>0</v>
      </c>
      <c r="N82" s="669">
        <f>IF('הנחות עבודה'!$C$4=$B$168,N190,IF('הנחות עבודה'!$C$4=$B$194,N216,N242))</f>
        <v>0.34274000000000004</v>
      </c>
      <c r="O82" s="670">
        <f>IF('הנחות עבודה'!$C$4=$B$168,O190,IF('הנחות עבודה'!$C$4=$B$194,O216,O242))</f>
        <v>0</v>
      </c>
      <c r="P82" s="671">
        <f>IF('הנחות עבודה'!$C$4=$B$168,P190,IF('הנחות עבודה'!$C$4=$B$194,P216,P242))</f>
        <v>12.372467613507585</v>
      </c>
      <c r="Q82" s="671">
        <f ca="1">IF('הנחות עבודה'!$C$4=$B$168,Q190,IF('הנחות עבודה'!$C$4=$B$194,Q216,Q242))</f>
        <v>2.1998863899999876</v>
      </c>
      <c r="R82" s="671">
        <f ca="1">IF('הנחות עבודה'!$C$4=$B$168,R190,IF('הנחות עבודה'!$C$4=$B$194,R216,R242))</f>
        <v>0.61319999999990338</v>
      </c>
      <c r="S82" s="671">
        <f ca="1">IF('הנחות עבודה'!$C$4=$B$168,S190,IF('הנחות עבודה'!$C$4=$B$194,S216,S242))</f>
        <v>0.7377660400000029</v>
      </c>
      <c r="T82" s="671">
        <f>IF('הנחות עבודה'!$C$4=$B$168,T190,IF('הנחות עבודה'!$C$4=$B$194,T216,T242))</f>
        <v>0</v>
      </c>
      <c r="U82" s="671">
        <f>IF('הנחות עבודה'!$C$4=$B$168,U190,IF('הנחות עבודה'!$C$4=$B$194,U216,U242))</f>
        <v>15.45416</v>
      </c>
      <c r="V82" s="671">
        <f ca="1">IF('הנחות עבודה'!$C$4=$B$168,V190,IF('הנחות עבודה'!$C$4=$B$194,V216,V242))</f>
        <v>91.481063615815344</v>
      </c>
      <c r="W82" s="671">
        <f>IF('הנחות עבודה'!$C$4=$B$168,W190,IF('הנחות עבודה'!$C$4=$B$194,W216,W242))</f>
        <v>0</v>
      </c>
      <c r="X82" s="671">
        <f>IF('הנחות עבודה'!$C$4=$B$168,X190,IF('הנחות עבודה'!$C$4=$B$194,X216,X242))</f>
        <v>0</v>
      </c>
      <c r="Y82" s="671">
        <f>IF('הנחות עבודה'!$C$4=$B$168,Y190,IF('הנחות עבודה'!$C$4=$B$194,Y216,Y242))</f>
        <v>0</v>
      </c>
      <c r="Z82" s="671">
        <f>IF('הנחות עבודה'!$C$4=$B$168,Z190,IF('הנחות עבודה'!$C$4=$B$194,Z216,Z242))</f>
        <v>0.34274000000000004</v>
      </c>
      <c r="AA82" s="667">
        <f>IF('הנחות עבודה'!$C$4=$B$168,AA190,IF('הנחות עבודה'!$C$4=$B$194,AA216,AA242))</f>
        <v>19.787251498494712</v>
      </c>
      <c r="AB82" s="668">
        <f>IF('הנחות עבודה'!$C$4=$B$168,AB190,IF('הנחות עבודה'!$C$4=$B$194,AB216,AB242))</f>
        <v>0</v>
      </c>
      <c r="AC82" s="668">
        <f ca="1">IF('הנחות עבודה'!$C$4=$B$168,AC190,IF('הנחות עבודה'!$C$4=$B$194,AC216,AC242))</f>
        <v>2.1998863899999876</v>
      </c>
      <c r="AD82" s="668">
        <f ca="1">IF('הנחות עבודה'!$C$4=$B$168,AD190,IF('הנחות עבודה'!$C$4=$B$194,AD216,AD242))</f>
        <v>0.61319999999990338</v>
      </c>
      <c r="AE82" s="668">
        <f ca="1">IF('הנחות עבודה'!$C$4=$B$168,AE190,IF('הנחות עבודה'!$C$4=$B$194,AE216,AE242))</f>
        <v>0.7377660400000029</v>
      </c>
      <c r="AF82" s="668">
        <f>IF('הנחות עבודה'!$C$4=$B$168,AF190,IF('הנחות עבודה'!$C$4=$B$194,AF216,AF242))</f>
        <v>0</v>
      </c>
      <c r="AG82" s="668">
        <f>IF('הנחות עבודה'!$C$4=$B$168,AG190,IF('הנחות עבודה'!$C$4=$B$194,AG216,AG242))</f>
        <v>16.158000000000001</v>
      </c>
      <c r="AH82" s="668">
        <f ca="1">IF('הנחות עבודה'!$C$4=$B$168,AH190,IF('הנחות עבודה'!$C$4=$B$194,AH216,AH242))</f>
        <v>83.358539730828227</v>
      </c>
      <c r="AI82" s="668">
        <f>IF('הנחות עבודה'!$C$4=$B$168,AI190,IF('הנחות עבודה'!$C$4=$B$194,AI216,AI242))</f>
        <v>0</v>
      </c>
      <c r="AJ82" s="668">
        <f>IF('הנחות עבודה'!$C$4=$B$168,AJ190,IF('הנחות עבודה'!$C$4=$B$194,AJ216,AJ242))</f>
        <v>0</v>
      </c>
      <c r="AK82" s="44">
        <f>IF('הנחות עבודה'!$C$4=$B$168,AK190,IF('הנחות עבודה'!$C$4=$B$194,AK216,AK242))</f>
        <v>0</v>
      </c>
      <c r="AL82" s="669">
        <f>IF('הנחות עבודה'!$C$4=$B$168,AL190,IF('הנחות עבודה'!$C$4=$B$194,AL216,AL242))</f>
        <v>0.34664000000000006</v>
      </c>
      <c r="AM82" s="670">
        <f>IF('הנחות עבודה'!$C$4=$B$168,AM190,IF('הנחות עבודה'!$C$4=$B$194,AM216,AM242))</f>
        <v>0</v>
      </c>
      <c r="AN82" s="671">
        <f>IF('הנחות עבודה'!$C$4=$B$168,AN190,IF('הנחות עבודה'!$C$4=$B$194,AN216,AN242))</f>
        <v>19.787251498494712</v>
      </c>
      <c r="AO82" s="671">
        <f ca="1">IF('הנחות עבודה'!$C$4=$B$168,AO190,IF('הנחות עבודה'!$C$4=$B$194,AO216,AO242))</f>
        <v>2.1998863899999876</v>
      </c>
      <c r="AP82" s="671">
        <f ca="1">IF('הנחות עבודה'!$C$4=$B$168,AP190,IF('הנחות עבודה'!$C$4=$B$194,AP216,AP242))</f>
        <v>0.61319999999990338</v>
      </c>
      <c r="AQ82" s="671">
        <f ca="1">IF('הנחות עבודה'!$C$4=$B$168,AQ190,IF('הנחות עבודה'!$C$4=$B$194,AQ216,AQ242))</f>
        <v>0.7377660400000029</v>
      </c>
      <c r="AR82" s="671">
        <f>IF('הנחות עבודה'!$C$4=$B$168,AR190,IF('הנחות עבודה'!$C$4=$B$194,AR216,AR242))</f>
        <v>0</v>
      </c>
      <c r="AS82" s="671">
        <f>IF('הנחות עבודה'!$C$4=$B$168,AS190,IF('הנחות עבודה'!$C$4=$B$194,AS216,AS242))</f>
        <v>16.158000000000001</v>
      </c>
      <c r="AT82" s="671">
        <f ca="1">IF('הנחות עבודה'!$C$4=$B$168,AT190,IF('הנחות עבודה'!$C$4=$B$194,AT216,AT242))</f>
        <v>83.358539730828227</v>
      </c>
      <c r="AU82" s="671">
        <f>IF('הנחות עבודה'!$C$4=$B$168,AU190,IF('הנחות עבודה'!$C$4=$B$194,AU216,AU242))</f>
        <v>0</v>
      </c>
      <c r="AV82" s="671">
        <f>IF('הנחות עבודה'!$C$4=$B$168,AV190,IF('הנחות עבודה'!$C$4=$B$194,AV216,AV242))</f>
        <v>0</v>
      </c>
      <c r="AW82" s="671">
        <f>IF('הנחות עבודה'!$C$4=$B$168,AW190,IF('הנחות עבודה'!$C$4=$B$194,AW216,AW242))</f>
        <v>0</v>
      </c>
      <c r="AX82" s="671">
        <f>IF('הנחות עבודה'!$C$4=$B$168,AX190,IF('הנחות עבודה'!$C$4=$B$194,AX216,AX242))</f>
        <v>0.34664000000000006</v>
      </c>
      <c r="AY82" s="667">
        <f>IF('הנחות עבודה'!$C$4=$B$168,AY190,IF('הנחות עבודה'!$C$4=$B$194,AY216,AY242))</f>
        <v>24.421491426611677</v>
      </c>
      <c r="AZ82" s="668">
        <f>IF('הנחות עבודה'!$C$4=$B$168,AZ190,IF('הנחות עבודה'!$C$4=$B$194,AZ216,AZ242))</f>
        <v>0</v>
      </c>
      <c r="BA82" s="668">
        <f ca="1">IF('הנחות עבודה'!$C$4=$B$168,BA190,IF('הנחות עבודה'!$C$4=$B$194,BA216,BA242))</f>
        <v>2.1998863899999876</v>
      </c>
      <c r="BB82" s="668">
        <f ca="1">IF('הנחות עבודה'!$C$4=$B$168,BB190,IF('הנחות עבודה'!$C$4=$B$194,BB216,BB242))</f>
        <v>0.61319999999990338</v>
      </c>
      <c r="BC82" s="668">
        <f ca="1">IF('הנחות עבודה'!$C$4=$B$168,BC190,IF('הנחות עבודה'!$C$4=$B$194,BC216,BC242))</f>
        <v>0.7377660400000029</v>
      </c>
      <c r="BD82" s="668">
        <f>IF('הנחות עבודה'!$C$4=$B$168,BD190,IF('הנחות עבודה'!$C$4=$B$194,BD216,BD242))</f>
        <v>0</v>
      </c>
      <c r="BE82" s="668">
        <f>IF('הנחות עבודה'!$C$4=$B$168,BE190,IF('הנחות עבודה'!$C$4=$B$194,BE216,BE242))</f>
        <v>16.536000000000001</v>
      </c>
      <c r="BF82" s="668">
        <f ca="1">IF('הנחות עבודה'!$C$4=$B$168,BF190,IF('הנחות עבודה'!$C$4=$B$194,BF216,BF242))</f>
        <v>78.351739802711251</v>
      </c>
      <c r="BG82" s="668">
        <f>IF('הנחות עבודה'!$C$4=$B$168,BG190,IF('הנחות עבודה'!$C$4=$B$194,BG216,BG242))</f>
        <v>0</v>
      </c>
      <c r="BH82" s="668">
        <f>IF('הנחות עבודה'!$C$4=$B$168,BH190,IF('הנחות עבודה'!$C$4=$B$194,BH216,BH242))</f>
        <v>0</v>
      </c>
      <c r="BI82" s="668">
        <f>IF('הנחות עבודה'!$C$4=$B$168,BI190,IF('הנחות עבודה'!$C$4=$B$194,BI216,BI242))</f>
        <v>0</v>
      </c>
      <c r="BJ82" s="668">
        <f>IF('הנחות עבודה'!$C$4=$B$168,BJ190,IF('הנחות עבודה'!$C$4=$B$194,BJ216,BJ242))</f>
        <v>0.3412</v>
      </c>
      <c r="BK82" s="672">
        <f>IF('הנחות עבודה'!$C$4=$B$168,BK190,IF('הנחות עבודה'!$C$4=$B$194,BK216,BK242))</f>
        <v>0</v>
      </c>
      <c r="BL82" s="671">
        <f>IF('הנחות עבודה'!$C$4=$B$168,BL190,IF('הנחות עבודה'!$C$4=$B$194,BL216,BL242))</f>
        <v>24.421491426611677</v>
      </c>
      <c r="BM82" s="671">
        <f ca="1">IF('הנחות עבודה'!$C$4=$B$168,BM190,IF('הנחות עבודה'!$C$4=$B$194,BM216,BM242))</f>
        <v>2.1998863899999876</v>
      </c>
      <c r="BN82" s="671">
        <f ca="1">IF('הנחות עבודה'!$C$4=$B$168,BN190,IF('הנחות עבודה'!$C$4=$B$194,BN216,BN242))</f>
        <v>0.61319999999990338</v>
      </c>
      <c r="BO82" s="671">
        <f ca="1">IF('הנחות עבודה'!$C$4=$B$168,BO190,IF('הנחות עבודה'!$C$4=$B$194,BO216,BO242))</f>
        <v>0.7377660400000029</v>
      </c>
      <c r="BP82" s="671">
        <f>IF('הנחות עבודה'!$C$4=$B$168,BP190,IF('הנחות עבודה'!$C$4=$B$194,BP216,BP242))</f>
        <v>0</v>
      </c>
      <c r="BQ82" s="671">
        <f>IF('הנחות עבודה'!$C$4=$B$168,BQ190,IF('הנחות עבודה'!$C$4=$B$194,BQ216,BQ242))</f>
        <v>16.536000000000001</v>
      </c>
      <c r="BR82" s="671">
        <f ca="1">IF('הנחות עבודה'!$C$4=$B$168,BR190,IF('הנחות עבודה'!$C$4=$B$194,BR216,BR242))</f>
        <v>78.351739802711251</v>
      </c>
      <c r="BS82" s="671">
        <f>IF('הנחות עבודה'!$C$4=$B$168,BS190,IF('הנחות עבודה'!$C$4=$B$194,BS216,BS242))</f>
        <v>0</v>
      </c>
      <c r="BT82" s="671">
        <f>IF('הנחות עבודה'!$C$4=$B$168,BT190,IF('הנחות עבודה'!$C$4=$B$194,BT216,BT242))</f>
        <v>0</v>
      </c>
      <c r="BU82" s="671">
        <f>IF('הנחות עבודה'!$C$4=$B$168,BU190,IF('הנחות עבודה'!$C$4=$B$194,BU216,BU242))</f>
        <v>0</v>
      </c>
      <c r="BV82" s="673">
        <f>IF('הנחות עבודה'!$C$4=$B$168,BV190,IF('הנחות עבודה'!$C$4=$B$194,BV216,BV242))</f>
        <v>0.3412</v>
      </c>
      <c r="BX82" s="552"/>
      <c r="BY82" s="301"/>
      <c r="BZ82" s="301"/>
      <c r="CA82" s="301"/>
    </row>
    <row r="83" spans="2:79" ht="15.75">
      <c r="B83" s="10">
        <f t="shared" si="226"/>
        <v>2039</v>
      </c>
      <c r="C83" s="667">
        <f>IF('הנחות עבודה'!$C$4=$B$168,C191,IF('הנחות עבודה'!$C$4=$B$194,C217,C243))</f>
        <v>12.298232807826535</v>
      </c>
      <c r="D83" s="668">
        <f>IF('הנחות עבודה'!$C$4=$B$168,D191,IF('הנחות עבודה'!$C$4=$B$194,D217,D243))</f>
        <v>0</v>
      </c>
      <c r="E83" s="668">
        <f ca="1">IF('הנחות עבודה'!$C$4=$B$168,E191,IF('הנחות עבודה'!$C$4=$B$194,E217,E243))</f>
        <v>2.1998863899999876</v>
      </c>
      <c r="F83" s="668">
        <f ca="1">IF('הנחות עבודה'!$C$4=$B$168,F191,IF('הנחות עבודה'!$C$4=$B$194,F217,F243))</f>
        <v>0.61319999999990338</v>
      </c>
      <c r="G83" s="668">
        <f ca="1">IF('הנחות עבודה'!$C$4=$B$168,G191,IF('הנחות עבודה'!$C$4=$B$194,G217,G243))</f>
        <v>0.7377660400000029</v>
      </c>
      <c r="H83" s="668">
        <f>IF('הנחות עבודה'!$C$4=$B$168,H191,IF('הנחות עבודה'!$C$4=$B$194,H217,H243))</f>
        <v>0</v>
      </c>
      <c r="I83" s="668">
        <f>IF('הנחות עבודה'!$C$4=$B$168,I191,IF('הנחות עבודה'!$C$4=$B$194,I217,I243))</f>
        <v>15.598939999999999</v>
      </c>
      <c r="J83" s="668">
        <f ca="1">IF('הנחות עבודה'!$C$4=$B$168,J191,IF('הנחות עבודה'!$C$4=$B$194,J217,J243))</f>
        <v>95.103556931276074</v>
      </c>
      <c r="K83" s="668">
        <f>IF('הנחות עבודה'!$C$4=$B$168,K191,IF('הנחות עבודה'!$C$4=$B$194,K217,K243))</f>
        <v>0</v>
      </c>
      <c r="L83" s="668">
        <f>IF('הנחות עבודה'!$C$4=$B$168,L191,IF('הנחות עבודה'!$C$4=$B$194,L217,L243))</f>
        <v>0</v>
      </c>
      <c r="M83" s="44">
        <f>IF('הנחות עבודה'!$C$4=$B$168,M191,IF('הנחות עבודה'!$C$4=$B$194,M217,M243))</f>
        <v>0</v>
      </c>
      <c r="N83" s="669">
        <f>IF('הנחות עבודה'!$C$4=$B$168,N191,IF('הנחות עבודה'!$C$4=$B$194,N217,N243))</f>
        <v>0.34573999999999999</v>
      </c>
      <c r="O83" s="670">
        <f>IF('הנחות עבודה'!$C$4=$B$168,O191,IF('הנחות עבודה'!$C$4=$B$194,O217,O243))</f>
        <v>0</v>
      </c>
      <c r="P83" s="671">
        <f>IF('הנחות עבודה'!$C$4=$B$168,P191,IF('הנחות עבודה'!$C$4=$B$194,P217,P243))</f>
        <v>12.298232807826535</v>
      </c>
      <c r="Q83" s="671">
        <f ca="1">IF('הנחות עבודה'!$C$4=$B$168,Q191,IF('הנחות עבודה'!$C$4=$B$194,Q217,Q243))</f>
        <v>2.1998863899999876</v>
      </c>
      <c r="R83" s="671">
        <f ca="1">IF('הנחות עבודה'!$C$4=$B$168,R191,IF('הנחות עבודה'!$C$4=$B$194,R217,R243))</f>
        <v>0.61319999999990338</v>
      </c>
      <c r="S83" s="671">
        <f ca="1">IF('הנחות עבודה'!$C$4=$B$168,S191,IF('הנחות עבודה'!$C$4=$B$194,S217,S243))</f>
        <v>0.7377660400000029</v>
      </c>
      <c r="T83" s="671">
        <f>IF('הנחות עבודה'!$C$4=$B$168,T191,IF('הנחות עבודה'!$C$4=$B$194,T217,T243))</f>
        <v>0</v>
      </c>
      <c r="U83" s="671">
        <f>IF('הנחות עבודה'!$C$4=$B$168,U191,IF('הנחות עבודה'!$C$4=$B$194,U217,U243))</f>
        <v>15.598939999999999</v>
      </c>
      <c r="V83" s="671">
        <f ca="1">IF('הנחות עבודה'!$C$4=$B$168,V191,IF('הנחות עבודה'!$C$4=$B$194,V217,V243))</f>
        <v>95.103556931276074</v>
      </c>
      <c r="W83" s="671">
        <f>IF('הנחות עבודה'!$C$4=$B$168,W191,IF('הנחות עבודה'!$C$4=$B$194,W217,W243))</f>
        <v>0</v>
      </c>
      <c r="X83" s="671">
        <f>IF('הנחות עבודה'!$C$4=$B$168,X191,IF('הנחות עבודה'!$C$4=$B$194,X217,X243))</f>
        <v>0</v>
      </c>
      <c r="Y83" s="671">
        <f>IF('הנחות עבודה'!$C$4=$B$168,Y191,IF('הנחות עבודה'!$C$4=$B$194,Y217,Y243))</f>
        <v>0</v>
      </c>
      <c r="Z83" s="671">
        <f>IF('הנחות עבודה'!$C$4=$B$168,Z191,IF('הנחות עבודה'!$C$4=$B$194,Z217,Z243))</f>
        <v>0.34573999999999999</v>
      </c>
      <c r="AA83" s="667">
        <f>IF('הנחות עבודה'!$C$4=$B$168,AA191,IF('הנחות עבודה'!$C$4=$B$194,AA217,AA243))</f>
        <v>19.668527989503747</v>
      </c>
      <c r="AB83" s="668">
        <f>IF('הנחות עבודה'!$C$4=$B$168,AB191,IF('הנחות עבודה'!$C$4=$B$194,AB217,AB243))</f>
        <v>0</v>
      </c>
      <c r="AC83" s="668">
        <f ca="1">IF('הנחות עבודה'!$C$4=$B$168,AC191,IF('הנחות עבודה'!$C$4=$B$194,AC217,AC243))</f>
        <v>2.1998863899999876</v>
      </c>
      <c r="AD83" s="668">
        <f ca="1">IF('הנחות עבודה'!$C$4=$B$168,AD191,IF('הנחות עבודה'!$C$4=$B$194,AD217,AD243))</f>
        <v>0.61319999999990338</v>
      </c>
      <c r="AE83" s="668">
        <f ca="1">IF('הנחות עבודה'!$C$4=$B$168,AE191,IF('הנחות עבודה'!$C$4=$B$194,AE217,AE243))</f>
        <v>0.7377660400000029</v>
      </c>
      <c r="AF83" s="668">
        <f>IF('הנחות עבודה'!$C$4=$B$168,AF191,IF('הנחות עבודה'!$C$4=$B$194,AF217,AF243))</f>
        <v>0</v>
      </c>
      <c r="AG83" s="668">
        <f>IF('הנחות עבודה'!$C$4=$B$168,AG191,IF('הנחות עבודה'!$C$4=$B$194,AG217,AG243))</f>
        <v>16.1449</v>
      </c>
      <c r="AH83" s="668">
        <f ca="1">IF('הנחות עבודה'!$C$4=$B$168,AH191,IF('הנחות עבודה'!$C$4=$B$194,AH217,AH243))</f>
        <v>87.180661749598869</v>
      </c>
      <c r="AI83" s="668">
        <f>IF('הנחות עבודה'!$C$4=$B$168,AI191,IF('הנחות עבודה'!$C$4=$B$194,AI217,AI243))</f>
        <v>0</v>
      </c>
      <c r="AJ83" s="668">
        <f>IF('הנחות עבודה'!$C$4=$B$168,AJ191,IF('הנחות עבודה'!$C$4=$B$194,AJ217,AJ243))</f>
        <v>0</v>
      </c>
      <c r="AK83" s="44">
        <f>IF('הנחות עבודה'!$C$4=$B$168,AK191,IF('הנחות עבודה'!$C$4=$B$194,AK217,AK243))</f>
        <v>0</v>
      </c>
      <c r="AL83" s="669">
        <f>IF('הנחות עבודה'!$C$4=$B$168,AL191,IF('הנחות עבודה'!$C$4=$B$194,AL217,AL243))</f>
        <v>0.35238000000000003</v>
      </c>
      <c r="AM83" s="670">
        <f>IF('הנחות עבודה'!$C$4=$B$168,AM191,IF('הנחות עבודה'!$C$4=$B$194,AM217,AM243))</f>
        <v>0</v>
      </c>
      <c r="AN83" s="671">
        <f>IF('הנחות עבודה'!$C$4=$B$168,AN191,IF('הנחות עבודה'!$C$4=$B$194,AN217,AN243))</f>
        <v>19.668527989503747</v>
      </c>
      <c r="AO83" s="671">
        <f ca="1">IF('הנחות עבודה'!$C$4=$B$168,AO191,IF('הנחות עבודה'!$C$4=$B$194,AO217,AO243))</f>
        <v>2.1998863899999876</v>
      </c>
      <c r="AP83" s="671">
        <f ca="1">IF('הנחות עבודה'!$C$4=$B$168,AP191,IF('הנחות עבודה'!$C$4=$B$194,AP217,AP243))</f>
        <v>0.61319999999990338</v>
      </c>
      <c r="AQ83" s="671">
        <f ca="1">IF('הנחות עבודה'!$C$4=$B$168,AQ191,IF('הנחות עבודה'!$C$4=$B$194,AQ217,AQ243))</f>
        <v>0.7377660400000029</v>
      </c>
      <c r="AR83" s="671">
        <f>IF('הנחות עבודה'!$C$4=$B$168,AR191,IF('הנחות עבודה'!$C$4=$B$194,AR217,AR243))</f>
        <v>0</v>
      </c>
      <c r="AS83" s="671">
        <f>IF('הנחות עבודה'!$C$4=$B$168,AS191,IF('הנחות עבודה'!$C$4=$B$194,AS217,AS243))</f>
        <v>16.1449</v>
      </c>
      <c r="AT83" s="671">
        <f ca="1">IF('הנחות עבודה'!$C$4=$B$168,AT191,IF('הנחות עבודה'!$C$4=$B$194,AT217,AT243))</f>
        <v>87.180661749598869</v>
      </c>
      <c r="AU83" s="671">
        <f>IF('הנחות עבודה'!$C$4=$B$168,AU191,IF('הנחות עבודה'!$C$4=$B$194,AU217,AU243))</f>
        <v>0</v>
      </c>
      <c r="AV83" s="671">
        <f>IF('הנחות עבודה'!$C$4=$B$168,AV191,IF('הנחות עבודה'!$C$4=$B$194,AV217,AV243))</f>
        <v>0</v>
      </c>
      <c r="AW83" s="671">
        <f>IF('הנחות עבודה'!$C$4=$B$168,AW191,IF('הנחות עבודה'!$C$4=$B$194,AW217,AW243))</f>
        <v>0</v>
      </c>
      <c r="AX83" s="671">
        <f>IF('הנחות עבודה'!$C$4=$B$168,AX191,IF('הנחות עבודה'!$C$4=$B$194,AX217,AX243))</f>
        <v>0.35238000000000003</v>
      </c>
      <c r="AY83" s="667">
        <f>IF('הנחות עבודה'!$C$4=$B$168,AY191,IF('הנחות עבודה'!$C$4=$B$194,AY217,AY243))</f>
        <v>24.274962478052004</v>
      </c>
      <c r="AZ83" s="668">
        <f>IF('הנחות עבודה'!$C$4=$B$168,AZ191,IF('הנחות עבודה'!$C$4=$B$194,AZ217,AZ243))</f>
        <v>0</v>
      </c>
      <c r="BA83" s="668">
        <f ca="1">IF('הנחות עבודה'!$C$4=$B$168,BA191,IF('הנחות עבודה'!$C$4=$B$194,BA217,BA243))</f>
        <v>2.1998863899999876</v>
      </c>
      <c r="BB83" s="668">
        <f ca="1">IF('הנחות עבודה'!$C$4=$B$168,BB191,IF('הנחות עבודה'!$C$4=$B$194,BB217,BB243))</f>
        <v>0.61319999999990338</v>
      </c>
      <c r="BC83" s="668">
        <f ca="1">IF('הנחות עבודה'!$C$4=$B$168,BC191,IF('הנחות עבודה'!$C$4=$B$194,BC217,BC243))</f>
        <v>0.7377660400000029</v>
      </c>
      <c r="BD83" s="668">
        <f>IF('הנחות עבודה'!$C$4=$B$168,BD191,IF('הנחות עבודה'!$C$4=$B$194,BD217,BD243))</f>
        <v>0</v>
      </c>
      <c r="BE83" s="668">
        <f>IF('הנחות עבודה'!$C$4=$B$168,BE191,IF('הנחות עבודה'!$C$4=$B$194,BE217,BE243))</f>
        <v>16.600000000000001</v>
      </c>
      <c r="BF83" s="668">
        <f ca="1">IF('הנחות עבודה'!$C$4=$B$168,BF191,IF('הנחות עבודה'!$C$4=$B$194,BF217,BF243))</f>
        <v>82.128107261050602</v>
      </c>
      <c r="BG83" s="668">
        <f>IF('הנחות עבודה'!$C$4=$B$168,BG191,IF('הנחות עבודה'!$C$4=$B$194,BG217,BG243))</f>
        <v>0</v>
      </c>
      <c r="BH83" s="668">
        <f>IF('הנחות עבודה'!$C$4=$B$168,BH191,IF('הנחות עבודה'!$C$4=$B$194,BH217,BH243))</f>
        <v>0</v>
      </c>
      <c r="BI83" s="668">
        <f>IF('הנחות עבודה'!$C$4=$B$168,BI191,IF('הנחות עבודה'!$C$4=$B$194,BI217,BI243))</f>
        <v>0</v>
      </c>
      <c r="BJ83" s="668">
        <f>IF('הנחות עבודה'!$C$4=$B$168,BJ191,IF('הנחות עבודה'!$C$4=$B$194,BJ217,BJ243))</f>
        <v>0.34340000000000004</v>
      </c>
      <c r="BK83" s="672">
        <f>IF('הנחות עבודה'!$C$4=$B$168,BK191,IF('הנחות עבודה'!$C$4=$B$194,BK217,BK243))</f>
        <v>0</v>
      </c>
      <c r="BL83" s="671">
        <f>IF('הנחות עבודה'!$C$4=$B$168,BL191,IF('הנחות עבודה'!$C$4=$B$194,BL217,BL243))</f>
        <v>24.274962478052004</v>
      </c>
      <c r="BM83" s="671">
        <f ca="1">IF('הנחות עבודה'!$C$4=$B$168,BM191,IF('הנחות עבודה'!$C$4=$B$194,BM217,BM243))</f>
        <v>2.1998863899999876</v>
      </c>
      <c r="BN83" s="671">
        <f ca="1">IF('הנחות עבודה'!$C$4=$B$168,BN191,IF('הנחות עבודה'!$C$4=$B$194,BN217,BN243))</f>
        <v>0.61319999999990338</v>
      </c>
      <c r="BO83" s="671">
        <f ca="1">IF('הנחות עבודה'!$C$4=$B$168,BO191,IF('הנחות עבודה'!$C$4=$B$194,BO217,BO243))</f>
        <v>0.7377660400000029</v>
      </c>
      <c r="BP83" s="671">
        <f>IF('הנחות עבודה'!$C$4=$B$168,BP191,IF('הנחות עבודה'!$C$4=$B$194,BP217,BP243))</f>
        <v>0</v>
      </c>
      <c r="BQ83" s="671">
        <f>IF('הנחות עבודה'!$C$4=$B$168,BQ191,IF('הנחות עבודה'!$C$4=$B$194,BQ217,BQ243))</f>
        <v>16.600000000000001</v>
      </c>
      <c r="BR83" s="671">
        <f ca="1">IF('הנחות עבודה'!$C$4=$B$168,BR191,IF('הנחות עבודה'!$C$4=$B$194,BR217,BR243))</f>
        <v>82.128107261050602</v>
      </c>
      <c r="BS83" s="671">
        <f>IF('הנחות עבודה'!$C$4=$B$168,BS191,IF('הנחות עבודה'!$C$4=$B$194,BS217,BS243))</f>
        <v>0</v>
      </c>
      <c r="BT83" s="671">
        <f>IF('הנחות עבודה'!$C$4=$B$168,BT191,IF('הנחות עבודה'!$C$4=$B$194,BT217,BT243))</f>
        <v>0</v>
      </c>
      <c r="BU83" s="671">
        <f>IF('הנחות עבודה'!$C$4=$B$168,BU191,IF('הנחות עבודה'!$C$4=$B$194,BU217,BU243))</f>
        <v>0</v>
      </c>
      <c r="BV83" s="673">
        <f>IF('הנחות עבודה'!$C$4=$B$168,BV191,IF('הנחות עבודה'!$C$4=$B$194,BV217,BV243))</f>
        <v>0.34340000000000004</v>
      </c>
      <c r="BX83" s="552"/>
      <c r="BY83" s="301"/>
      <c r="BZ83" s="301"/>
      <c r="CA83" s="301"/>
    </row>
    <row r="84" spans="2:79" ht="16.5" thickBot="1">
      <c r="B84" s="11">
        <f t="shared" si="226"/>
        <v>2040</v>
      </c>
      <c r="C84" s="674">
        <f>IF('הנחות עבודה'!$C$4=$B$168,C192,IF('הנחות עבודה'!$C$4=$B$194,C218,C244))</f>
        <v>12.224443410979578</v>
      </c>
      <c r="D84" s="675">
        <f>IF('הנחות עבודה'!$C$4=$B$168,D192,IF('הנחות עבודה'!$C$4=$B$194,D218,D244))</f>
        <v>0</v>
      </c>
      <c r="E84" s="675">
        <f ca="1">IF('הנחות עבודה'!$C$4=$B$168,E192,IF('הנחות עבודה'!$C$4=$B$194,E218,E244))</f>
        <v>2.1998863899999876</v>
      </c>
      <c r="F84" s="675">
        <f ca="1">IF('הנחות עבודה'!$C$4=$B$168,F192,IF('הנחות עבודה'!$C$4=$B$194,F218,F244))</f>
        <v>0.61319999999990338</v>
      </c>
      <c r="G84" s="675">
        <f ca="1">IF('הנחות עבודה'!$C$4=$B$168,G192,IF('הנחות עבודה'!$C$4=$B$194,G218,G244))</f>
        <v>0.7377660400000029</v>
      </c>
      <c r="H84" s="675">
        <f>IF('הנחות עבודה'!$C$4=$B$168,H192,IF('הנחות עבודה'!$C$4=$B$194,H218,H244))</f>
        <v>0</v>
      </c>
      <c r="I84" s="675">
        <f>IF('הנחות עבודה'!$C$4=$B$168,I192,IF('הנחות עבודה'!$C$4=$B$194,I218,I244))</f>
        <v>15.710510000000001</v>
      </c>
      <c r="J84" s="675">
        <f ca="1">IF('הנחות עבודה'!$C$4=$B$168,J192,IF('הנחות עבודה'!$C$4=$B$194,J218,J244))</f>
        <v>98.870675993196102</v>
      </c>
      <c r="K84" s="675">
        <f>IF('הנחות עבודה'!$C$4=$B$168,K192,IF('הנחות עבודה'!$C$4=$B$194,K218,K244))</f>
        <v>0</v>
      </c>
      <c r="L84" s="675">
        <f>IF('הנחות עבודה'!$C$4=$B$168,L192,IF('הנחות עבודה'!$C$4=$B$194,L218,L244))</f>
        <v>0</v>
      </c>
      <c r="M84" s="47">
        <f>IF('הנחות עבודה'!$C$4=$B$168,M192,IF('הנחות עבודה'!$C$4=$B$194,M218,M244))</f>
        <v>0</v>
      </c>
      <c r="N84" s="676">
        <f>IF('הנחות עבודה'!$C$4=$B$168,N192,IF('הנחות עבודה'!$C$4=$B$194,N218,N244))</f>
        <v>0.34776000000000001</v>
      </c>
      <c r="O84" s="677">
        <f>IF('הנחות עבודה'!$C$4=$B$168,O192,IF('הנחות עבודה'!$C$4=$B$194,O218,O244))</f>
        <v>0</v>
      </c>
      <c r="P84" s="678">
        <f>IF('הנחות עבודה'!$C$4=$B$168,P192,IF('הנחות עבודה'!$C$4=$B$194,P218,P244))</f>
        <v>12.224443410979578</v>
      </c>
      <c r="Q84" s="678">
        <f ca="1">IF('הנחות עבודה'!$C$4=$B$168,Q192,IF('הנחות עבודה'!$C$4=$B$194,Q218,Q244))</f>
        <v>2.1998863899999876</v>
      </c>
      <c r="R84" s="678">
        <f ca="1">IF('הנחות עבודה'!$C$4=$B$168,R192,IF('הנחות עבודה'!$C$4=$B$194,R218,R244))</f>
        <v>0.61319999999990338</v>
      </c>
      <c r="S84" s="678">
        <f ca="1">IF('הנחות עבודה'!$C$4=$B$168,S192,IF('הנחות עבודה'!$C$4=$B$194,S218,S244))</f>
        <v>0.7377660400000029</v>
      </c>
      <c r="T84" s="678">
        <f>IF('הנחות עבודה'!$C$4=$B$168,T192,IF('הנחות עבודה'!$C$4=$B$194,T218,T244))</f>
        <v>0</v>
      </c>
      <c r="U84" s="678">
        <f>IF('הנחות עבודה'!$C$4=$B$168,U192,IF('הנחות עבודה'!$C$4=$B$194,U218,U244))</f>
        <v>15.710510000000001</v>
      </c>
      <c r="V84" s="678">
        <f ca="1">IF('הנחות עבודה'!$C$4=$B$168,V192,IF('הנחות עבודה'!$C$4=$B$194,V218,V244))</f>
        <v>98.870675993196102</v>
      </c>
      <c r="W84" s="678">
        <f>IF('הנחות עבודה'!$C$4=$B$168,W192,IF('הנחות עבודה'!$C$4=$B$194,W218,W244))</f>
        <v>0</v>
      </c>
      <c r="X84" s="678">
        <f>IF('הנחות עבודה'!$C$4=$B$168,X192,IF('הנחות עבודה'!$C$4=$B$194,X218,X244))</f>
        <v>0</v>
      </c>
      <c r="Y84" s="678">
        <f>IF('הנחות עבודה'!$C$4=$B$168,Y192,IF('הנחות עבודה'!$C$4=$B$194,Y218,Y244))</f>
        <v>0</v>
      </c>
      <c r="Z84" s="678">
        <f>IF('הנחות עבודה'!$C$4=$B$168,Z192,IF('הנחות עבודה'!$C$4=$B$194,Z218,Z244))</f>
        <v>0.34776000000000001</v>
      </c>
      <c r="AA84" s="674">
        <f>IF('הנחות עבודה'!$C$4=$B$168,AA192,IF('הנחות עבודה'!$C$4=$B$194,AA218,AA244))</f>
        <v>19.550516821566724</v>
      </c>
      <c r="AB84" s="675">
        <f>IF('הנחות עבודה'!$C$4=$B$168,AB192,IF('הנחות עבודה'!$C$4=$B$194,AB218,AB244))</f>
        <v>0</v>
      </c>
      <c r="AC84" s="675">
        <f ca="1">IF('הנחות עבודה'!$C$4=$B$168,AC192,IF('הנחות עבודה'!$C$4=$B$194,AC218,AC244))</f>
        <v>2.1998863899999876</v>
      </c>
      <c r="AD84" s="675">
        <f ca="1">IF('הנחות עבודה'!$C$4=$B$168,AD192,IF('הנחות עבודה'!$C$4=$B$194,AD218,AD244))</f>
        <v>0.61319999999990338</v>
      </c>
      <c r="AE84" s="675">
        <f ca="1">IF('הנחות עבודה'!$C$4=$B$168,AE192,IF('הנחות עבודה'!$C$4=$B$194,AE218,AE244))</f>
        <v>0.7377660400000029</v>
      </c>
      <c r="AF84" s="675">
        <f>IF('הנחות עבודה'!$C$4=$B$168,AF192,IF('הנחות עבודה'!$C$4=$B$194,AF218,AF244))</f>
        <v>0</v>
      </c>
      <c r="AG84" s="675">
        <f>IF('הנחות עבודה'!$C$4=$B$168,AG192,IF('הנחות עבודה'!$C$4=$B$194,AG218,AG244))</f>
        <v>16.313359999999999</v>
      </c>
      <c r="AH84" s="675">
        <f ca="1">IF('הנחות עבודה'!$C$4=$B$168,AH192,IF('הנחות עבודה'!$C$4=$B$194,AH218,AH244))</f>
        <v>90.93845258260896</v>
      </c>
      <c r="AI84" s="675">
        <f>IF('הנחות עבודה'!$C$4=$B$168,AI192,IF('הנחות עבודה'!$C$4=$B$194,AI218,AI244))</f>
        <v>0</v>
      </c>
      <c r="AJ84" s="675">
        <f>IF('הנחות עבודה'!$C$4=$B$168,AJ192,IF('הנחות עבודה'!$C$4=$B$194,AJ218,AJ244))</f>
        <v>0</v>
      </c>
      <c r="AK84" s="47">
        <f>IF('הנחות עבודה'!$C$4=$B$168,AK192,IF('הנחות עבודה'!$C$4=$B$194,AK218,AK244))</f>
        <v>0</v>
      </c>
      <c r="AL84" s="676">
        <f>IF('הנחות עבודה'!$C$4=$B$168,AL192,IF('הנחות עבודה'!$C$4=$B$194,AL218,AL244))</f>
        <v>0.35105999999999998</v>
      </c>
      <c r="AM84" s="677">
        <f>IF('הנחות עבודה'!$C$4=$B$168,AM192,IF('הנחות עבודה'!$C$4=$B$194,AM218,AM244))</f>
        <v>0</v>
      </c>
      <c r="AN84" s="678">
        <f>IF('הנחות עבודה'!$C$4=$B$168,AN192,IF('הנחות עבודה'!$C$4=$B$194,AN218,AN244))</f>
        <v>19.550516821566724</v>
      </c>
      <c r="AO84" s="678">
        <f ca="1">IF('הנחות עבודה'!$C$4=$B$168,AO192,IF('הנחות עבודה'!$C$4=$B$194,AO218,AO244))</f>
        <v>2.1998863899999876</v>
      </c>
      <c r="AP84" s="678">
        <f ca="1">IF('הנחות עבודה'!$C$4=$B$168,AP192,IF('הנחות עבודה'!$C$4=$B$194,AP218,AP244))</f>
        <v>0.61319999999990338</v>
      </c>
      <c r="AQ84" s="678">
        <f ca="1">IF('הנחות עבודה'!$C$4=$B$168,AQ192,IF('הנחות עבודה'!$C$4=$B$194,AQ218,AQ244))</f>
        <v>0.7377660400000029</v>
      </c>
      <c r="AR84" s="678">
        <f>IF('הנחות עבודה'!$C$4=$B$168,AR192,IF('הנחות עבודה'!$C$4=$B$194,AR218,AR244))</f>
        <v>0</v>
      </c>
      <c r="AS84" s="678">
        <f>IF('הנחות עבודה'!$C$4=$B$168,AS192,IF('הנחות עבודה'!$C$4=$B$194,AS218,AS244))</f>
        <v>16.313359999999999</v>
      </c>
      <c r="AT84" s="678">
        <f ca="1">IF('הנחות עבודה'!$C$4=$B$168,AT192,IF('הנחות עבודה'!$C$4=$B$194,AT218,AT244))</f>
        <v>90.93845258260896</v>
      </c>
      <c r="AU84" s="678">
        <f>IF('הנחות עבודה'!$C$4=$B$168,AU192,IF('הנחות עבודה'!$C$4=$B$194,AU218,AU244))</f>
        <v>0</v>
      </c>
      <c r="AV84" s="678">
        <f>IF('הנחות עבודה'!$C$4=$B$168,AV192,IF('הנחות עבודה'!$C$4=$B$194,AV218,AV244))</f>
        <v>0</v>
      </c>
      <c r="AW84" s="678">
        <f>IF('הנחות עבודה'!$C$4=$B$168,AW192,IF('הנחות עבודה'!$C$4=$B$194,AW218,AW244))</f>
        <v>0</v>
      </c>
      <c r="AX84" s="678">
        <f>IF('הנחות עבודה'!$C$4=$B$168,AX192,IF('הנחות עבודה'!$C$4=$B$194,AX218,AX244))</f>
        <v>0.35105999999999998</v>
      </c>
      <c r="AY84" s="717">
        <f>IF('הנחות עבודה'!$C$4=$B$168,AY192,IF('הנחות עבודה'!$C$4=$B$194,AY218,AY244))</f>
        <v>24.12931270318369</v>
      </c>
      <c r="AZ84" s="718">
        <f>IF('הנחות עבודה'!$C$4=$B$168,AZ192,IF('הנחות עבודה'!$C$4=$B$194,AZ218,AZ244))</f>
        <v>0</v>
      </c>
      <c r="BA84" s="718">
        <f ca="1">IF('הנחות עבודה'!$C$4=$B$168,BA192,IF('הנחות עבודה'!$C$4=$B$194,BA218,BA244))</f>
        <v>2.1998863899999876</v>
      </c>
      <c r="BB84" s="718">
        <f ca="1">IF('הנחות עבודה'!$C$4=$B$168,BB192,IF('הנחות עבודה'!$C$4=$B$194,BB218,BB244))</f>
        <v>0.61319999999990338</v>
      </c>
      <c r="BC84" s="718">
        <f ca="1">IF('הנחות עבודה'!$C$4=$B$168,BC192,IF('הנחות עבודה'!$C$4=$B$194,BC218,BC244))</f>
        <v>0.7377660400000029</v>
      </c>
      <c r="BD84" s="718">
        <f>IF('הנחות עבודה'!$C$4=$B$168,BD192,IF('הנחות עבודה'!$C$4=$B$194,BD218,BD244))</f>
        <v>0</v>
      </c>
      <c r="BE84" s="718">
        <f>IF('הנחות עבודה'!$C$4=$B$168,BE192,IF('הנחות עבודה'!$C$4=$B$194,BE218,BE244))</f>
        <v>16.712</v>
      </c>
      <c r="BF84" s="718">
        <f ca="1">IF('הנחות עבודה'!$C$4=$B$168,BF192,IF('הנחות עבודה'!$C$4=$B$194,BF218,BF244))</f>
        <v>85.966776700992</v>
      </c>
      <c r="BG84" s="718">
        <f>IF('הנחות עבודה'!$C$4=$B$168,BG192,IF('הנחות עבודה'!$C$4=$B$194,BG218,BG244))</f>
        <v>0</v>
      </c>
      <c r="BH84" s="718">
        <f>IF('הנחות עבודה'!$C$4=$B$168,BH192,IF('הנחות עבודה'!$C$4=$B$194,BH218,BH244))</f>
        <v>0</v>
      </c>
      <c r="BI84" s="718">
        <f>IF('הנחות עבודה'!$C$4=$B$168,BI192,IF('הנחות עבודה'!$C$4=$B$194,BI218,BI244))</f>
        <v>0</v>
      </c>
      <c r="BJ84" s="718">
        <f>IF('הנחות עבודה'!$C$4=$B$168,BJ192,IF('הנחות עבודה'!$C$4=$B$194,BJ218,BJ244))</f>
        <v>0.3453</v>
      </c>
      <c r="BK84" s="679">
        <f>IF('הנחות עבודה'!$C$4=$B$168,BK192,IF('הנחות עבודה'!$C$4=$B$194,BK218,BK244))</f>
        <v>0</v>
      </c>
      <c r="BL84" s="678">
        <f>IF('הנחות עבודה'!$C$4=$B$168,BL192,IF('הנחות עבודה'!$C$4=$B$194,BL218,BL244))</f>
        <v>24.12931270318369</v>
      </c>
      <c r="BM84" s="678">
        <f ca="1">IF('הנחות עבודה'!$C$4=$B$168,BM192,IF('הנחות עבודה'!$C$4=$B$194,BM218,BM244))</f>
        <v>2.1998863899999876</v>
      </c>
      <c r="BN84" s="678">
        <f ca="1">IF('הנחות עבודה'!$C$4=$B$168,BN192,IF('הנחות עבודה'!$C$4=$B$194,BN218,BN244))</f>
        <v>0.61319999999990338</v>
      </c>
      <c r="BO84" s="678">
        <f ca="1">IF('הנחות עבודה'!$C$4=$B$168,BO192,IF('הנחות עבודה'!$C$4=$B$194,BO218,BO244))</f>
        <v>0.7377660400000029</v>
      </c>
      <c r="BP84" s="678">
        <f>IF('הנחות עבודה'!$C$4=$B$168,BP192,IF('הנחות עבודה'!$C$4=$B$194,BP218,BP244))</f>
        <v>0</v>
      </c>
      <c r="BQ84" s="678">
        <f>IF('הנחות עבודה'!$C$4=$B$168,BQ192,IF('הנחות עבודה'!$C$4=$B$194,BQ218,BQ244))</f>
        <v>16.712</v>
      </c>
      <c r="BR84" s="678">
        <f ca="1">IF('הנחות עבודה'!$C$4=$B$168,BR192,IF('הנחות עבודה'!$C$4=$B$194,BR218,BR244))</f>
        <v>85.966776700992</v>
      </c>
      <c r="BS84" s="678">
        <f>IF('הנחות עבודה'!$C$4=$B$168,BS192,IF('הנחות עבודה'!$C$4=$B$194,BS218,BS244))</f>
        <v>0</v>
      </c>
      <c r="BT84" s="678">
        <f>IF('הנחות עבודה'!$C$4=$B$168,BT192,IF('הנחות עבודה'!$C$4=$B$194,BT218,BT244))</f>
        <v>0</v>
      </c>
      <c r="BU84" s="678">
        <f>IF('הנחות עבודה'!$C$4=$B$168,BU192,IF('הנחות עבודה'!$C$4=$B$194,BU218,BU244))</f>
        <v>0</v>
      </c>
      <c r="BV84" s="680">
        <f>IF('הנחות עבודה'!$C$4=$B$168,BV192,IF('הנחות עבודה'!$C$4=$B$194,BV218,BV244))</f>
        <v>0.3453</v>
      </c>
      <c r="BX84" s="552"/>
      <c r="BY84" s="301"/>
      <c r="BZ84" s="301"/>
      <c r="CA84" s="301"/>
    </row>
    <row r="85" spans="2:79" ht="16.5" thickBot="1">
      <c r="B85" s="7" t="s">
        <v>282</v>
      </c>
      <c r="C85" s="65">
        <f>SUM(C64:C84)</f>
        <v>221.87869691106835</v>
      </c>
      <c r="D85" s="65">
        <f t="shared" ref="D85:H85" si="227">SUM(D64:D84)</f>
        <v>0</v>
      </c>
      <c r="E85" s="65">
        <f t="shared" ca="1" si="227"/>
        <v>38.760190065999794</v>
      </c>
      <c r="F85" s="65">
        <f t="shared" ca="1" si="227"/>
        <v>11.037599999998259</v>
      </c>
      <c r="G85" s="65">
        <f t="shared" ca="1" si="227"/>
        <v>15.493086840000053</v>
      </c>
      <c r="H85" s="65">
        <f t="shared" si="227"/>
        <v>0</v>
      </c>
      <c r="I85" s="65">
        <f t="shared" ref="I85" si="228">SUM(I64:I84)</f>
        <v>239.80283</v>
      </c>
      <c r="J85" s="65">
        <f t="shared" ref="J85:K85" ca="1" si="229">SUM(J64:J84)</f>
        <v>1475.5192734896277</v>
      </c>
      <c r="K85" s="65">
        <f t="shared" si="229"/>
        <v>0</v>
      </c>
      <c r="L85" s="65">
        <f t="shared" ref="L85:S85" si="230">SUM(L64:L84)</f>
        <v>0</v>
      </c>
      <c r="M85" s="65">
        <f t="shared" si="230"/>
        <v>74.708280000000002</v>
      </c>
      <c r="N85" s="65">
        <f t="shared" si="230"/>
        <v>7.3293399999999993</v>
      </c>
      <c r="O85" s="76">
        <f t="shared" si="230"/>
        <v>0</v>
      </c>
      <c r="P85" s="76">
        <f t="shared" si="230"/>
        <v>221.87869691106835</v>
      </c>
      <c r="Q85" s="76">
        <f t="shared" ca="1" si="230"/>
        <v>38.760190065999794</v>
      </c>
      <c r="R85" s="76">
        <f t="shared" ca="1" si="230"/>
        <v>11.037599999998259</v>
      </c>
      <c r="S85" s="76">
        <f t="shared" ca="1" si="230"/>
        <v>15.493086840000053</v>
      </c>
      <c r="T85" s="76">
        <f t="shared" ref="T85" si="231">SUM(T64:T84)</f>
        <v>0</v>
      </c>
      <c r="U85" s="76">
        <f t="shared" ref="U85:X85" si="232">SUM(U64:U84)</f>
        <v>239.80283</v>
      </c>
      <c r="V85" s="76">
        <f t="shared" ca="1" si="232"/>
        <v>1475.5192734896277</v>
      </c>
      <c r="W85" s="76">
        <f t="shared" si="232"/>
        <v>0</v>
      </c>
      <c r="X85" s="76">
        <f t="shared" si="232"/>
        <v>0</v>
      </c>
      <c r="Y85" s="76">
        <f t="shared" ref="Y85:BE85" si="233">SUM(Y64:Y84)</f>
        <v>74.708280000000002</v>
      </c>
      <c r="Z85" s="76">
        <f t="shared" si="233"/>
        <v>7.3293399999999993</v>
      </c>
      <c r="AA85" s="65">
        <f t="shared" ref="AA85:AX85" si="234">SUM(AA64:AA84)</f>
        <v>338.77009041446485</v>
      </c>
      <c r="AB85" s="65">
        <f t="shared" si="234"/>
        <v>0</v>
      </c>
      <c r="AC85" s="65">
        <f t="shared" ca="1" si="234"/>
        <v>38.760190065999794</v>
      </c>
      <c r="AD85" s="65">
        <f t="shared" ca="1" si="234"/>
        <v>11.037599999998259</v>
      </c>
      <c r="AE85" s="65">
        <f t="shared" ca="1" si="234"/>
        <v>15.493086840000053</v>
      </c>
      <c r="AF85" s="65">
        <f t="shared" si="234"/>
        <v>0</v>
      </c>
      <c r="AG85" s="65">
        <f t="shared" si="234"/>
        <v>248.80518999999998</v>
      </c>
      <c r="AH85" s="65">
        <f t="shared" ca="1" si="234"/>
        <v>1349.6268599862312</v>
      </c>
      <c r="AI85" s="65">
        <f t="shared" si="234"/>
        <v>0</v>
      </c>
      <c r="AJ85" s="65">
        <f t="shared" si="234"/>
        <v>0</v>
      </c>
      <c r="AK85" s="65">
        <f t="shared" si="234"/>
        <v>74.678529999999995</v>
      </c>
      <c r="AL85" s="65">
        <f t="shared" si="234"/>
        <v>7.3577499999999993</v>
      </c>
      <c r="AM85" s="76">
        <f t="shared" si="234"/>
        <v>0</v>
      </c>
      <c r="AN85" s="76">
        <f t="shared" si="234"/>
        <v>338.77009041446485</v>
      </c>
      <c r="AO85" s="76">
        <f t="shared" ca="1" si="234"/>
        <v>38.760190065999794</v>
      </c>
      <c r="AP85" s="76">
        <f t="shared" ca="1" si="234"/>
        <v>11.037599999998259</v>
      </c>
      <c r="AQ85" s="76">
        <f t="shared" ca="1" si="234"/>
        <v>15.493086840000053</v>
      </c>
      <c r="AR85" s="76">
        <f t="shared" si="234"/>
        <v>0</v>
      </c>
      <c r="AS85" s="76">
        <f t="shared" si="234"/>
        <v>248.80518999999998</v>
      </c>
      <c r="AT85" s="76">
        <f t="shared" ca="1" si="234"/>
        <v>1349.6268599862312</v>
      </c>
      <c r="AU85" s="76">
        <f t="shared" si="234"/>
        <v>0</v>
      </c>
      <c r="AV85" s="76">
        <f t="shared" si="234"/>
        <v>0</v>
      </c>
      <c r="AW85" s="76">
        <f t="shared" si="234"/>
        <v>74.678529999999995</v>
      </c>
      <c r="AX85" s="76">
        <f t="shared" si="234"/>
        <v>7.3577499999999993</v>
      </c>
      <c r="AY85" s="318">
        <f t="shared" si="233"/>
        <v>410.50056033658768</v>
      </c>
      <c r="AZ85" s="318">
        <f t="shared" si="233"/>
        <v>0</v>
      </c>
      <c r="BA85" s="318">
        <f t="shared" ca="1" si="233"/>
        <v>38.760190065999794</v>
      </c>
      <c r="BB85" s="318">
        <f t="shared" ca="1" si="233"/>
        <v>10.57769999999833</v>
      </c>
      <c r="BC85" s="318">
        <f t="shared" ca="1" si="233"/>
        <v>15.493086840000053</v>
      </c>
      <c r="BD85" s="318">
        <f t="shared" si="233"/>
        <v>0</v>
      </c>
      <c r="BE85" s="318">
        <f t="shared" si="233"/>
        <v>253.82371000000003</v>
      </c>
      <c r="BF85" s="318">
        <f t="shared" ref="BF85:BH85" ca="1" si="235">SUM(BF64:BF84)</f>
        <v>1273.4011800641083</v>
      </c>
      <c r="BG85" s="318">
        <f t="shared" si="235"/>
        <v>0</v>
      </c>
      <c r="BH85" s="318">
        <f t="shared" si="235"/>
        <v>0</v>
      </c>
      <c r="BI85" s="318">
        <f t="shared" ref="BI85:BQ85" si="236">SUM(BI64:BI84)</f>
        <v>74.668329999999997</v>
      </c>
      <c r="BJ85" s="318">
        <f t="shared" si="236"/>
        <v>7.3045400000000003</v>
      </c>
      <c r="BK85" s="76">
        <f t="shared" si="236"/>
        <v>0</v>
      </c>
      <c r="BL85" s="76">
        <f t="shared" si="236"/>
        <v>410.50056033658768</v>
      </c>
      <c r="BM85" s="76">
        <f t="shared" ca="1" si="236"/>
        <v>38.760190065999794</v>
      </c>
      <c r="BN85" s="76">
        <f t="shared" ca="1" si="236"/>
        <v>10.57769999999833</v>
      </c>
      <c r="BO85" s="76">
        <f t="shared" ca="1" si="236"/>
        <v>15.493086840000053</v>
      </c>
      <c r="BP85" s="76">
        <f t="shared" si="236"/>
        <v>0</v>
      </c>
      <c r="BQ85" s="76">
        <f t="shared" si="236"/>
        <v>253.82371000000003</v>
      </c>
      <c r="BR85" s="76">
        <f t="shared" ref="BR85:BT85" ca="1" si="237">SUM(BR64:BR84)</f>
        <v>1273.4011800641083</v>
      </c>
      <c r="BS85" s="76">
        <f t="shared" si="237"/>
        <v>0</v>
      </c>
      <c r="BT85" s="76">
        <f t="shared" si="237"/>
        <v>0</v>
      </c>
      <c r="BU85" s="76">
        <f>SUM(BU64:BU84)</f>
        <v>74.668329999999997</v>
      </c>
      <c r="BV85" s="76">
        <f>SUM(BV64:BV84)</f>
        <v>7.3045400000000003</v>
      </c>
    </row>
    <row r="86" spans="2:79" ht="16.5" thickBot="1">
      <c r="B86" s="7" t="s">
        <v>283</v>
      </c>
      <c r="C86" s="318">
        <f>SUMIFS(C64:C84,$B$64:$B$84,"&gt;="&amp;'הנחות עבודה'!$C$6,$B$64:$B$84,"&lt;="&amp;'הנחות עבודה'!$C$7)</f>
        <v>221.87869691106835</v>
      </c>
      <c r="D86" s="318">
        <f>SUMIFS(D64:D84,$B$64:$B$84,"&gt;="&amp;'הנחות עבודה'!$C$6,$B$64:$B$84,"&lt;="&amp;'הנחות עבודה'!$C$7)</f>
        <v>0</v>
      </c>
      <c r="E86" s="318">
        <f ca="1">SUMIFS(E64:E84,$B$64:$B$84,"&gt;="&amp;'הנחות עבודה'!$C$6,$B$64:$B$84,"&lt;="&amp;'הנחות עבודה'!$C$7)</f>
        <v>38.760190065999794</v>
      </c>
      <c r="F86" s="318">
        <f ca="1">SUMIFS(F64:F84,$B$64:$B$84,"&gt;="&amp;'הנחות עבודה'!$C$6,$B$64:$B$84,"&lt;="&amp;'הנחות עבודה'!$C$7)</f>
        <v>11.037599999998259</v>
      </c>
      <c r="G86" s="318">
        <f ca="1">SUMIFS(G64:G84,$B$64:$B$84,"&gt;="&amp;'הנחות עבודה'!$C$6,$B$64:$B$84,"&lt;="&amp;'הנחות עבודה'!$C$7)</f>
        <v>15.493086840000053</v>
      </c>
      <c r="H86" s="318">
        <f>SUMIFS(H64:H84,$B$64:$B$84,"&gt;="&amp;'הנחות עבודה'!$C$6,$B$64:$B$84,"&lt;="&amp;'הנחות עבודה'!$C$7)</f>
        <v>0</v>
      </c>
      <c r="I86" s="318">
        <f>SUMIFS(I64:I84,$B$64:$B$84,"&gt;="&amp;'הנחות עבודה'!$C$6,$B$64:$B$84,"&lt;="&amp;'הנחות עבודה'!$C$7)</f>
        <v>239.80283</v>
      </c>
      <c r="J86" s="318">
        <f ca="1">SUMIFS(J64:J84,$B$64:$B$84,"&gt;="&amp;'הנחות עבודה'!$C$6,$B$64:$B$84,"&lt;="&amp;'הנחות עבודה'!$C$7)</f>
        <v>1475.5192734896277</v>
      </c>
      <c r="K86" s="318">
        <f>SUMIFS(K64:K84,$B$64:$B$84,"&gt;="&amp;'הנחות עבודה'!$C$6,$B$64:$B$84,"&lt;="&amp;'הנחות עבודה'!$C$7)</f>
        <v>0</v>
      </c>
      <c r="L86" s="318">
        <f>SUMIFS(L64:L84,$B$64:$B$84,"&gt;="&amp;'הנחות עבודה'!$C$6,$B$64:$B$84,"&lt;="&amp;'הנחות עבודה'!$C$7)</f>
        <v>0</v>
      </c>
      <c r="M86" s="318">
        <f>SUMIFS(M64:M84,$B$64:$B$84,"&gt;="&amp;'הנחות עבודה'!$C$6,$B$64:$B$84,"&lt;="&amp;'הנחות עבודה'!$C$7)</f>
        <v>74.708280000000002</v>
      </c>
      <c r="N86" s="318">
        <f>SUMIFS(N64:N84,$B$64:$B$84,"&gt;="&amp;'הנחות עבודה'!$C$6,$B$64:$B$84,"&lt;="&amp;'הנחות עבודה'!$C$7)</f>
        <v>7.3293399999999993</v>
      </c>
      <c r="O86" s="384">
        <f>SUMIFS(O64:O84,$B$64:$B$84,"&gt;="&amp;'הנחות עבודה'!$C$6,$B$64:$B$84,"&lt;="&amp;'הנחות עבודה'!$C$7)</f>
        <v>0</v>
      </c>
      <c r="P86" s="384">
        <f>SUMIFS(P64:P84,$B$64:$B$84,"&gt;="&amp;'הנחות עבודה'!$C$6,$B$64:$B$84,"&lt;="&amp;'הנחות עבודה'!$C$7)</f>
        <v>221.87869691106835</v>
      </c>
      <c r="Q86" s="384">
        <f ca="1">SUMIFS(Q64:Q84,$B$64:$B$84,"&gt;="&amp;'הנחות עבודה'!$C$6,$B$64:$B$84,"&lt;="&amp;'הנחות עבודה'!$C$7)</f>
        <v>38.760190065999794</v>
      </c>
      <c r="R86" s="384">
        <f ca="1">SUMIFS(R64:R84,$B$64:$B$84,"&gt;="&amp;'הנחות עבודה'!$C$6,$B$64:$B$84,"&lt;="&amp;'הנחות עבודה'!$C$7)</f>
        <v>11.037599999998259</v>
      </c>
      <c r="S86" s="384">
        <f ca="1">SUMIFS(S64:S84,$B$64:$B$84,"&gt;="&amp;'הנחות עבודה'!$C$6,$B$64:$B$84,"&lt;="&amp;'הנחות עבודה'!$C$7)</f>
        <v>15.493086840000053</v>
      </c>
      <c r="T86" s="384">
        <f>SUMIFS(T64:T84,$B$64:$B$84,"&gt;="&amp;'הנחות עבודה'!$C$6,$B$64:$B$84,"&lt;="&amp;'הנחות עבודה'!$C$7)</f>
        <v>0</v>
      </c>
      <c r="U86" s="384">
        <f>SUMIFS(U64:U84,$B$64:$B$84,"&gt;="&amp;'הנחות עבודה'!$C$6,$B$64:$B$84,"&lt;="&amp;'הנחות עבודה'!$C$7)</f>
        <v>239.80283</v>
      </c>
      <c r="V86" s="384">
        <f ca="1">SUMIFS(V64:V84,$B$64:$B$84,"&gt;="&amp;'הנחות עבודה'!$C$6,$B$64:$B$84,"&lt;="&amp;'הנחות עבודה'!$C$7)</f>
        <v>1475.5192734896277</v>
      </c>
      <c r="W86" s="384">
        <f>SUMIFS(W64:W84,$B$64:$B$84,"&gt;="&amp;'הנחות עבודה'!$C$6,$B$64:$B$84,"&lt;="&amp;'הנחות עבודה'!$C$7)</f>
        <v>0</v>
      </c>
      <c r="X86" s="384">
        <f>SUMIFS(X64:X84,$B$64:$B$84,"&gt;="&amp;'הנחות עבודה'!$C$6,$B$64:$B$84,"&lt;="&amp;'הנחות עבודה'!$C$7)</f>
        <v>0</v>
      </c>
      <c r="Y86" s="384">
        <f>SUMIFS(Y64:Y84,$B$64:$B$84,"&gt;="&amp;'הנחות עבודה'!$C$6,$B$64:$B$84,"&lt;="&amp;'הנחות עבודה'!$C$7)</f>
        <v>74.708280000000002</v>
      </c>
      <c r="Z86" s="384">
        <f>SUMIFS(Z64:Z84,$B$64:$B$84,"&gt;="&amp;'הנחות עבודה'!$C$6,$B$64:$B$84,"&lt;="&amp;'הנחות עבודה'!$C$7)</f>
        <v>7.3293399999999993</v>
      </c>
      <c r="AA86" s="318">
        <f>SUMIFS(AA64:AA84,$B$64:$B$84,"&gt;="&amp;'הנחות עבודה'!$C$6,$B$64:$B$84,"&lt;="&amp;'הנחות עבודה'!$C$7)</f>
        <v>338.77009041446485</v>
      </c>
      <c r="AB86" s="318">
        <f>SUMIFS(AB64:AB84,$B$64:$B$84,"&gt;="&amp;'הנחות עבודה'!$C$6,$B$64:$B$84,"&lt;="&amp;'הנחות עבודה'!$C$7)</f>
        <v>0</v>
      </c>
      <c r="AC86" s="318">
        <f ca="1">SUMIFS(AC64:AC84,$B$64:$B$84,"&gt;="&amp;'הנחות עבודה'!$C$6,$B$64:$B$84,"&lt;="&amp;'הנחות עבודה'!$C$7)</f>
        <v>38.760190065999794</v>
      </c>
      <c r="AD86" s="318">
        <f ca="1">SUMIFS(AD64:AD84,$B$64:$B$84,"&gt;="&amp;'הנחות עבודה'!$C$6,$B$64:$B$84,"&lt;="&amp;'הנחות עבודה'!$C$7)</f>
        <v>11.037599999998259</v>
      </c>
      <c r="AE86" s="318">
        <f ca="1">SUMIFS(AE64:AE84,$B$64:$B$84,"&gt;="&amp;'הנחות עבודה'!$C$6,$B$64:$B$84,"&lt;="&amp;'הנחות עבודה'!$C$7)</f>
        <v>15.493086840000053</v>
      </c>
      <c r="AF86" s="318">
        <f>SUMIFS(AF64:AF84,$B$64:$B$84,"&gt;="&amp;'הנחות עבודה'!$C$6,$B$64:$B$84,"&lt;="&amp;'הנחות עבודה'!$C$7)</f>
        <v>0</v>
      </c>
      <c r="AG86" s="318">
        <f>SUMIFS(AG64:AG84,$B$64:$B$84,"&gt;="&amp;'הנחות עבודה'!$C$6,$B$64:$B$84,"&lt;="&amp;'הנחות עבודה'!$C$7)</f>
        <v>248.80518999999998</v>
      </c>
      <c r="AH86" s="318">
        <f ca="1">SUMIFS(AH64:AH84,$B$64:$B$84,"&gt;="&amp;'הנחות עבודה'!$C$6,$B$64:$B$84,"&lt;="&amp;'הנחות עבודה'!$C$7)</f>
        <v>1349.6268599862312</v>
      </c>
      <c r="AI86" s="318">
        <f>SUMIFS(AI64:AI84,$B$64:$B$84,"&gt;="&amp;'הנחות עבודה'!$C$6,$B$64:$B$84,"&lt;="&amp;'הנחות עבודה'!$C$7)</f>
        <v>0</v>
      </c>
      <c r="AJ86" s="318">
        <f>SUMIFS(AJ64:AJ84,$B$64:$B$84,"&gt;="&amp;'הנחות עבודה'!$C$6,$B$64:$B$84,"&lt;="&amp;'הנחות עבודה'!$C$7)</f>
        <v>0</v>
      </c>
      <c r="AK86" s="318">
        <f>SUMIFS(AK64:AK84,$B$64:$B$84,"&gt;="&amp;'הנחות עבודה'!$C$6,$B$64:$B$84,"&lt;="&amp;'הנחות עבודה'!$C$7)</f>
        <v>74.678529999999995</v>
      </c>
      <c r="AL86" s="318">
        <f>SUMIFS(AL64:AL84,$B$64:$B$84,"&gt;="&amp;'הנחות עבודה'!$C$6,$B$64:$B$84,"&lt;="&amp;'הנחות עבודה'!$C$7)</f>
        <v>7.3577499999999993</v>
      </c>
      <c r="AM86" s="384">
        <f>SUMIFS(AM64:AM84,$B$64:$B$84,"&gt;="&amp;'הנחות עבודה'!$C$6,$B$64:$B$84,"&lt;="&amp;'הנחות עבודה'!$C$7)</f>
        <v>0</v>
      </c>
      <c r="AN86" s="384">
        <f>SUMIFS(AN64:AN84,$B$64:$B$84,"&gt;="&amp;'הנחות עבודה'!$C$6,$B$64:$B$84,"&lt;="&amp;'הנחות עבודה'!$C$7)</f>
        <v>338.77009041446485</v>
      </c>
      <c r="AO86" s="384">
        <f ca="1">SUMIFS(AO64:AO84,$B$64:$B$84,"&gt;="&amp;'הנחות עבודה'!$C$6,$B$64:$B$84,"&lt;="&amp;'הנחות עבודה'!$C$7)</f>
        <v>38.760190065999794</v>
      </c>
      <c r="AP86" s="384">
        <f ca="1">SUMIFS(AP64:AP84,$B$64:$B$84,"&gt;="&amp;'הנחות עבודה'!$C$6,$B$64:$B$84,"&lt;="&amp;'הנחות עבודה'!$C$7)</f>
        <v>11.037599999998259</v>
      </c>
      <c r="AQ86" s="384">
        <f ca="1">SUMIFS(AQ64:AQ84,$B$64:$B$84,"&gt;="&amp;'הנחות עבודה'!$C$6,$B$64:$B$84,"&lt;="&amp;'הנחות עבודה'!$C$7)</f>
        <v>15.493086840000053</v>
      </c>
      <c r="AR86" s="384">
        <f>SUMIFS(AR64:AR84,$B$64:$B$84,"&gt;="&amp;'הנחות עבודה'!$C$6,$B$64:$B$84,"&lt;="&amp;'הנחות עבודה'!$C$7)</f>
        <v>0</v>
      </c>
      <c r="AS86" s="384">
        <f>SUMIFS(AS64:AS84,$B$64:$B$84,"&gt;="&amp;'הנחות עבודה'!$C$6,$B$64:$B$84,"&lt;="&amp;'הנחות עבודה'!$C$7)</f>
        <v>248.80518999999998</v>
      </c>
      <c r="AT86" s="384">
        <f ca="1">SUMIFS(AT64:AT84,$B$64:$B$84,"&gt;="&amp;'הנחות עבודה'!$C$6,$B$64:$B$84,"&lt;="&amp;'הנחות עבודה'!$C$7)</f>
        <v>1349.6268599862312</v>
      </c>
      <c r="AU86" s="384">
        <f>SUMIFS(AU64:AU84,$B$64:$B$84,"&gt;="&amp;'הנחות עבודה'!$C$6,$B$64:$B$84,"&lt;="&amp;'הנחות עבודה'!$C$7)</f>
        <v>0</v>
      </c>
      <c r="AV86" s="384">
        <f>SUMIFS(AV64:AV84,$B$64:$B$84,"&gt;="&amp;'הנחות עבודה'!$C$6,$B$64:$B$84,"&lt;="&amp;'הנחות עבודה'!$C$7)</f>
        <v>0</v>
      </c>
      <c r="AW86" s="384">
        <f>SUMIFS(AW64:AW84,$B$64:$B$84,"&gt;="&amp;'הנחות עבודה'!$C$6,$B$64:$B$84,"&lt;="&amp;'הנחות עבודה'!$C$7)</f>
        <v>74.678529999999995</v>
      </c>
      <c r="AX86" s="384">
        <f>SUMIFS(AX64:AX84,$B$64:$B$84,"&gt;="&amp;'הנחות עבודה'!$C$6,$B$64:$B$84,"&lt;="&amp;'הנחות עבודה'!$C$7)</f>
        <v>7.3577499999999993</v>
      </c>
      <c r="AY86" s="318">
        <f>SUMIFS(AY64:AY84,$B$64:$B$84,"&gt;="&amp;'הנחות עבודה'!$C$6,$B$64:$B$84,"&lt;="&amp;'הנחות עבודה'!$C$7)</f>
        <v>410.50056033658768</v>
      </c>
      <c r="AZ86" s="318">
        <f>SUMIFS(AZ64:AZ84,$B$64:$B$84,"&gt;="&amp;'הנחות עבודה'!$C$6,$B$64:$B$84,"&lt;="&amp;'הנחות עבודה'!$C$7)</f>
        <v>0</v>
      </c>
      <c r="BA86" s="318">
        <f ca="1">SUMIFS(BA64:BA84,$B$64:$B$84,"&gt;="&amp;'הנחות עבודה'!$C$6,$B$64:$B$84,"&lt;="&amp;'הנחות עבודה'!$C$7)</f>
        <v>38.760190065999794</v>
      </c>
      <c r="BB86" s="318">
        <f ca="1">SUMIFS(BB64:BB84,$B$64:$B$84,"&gt;="&amp;'הנחות עבודה'!$C$6,$B$64:$B$84,"&lt;="&amp;'הנחות עבודה'!$C$7)</f>
        <v>10.57769999999833</v>
      </c>
      <c r="BC86" s="318">
        <f ca="1">SUMIFS(BC64:BC84,$B$64:$B$84,"&gt;="&amp;'הנחות עבודה'!$C$6,$B$64:$B$84,"&lt;="&amp;'הנחות עבודה'!$C$7)</f>
        <v>15.493086840000053</v>
      </c>
      <c r="BD86" s="318">
        <f>SUMIFS(BD64:BD84,$B$64:$B$84,"&gt;="&amp;'הנחות עבודה'!$C$6,$B$64:$B$84,"&lt;="&amp;'הנחות עבודה'!$C$7)</f>
        <v>0</v>
      </c>
      <c r="BE86" s="318">
        <f>SUMIFS(BE64:BE84,$B$64:$B$84,"&gt;="&amp;'הנחות עבודה'!$C$6,$B$64:$B$84,"&lt;="&amp;'הנחות עבודה'!$C$7)</f>
        <v>253.82371000000003</v>
      </c>
      <c r="BF86" s="318">
        <f ca="1">SUMIFS(BF64:BF84,$B$64:$B$84,"&gt;="&amp;'הנחות עבודה'!$C$6,$B$64:$B$84,"&lt;="&amp;'הנחות עבודה'!$C$7)</f>
        <v>1273.4011800641083</v>
      </c>
      <c r="BG86" s="318">
        <f>SUMIFS(BG64:BG84,$B$64:$B$84,"&gt;="&amp;'הנחות עבודה'!$C$6,$B$64:$B$84,"&lt;="&amp;'הנחות עבודה'!$C$7)</f>
        <v>0</v>
      </c>
      <c r="BH86" s="318">
        <f>SUMIFS(BH64:BH84,$B$64:$B$84,"&gt;="&amp;'הנחות עבודה'!$C$6,$B$64:$B$84,"&lt;="&amp;'הנחות עבודה'!$C$7)</f>
        <v>0</v>
      </c>
      <c r="BI86" s="318">
        <f>SUMIFS(BI64:BI84,$B$64:$B$84,"&gt;="&amp;'הנחות עבודה'!$C$6,$B$64:$B$84,"&lt;="&amp;'הנחות עבודה'!$C$7)</f>
        <v>74.668329999999997</v>
      </c>
      <c r="BJ86" s="318">
        <f>SUMIFS(BJ64:BJ84,$B$64:$B$84,"&gt;="&amp;'הנחות עבודה'!$C$6,$B$64:$B$84,"&lt;="&amp;'הנחות עבודה'!$C$7)</f>
        <v>7.3045400000000003</v>
      </c>
      <c r="BK86" s="384">
        <f>SUMIFS(BK64:BK84,$B$64:$B$84,"&gt;="&amp;'הנחות עבודה'!$C$6,$B$64:$B$84,"&lt;="&amp;'הנחות עבודה'!$C$7)</f>
        <v>0</v>
      </c>
      <c r="BL86" s="384">
        <f>SUMIFS(BL64:BL84,$B$64:$B$84,"&gt;="&amp;'הנחות עבודה'!$C$6,$B$64:$B$84,"&lt;="&amp;'הנחות עבודה'!$C$7)</f>
        <v>410.50056033658768</v>
      </c>
      <c r="BM86" s="384">
        <f ca="1">SUMIFS(BM64:BM84,$B$64:$B$84,"&gt;="&amp;'הנחות עבודה'!$C$6,$B$64:$B$84,"&lt;="&amp;'הנחות עבודה'!$C$7)</f>
        <v>38.760190065999794</v>
      </c>
      <c r="BN86" s="384">
        <f ca="1">SUMIFS(BN64:BN84,$B$64:$B$84,"&gt;="&amp;'הנחות עבודה'!$C$6,$B$64:$B$84,"&lt;="&amp;'הנחות עבודה'!$C$7)</f>
        <v>10.57769999999833</v>
      </c>
      <c r="BO86" s="384">
        <f ca="1">SUMIFS(BO64:BO84,$B$64:$B$84,"&gt;="&amp;'הנחות עבודה'!$C$6,$B$64:$B$84,"&lt;="&amp;'הנחות עבודה'!$C$7)</f>
        <v>15.493086840000053</v>
      </c>
      <c r="BP86" s="384">
        <f>SUMIFS(BP64:BP84,$B$64:$B$84,"&gt;="&amp;'הנחות עבודה'!$C$6,$B$64:$B$84,"&lt;="&amp;'הנחות עבודה'!$C$7)</f>
        <v>0</v>
      </c>
      <c r="BQ86" s="384">
        <f>SUMIFS(BQ64:BQ84,$B$64:$B$84,"&gt;="&amp;'הנחות עבודה'!$C$6,$B$64:$B$84,"&lt;="&amp;'הנחות עבודה'!$C$7)</f>
        <v>253.82371000000003</v>
      </c>
      <c r="BR86" s="384">
        <f ca="1">SUMIFS(BR64:BR84,$B$64:$B$84,"&gt;="&amp;'הנחות עבודה'!$C$6,$B$64:$B$84,"&lt;="&amp;'הנחות עבודה'!$C$7)</f>
        <v>1273.4011800641083</v>
      </c>
      <c r="BS86" s="384">
        <f>SUMIFS(BS64:BS84,$B$64:$B$84,"&gt;="&amp;'הנחות עבודה'!$C$6,$B$64:$B$84,"&lt;="&amp;'הנחות עבודה'!$C$7)</f>
        <v>0</v>
      </c>
      <c r="BT86" s="384">
        <f>SUMIFS(BT64:BT84,$B$64:$B$84,"&gt;="&amp;'הנחות עבודה'!$C$6,$B$64:$B$84,"&lt;="&amp;'הנחות עבודה'!$C$7)</f>
        <v>0</v>
      </c>
      <c r="BU86" s="384">
        <f>SUMIFS(BU64:BU84,$B$64:$B$84,"&gt;="&amp;'הנחות עבודה'!$C$6,$B$64:$B$84,"&lt;="&amp;'הנחות עבודה'!$C$7)</f>
        <v>74.668329999999997</v>
      </c>
      <c r="BV86" s="384">
        <f>SUMIFS(BV64:BV84,$B$64:$B$84,"&gt;="&amp;'הנחות עבודה'!$C$6,$B$64:$B$84,"&lt;="&amp;'הנחות עבודה'!$C$7)</f>
        <v>7.3045400000000003</v>
      </c>
    </row>
    <row r="87" spans="2:79">
      <c r="D87" s="301"/>
      <c r="AJ87" s="243"/>
    </row>
    <row r="88" spans="2:79">
      <c r="C88" s="321"/>
      <c r="D88" s="301"/>
      <c r="H88" s="320"/>
      <c r="AJ88" s="243"/>
      <c r="BF88" s="301"/>
      <c r="BG88" s="301"/>
    </row>
    <row r="89" spans="2:79">
      <c r="C89" s="376"/>
      <c r="D89" s="376"/>
      <c r="E89" s="301"/>
      <c r="H89" s="320"/>
      <c r="J89" s="301"/>
      <c r="L89" s="532"/>
      <c r="M89" s="532"/>
      <c r="N89" s="532"/>
      <c r="O89" s="532"/>
      <c r="P89" s="532"/>
      <c r="Q89" s="532"/>
      <c r="R89" s="532"/>
      <c r="S89" s="532"/>
      <c r="T89" s="532"/>
      <c r="U89" s="532"/>
      <c r="V89" s="532"/>
      <c r="W89" s="532"/>
      <c r="X89" s="532"/>
      <c r="Y89" s="532"/>
      <c r="Z89" s="532"/>
      <c r="AA89" s="532"/>
      <c r="AL89" s="301"/>
      <c r="BF89" s="301"/>
      <c r="BG89" s="301"/>
    </row>
    <row r="90" spans="2:79" ht="16.5" hidden="1" outlineLevel="1" thickBot="1">
      <c r="B90" s="1186" t="s">
        <v>386</v>
      </c>
      <c r="C90" s="1243" t="s">
        <v>222</v>
      </c>
      <c r="D90" s="1244"/>
      <c r="E90" s="1244"/>
      <c r="F90" s="1244"/>
      <c r="G90" s="1244"/>
      <c r="H90" s="1244"/>
      <c r="I90" s="1244"/>
      <c r="J90" s="1244"/>
      <c r="K90" s="1244"/>
      <c r="L90" s="1244"/>
      <c r="M90" s="1244"/>
      <c r="N90" s="1244"/>
      <c r="O90" s="1244"/>
      <c r="P90" s="1244"/>
      <c r="Q90" s="1244"/>
      <c r="R90" s="1244"/>
      <c r="S90" s="1244"/>
      <c r="T90" s="1244"/>
      <c r="U90" s="1244"/>
      <c r="V90" s="1244"/>
      <c r="W90" s="1244"/>
      <c r="X90" s="1244"/>
      <c r="Y90" s="1244"/>
      <c r="Z90" s="1245"/>
      <c r="AA90" s="532"/>
      <c r="AL90" s="301"/>
      <c r="BF90" s="301"/>
      <c r="BG90" s="301"/>
    </row>
    <row r="91" spans="2:79" ht="16.149999999999999" hidden="1" customHeight="1" outlineLevel="1" thickBot="1">
      <c r="B91" s="1188"/>
      <c r="C91" s="1297" t="s">
        <v>46</v>
      </c>
      <c r="D91" s="1298"/>
      <c r="E91" s="1298"/>
      <c r="F91" s="1299"/>
      <c r="G91" s="1300" t="s">
        <v>47</v>
      </c>
      <c r="H91" s="1301"/>
      <c r="I91" s="1301"/>
      <c r="J91" s="1302"/>
      <c r="K91" s="1297" t="s">
        <v>342</v>
      </c>
      <c r="L91" s="1298"/>
      <c r="M91" s="1298"/>
      <c r="N91" s="1299"/>
      <c r="O91" s="1300" t="s">
        <v>343</v>
      </c>
      <c r="P91" s="1301"/>
      <c r="Q91" s="1301"/>
      <c r="R91" s="1302"/>
      <c r="S91" s="1297" t="s">
        <v>344</v>
      </c>
      <c r="T91" s="1298"/>
      <c r="U91" s="1298"/>
      <c r="V91" s="1299"/>
      <c r="W91" s="1300" t="s">
        <v>345</v>
      </c>
      <c r="X91" s="1301"/>
      <c r="Y91" s="1301"/>
      <c r="Z91" s="1302"/>
      <c r="AA91" s="532"/>
      <c r="AL91" s="301"/>
      <c r="BF91" s="301"/>
      <c r="BG91" s="301"/>
    </row>
    <row r="92" spans="2:79" ht="67.150000000000006" hidden="1" customHeight="1" outlineLevel="1" thickBot="1">
      <c r="B92" s="62" t="s">
        <v>0</v>
      </c>
      <c r="C92" s="157" t="str">
        <f t="shared" ref="C92:Z92" ca="1" si="238">C34</f>
        <v>גז פחמיות מוסבות</v>
      </c>
      <c r="D92" s="157" t="str">
        <f t="shared" ca="1" si="238"/>
        <v>גז חח"י מחזמים ופקירים ויח"פים</v>
      </c>
      <c r="E92" s="157" t="str">
        <f t="shared" ca="1" si="238"/>
        <v>אחר 1</v>
      </c>
      <c r="F92" s="157" t="str">
        <f t="shared" ca="1" si="238"/>
        <v>אחר 2</v>
      </c>
      <c r="G92" s="156" t="str">
        <f t="shared" ca="1" si="238"/>
        <v>גז פחמיות מוסבות</v>
      </c>
      <c r="H92" s="156" t="str">
        <f t="shared" ca="1" si="238"/>
        <v>גז חח"י מחזמים ופקירים ויח"פים</v>
      </c>
      <c r="I92" s="156" t="str">
        <f t="shared" ca="1" si="238"/>
        <v>אחר 1</v>
      </c>
      <c r="J92" s="156" t="str">
        <f t="shared" ca="1" si="238"/>
        <v>אחר 2</v>
      </c>
      <c r="K92" s="157" t="str">
        <f t="shared" ca="1" si="238"/>
        <v>גז פחמיות מוסבות</v>
      </c>
      <c r="L92" s="157" t="str">
        <f t="shared" ca="1" si="238"/>
        <v>גז חח"י מחזמים ופקירים ויח"פים</v>
      </c>
      <c r="M92" s="157" t="str">
        <f t="shared" ca="1" si="238"/>
        <v>אחר 1</v>
      </c>
      <c r="N92" s="157" t="str">
        <f t="shared" ca="1" si="238"/>
        <v>אחר 2</v>
      </c>
      <c r="O92" s="156" t="str">
        <f t="shared" ca="1" si="238"/>
        <v>גז פחמיות מוסבות</v>
      </c>
      <c r="P92" s="156" t="str">
        <f t="shared" ca="1" si="238"/>
        <v>גז חח"י מחזמים ופקירים ויח"פים</v>
      </c>
      <c r="Q92" s="156" t="str">
        <f t="shared" ca="1" si="238"/>
        <v>אחר 1</v>
      </c>
      <c r="R92" s="156" t="str">
        <f t="shared" ca="1" si="238"/>
        <v>אחר 2</v>
      </c>
      <c r="S92" s="157" t="str">
        <f t="shared" ca="1" si="238"/>
        <v>גז פחמיות מוסבות</v>
      </c>
      <c r="T92" s="157" t="str">
        <f t="shared" ca="1" si="238"/>
        <v>גז חח"י מחזמים ופקירים ויח"פים</v>
      </c>
      <c r="U92" s="157" t="str">
        <f t="shared" ca="1" si="238"/>
        <v>אחר 1</v>
      </c>
      <c r="V92" s="157" t="str">
        <f t="shared" ca="1" si="238"/>
        <v>אחר 2</v>
      </c>
      <c r="W92" s="156" t="str">
        <f t="shared" ca="1" si="238"/>
        <v>גז פחמיות מוסבות</v>
      </c>
      <c r="X92" s="156" t="str">
        <f t="shared" ca="1" si="238"/>
        <v>גז חח"י מחזמים ופקירים ויח"פים</v>
      </c>
      <c r="Y92" s="156" t="str">
        <f t="shared" ca="1" si="238"/>
        <v>אחר 1</v>
      </c>
      <c r="Z92" s="156" t="str">
        <f t="shared" ca="1" si="238"/>
        <v>אחר 2</v>
      </c>
      <c r="AA92" s="532"/>
      <c r="AL92" s="301"/>
      <c r="BF92" s="301"/>
      <c r="BG92" s="301"/>
    </row>
    <row r="93" spans="2:79" ht="16.5" hidden="1" outlineLevel="1" thickBot="1">
      <c r="B93" s="62" t="s">
        <v>28</v>
      </c>
      <c r="C93" s="287" t="s">
        <v>100</v>
      </c>
      <c r="D93" s="287" t="s">
        <v>100</v>
      </c>
      <c r="E93" s="287" t="s">
        <v>100</v>
      </c>
      <c r="F93" s="287" t="s">
        <v>100</v>
      </c>
      <c r="G93" s="312" t="str">
        <f t="shared" ref="G93:G114" si="239">C93</f>
        <v>BCM</v>
      </c>
      <c r="H93" s="312" t="str">
        <f t="shared" ref="H93:H114" si="240">D93</f>
        <v>BCM</v>
      </c>
      <c r="I93" s="312" t="str">
        <f t="shared" ref="I93:I114" si="241">E93</f>
        <v>BCM</v>
      </c>
      <c r="J93" s="312" t="str">
        <f t="shared" ref="J93:J114" si="242">F93</f>
        <v>BCM</v>
      </c>
      <c r="K93" s="287" t="str">
        <f t="shared" ref="K93" si="243">G93</f>
        <v>BCM</v>
      </c>
      <c r="L93" s="287" t="str">
        <f t="shared" ref="L93" si="244">H93</f>
        <v>BCM</v>
      </c>
      <c r="M93" s="287" t="str">
        <f t="shared" ref="M93" si="245">I93</f>
        <v>BCM</v>
      </c>
      <c r="N93" s="287" t="str">
        <f t="shared" ref="N93" si="246">J93</f>
        <v>BCM</v>
      </c>
      <c r="O93" s="48" t="str">
        <f t="shared" ref="O93:O114" si="247">K93</f>
        <v>BCM</v>
      </c>
      <c r="P93" s="48" t="str">
        <f t="shared" ref="P93:P114" si="248">L93</f>
        <v>BCM</v>
      </c>
      <c r="Q93" s="48" t="str">
        <f t="shared" ref="Q93:Q114" si="249">M93</f>
        <v>BCM</v>
      </c>
      <c r="R93" s="48" t="str">
        <f t="shared" ref="R93:R114" si="250">N93</f>
        <v>BCM</v>
      </c>
      <c r="S93" s="38" t="s">
        <v>100</v>
      </c>
      <c r="T93" s="38" t="s">
        <v>100</v>
      </c>
      <c r="U93" s="38" t="s">
        <v>100</v>
      </c>
      <c r="V93" s="38" t="s">
        <v>100</v>
      </c>
      <c r="W93" s="48" t="str">
        <f t="shared" ref="W93:W114" si="251">S93</f>
        <v>BCM</v>
      </c>
      <c r="X93" s="48" t="str">
        <f t="shared" ref="X93:X114" si="252">T93</f>
        <v>BCM</v>
      </c>
      <c r="Y93" s="48" t="str">
        <f t="shared" ref="Y93:Y114" si="253">U93</f>
        <v>BCM</v>
      </c>
      <c r="Z93" s="48" t="str">
        <f t="shared" ref="Z93:Z114" si="254">V93</f>
        <v>BCM</v>
      </c>
      <c r="AA93" s="532"/>
      <c r="AL93" s="301"/>
      <c r="BF93" s="301"/>
      <c r="BG93" s="301"/>
    </row>
    <row r="94" spans="2:79" ht="15.75" hidden="1" outlineLevel="1">
      <c r="B94" s="704">
        <f t="shared" ref="B94:B114" si="255">B36</f>
        <v>2020</v>
      </c>
      <c r="C94" s="280">
        <v>0</v>
      </c>
      <c r="D94" s="281">
        <v>8.6058378721740034</v>
      </c>
      <c r="E94" s="281">
        <v>0</v>
      </c>
      <c r="F94" s="281">
        <v>0</v>
      </c>
      <c r="G94" s="528">
        <f t="shared" si="239"/>
        <v>0</v>
      </c>
      <c r="H94" s="279">
        <f t="shared" si="240"/>
        <v>8.6058378721740034</v>
      </c>
      <c r="I94" s="279">
        <f t="shared" si="241"/>
        <v>0</v>
      </c>
      <c r="J94" s="279">
        <f t="shared" si="242"/>
        <v>0</v>
      </c>
      <c r="K94" s="536">
        <v>0</v>
      </c>
      <c r="L94" s="537">
        <v>8.6058378721740034</v>
      </c>
      <c r="M94" s="537">
        <v>0</v>
      </c>
      <c r="N94" s="537">
        <v>0</v>
      </c>
      <c r="O94" s="528">
        <f t="shared" si="247"/>
        <v>0</v>
      </c>
      <c r="P94" s="279">
        <f t="shared" si="248"/>
        <v>8.6058378721740034</v>
      </c>
      <c r="Q94" s="279">
        <f t="shared" si="249"/>
        <v>0</v>
      </c>
      <c r="R94" s="279">
        <f t="shared" si="250"/>
        <v>0</v>
      </c>
      <c r="S94" s="653">
        <v>0</v>
      </c>
      <c r="T94" s="537">
        <v>8.6058378721740034</v>
      </c>
      <c r="U94" s="537">
        <v>0</v>
      </c>
      <c r="V94" s="537">
        <v>0</v>
      </c>
      <c r="W94" s="533">
        <f t="shared" si="251"/>
        <v>0</v>
      </c>
      <c r="X94" s="279">
        <f t="shared" si="252"/>
        <v>8.6058378721740034</v>
      </c>
      <c r="Y94" s="279">
        <f t="shared" si="253"/>
        <v>0</v>
      </c>
      <c r="Z94" s="707">
        <f t="shared" si="254"/>
        <v>0</v>
      </c>
      <c r="AA94" s="532"/>
      <c r="AL94" s="301"/>
      <c r="BF94" s="301"/>
      <c r="BG94" s="301"/>
    </row>
    <row r="95" spans="2:79" ht="15.75" hidden="1" outlineLevel="1">
      <c r="B95" s="705">
        <f t="shared" si="255"/>
        <v>2021</v>
      </c>
      <c r="C95" s="280">
        <v>0</v>
      </c>
      <c r="D95" s="281">
        <v>8.7783119554773741</v>
      </c>
      <c r="E95" s="281">
        <v>0</v>
      </c>
      <c r="F95" s="281">
        <v>0</v>
      </c>
      <c r="G95" s="529">
        <f t="shared" si="239"/>
        <v>0</v>
      </c>
      <c r="H95" s="282">
        <f t="shared" si="240"/>
        <v>8.7783119554773741</v>
      </c>
      <c r="I95" s="282">
        <f t="shared" si="241"/>
        <v>0</v>
      </c>
      <c r="J95" s="282">
        <f t="shared" si="242"/>
        <v>0</v>
      </c>
      <c r="K95" s="280">
        <v>0</v>
      </c>
      <c r="L95" s="281">
        <v>8.7380504660153715</v>
      </c>
      <c r="M95" s="281">
        <v>0</v>
      </c>
      <c r="N95" s="281">
        <v>0</v>
      </c>
      <c r="O95" s="529">
        <f t="shared" si="247"/>
        <v>0</v>
      </c>
      <c r="P95" s="282">
        <f t="shared" si="248"/>
        <v>8.7380504660153715</v>
      </c>
      <c r="Q95" s="282">
        <f t="shared" si="249"/>
        <v>0</v>
      </c>
      <c r="R95" s="282">
        <f t="shared" si="250"/>
        <v>0</v>
      </c>
      <c r="S95" s="654">
        <v>0</v>
      </c>
      <c r="T95" s="281">
        <v>8.7783119554773741</v>
      </c>
      <c r="U95" s="281">
        <v>0</v>
      </c>
      <c r="V95" s="281">
        <v>0</v>
      </c>
      <c r="W95" s="534">
        <f t="shared" si="251"/>
        <v>0</v>
      </c>
      <c r="X95" s="282">
        <f t="shared" si="252"/>
        <v>8.7783119554773741</v>
      </c>
      <c r="Y95" s="282">
        <f t="shared" si="253"/>
        <v>0</v>
      </c>
      <c r="Z95" s="708">
        <f t="shared" si="254"/>
        <v>0</v>
      </c>
      <c r="AA95" s="532"/>
      <c r="AL95" s="301"/>
      <c r="BF95" s="301"/>
      <c r="BG95" s="301"/>
    </row>
    <row r="96" spans="2:79" ht="15.75" hidden="1" outlineLevel="1">
      <c r="B96" s="705">
        <f t="shared" si="255"/>
        <v>2022</v>
      </c>
      <c r="C96" s="280">
        <v>0.36595469000000003</v>
      </c>
      <c r="D96" s="281">
        <v>10.517208800000001</v>
      </c>
      <c r="E96" s="281">
        <v>0</v>
      </c>
      <c r="F96" s="281">
        <v>0</v>
      </c>
      <c r="G96" s="529">
        <f t="shared" si="239"/>
        <v>0.36595469000000003</v>
      </c>
      <c r="H96" s="282">
        <f t="shared" si="240"/>
        <v>10.517208800000001</v>
      </c>
      <c r="I96" s="282">
        <f t="shared" si="241"/>
        <v>0</v>
      </c>
      <c r="J96" s="282">
        <f t="shared" si="242"/>
        <v>0</v>
      </c>
      <c r="K96" s="280">
        <v>0.35703785000000005</v>
      </c>
      <c r="L96" s="281">
        <v>10.271412900000001</v>
      </c>
      <c r="M96" s="281">
        <v>0</v>
      </c>
      <c r="N96" s="281">
        <v>0</v>
      </c>
      <c r="O96" s="529">
        <f t="shared" si="247"/>
        <v>0.35703785000000005</v>
      </c>
      <c r="P96" s="282">
        <f t="shared" si="248"/>
        <v>10.271412900000001</v>
      </c>
      <c r="Q96" s="282">
        <f t="shared" si="249"/>
        <v>0</v>
      </c>
      <c r="R96" s="282">
        <f t="shared" si="250"/>
        <v>0</v>
      </c>
      <c r="S96" s="654">
        <v>0.35387616</v>
      </c>
      <c r="T96" s="281">
        <v>10.14093855</v>
      </c>
      <c r="U96" s="281">
        <v>0</v>
      </c>
      <c r="V96" s="281">
        <v>0</v>
      </c>
      <c r="W96" s="534">
        <f t="shared" si="251"/>
        <v>0.35387616</v>
      </c>
      <c r="X96" s="282">
        <f t="shared" si="252"/>
        <v>10.14093855</v>
      </c>
      <c r="Y96" s="282">
        <f t="shared" si="253"/>
        <v>0</v>
      </c>
      <c r="Z96" s="708">
        <f t="shared" si="254"/>
        <v>0</v>
      </c>
      <c r="AA96" s="532"/>
      <c r="AL96" s="301"/>
      <c r="BF96" s="301"/>
      <c r="BG96" s="301"/>
    </row>
    <row r="97" spans="2:59" ht="15.75" hidden="1" outlineLevel="1">
      <c r="B97" s="705">
        <f t="shared" si="255"/>
        <v>2023</v>
      </c>
      <c r="C97" s="280">
        <v>0.56758892000000005</v>
      </c>
      <c r="D97" s="281">
        <v>11.418829540000001</v>
      </c>
      <c r="E97" s="281">
        <v>0</v>
      </c>
      <c r="F97" s="281">
        <v>0</v>
      </c>
      <c r="G97" s="529">
        <f t="shared" si="239"/>
        <v>0.56758892000000005</v>
      </c>
      <c r="H97" s="282">
        <f t="shared" si="240"/>
        <v>11.418829540000001</v>
      </c>
      <c r="I97" s="282">
        <f t="shared" si="241"/>
        <v>0</v>
      </c>
      <c r="J97" s="282">
        <f t="shared" si="242"/>
        <v>0</v>
      </c>
      <c r="K97" s="280">
        <v>0.55583093000000006</v>
      </c>
      <c r="L97" s="281">
        <v>11.03565311</v>
      </c>
      <c r="M97" s="281">
        <v>0</v>
      </c>
      <c r="N97" s="281">
        <v>0</v>
      </c>
      <c r="O97" s="529">
        <f t="shared" si="247"/>
        <v>0.55583093000000006</v>
      </c>
      <c r="P97" s="282">
        <f t="shared" si="248"/>
        <v>11.03565311</v>
      </c>
      <c r="Q97" s="282">
        <f t="shared" si="249"/>
        <v>0</v>
      </c>
      <c r="R97" s="282">
        <f t="shared" si="250"/>
        <v>0</v>
      </c>
      <c r="S97" s="654">
        <v>0.55264010000000008</v>
      </c>
      <c r="T97" s="281">
        <v>10.833217530000001</v>
      </c>
      <c r="U97" s="281">
        <v>0</v>
      </c>
      <c r="V97" s="281">
        <v>0</v>
      </c>
      <c r="W97" s="534">
        <f t="shared" si="251"/>
        <v>0.55264010000000008</v>
      </c>
      <c r="X97" s="282">
        <f t="shared" si="252"/>
        <v>10.833217530000001</v>
      </c>
      <c r="Y97" s="282">
        <f t="shared" si="253"/>
        <v>0</v>
      </c>
      <c r="Z97" s="708">
        <f t="shared" si="254"/>
        <v>0</v>
      </c>
      <c r="AA97" s="532"/>
      <c r="AL97" s="301"/>
      <c r="BF97" s="301"/>
      <c r="BG97" s="301"/>
    </row>
    <row r="98" spans="2:59" ht="15.75" hidden="1" outlineLevel="1">
      <c r="B98" s="705">
        <f t="shared" si="255"/>
        <v>2024</v>
      </c>
      <c r="C98" s="280">
        <v>0.74843175999999989</v>
      </c>
      <c r="D98" s="281">
        <v>12.10459573</v>
      </c>
      <c r="E98" s="281">
        <v>0</v>
      </c>
      <c r="F98" s="281">
        <v>0</v>
      </c>
      <c r="G98" s="529">
        <f t="shared" si="239"/>
        <v>0.74843175999999989</v>
      </c>
      <c r="H98" s="282">
        <f t="shared" si="240"/>
        <v>12.10459573</v>
      </c>
      <c r="I98" s="282">
        <f t="shared" si="241"/>
        <v>0</v>
      </c>
      <c r="J98" s="282">
        <f t="shared" si="242"/>
        <v>0</v>
      </c>
      <c r="K98" s="280">
        <v>0.73290014000000003</v>
      </c>
      <c r="L98" s="281">
        <v>11.591862860000001</v>
      </c>
      <c r="M98" s="281">
        <v>0</v>
      </c>
      <c r="N98" s="281">
        <v>0</v>
      </c>
      <c r="O98" s="529">
        <f t="shared" si="247"/>
        <v>0.73290014000000003</v>
      </c>
      <c r="P98" s="282">
        <f t="shared" si="248"/>
        <v>11.591862860000001</v>
      </c>
      <c r="Q98" s="282">
        <f t="shared" si="249"/>
        <v>0</v>
      </c>
      <c r="R98" s="282">
        <f t="shared" si="250"/>
        <v>0</v>
      </c>
      <c r="S98" s="654">
        <v>0.72953447000000005</v>
      </c>
      <c r="T98" s="281">
        <v>11.31353215</v>
      </c>
      <c r="U98" s="281">
        <v>0</v>
      </c>
      <c r="V98" s="281">
        <v>0</v>
      </c>
      <c r="W98" s="534">
        <f t="shared" si="251"/>
        <v>0.72953447000000005</v>
      </c>
      <c r="X98" s="282">
        <f t="shared" si="252"/>
        <v>11.31353215</v>
      </c>
      <c r="Y98" s="282">
        <f t="shared" si="253"/>
        <v>0</v>
      </c>
      <c r="Z98" s="708">
        <f t="shared" si="254"/>
        <v>0</v>
      </c>
      <c r="AL98" s="301"/>
      <c r="BF98" s="301"/>
      <c r="BG98" s="301"/>
    </row>
    <row r="99" spans="2:59" ht="15.75" hidden="1" outlineLevel="1">
      <c r="B99" s="705">
        <f t="shared" si="255"/>
        <v>2025</v>
      </c>
      <c r="C99" s="280">
        <v>2.5193132700000005</v>
      </c>
      <c r="D99" s="281">
        <v>12.271116260000003</v>
      </c>
      <c r="E99" s="281">
        <v>0</v>
      </c>
      <c r="F99" s="281">
        <v>0</v>
      </c>
      <c r="G99" s="529">
        <f t="shared" si="239"/>
        <v>2.5193132700000005</v>
      </c>
      <c r="H99" s="282">
        <f t="shared" si="240"/>
        <v>12.271116260000003</v>
      </c>
      <c r="I99" s="282">
        <f t="shared" si="241"/>
        <v>0</v>
      </c>
      <c r="J99" s="282">
        <f t="shared" si="242"/>
        <v>0</v>
      </c>
      <c r="K99" s="280">
        <v>2.4362059899999999</v>
      </c>
      <c r="L99" s="281">
        <v>11.63896767</v>
      </c>
      <c r="M99" s="281">
        <v>0</v>
      </c>
      <c r="N99" s="281">
        <v>0</v>
      </c>
      <c r="O99" s="529">
        <f t="shared" si="247"/>
        <v>2.4362059899999999</v>
      </c>
      <c r="P99" s="282">
        <f t="shared" si="248"/>
        <v>11.63896767</v>
      </c>
      <c r="Q99" s="282">
        <f t="shared" si="249"/>
        <v>0</v>
      </c>
      <c r="R99" s="282">
        <f t="shared" si="250"/>
        <v>0</v>
      </c>
      <c r="S99" s="654">
        <v>2.4436512600000002</v>
      </c>
      <c r="T99" s="281">
        <v>11.270200970000001</v>
      </c>
      <c r="U99" s="281">
        <v>0</v>
      </c>
      <c r="V99" s="281">
        <v>0</v>
      </c>
      <c r="W99" s="534">
        <f t="shared" si="251"/>
        <v>2.4436512600000002</v>
      </c>
      <c r="X99" s="282">
        <f t="shared" si="252"/>
        <v>11.270200970000001</v>
      </c>
      <c r="Y99" s="282">
        <f t="shared" si="253"/>
        <v>0</v>
      </c>
      <c r="Z99" s="708">
        <f t="shared" si="254"/>
        <v>0</v>
      </c>
      <c r="AL99" s="301"/>
      <c r="BF99" s="301"/>
      <c r="BG99" s="301"/>
    </row>
    <row r="100" spans="2:59" ht="15.75" hidden="1" outlineLevel="1">
      <c r="B100" s="705">
        <f t="shared" si="255"/>
        <v>2026</v>
      </c>
      <c r="C100" s="280">
        <v>4.1474962</v>
      </c>
      <c r="D100" s="281">
        <v>11.82080127</v>
      </c>
      <c r="E100" s="281">
        <v>0</v>
      </c>
      <c r="F100" s="281">
        <v>0</v>
      </c>
      <c r="G100" s="529">
        <f t="shared" si="239"/>
        <v>4.1474962</v>
      </c>
      <c r="H100" s="282">
        <f t="shared" si="240"/>
        <v>11.82080127</v>
      </c>
      <c r="I100" s="282">
        <f t="shared" si="241"/>
        <v>0</v>
      </c>
      <c r="J100" s="282">
        <f t="shared" si="242"/>
        <v>0</v>
      </c>
      <c r="K100" s="280">
        <v>4.0632815999999998</v>
      </c>
      <c r="L100" s="281">
        <v>11.074132479999999</v>
      </c>
      <c r="M100" s="281">
        <v>0</v>
      </c>
      <c r="N100" s="281">
        <v>0</v>
      </c>
      <c r="O100" s="529">
        <f t="shared" si="247"/>
        <v>4.0632815999999998</v>
      </c>
      <c r="P100" s="282">
        <f t="shared" si="248"/>
        <v>11.074132479999999</v>
      </c>
      <c r="Q100" s="282">
        <f t="shared" si="249"/>
        <v>0</v>
      </c>
      <c r="R100" s="282">
        <f t="shared" si="250"/>
        <v>0</v>
      </c>
      <c r="S100" s="654">
        <v>4.09</v>
      </c>
      <c r="T100" s="281">
        <v>10.6</v>
      </c>
      <c r="U100" s="281">
        <v>0</v>
      </c>
      <c r="V100" s="281">
        <v>0</v>
      </c>
      <c r="W100" s="534">
        <f t="shared" si="251"/>
        <v>4.09</v>
      </c>
      <c r="X100" s="282">
        <f t="shared" si="252"/>
        <v>10.6</v>
      </c>
      <c r="Y100" s="282">
        <f t="shared" si="253"/>
        <v>0</v>
      </c>
      <c r="Z100" s="708">
        <f t="shared" si="254"/>
        <v>0</v>
      </c>
      <c r="AL100" s="301"/>
      <c r="BF100" s="301"/>
      <c r="BG100" s="301"/>
    </row>
    <row r="101" spans="2:59" ht="15.75" hidden="1" outlineLevel="1">
      <c r="B101" s="705">
        <f t="shared" si="255"/>
        <v>2027</v>
      </c>
      <c r="C101" s="280">
        <v>4.0553409500000006</v>
      </c>
      <c r="D101" s="281">
        <v>12.147766640000004</v>
      </c>
      <c r="E101" s="281">
        <v>0</v>
      </c>
      <c r="F101" s="281">
        <v>0</v>
      </c>
      <c r="G101" s="529">
        <f t="shared" si="239"/>
        <v>4.0553409500000006</v>
      </c>
      <c r="H101" s="282">
        <f t="shared" si="240"/>
        <v>12.147766640000004</v>
      </c>
      <c r="I101" s="282">
        <f t="shared" si="241"/>
        <v>0</v>
      </c>
      <c r="J101" s="282">
        <f t="shared" si="242"/>
        <v>0</v>
      </c>
      <c r="K101" s="280">
        <v>4.0266380500000007</v>
      </c>
      <c r="L101" s="281">
        <v>11.236937660000002</v>
      </c>
      <c r="M101" s="281">
        <v>0</v>
      </c>
      <c r="N101" s="281">
        <v>0</v>
      </c>
      <c r="O101" s="529">
        <f t="shared" si="247"/>
        <v>4.0266380500000007</v>
      </c>
      <c r="P101" s="282">
        <f t="shared" si="248"/>
        <v>11.236937660000002</v>
      </c>
      <c r="Q101" s="282">
        <f t="shared" si="249"/>
        <v>0</v>
      </c>
      <c r="R101" s="282">
        <f t="shared" si="250"/>
        <v>0</v>
      </c>
      <c r="S101" s="654">
        <v>4.08</v>
      </c>
      <c r="T101" s="281">
        <v>10.68</v>
      </c>
      <c r="U101" s="281">
        <v>0</v>
      </c>
      <c r="V101" s="281">
        <v>0</v>
      </c>
      <c r="W101" s="534">
        <f t="shared" si="251"/>
        <v>4.08</v>
      </c>
      <c r="X101" s="282">
        <f t="shared" si="252"/>
        <v>10.68</v>
      </c>
      <c r="Y101" s="282">
        <f t="shared" si="253"/>
        <v>0</v>
      </c>
      <c r="Z101" s="708">
        <f t="shared" si="254"/>
        <v>0</v>
      </c>
      <c r="AL101" s="301"/>
      <c r="BF101" s="301"/>
      <c r="BG101" s="301"/>
    </row>
    <row r="102" spans="2:59" ht="15.75" hidden="1" outlineLevel="1">
      <c r="B102" s="705">
        <f t="shared" si="255"/>
        <v>2028</v>
      </c>
      <c r="C102" s="280">
        <v>3.9797372200000005</v>
      </c>
      <c r="D102" s="281">
        <v>12.413610860000002</v>
      </c>
      <c r="E102" s="281">
        <v>0</v>
      </c>
      <c r="F102" s="281">
        <v>0</v>
      </c>
      <c r="G102" s="529">
        <f t="shared" si="239"/>
        <v>3.9797372200000005</v>
      </c>
      <c r="H102" s="282">
        <f t="shared" si="240"/>
        <v>12.413610860000002</v>
      </c>
      <c r="I102" s="282">
        <f t="shared" si="241"/>
        <v>0</v>
      </c>
      <c r="J102" s="282">
        <f t="shared" si="242"/>
        <v>0</v>
      </c>
      <c r="K102" s="280">
        <v>4.0581966700000001</v>
      </c>
      <c r="L102" s="281">
        <v>11.34246817</v>
      </c>
      <c r="M102" s="281">
        <v>0</v>
      </c>
      <c r="N102" s="281">
        <v>0</v>
      </c>
      <c r="O102" s="529">
        <f t="shared" si="247"/>
        <v>4.0581966700000001</v>
      </c>
      <c r="P102" s="282">
        <f t="shared" si="248"/>
        <v>11.34246817</v>
      </c>
      <c r="Q102" s="282">
        <f t="shared" si="249"/>
        <v>0</v>
      </c>
      <c r="R102" s="282">
        <f t="shared" si="250"/>
        <v>0</v>
      </c>
      <c r="S102" s="654">
        <v>4.1399999999999997</v>
      </c>
      <c r="T102" s="281">
        <v>10.68</v>
      </c>
      <c r="U102" s="281">
        <v>0</v>
      </c>
      <c r="V102" s="281">
        <v>0</v>
      </c>
      <c r="W102" s="534">
        <f t="shared" si="251"/>
        <v>4.1399999999999997</v>
      </c>
      <c r="X102" s="282">
        <f t="shared" si="252"/>
        <v>10.68</v>
      </c>
      <c r="Y102" s="282">
        <f t="shared" si="253"/>
        <v>0</v>
      </c>
      <c r="Z102" s="708">
        <f t="shared" si="254"/>
        <v>0</v>
      </c>
      <c r="AL102" s="301"/>
      <c r="BF102" s="301"/>
      <c r="BG102" s="301"/>
    </row>
    <row r="103" spans="2:59" ht="15.75" hidden="1" outlineLevel="1">
      <c r="B103" s="705">
        <f t="shared" si="255"/>
        <v>2029</v>
      </c>
      <c r="C103" s="280">
        <v>3.9942635100000001</v>
      </c>
      <c r="D103" s="281">
        <v>12.653826450000002</v>
      </c>
      <c r="E103" s="281">
        <v>0</v>
      </c>
      <c r="F103" s="281">
        <v>0</v>
      </c>
      <c r="G103" s="529">
        <f t="shared" si="239"/>
        <v>3.9942635100000001</v>
      </c>
      <c r="H103" s="282">
        <f t="shared" si="240"/>
        <v>12.653826450000002</v>
      </c>
      <c r="I103" s="282">
        <f t="shared" si="241"/>
        <v>0</v>
      </c>
      <c r="J103" s="282">
        <f t="shared" si="242"/>
        <v>0</v>
      </c>
      <c r="K103" s="280">
        <v>4.1236742500000005</v>
      </c>
      <c r="L103" s="281">
        <v>11.408834520000001</v>
      </c>
      <c r="M103" s="281">
        <v>0</v>
      </c>
      <c r="N103" s="281">
        <v>0</v>
      </c>
      <c r="O103" s="529">
        <f t="shared" si="247"/>
        <v>4.1236742500000005</v>
      </c>
      <c r="P103" s="282">
        <f t="shared" si="248"/>
        <v>11.408834520000001</v>
      </c>
      <c r="Q103" s="282">
        <f t="shared" si="249"/>
        <v>0</v>
      </c>
      <c r="R103" s="282">
        <f t="shared" si="250"/>
        <v>0</v>
      </c>
      <c r="S103" s="654">
        <v>4.22</v>
      </c>
      <c r="T103" s="281">
        <v>10.64</v>
      </c>
      <c r="U103" s="281">
        <v>0</v>
      </c>
      <c r="V103" s="281">
        <v>0</v>
      </c>
      <c r="W103" s="534">
        <f t="shared" si="251"/>
        <v>4.22</v>
      </c>
      <c r="X103" s="282">
        <f t="shared" si="252"/>
        <v>10.64</v>
      </c>
      <c r="Y103" s="282">
        <f t="shared" si="253"/>
        <v>0</v>
      </c>
      <c r="Z103" s="708">
        <f t="shared" si="254"/>
        <v>0</v>
      </c>
      <c r="AL103" s="301"/>
      <c r="BF103" s="301"/>
      <c r="BG103" s="301"/>
    </row>
    <row r="104" spans="2:59" ht="15.75" hidden="1" outlineLevel="1">
      <c r="B104" s="705">
        <f t="shared" si="255"/>
        <v>2030</v>
      </c>
      <c r="C104" s="280">
        <v>3.9586252900000005</v>
      </c>
      <c r="D104" s="281">
        <v>12.905989439999999</v>
      </c>
      <c r="E104" s="281">
        <v>0</v>
      </c>
      <c r="F104" s="281">
        <v>0</v>
      </c>
      <c r="G104" s="529">
        <f t="shared" si="239"/>
        <v>3.9586252900000005</v>
      </c>
      <c r="H104" s="282">
        <f t="shared" si="240"/>
        <v>12.905989439999999</v>
      </c>
      <c r="I104" s="282">
        <f t="shared" si="241"/>
        <v>0</v>
      </c>
      <c r="J104" s="282">
        <f t="shared" si="242"/>
        <v>0</v>
      </c>
      <c r="K104" s="280">
        <v>4.1737950499999998</v>
      </c>
      <c r="L104" s="281">
        <v>11.47671615</v>
      </c>
      <c r="M104" s="281">
        <v>0</v>
      </c>
      <c r="N104" s="281">
        <v>0</v>
      </c>
      <c r="O104" s="529">
        <f t="shared" si="247"/>
        <v>4.1737950499999998</v>
      </c>
      <c r="P104" s="282">
        <f t="shared" si="248"/>
        <v>11.47671615</v>
      </c>
      <c r="Q104" s="282">
        <f t="shared" si="249"/>
        <v>0</v>
      </c>
      <c r="R104" s="282">
        <f t="shared" si="250"/>
        <v>0</v>
      </c>
      <c r="S104" s="654">
        <v>4.25</v>
      </c>
      <c r="T104" s="281">
        <v>10.690000000000001</v>
      </c>
      <c r="U104" s="281">
        <v>0</v>
      </c>
      <c r="V104" s="281">
        <v>0</v>
      </c>
      <c r="W104" s="534">
        <f t="shared" si="251"/>
        <v>4.25</v>
      </c>
      <c r="X104" s="282">
        <f t="shared" si="252"/>
        <v>10.690000000000001</v>
      </c>
      <c r="Y104" s="282">
        <f t="shared" si="253"/>
        <v>0</v>
      </c>
      <c r="Z104" s="708">
        <f t="shared" si="254"/>
        <v>0</v>
      </c>
      <c r="AL104" s="301"/>
      <c r="BF104" s="301"/>
    </row>
    <row r="105" spans="2:59" ht="15.75" hidden="1" outlineLevel="1">
      <c r="B105" s="705">
        <f t="shared" si="255"/>
        <v>2031</v>
      </c>
      <c r="C105" s="280">
        <v>3.94491492</v>
      </c>
      <c r="D105" s="281">
        <v>13.29685883</v>
      </c>
      <c r="E105" s="281">
        <v>0</v>
      </c>
      <c r="F105" s="281">
        <v>0</v>
      </c>
      <c r="G105" s="529">
        <f t="shared" si="239"/>
        <v>3.94491492</v>
      </c>
      <c r="H105" s="282">
        <f t="shared" si="240"/>
        <v>13.29685883</v>
      </c>
      <c r="I105" s="282">
        <f t="shared" si="241"/>
        <v>0</v>
      </c>
      <c r="J105" s="282">
        <f t="shared" si="242"/>
        <v>0</v>
      </c>
      <c r="K105" s="280">
        <v>4.1695551799999997</v>
      </c>
      <c r="L105" s="281">
        <v>11.878877289999998</v>
      </c>
      <c r="M105" s="281">
        <v>0</v>
      </c>
      <c r="N105" s="281">
        <v>0</v>
      </c>
      <c r="O105" s="529">
        <f t="shared" si="247"/>
        <v>4.1695551799999997</v>
      </c>
      <c r="P105" s="282">
        <f t="shared" si="248"/>
        <v>11.878877289999998</v>
      </c>
      <c r="Q105" s="282">
        <f t="shared" si="249"/>
        <v>0</v>
      </c>
      <c r="R105" s="282">
        <f t="shared" si="250"/>
        <v>0</v>
      </c>
      <c r="S105" s="654">
        <v>4.25</v>
      </c>
      <c r="T105" s="281">
        <v>11.07</v>
      </c>
      <c r="U105" s="281">
        <v>0</v>
      </c>
      <c r="V105" s="281">
        <v>0</v>
      </c>
      <c r="W105" s="534">
        <f t="shared" si="251"/>
        <v>4.25</v>
      </c>
      <c r="X105" s="282">
        <f t="shared" si="252"/>
        <v>11.07</v>
      </c>
      <c r="Y105" s="282">
        <f t="shared" si="253"/>
        <v>0</v>
      </c>
      <c r="Z105" s="708">
        <f t="shared" si="254"/>
        <v>0</v>
      </c>
      <c r="AL105" s="301"/>
      <c r="BF105" s="301"/>
    </row>
    <row r="106" spans="2:59" ht="15.75" hidden="1" outlineLevel="1">
      <c r="B106" s="705">
        <f t="shared" si="255"/>
        <v>2032</v>
      </c>
      <c r="C106" s="280">
        <v>3.9437201800000001</v>
      </c>
      <c r="D106" s="281">
        <v>13.714944980000002</v>
      </c>
      <c r="E106" s="281">
        <v>0</v>
      </c>
      <c r="F106" s="281">
        <v>0</v>
      </c>
      <c r="G106" s="529">
        <f t="shared" si="239"/>
        <v>3.9437201800000001</v>
      </c>
      <c r="H106" s="282">
        <f t="shared" si="240"/>
        <v>13.714944980000002</v>
      </c>
      <c r="I106" s="282">
        <f t="shared" si="241"/>
        <v>0</v>
      </c>
      <c r="J106" s="282">
        <f t="shared" si="242"/>
        <v>0</v>
      </c>
      <c r="K106" s="280">
        <v>4.1849119600000009</v>
      </c>
      <c r="L106" s="281">
        <v>12.257405890000001</v>
      </c>
      <c r="M106" s="281">
        <v>0</v>
      </c>
      <c r="N106" s="281">
        <v>0</v>
      </c>
      <c r="O106" s="529">
        <f t="shared" si="247"/>
        <v>4.1849119600000009</v>
      </c>
      <c r="P106" s="282">
        <f t="shared" si="248"/>
        <v>12.257405890000001</v>
      </c>
      <c r="Q106" s="282">
        <f t="shared" si="249"/>
        <v>0</v>
      </c>
      <c r="R106" s="282">
        <f t="shared" si="250"/>
        <v>0</v>
      </c>
      <c r="S106" s="654">
        <v>4.2699999999999996</v>
      </c>
      <c r="T106" s="281">
        <v>11.42</v>
      </c>
      <c r="U106" s="281">
        <v>0</v>
      </c>
      <c r="V106" s="281">
        <v>0</v>
      </c>
      <c r="W106" s="534">
        <f t="shared" si="251"/>
        <v>4.2699999999999996</v>
      </c>
      <c r="X106" s="282">
        <f t="shared" si="252"/>
        <v>11.42</v>
      </c>
      <c r="Y106" s="282">
        <f t="shared" si="253"/>
        <v>0</v>
      </c>
      <c r="Z106" s="708">
        <f t="shared" si="254"/>
        <v>0</v>
      </c>
      <c r="BF106" s="301"/>
    </row>
    <row r="107" spans="2:59" ht="15.75" hidden="1" outlineLevel="1">
      <c r="B107" s="705">
        <f t="shared" si="255"/>
        <v>2033</v>
      </c>
      <c r="C107" s="280">
        <v>4.0194696099999998</v>
      </c>
      <c r="D107" s="281">
        <v>14.058389020000002</v>
      </c>
      <c r="E107" s="281">
        <v>0</v>
      </c>
      <c r="F107" s="281">
        <v>0</v>
      </c>
      <c r="G107" s="529">
        <f t="shared" si="239"/>
        <v>4.0194696099999998</v>
      </c>
      <c r="H107" s="282">
        <f t="shared" si="240"/>
        <v>14.058389020000002</v>
      </c>
      <c r="I107" s="282">
        <f t="shared" si="241"/>
        <v>0</v>
      </c>
      <c r="J107" s="282">
        <f t="shared" si="242"/>
        <v>0</v>
      </c>
      <c r="K107" s="280">
        <v>4.2611276300000007</v>
      </c>
      <c r="L107" s="281">
        <v>12.565444830000001</v>
      </c>
      <c r="M107" s="281">
        <v>0</v>
      </c>
      <c r="N107" s="281">
        <v>0</v>
      </c>
      <c r="O107" s="529">
        <f t="shared" si="247"/>
        <v>4.2611276300000007</v>
      </c>
      <c r="P107" s="282">
        <f t="shared" si="248"/>
        <v>12.565444830000001</v>
      </c>
      <c r="Q107" s="282">
        <f t="shared" si="249"/>
        <v>0</v>
      </c>
      <c r="R107" s="282">
        <f t="shared" si="250"/>
        <v>0</v>
      </c>
      <c r="S107" s="654">
        <v>4.3600000000000003</v>
      </c>
      <c r="T107" s="281">
        <v>11.73</v>
      </c>
      <c r="U107" s="281">
        <v>0</v>
      </c>
      <c r="V107" s="281">
        <v>0</v>
      </c>
      <c r="W107" s="534">
        <f t="shared" si="251"/>
        <v>4.3600000000000003</v>
      </c>
      <c r="X107" s="282">
        <f t="shared" si="252"/>
        <v>11.73</v>
      </c>
      <c r="Y107" s="282">
        <f t="shared" si="253"/>
        <v>0</v>
      </c>
      <c r="Z107" s="708">
        <f t="shared" si="254"/>
        <v>0</v>
      </c>
    </row>
    <row r="108" spans="2:59" ht="15.75" hidden="1" outlineLevel="1">
      <c r="B108" s="705">
        <f t="shared" si="255"/>
        <v>2034</v>
      </c>
      <c r="C108" s="280">
        <v>3.9999895200000006</v>
      </c>
      <c r="D108" s="281">
        <v>14.517140040000001</v>
      </c>
      <c r="E108" s="281">
        <v>0</v>
      </c>
      <c r="F108" s="281">
        <v>0</v>
      </c>
      <c r="G108" s="529">
        <f t="shared" si="239"/>
        <v>3.9999895200000006</v>
      </c>
      <c r="H108" s="282">
        <f t="shared" si="240"/>
        <v>14.517140040000001</v>
      </c>
      <c r="I108" s="282">
        <f t="shared" si="241"/>
        <v>0</v>
      </c>
      <c r="J108" s="282">
        <f t="shared" si="242"/>
        <v>0</v>
      </c>
      <c r="K108" s="280">
        <v>4.2442118600000001</v>
      </c>
      <c r="L108" s="281">
        <v>12.990335170000003</v>
      </c>
      <c r="M108" s="281">
        <v>0</v>
      </c>
      <c r="N108" s="281">
        <v>0</v>
      </c>
      <c r="O108" s="529">
        <f t="shared" si="247"/>
        <v>4.2442118600000001</v>
      </c>
      <c r="P108" s="282">
        <f t="shared" si="248"/>
        <v>12.990335170000003</v>
      </c>
      <c r="Q108" s="282">
        <f t="shared" si="249"/>
        <v>0</v>
      </c>
      <c r="R108" s="282">
        <f t="shared" si="250"/>
        <v>0</v>
      </c>
      <c r="S108" s="654">
        <v>4.34</v>
      </c>
      <c r="T108" s="281">
        <v>12.15</v>
      </c>
      <c r="U108" s="281">
        <v>0</v>
      </c>
      <c r="V108" s="281">
        <v>0</v>
      </c>
      <c r="W108" s="534">
        <f t="shared" si="251"/>
        <v>4.34</v>
      </c>
      <c r="X108" s="282">
        <f t="shared" si="252"/>
        <v>12.15</v>
      </c>
      <c r="Y108" s="282">
        <f t="shared" si="253"/>
        <v>0</v>
      </c>
      <c r="Z108" s="708">
        <f t="shared" si="254"/>
        <v>0</v>
      </c>
    </row>
    <row r="109" spans="2:59" ht="15.75" hidden="1" outlineLevel="1">
      <c r="B109" s="705">
        <f t="shared" si="255"/>
        <v>2035</v>
      </c>
      <c r="C109" s="280">
        <v>4.0241174400000004</v>
      </c>
      <c r="D109" s="281">
        <v>14.96899945</v>
      </c>
      <c r="E109" s="281">
        <v>0</v>
      </c>
      <c r="F109" s="281">
        <v>0</v>
      </c>
      <c r="G109" s="529">
        <f t="shared" si="239"/>
        <v>4.0241174400000004</v>
      </c>
      <c r="H109" s="282">
        <f t="shared" si="240"/>
        <v>14.96899945</v>
      </c>
      <c r="I109" s="282">
        <f t="shared" si="241"/>
        <v>0</v>
      </c>
      <c r="J109" s="282">
        <f t="shared" si="242"/>
        <v>0</v>
      </c>
      <c r="K109" s="280">
        <v>4.2784805000000006</v>
      </c>
      <c r="L109" s="281">
        <v>13.414220179999999</v>
      </c>
      <c r="M109" s="281">
        <v>0</v>
      </c>
      <c r="N109" s="281">
        <v>0</v>
      </c>
      <c r="O109" s="529">
        <f t="shared" si="247"/>
        <v>4.2784805000000006</v>
      </c>
      <c r="P109" s="282">
        <f t="shared" si="248"/>
        <v>13.414220179999999</v>
      </c>
      <c r="Q109" s="282">
        <f t="shared" si="249"/>
        <v>0</v>
      </c>
      <c r="R109" s="282">
        <f t="shared" si="250"/>
        <v>0</v>
      </c>
      <c r="S109" s="654">
        <v>4.3600000000000003</v>
      </c>
      <c r="T109" s="281">
        <v>12.54</v>
      </c>
      <c r="U109" s="281">
        <v>0</v>
      </c>
      <c r="V109" s="281">
        <v>0</v>
      </c>
      <c r="W109" s="534">
        <f t="shared" si="251"/>
        <v>4.3600000000000003</v>
      </c>
      <c r="X109" s="282">
        <f t="shared" si="252"/>
        <v>12.54</v>
      </c>
      <c r="Y109" s="282">
        <f t="shared" si="253"/>
        <v>0</v>
      </c>
      <c r="Z109" s="708">
        <f t="shared" si="254"/>
        <v>0</v>
      </c>
    </row>
    <row r="110" spans="2:59" ht="15.75" hidden="1" outlineLevel="1">
      <c r="B110" s="705">
        <f t="shared" si="255"/>
        <v>2036</v>
      </c>
      <c r="C110" s="280">
        <v>4.1016589799999998</v>
      </c>
      <c r="D110" s="281">
        <v>15.405035840000002</v>
      </c>
      <c r="E110" s="281">
        <v>0</v>
      </c>
      <c r="F110" s="281">
        <v>0</v>
      </c>
      <c r="G110" s="529">
        <f t="shared" si="239"/>
        <v>4.1016589799999998</v>
      </c>
      <c r="H110" s="282">
        <f t="shared" si="240"/>
        <v>15.405035840000002</v>
      </c>
      <c r="I110" s="282">
        <f t="shared" si="241"/>
        <v>0</v>
      </c>
      <c r="J110" s="282">
        <f t="shared" si="242"/>
        <v>0</v>
      </c>
      <c r="K110" s="280">
        <v>4.3205149499999997</v>
      </c>
      <c r="L110" s="281">
        <v>13.844865670000001</v>
      </c>
      <c r="M110" s="281">
        <v>0</v>
      </c>
      <c r="N110" s="281">
        <v>0</v>
      </c>
      <c r="O110" s="529">
        <f t="shared" si="247"/>
        <v>4.3205149499999997</v>
      </c>
      <c r="P110" s="282">
        <f t="shared" si="248"/>
        <v>13.844865670000001</v>
      </c>
      <c r="Q110" s="282">
        <f t="shared" si="249"/>
        <v>0</v>
      </c>
      <c r="R110" s="282">
        <f t="shared" si="250"/>
        <v>0</v>
      </c>
      <c r="S110" s="654">
        <v>4.4000000000000004</v>
      </c>
      <c r="T110" s="281">
        <v>12.969999999999999</v>
      </c>
      <c r="U110" s="281">
        <v>0</v>
      </c>
      <c r="V110" s="281">
        <v>0</v>
      </c>
      <c r="W110" s="534">
        <f t="shared" si="251"/>
        <v>4.4000000000000004</v>
      </c>
      <c r="X110" s="282">
        <f t="shared" si="252"/>
        <v>12.969999999999999</v>
      </c>
      <c r="Y110" s="282">
        <f t="shared" si="253"/>
        <v>0</v>
      </c>
      <c r="Z110" s="708">
        <f t="shared" si="254"/>
        <v>0</v>
      </c>
    </row>
    <row r="111" spans="2:59" ht="15.75" hidden="1" outlineLevel="1">
      <c r="B111" s="705">
        <f t="shared" si="255"/>
        <v>2037</v>
      </c>
      <c r="C111" s="280">
        <v>4.1415516400000003</v>
      </c>
      <c r="D111" s="281">
        <v>15.871159279999999</v>
      </c>
      <c r="E111" s="281">
        <v>0</v>
      </c>
      <c r="F111" s="281">
        <v>0</v>
      </c>
      <c r="G111" s="529">
        <f t="shared" si="239"/>
        <v>4.1415516400000003</v>
      </c>
      <c r="H111" s="282">
        <f t="shared" si="240"/>
        <v>15.871159279999999</v>
      </c>
      <c r="I111" s="282">
        <f t="shared" si="241"/>
        <v>0</v>
      </c>
      <c r="J111" s="282">
        <f t="shared" si="242"/>
        <v>0</v>
      </c>
      <c r="K111" s="280">
        <v>4.3113504200000001</v>
      </c>
      <c r="L111" s="281">
        <v>14.303470989999999</v>
      </c>
      <c r="M111" s="281">
        <v>0</v>
      </c>
      <c r="N111" s="281">
        <v>0</v>
      </c>
      <c r="O111" s="529">
        <f t="shared" si="247"/>
        <v>4.3113504200000001</v>
      </c>
      <c r="P111" s="282">
        <f t="shared" si="248"/>
        <v>14.303470989999999</v>
      </c>
      <c r="Q111" s="282">
        <f t="shared" si="249"/>
        <v>0</v>
      </c>
      <c r="R111" s="282">
        <f t="shared" si="250"/>
        <v>0</v>
      </c>
      <c r="S111" s="654">
        <v>4.3899999999999997</v>
      </c>
      <c r="T111" s="281">
        <v>13.44</v>
      </c>
      <c r="U111" s="281">
        <v>0</v>
      </c>
      <c r="V111" s="281">
        <v>0</v>
      </c>
      <c r="W111" s="534">
        <f t="shared" si="251"/>
        <v>4.3899999999999997</v>
      </c>
      <c r="X111" s="282">
        <f t="shared" si="252"/>
        <v>13.44</v>
      </c>
      <c r="Y111" s="282">
        <f t="shared" si="253"/>
        <v>0</v>
      </c>
      <c r="Z111" s="708">
        <f t="shared" si="254"/>
        <v>0</v>
      </c>
    </row>
    <row r="112" spans="2:59" ht="15.75" hidden="1" outlineLevel="1">
      <c r="B112" s="705">
        <f t="shared" si="255"/>
        <v>2038</v>
      </c>
      <c r="C112" s="280">
        <v>4.1839212000000003</v>
      </c>
      <c r="D112" s="281">
        <v>16.344902830000002</v>
      </c>
      <c r="E112" s="281">
        <v>0</v>
      </c>
      <c r="F112" s="281">
        <v>0</v>
      </c>
      <c r="G112" s="529">
        <f t="shared" si="239"/>
        <v>4.1839212000000003</v>
      </c>
      <c r="H112" s="282">
        <f t="shared" si="240"/>
        <v>16.344902830000002</v>
      </c>
      <c r="I112" s="282">
        <f t="shared" si="241"/>
        <v>0</v>
      </c>
      <c r="J112" s="282">
        <f t="shared" si="242"/>
        <v>0</v>
      </c>
      <c r="K112" s="280">
        <v>4.3605241700000006</v>
      </c>
      <c r="L112" s="281">
        <v>14.75152763</v>
      </c>
      <c r="M112" s="281">
        <v>0</v>
      </c>
      <c r="N112" s="281">
        <v>0</v>
      </c>
      <c r="O112" s="529">
        <f t="shared" si="247"/>
        <v>4.3605241700000006</v>
      </c>
      <c r="P112" s="282">
        <f t="shared" si="248"/>
        <v>14.75152763</v>
      </c>
      <c r="Q112" s="282">
        <f t="shared" si="249"/>
        <v>0</v>
      </c>
      <c r="R112" s="282">
        <f t="shared" si="250"/>
        <v>0</v>
      </c>
      <c r="S112" s="654">
        <v>4.46</v>
      </c>
      <c r="T112" s="281">
        <v>13.88</v>
      </c>
      <c r="U112" s="281">
        <v>0</v>
      </c>
      <c r="V112" s="281">
        <v>0</v>
      </c>
      <c r="W112" s="534">
        <f t="shared" si="251"/>
        <v>4.46</v>
      </c>
      <c r="X112" s="282">
        <f t="shared" si="252"/>
        <v>13.88</v>
      </c>
      <c r="Y112" s="282">
        <f t="shared" si="253"/>
        <v>0</v>
      </c>
      <c r="Z112" s="708">
        <f t="shared" si="254"/>
        <v>0</v>
      </c>
    </row>
    <row r="113" spans="2:26" ht="15.75" hidden="1" outlineLevel="1">
      <c r="B113" s="705">
        <f t="shared" si="255"/>
        <v>2039</v>
      </c>
      <c r="C113" s="280">
        <v>4.2201276500000002</v>
      </c>
      <c r="D113" s="281">
        <v>16.846999599999997</v>
      </c>
      <c r="E113" s="281">
        <v>0</v>
      </c>
      <c r="F113" s="281">
        <v>0</v>
      </c>
      <c r="G113" s="529">
        <f t="shared" si="239"/>
        <v>4.2201276500000002</v>
      </c>
      <c r="H113" s="282">
        <f t="shared" si="240"/>
        <v>16.846999599999997</v>
      </c>
      <c r="I113" s="282">
        <f t="shared" si="241"/>
        <v>0</v>
      </c>
      <c r="J113" s="282">
        <f t="shared" si="242"/>
        <v>0</v>
      </c>
      <c r="K113" s="280">
        <v>4.3581492600000002</v>
      </c>
      <c r="L113" s="281">
        <v>15.240802800000001</v>
      </c>
      <c r="M113" s="281">
        <v>0</v>
      </c>
      <c r="N113" s="281">
        <v>0</v>
      </c>
      <c r="O113" s="529">
        <f t="shared" si="247"/>
        <v>4.3581492600000002</v>
      </c>
      <c r="P113" s="282">
        <f t="shared" si="248"/>
        <v>15.240802800000001</v>
      </c>
      <c r="Q113" s="282">
        <f t="shared" si="249"/>
        <v>0</v>
      </c>
      <c r="R113" s="282">
        <f t="shared" si="250"/>
        <v>0</v>
      </c>
      <c r="S113" s="654">
        <v>4.47</v>
      </c>
      <c r="T113" s="281">
        <v>14.39</v>
      </c>
      <c r="U113" s="281">
        <v>0</v>
      </c>
      <c r="V113" s="281">
        <v>0</v>
      </c>
      <c r="W113" s="534">
        <f t="shared" si="251"/>
        <v>4.47</v>
      </c>
      <c r="X113" s="282">
        <f t="shared" si="252"/>
        <v>14.39</v>
      </c>
      <c r="Y113" s="282">
        <f t="shared" si="253"/>
        <v>0</v>
      </c>
      <c r="Z113" s="708">
        <f t="shared" si="254"/>
        <v>0</v>
      </c>
    </row>
    <row r="114" spans="2:26" ht="16.5" hidden="1" outlineLevel="1" thickBot="1">
      <c r="B114" s="706">
        <f t="shared" si="255"/>
        <v>2040</v>
      </c>
      <c r="C114" s="283">
        <v>4.2496464700000001</v>
      </c>
      <c r="D114" s="284">
        <v>17.373967360000002</v>
      </c>
      <c r="E114" s="284">
        <v>0</v>
      </c>
      <c r="F114" s="284">
        <v>0</v>
      </c>
      <c r="G114" s="530">
        <f t="shared" si="239"/>
        <v>4.2496464700000001</v>
      </c>
      <c r="H114" s="285">
        <f t="shared" si="240"/>
        <v>17.373967360000002</v>
      </c>
      <c r="I114" s="285">
        <f t="shared" si="241"/>
        <v>0</v>
      </c>
      <c r="J114" s="285">
        <f t="shared" si="242"/>
        <v>0</v>
      </c>
      <c r="K114" s="283">
        <v>4.4015241500000002</v>
      </c>
      <c r="L114" s="284">
        <v>15.725299009999999</v>
      </c>
      <c r="M114" s="284">
        <v>0</v>
      </c>
      <c r="N114" s="284">
        <v>0</v>
      </c>
      <c r="O114" s="530">
        <f t="shared" si="247"/>
        <v>4.4015241500000002</v>
      </c>
      <c r="P114" s="285">
        <f t="shared" si="248"/>
        <v>15.725299009999999</v>
      </c>
      <c r="Q114" s="285">
        <f t="shared" si="249"/>
        <v>0</v>
      </c>
      <c r="R114" s="285">
        <f t="shared" si="250"/>
        <v>0</v>
      </c>
      <c r="S114" s="655">
        <v>4.5</v>
      </c>
      <c r="T114" s="284">
        <v>14.850000000000001</v>
      </c>
      <c r="U114" s="284">
        <v>0</v>
      </c>
      <c r="V114" s="284">
        <v>0</v>
      </c>
      <c r="W114" s="535">
        <f t="shared" si="251"/>
        <v>4.5</v>
      </c>
      <c r="X114" s="285">
        <f t="shared" si="252"/>
        <v>14.850000000000001</v>
      </c>
      <c r="Y114" s="285">
        <f t="shared" si="253"/>
        <v>0</v>
      </c>
      <c r="Z114" s="709">
        <f t="shared" si="254"/>
        <v>0</v>
      </c>
    </row>
    <row r="115" spans="2:26" ht="15.75" hidden="1" outlineLevel="1" thickBot="1"/>
    <row r="116" spans="2:26" ht="16.5" hidden="1" outlineLevel="1" thickBot="1">
      <c r="B116" s="1186" t="s">
        <v>388</v>
      </c>
      <c r="C116" s="1243" t="s">
        <v>222</v>
      </c>
      <c r="D116" s="1244"/>
      <c r="E116" s="1244"/>
      <c r="F116" s="1244"/>
      <c r="G116" s="1244"/>
      <c r="H116" s="1244"/>
      <c r="I116" s="1244"/>
      <c r="J116" s="1244"/>
      <c r="K116" s="1244"/>
      <c r="L116" s="1244"/>
      <c r="M116" s="1244"/>
      <c r="N116" s="1244"/>
      <c r="O116" s="1244"/>
      <c r="P116" s="1244"/>
      <c r="Q116" s="1244"/>
      <c r="R116" s="1244"/>
      <c r="S116" s="1244"/>
      <c r="T116" s="1244"/>
      <c r="U116" s="1244"/>
      <c r="V116" s="1244"/>
      <c r="W116" s="1244"/>
      <c r="X116" s="1244"/>
      <c r="Y116" s="1244"/>
      <c r="Z116" s="1245"/>
    </row>
    <row r="117" spans="2:26" ht="16.149999999999999" hidden="1" customHeight="1" outlineLevel="1" thickBot="1">
      <c r="B117" s="1188"/>
      <c r="C117" s="1297" t="s">
        <v>46</v>
      </c>
      <c r="D117" s="1298"/>
      <c r="E117" s="1298"/>
      <c r="F117" s="1299"/>
      <c r="G117" s="1300" t="s">
        <v>47</v>
      </c>
      <c r="H117" s="1301"/>
      <c r="I117" s="1301"/>
      <c r="J117" s="1302"/>
      <c r="K117" s="1297" t="s">
        <v>342</v>
      </c>
      <c r="L117" s="1298"/>
      <c r="M117" s="1298"/>
      <c r="N117" s="1299"/>
      <c r="O117" s="1300" t="s">
        <v>343</v>
      </c>
      <c r="P117" s="1301"/>
      <c r="Q117" s="1301"/>
      <c r="R117" s="1302"/>
      <c r="S117" s="1297" t="s">
        <v>344</v>
      </c>
      <c r="T117" s="1298"/>
      <c r="U117" s="1298"/>
      <c r="V117" s="1299"/>
      <c r="W117" s="1300" t="s">
        <v>345</v>
      </c>
      <c r="X117" s="1301"/>
      <c r="Y117" s="1301"/>
      <c r="Z117" s="1302"/>
    </row>
    <row r="118" spans="2:26" ht="32.25" hidden="1" outlineLevel="1" thickBot="1">
      <c r="B118" s="62" t="s">
        <v>0</v>
      </c>
      <c r="C118" s="157" t="str">
        <f ca="1">C92</f>
        <v>גז פחמיות מוסבות</v>
      </c>
      <c r="D118" s="157" t="str">
        <f t="shared" ref="D118:Z118" ca="1" si="256">D92</f>
        <v>גז חח"י מחזמים ופקירים ויח"פים</v>
      </c>
      <c r="E118" s="157" t="str">
        <f t="shared" ca="1" si="256"/>
        <v>אחר 1</v>
      </c>
      <c r="F118" s="157" t="str">
        <f t="shared" ca="1" si="256"/>
        <v>אחר 2</v>
      </c>
      <c r="G118" s="156" t="str">
        <f t="shared" ca="1" si="256"/>
        <v>גז פחמיות מוסבות</v>
      </c>
      <c r="H118" s="156" t="str">
        <f t="shared" ca="1" si="256"/>
        <v>גז חח"י מחזמים ופקירים ויח"פים</v>
      </c>
      <c r="I118" s="156" t="str">
        <f t="shared" ca="1" si="256"/>
        <v>אחר 1</v>
      </c>
      <c r="J118" s="156" t="str">
        <f t="shared" ca="1" si="256"/>
        <v>אחר 2</v>
      </c>
      <c r="K118" s="157" t="str">
        <f t="shared" ca="1" si="256"/>
        <v>גז פחמיות מוסבות</v>
      </c>
      <c r="L118" s="157" t="str">
        <f t="shared" ca="1" si="256"/>
        <v>גז חח"י מחזמים ופקירים ויח"פים</v>
      </c>
      <c r="M118" s="157" t="str">
        <f t="shared" ca="1" si="256"/>
        <v>אחר 1</v>
      </c>
      <c r="N118" s="157" t="str">
        <f t="shared" ca="1" si="256"/>
        <v>אחר 2</v>
      </c>
      <c r="O118" s="156" t="str">
        <f t="shared" ca="1" si="256"/>
        <v>גז פחמיות מוסבות</v>
      </c>
      <c r="P118" s="156" t="str">
        <f t="shared" ca="1" si="256"/>
        <v>גז חח"י מחזמים ופקירים ויח"פים</v>
      </c>
      <c r="Q118" s="156" t="str">
        <f t="shared" ca="1" si="256"/>
        <v>אחר 1</v>
      </c>
      <c r="R118" s="156" t="str">
        <f t="shared" ca="1" si="256"/>
        <v>אחר 2</v>
      </c>
      <c r="S118" s="157" t="str">
        <f t="shared" ca="1" si="256"/>
        <v>גז פחמיות מוסבות</v>
      </c>
      <c r="T118" s="157" t="str">
        <f t="shared" ca="1" si="256"/>
        <v>גז חח"י מחזמים ופקירים ויח"פים</v>
      </c>
      <c r="U118" s="157" t="str">
        <f t="shared" ca="1" si="256"/>
        <v>אחר 1</v>
      </c>
      <c r="V118" s="157" t="str">
        <f t="shared" ca="1" si="256"/>
        <v>אחר 2</v>
      </c>
      <c r="W118" s="156" t="str">
        <f t="shared" ca="1" si="256"/>
        <v>גז פחמיות מוסבות</v>
      </c>
      <c r="X118" s="156" t="str">
        <f t="shared" ca="1" si="256"/>
        <v>גז חח"י מחזמים ופקירים ויח"פים</v>
      </c>
      <c r="Y118" s="156" t="str">
        <f t="shared" ca="1" si="256"/>
        <v>אחר 1</v>
      </c>
      <c r="Z118" s="156" t="str">
        <f t="shared" ca="1" si="256"/>
        <v>אחר 2</v>
      </c>
    </row>
    <row r="119" spans="2:26" ht="16.5" hidden="1" outlineLevel="1" thickBot="1">
      <c r="B119" s="62" t="s">
        <v>28</v>
      </c>
      <c r="C119" s="287" t="s">
        <v>100</v>
      </c>
      <c r="D119" s="287" t="s">
        <v>100</v>
      </c>
      <c r="E119" s="287" t="s">
        <v>100</v>
      </c>
      <c r="F119" s="287" t="s">
        <v>100</v>
      </c>
      <c r="G119" s="312" t="str">
        <f t="shared" ref="G119:G140" si="257">C119</f>
        <v>BCM</v>
      </c>
      <c r="H119" s="312" t="str">
        <f t="shared" ref="H119:H140" si="258">D119</f>
        <v>BCM</v>
      </c>
      <c r="I119" s="312" t="str">
        <f t="shared" ref="I119:I140" si="259">E119</f>
        <v>BCM</v>
      </c>
      <c r="J119" s="312" t="str">
        <f t="shared" ref="J119:J140" si="260">F119</f>
        <v>BCM</v>
      </c>
      <c r="K119" s="287" t="str">
        <f t="shared" ref="K119" si="261">G119</f>
        <v>BCM</v>
      </c>
      <c r="L119" s="287" t="str">
        <f t="shared" ref="L119" si="262">H119</f>
        <v>BCM</v>
      </c>
      <c r="M119" s="287" t="str">
        <f t="shared" ref="M119" si="263">I119</f>
        <v>BCM</v>
      </c>
      <c r="N119" s="287" t="str">
        <f t="shared" ref="N119" si="264">J119</f>
        <v>BCM</v>
      </c>
      <c r="O119" s="48" t="str">
        <f t="shared" ref="O119:O140" si="265">K119</f>
        <v>BCM</v>
      </c>
      <c r="P119" s="48" t="str">
        <f t="shared" ref="P119:P140" si="266">L119</f>
        <v>BCM</v>
      </c>
      <c r="Q119" s="48" t="str">
        <f t="shared" ref="Q119:Q140" si="267">M119</f>
        <v>BCM</v>
      </c>
      <c r="R119" s="48" t="str">
        <f t="shared" ref="R119:R140" si="268">N119</f>
        <v>BCM</v>
      </c>
      <c r="S119" s="38" t="s">
        <v>100</v>
      </c>
      <c r="T119" s="38" t="s">
        <v>100</v>
      </c>
      <c r="U119" s="38" t="s">
        <v>100</v>
      </c>
      <c r="V119" s="38" t="s">
        <v>100</v>
      </c>
      <c r="W119" s="48" t="str">
        <f t="shared" ref="W119:W140" si="269">S119</f>
        <v>BCM</v>
      </c>
      <c r="X119" s="48" t="str">
        <f t="shared" ref="X119:X140" si="270">T119</f>
        <v>BCM</v>
      </c>
      <c r="Y119" s="48" t="str">
        <f t="shared" ref="Y119:Y140" si="271">U119</f>
        <v>BCM</v>
      </c>
      <c r="Z119" s="48" t="str">
        <f t="shared" ref="Z119:Z140" si="272">V119</f>
        <v>BCM</v>
      </c>
    </row>
    <row r="120" spans="2:26" ht="15.75" hidden="1" outlineLevel="1">
      <c r="B120" s="704">
        <f>B94</f>
        <v>2020</v>
      </c>
      <c r="C120" s="280">
        <v>0</v>
      </c>
      <c r="D120" s="281">
        <v>8.6058378721740034</v>
      </c>
      <c r="E120" s="281">
        <v>0</v>
      </c>
      <c r="F120" s="281">
        <v>0</v>
      </c>
      <c r="G120" s="528">
        <f t="shared" si="257"/>
        <v>0</v>
      </c>
      <c r="H120" s="279">
        <f t="shared" si="258"/>
        <v>8.6058378721740034</v>
      </c>
      <c r="I120" s="279">
        <f t="shared" si="259"/>
        <v>0</v>
      </c>
      <c r="J120" s="279">
        <f t="shared" si="260"/>
        <v>0</v>
      </c>
      <c r="K120" s="536">
        <v>0</v>
      </c>
      <c r="L120" s="537">
        <v>8.6058378721740034</v>
      </c>
      <c r="M120" s="537">
        <v>0</v>
      </c>
      <c r="N120" s="537">
        <v>0</v>
      </c>
      <c r="O120" s="528">
        <f t="shared" si="265"/>
        <v>0</v>
      </c>
      <c r="P120" s="279">
        <f t="shared" si="266"/>
        <v>8.6058378721740034</v>
      </c>
      <c r="Q120" s="279">
        <f t="shared" si="267"/>
        <v>0</v>
      </c>
      <c r="R120" s="279">
        <f t="shared" si="268"/>
        <v>0</v>
      </c>
      <c r="S120" s="653">
        <v>0</v>
      </c>
      <c r="T120" s="537">
        <v>8.6058378721740034</v>
      </c>
      <c r="U120" s="537">
        <v>0</v>
      </c>
      <c r="V120" s="537">
        <v>0</v>
      </c>
      <c r="W120" s="533">
        <f t="shared" si="269"/>
        <v>0</v>
      </c>
      <c r="X120" s="279">
        <f t="shared" si="270"/>
        <v>8.6058378721740034</v>
      </c>
      <c r="Y120" s="279">
        <f t="shared" si="271"/>
        <v>0</v>
      </c>
      <c r="Z120" s="707">
        <f t="shared" si="272"/>
        <v>0</v>
      </c>
    </row>
    <row r="121" spans="2:26" ht="15.75" hidden="1" outlineLevel="1">
      <c r="B121" s="705">
        <f t="shared" ref="B121:B140" si="273">B95</f>
        <v>2021</v>
      </c>
      <c r="C121" s="280">
        <v>0</v>
      </c>
      <c r="D121" s="281">
        <v>8.7783119554773741</v>
      </c>
      <c r="E121" s="281">
        <v>0</v>
      </c>
      <c r="F121" s="281">
        <v>0</v>
      </c>
      <c r="G121" s="529">
        <f t="shared" si="257"/>
        <v>0</v>
      </c>
      <c r="H121" s="282">
        <f t="shared" si="258"/>
        <v>8.7783119554773741</v>
      </c>
      <c r="I121" s="282">
        <f t="shared" si="259"/>
        <v>0</v>
      </c>
      <c r="J121" s="282">
        <f t="shared" si="260"/>
        <v>0</v>
      </c>
      <c r="K121" s="280">
        <v>0</v>
      </c>
      <c r="L121" s="281">
        <v>8.7380504660153715</v>
      </c>
      <c r="M121" s="281">
        <v>0</v>
      </c>
      <c r="N121" s="281">
        <v>0</v>
      </c>
      <c r="O121" s="529">
        <f t="shared" si="265"/>
        <v>0</v>
      </c>
      <c r="P121" s="282">
        <f t="shared" si="266"/>
        <v>8.7380504660153715</v>
      </c>
      <c r="Q121" s="282">
        <f t="shared" si="267"/>
        <v>0</v>
      </c>
      <c r="R121" s="282">
        <f t="shared" si="268"/>
        <v>0</v>
      </c>
      <c r="S121" s="654">
        <v>0</v>
      </c>
      <c r="T121" s="281">
        <v>8.7783119554773741</v>
      </c>
      <c r="U121" s="281">
        <v>0</v>
      </c>
      <c r="V121" s="281">
        <v>0</v>
      </c>
      <c r="W121" s="534">
        <f t="shared" si="269"/>
        <v>0</v>
      </c>
      <c r="X121" s="282">
        <f t="shared" si="270"/>
        <v>8.7783119554773741</v>
      </c>
      <c r="Y121" s="282">
        <f t="shared" si="271"/>
        <v>0</v>
      </c>
      <c r="Z121" s="708">
        <f t="shared" si="272"/>
        <v>0</v>
      </c>
    </row>
    <row r="122" spans="2:26" ht="15.75" hidden="1" outlineLevel="1">
      <c r="B122" s="705">
        <f t="shared" si="273"/>
        <v>2022</v>
      </c>
      <c r="C122" s="280">
        <v>0.36595469000000003</v>
      </c>
      <c r="D122" s="281">
        <v>10.517208800000001</v>
      </c>
      <c r="E122" s="281">
        <v>0</v>
      </c>
      <c r="F122" s="281">
        <v>0</v>
      </c>
      <c r="G122" s="529">
        <f t="shared" si="257"/>
        <v>0.36595469000000003</v>
      </c>
      <c r="H122" s="282">
        <f t="shared" si="258"/>
        <v>10.517208800000001</v>
      </c>
      <c r="I122" s="282">
        <f t="shared" si="259"/>
        <v>0</v>
      </c>
      <c r="J122" s="282">
        <f t="shared" si="260"/>
        <v>0</v>
      </c>
      <c r="K122" s="280">
        <v>0.35703785000000005</v>
      </c>
      <c r="L122" s="281">
        <v>10.271412900000001</v>
      </c>
      <c r="M122" s="281">
        <v>0</v>
      </c>
      <c r="N122" s="281">
        <v>0</v>
      </c>
      <c r="O122" s="529">
        <f t="shared" si="265"/>
        <v>0.35703785000000005</v>
      </c>
      <c r="P122" s="282">
        <f t="shared" si="266"/>
        <v>10.271412900000001</v>
      </c>
      <c r="Q122" s="282">
        <f t="shared" si="267"/>
        <v>0</v>
      </c>
      <c r="R122" s="282">
        <f t="shared" si="268"/>
        <v>0</v>
      </c>
      <c r="S122" s="654">
        <v>0.35387616</v>
      </c>
      <c r="T122" s="281">
        <v>10.139918650000002</v>
      </c>
      <c r="U122" s="281">
        <v>0</v>
      </c>
      <c r="V122" s="281">
        <v>0</v>
      </c>
      <c r="W122" s="534">
        <f t="shared" si="269"/>
        <v>0.35387616</v>
      </c>
      <c r="X122" s="282">
        <f t="shared" si="270"/>
        <v>10.139918650000002</v>
      </c>
      <c r="Y122" s="282">
        <f t="shared" si="271"/>
        <v>0</v>
      </c>
      <c r="Z122" s="708">
        <f t="shared" si="272"/>
        <v>0</v>
      </c>
    </row>
    <row r="123" spans="2:26" ht="15.75" hidden="1" outlineLevel="1">
      <c r="B123" s="705">
        <f t="shared" si="273"/>
        <v>2023</v>
      </c>
      <c r="C123" s="280">
        <v>0.56758892000000005</v>
      </c>
      <c r="D123" s="281">
        <v>11.418829540000001</v>
      </c>
      <c r="E123" s="281">
        <v>0</v>
      </c>
      <c r="F123" s="281">
        <v>0</v>
      </c>
      <c r="G123" s="529">
        <f t="shared" si="257"/>
        <v>0.56758892000000005</v>
      </c>
      <c r="H123" s="282">
        <f t="shared" si="258"/>
        <v>11.418829540000001</v>
      </c>
      <c r="I123" s="282">
        <f t="shared" si="259"/>
        <v>0</v>
      </c>
      <c r="J123" s="282">
        <f t="shared" si="260"/>
        <v>0</v>
      </c>
      <c r="K123" s="280">
        <v>0.55583093000000006</v>
      </c>
      <c r="L123" s="281">
        <v>11.03565311</v>
      </c>
      <c r="M123" s="281">
        <v>0</v>
      </c>
      <c r="N123" s="281">
        <v>0</v>
      </c>
      <c r="O123" s="529">
        <f t="shared" si="265"/>
        <v>0.55583093000000006</v>
      </c>
      <c r="P123" s="282">
        <f t="shared" si="266"/>
        <v>11.03565311</v>
      </c>
      <c r="Q123" s="282">
        <f t="shared" si="267"/>
        <v>0</v>
      </c>
      <c r="R123" s="282">
        <f t="shared" si="268"/>
        <v>0</v>
      </c>
      <c r="S123" s="654">
        <v>0.55264010000000008</v>
      </c>
      <c r="T123" s="281">
        <v>10.832926130000001</v>
      </c>
      <c r="U123" s="281">
        <v>0</v>
      </c>
      <c r="V123" s="281">
        <v>0</v>
      </c>
      <c r="W123" s="534">
        <f t="shared" si="269"/>
        <v>0.55264010000000008</v>
      </c>
      <c r="X123" s="282">
        <f t="shared" si="270"/>
        <v>10.832926130000001</v>
      </c>
      <c r="Y123" s="282">
        <f t="shared" si="271"/>
        <v>0</v>
      </c>
      <c r="Z123" s="708">
        <f t="shared" si="272"/>
        <v>0</v>
      </c>
    </row>
    <row r="124" spans="2:26" ht="15.75" hidden="1" outlineLevel="1">
      <c r="B124" s="705">
        <f t="shared" si="273"/>
        <v>2024</v>
      </c>
      <c r="C124" s="280">
        <v>0.74843175999999989</v>
      </c>
      <c r="D124" s="281">
        <v>12.10459573</v>
      </c>
      <c r="E124" s="281">
        <v>0</v>
      </c>
      <c r="F124" s="281">
        <v>0</v>
      </c>
      <c r="G124" s="529">
        <f t="shared" si="257"/>
        <v>0.74843175999999989</v>
      </c>
      <c r="H124" s="282">
        <f t="shared" si="258"/>
        <v>12.10459573</v>
      </c>
      <c r="I124" s="282">
        <f t="shared" si="259"/>
        <v>0</v>
      </c>
      <c r="J124" s="282">
        <f t="shared" si="260"/>
        <v>0</v>
      </c>
      <c r="K124" s="280">
        <v>0.73290014000000003</v>
      </c>
      <c r="L124" s="281">
        <v>11.591862860000001</v>
      </c>
      <c r="M124" s="281">
        <v>0</v>
      </c>
      <c r="N124" s="281">
        <v>0</v>
      </c>
      <c r="O124" s="529">
        <f t="shared" si="265"/>
        <v>0.73290014000000003</v>
      </c>
      <c r="P124" s="282">
        <f t="shared" si="266"/>
        <v>11.591862860000001</v>
      </c>
      <c r="Q124" s="282">
        <f t="shared" si="267"/>
        <v>0</v>
      </c>
      <c r="R124" s="282">
        <f t="shared" si="268"/>
        <v>0</v>
      </c>
      <c r="S124" s="654">
        <v>0.72953447000000005</v>
      </c>
      <c r="T124" s="281">
        <v>11.312759940000001</v>
      </c>
      <c r="U124" s="281">
        <v>0</v>
      </c>
      <c r="V124" s="281">
        <v>0</v>
      </c>
      <c r="W124" s="534">
        <f t="shared" si="269"/>
        <v>0.72953447000000005</v>
      </c>
      <c r="X124" s="282">
        <f t="shared" si="270"/>
        <v>11.312759940000001</v>
      </c>
      <c r="Y124" s="282">
        <f t="shared" si="271"/>
        <v>0</v>
      </c>
      <c r="Z124" s="708">
        <f t="shared" si="272"/>
        <v>0</v>
      </c>
    </row>
    <row r="125" spans="2:26" ht="15.75" hidden="1" outlineLevel="1">
      <c r="B125" s="705">
        <f t="shared" si="273"/>
        <v>2025</v>
      </c>
      <c r="C125" s="280">
        <v>2.5193132700000005</v>
      </c>
      <c r="D125" s="281">
        <v>12.271116260000003</v>
      </c>
      <c r="E125" s="281">
        <v>0</v>
      </c>
      <c r="F125" s="281">
        <v>0</v>
      </c>
      <c r="G125" s="529">
        <f t="shared" si="257"/>
        <v>2.5193132700000005</v>
      </c>
      <c r="H125" s="282">
        <f t="shared" si="258"/>
        <v>12.271116260000003</v>
      </c>
      <c r="I125" s="282">
        <f t="shared" si="259"/>
        <v>0</v>
      </c>
      <c r="J125" s="282">
        <f t="shared" si="260"/>
        <v>0</v>
      </c>
      <c r="K125" s="280">
        <v>2.4362059899999999</v>
      </c>
      <c r="L125" s="281">
        <v>11.63896767</v>
      </c>
      <c r="M125" s="281">
        <v>0</v>
      </c>
      <c r="N125" s="281">
        <v>0</v>
      </c>
      <c r="O125" s="529">
        <f t="shared" si="265"/>
        <v>2.4362059899999999</v>
      </c>
      <c r="P125" s="282">
        <f t="shared" si="266"/>
        <v>11.63896767</v>
      </c>
      <c r="Q125" s="282">
        <f t="shared" si="267"/>
        <v>0</v>
      </c>
      <c r="R125" s="282">
        <f t="shared" si="268"/>
        <v>0</v>
      </c>
      <c r="S125" s="654">
        <v>2.4434909899999999</v>
      </c>
      <c r="T125" s="281">
        <v>11.269370479999999</v>
      </c>
      <c r="U125" s="281">
        <v>0</v>
      </c>
      <c r="V125" s="281">
        <v>0</v>
      </c>
      <c r="W125" s="534">
        <f t="shared" si="269"/>
        <v>2.4434909899999999</v>
      </c>
      <c r="X125" s="282">
        <f t="shared" si="270"/>
        <v>11.269370479999999</v>
      </c>
      <c r="Y125" s="282">
        <f t="shared" si="271"/>
        <v>0</v>
      </c>
      <c r="Z125" s="708">
        <f t="shared" si="272"/>
        <v>0</v>
      </c>
    </row>
    <row r="126" spans="2:26" ht="15.75" hidden="1" outlineLevel="1">
      <c r="B126" s="705">
        <f t="shared" si="273"/>
        <v>2026</v>
      </c>
      <c r="C126" s="280">
        <v>4.1474962</v>
      </c>
      <c r="D126" s="281">
        <v>11.82080127</v>
      </c>
      <c r="E126" s="281">
        <v>0</v>
      </c>
      <c r="F126" s="281">
        <v>0</v>
      </c>
      <c r="G126" s="529">
        <f t="shared" si="257"/>
        <v>4.1474962</v>
      </c>
      <c r="H126" s="282">
        <f t="shared" si="258"/>
        <v>11.82080127</v>
      </c>
      <c r="I126" s="282">
        <f t="shared" si="259"/>
        <v>0</v>
      </c>
      <c r="J126" s="282">
        <f t="shared" si="260"/>
        <v>0</v>
      </c>
      <c r="K126" s="280">
        <v>4.0632815999999998</v>
      </c>
      <c r="L126" s="281">
        <v>11.074132479999999</v>
      </c>
      <c r="M126" s="281">
        <v>0</v>
      </c>
      <c r="N126" s="281">
        <v>0</v>
      </c>
      <c r="O126" s="529">
        <f t="shared" si="265"/>
        <v>4.0632815999999998</v>
      </c>
      <c r="P126" s="282">
        <f t="shared" si="266"/>
        <v>11.074132479999999</v>
      </c>
      <c r="Q126" s="282">
        <f t="shared" si="267"/>
        <v>0</v>
      </c>
      <c r="R126" s="282">
        <f t="shared" si="268"/>
        <v>0</v>
      </c>
      <c r="S126" s="654">
        <v>4.09</v>
      </c>
      <c r="T126" s="281">
        <v>10.6</v>
      </c>
      <c r="U126" s="281">
        <v>0</v>
      </c>
      <c r="V126" s="281">
        <v>0</v>
      </c>
      <c r="W126" s="534">
        <f t="shared" si="269"/>
        <v>4.09</v>
      </c>
      <c r="X126" s="282">
        <f t="shared" si="270"/>
        <v>10.6</v>
      </c>
      <c r="Y126" s="282">
        <f t="shared" si="271"/>
        <v>0</v>
      </c>
      <c r="Z126" s="708">
        <f t="shared" si="272"/>
        <v>0</v>
      </c>
    </row>
    <row r="127" spans="2:26" ht="15.75" hidden="1" outlineLevel="1">
      <c r="B127" s="705">
        <f t="shared" si="273"/>
        <v>2027</v>
      </c>
      <c r="C127" s="280">
        <v>4.0553409500000006</v>
      </c>
      <c r="D127" s="281">
        <v>12.147766640000004</v>
      </c>
      <c r="E127" s="281">
        <v>0</v>
      </c>
      <c r="F127" s="281">
        <v>0</v>
      </c>
      <c r="G127" s="529">
        <f t="shared" si="257"/>
        <v>4.0553409500000006</v>
      </c>
      <c r="H127" s="282">
        <f t="shared" si="258"/>
        <v>12.147766640000004</v>
      </c>
      <c r="I127" s="282">
        <f t="shared" si="259"/>
        <v>0</v>
      </c>
      <c r="J127" s="282">
        <f t="shared" si="260"/>
        <v>0</v>
      </c>
      <c r="K127" s="280">
        <v>4.0266380500000007</v>
      </c>
      <c r="L127" s="281">
        <v>11.236937660000002</v>
      </c>
      <c r="M127" s="281">
        <v>0</v>
      </c>
      <c r="N127" s="281">
        <v>0</v>
      </c>
      <c r="O127" s="529">
        <f t="shared" si="265"/>
        <v>4.0266380500000007</v>
      </c>
      <c r="P127" s="282">
        <f t="shared" si="266"/>
        <v>11.236937660000002</v>
      </c>
      <c r="Q127" s="282">
        <f t="shared" si="267"/>
        <v>0</v>
      </c>
      <c r="R127" s="282">
        <f t="shared" si="268"/>
        <v>0</v>
      </c>
      <c r="S127" s="654">
        <v>4.08</v>
      </c>
      <c r="T127" s="281">
        <v>10.68</v>
      </c>
      <c r="U127" s="281">
        <v>0</v>
      </c>
      <c r="V127" s="281">
        <v>0</v>
      </c>
      <c r="W127" s="534">
        <f t="shared" si="269"/>
        <v>4.08</v>
      </c>
      <c r="X127" s="282">
        <f t="shared" si="270"/>
        <v>10.68</v>
      </c>
      <c r="Y127" s="282">
        <f t="shared" si="271"/>
        <v>0</v>
      </c>
      <c r="Z127" s="708">
        <f t="shared" si="272"/>
        <v>0</v>
      </c>
    </row>
    <row r="128" spans="2:26" ht="15.75" hidden="1" outlineLevel="1">
      <c r="B128" s="705">
        <f t="shared" si="273"/>
        <v>2028</v>
      </c>
      <c r="C128" s="280">
        <v>3.9797372200000005</v>
      </c>
      <c r="D128" s="281">
        <v>12.413610860000002</v>
      </c>
      <c r="E128" s="281">
        <v>0</v>
      </c>
      <c r="F128" s="281">
        <v>0</v>
      </c>
      <c r="G128" s="529">
        <f t="shared" si="257"/>
        <v>3.9797372200000005</v>
      </c>
      <c r="H128" s="282">
        <f t="shared" si="258"/>
        <v>12.413610860000002</v>
      </c>
      <c r="I128" s="282">
        <f t="shared" si="259"/>
        <v>0</v>
      </c>
      <c r="J128" s="282">
        <f t="shared" si="260"/>
        <v>0</v>
      </c>
      <c r="K128" s="280">
        <v>4.0581966700000001</v>
      </c>
      <c r="L128" s="281">
        <v>11.34246817</v>
      </c>
      <c r="M128" s="281">
        <v>0</v>
      </c>
      <c r="N128" s="281">
        <v>0</v>
      </c>
      <c r="O128" s="529">
        <f t="shared" si="265"/>
        <v>4.0581966700000001</v>
      </c>
      <c r="P128" s="282">
        <f t="shared" si="266"/>
        <v>11.34246817</v>
      </c>
      <c r="Q128" s="282">
        <f t="shared" si="267"/>
        <v>0</v>
      </c>
      <c r="R128" s="282">
        <f t="shared" si="268"/>
        <v>0</v>
      </c>
      <c r="S128" s="654">
        <v>4.1399999999999997</v>
      </c>
      <c r="T128" s="281">
        <v>10.68</v>
      </c>
      <c r="U128" s="281">
        <v>0</v>
      </c>
      <c r="V128" s="281">
        <v>0</v>
      </c>
      <c r="W128" s="534">
        <f t="shared" si="269"/>
        <v>4.1399999999999997</v>
      </c>
      <c r="X128" s="282">
        <f t="shared" si="270"/>
        <v>10.68</v>
      </c>
      <c r="Y128" s="282">
        <f t="shared" si="271"/>
        <v>0</v>
      </c>
      <c r="Z128" s="708">
        <f t="shared" si="272"/>
        <v>0</v>
      </c>
    </row>
    <row r="129" spans="2:26" ht="15.75" hidden="1" outlineLevel="1">
      <c r="B129" s="705">
        <f t="shared" si="273"/>
        <v>2029</v>
      </c>
      <c r="C129" s="280">
        <v>3.9942635100000001</v>
      </c>
      <c r="D129" s="281">
        <v>12.653826450000002</v>
      </c>
      <c r="E129" s="281">
        <v>0</v>
      </c>
      <c r="F129" s="281">
        <v>0</v>
      </c>
      <c r="G129" s="529">
        <f t="shared" si="257"/>
        <v>3.9942635100000001</v>
      </c>
      <c r="H129" s="282">
        <f t="shared" si="258"/>
        <v>12.653826450000002</v>
      </c>
      <c r="I129" s="282">
        <f t="shared" si="259"/>
        <v>0</v>
      </c>
      <c r="J129" s="282">
        <f t="shared" si="260"/>
        <v>0</v>
      </c>
      <c r="K129" s="280">
        <v>4.1236742500000005</v>
      </c>
      <c r="L129" s="281">
        <v>11.408834520000001</v>
      </c>
      <c r="M129" s="281">
        <v>0</v>
      </c>
      <c r="N129" s="281">
        <v>0</v>
      </c>
      <c r="O129" s="529">
        <f t="shared" si="265"/>
        <v>4.1236742500000005</v>
      </c>
      <c r="P129" s="282">
        <f t="shared" si="266"/>
        <v>11.408834520000001</v>
      </c>
      <c r="Q129" s="282">
        <f t="shared" si="267"/>
        <v>0</v>
      </c>
      <c r="R129" s="282">
        <f t="shared" si="268"/>
        <v>0</v>
      </c>
      <c r="S129" s="654">
        <v>4.22</v>
      </c>
      <c r="T129" s="281">
        <v>10.64</v>
      </c>
      <c r="U129" s="281">
        <v>0</v>
      </c>
      <c r="V129" s="281">
        <v>0</v>
      </c>
      <c r="W129" s="534">
        <f t="shared" si="269"/>
        <v>4.22</v>
      </c>
      <c r="X129" s="282">
        <f t="shared" si="270"/>
        <v>10.64</v>
      </c>
      <c r="Y129" s="282">
        <f t="shared" si="271"/>
        <v>0</v>
      </c>
      <c r="Z129" s="708">
        <f t="shared" si="272"/>
        <v>0</v>
      </c>
    </row>
    <row r="130" spans="2:26" ht="15.75" hidden="1" outlineLevel="1">
      <c r="B130" s="705">
        <f t="shared" si="273"/>
        <v>2030</v>
      </c>
      <c r="C130" s="280">
        <v>3.9586252900000005</v>
      </c>
      <c r="D130" s="281">
        <v>12.905989439999999</v>
      </c>
      <c r="E130" s="281">
        <v>0</v>
      </c>
      <c r="F130" s="281">
        <v>0</v>
      </c>
      <c r="G130" s="529">
        <f t="shared" si="257"/>
        <v>3.9586252900000005</v>
      </c>
      <c r="H130" s="282">
        <f t="shared" si="258"/>
        <v>12.905989439999999</v>
      </c>
      <c r="I130" s="282">
        <f t="shared" si="259"/>
        <v>0</v>
      </c>
      <c r="J130" s="282">
        <f t="shared" si="260"/>
        <v>0</v>
      </c>
      <c r="K130" s="280">
        <v>4.1737950499999998</v>
      </c>
      <c r="L130" s="281">
        <v>11.47671615</v>
      </c>
      <c r="M130" s="281">
        <v>0</v>
      </c>
      <c r="N130" s="281">
        <v>0</v>
      </c>
      <c r="O130" s="529">
        <f t="shared" si="265"/>
        <v>4.1737950499999998</v>
      </c>
      <c r="P130" s="282">
        <f t="shared" si="266"/>
        <v>11.47671615</v>
      </c>
      <c r="Q130" s="282">
        <f t="shared" si="267"/>
        <v>0</v>
      </c>
      <c r="R130" s="282">
        <f t="shared" si="268"/>
        <v>0</v>
      </c>
      <c r="S130" s="654">
        <v>4.28</v>
      </c>
      <c r="T130" s="281">
        <v>10.61</v>
      </c>
      <c r="U130" s="281">
        <v>0</v>
      </c>
      <c r="V130" s="281">
        <v>0</v>
      </c>
      <c r="W130" s="534">
        <f t="shared" si="269"/>
        <v>4.28</v>
      </c>
      <c r="X130" s="282">
        <f t="shared" si="270"/>
        <v>10.61</v>
      </c>
      <c r="Y130" s="282">
        <f t="shared" si="271"/>
        <v>0</v>
      </c>
      <c r="Z130" s="708">
        <f t="shared" si="272"/>
        <v>0</v>
      </c>
    </row>
    <row r="131" spans="2:26" ht="15.75" hidden="1" outlineLevel="1">
      <c r="B131" s="705">
        <f t="shared" si="273"/>
        <v>2031</v>
      </c>
      <c r="C131" s="280">
        <v>3.94491492</v>
      </c>
      <c r="D131" s="281">
        <v>13.29685883</v>
      </c>
      <c r="E131" s="281">
        <v>0</v>
      </c>
      <c r="F131" s="281">
        <v>0</v>
      </c>
      <c r="G131" s="529">
        <f t="shared" si="257"/>
        <v>3.94491492</v>
      </c>
      <c r="H131" s="282">
        <f t="shared" si="258"/>
        <v>13.29685883</v>
      </c>
      <c r="I131" s="282">
        <f t="shared" si="259"/>
        <v>0</v>
      </c>
      <c r="J131" s="282">
        <f t="shared" si="260"/>
        <v>0</v>
      </c>
      <c r="K131" s="280">
        <v>4.1695551799999997</v>
      </c>
      <c r="L131" s="281">
        <v>11.878877289999998</v>
      </c>
      <c r="M131" s="281">
        <v>0</v>
      </c>
      <c r="N131" s="281">
        <v>0</v>
      </c>
      <c r="O131" s="529">
        <f t="shared" si="265"/>
        <v>4.1695551799999997</v>
      </c>
      <c r="P131" s="282">
        <f t="shared" si="266"/>
        <v>11.878877289999998</v>
      </c>
      <c r="Q131" s="282">
        <f t="shared" si="267"/>
        <v>0</v>
      </c>
      <c r="R131" s="282">
        <f t="shared" si="268"/>
        <v>0</v>
      </c>
      <c r="S131" s="654">
        <v>4.33</v>
      </c>
      <c r="T131" s="281">
        <v>10.91</v>
      </c>
      <c r="U131" s="281">
        <v>0</v>
      </c>
      <c r="V131" s="281">
        <v>0</v>
      </c>
      <c r="W131" s="534">
        <f t="shared" si="269"/>
        <v>4.33</v>
      </c>
      <c r="X131" s="282">
        <f t="shared" si="270"/>
        <v>10.91</v>
      </c>
      <c r="Y131" s="282">
        <f t="shared" si="271"/>
        <v>0</v>
      </c>
      <c r="Z131" s="708">
        <f t="shared" si="272"/>
        <v>0</v>
      </c>
    </row>
    <row r="132" spans="2:26" ht="15.75" hidden="1" outlineLevel="1">
      <c r="B132" s="705">
        <f t="shared" si="273"/>
        <v>2032</v>
      </c>
      <c r="C132" s="280">
        <v>3.9437201800000001</v>
      </c>
      <c r="D132" s="281">
        <v>13.714944980000002</v>
      </c>
      <c r="E132" s="281">
        <v>0</v>
      </c>
      <c r="F132" s="281">
        <v>0</v>
      </c>
      <c r="G132" s="529">
        <f t="shared" si="257"/>
        <v>3.9437201800000001</v>
      </c>
      <c r="H132" s="282">
        <f t="shared" si="258"/>
        <v>13.714944980000002</v>
      </c>
      <c r="I132" s="282">
        <f t="shared" si="259"/>
        <v>0</v>
      </c>
      <c r="J132" s="282">
        <f t="shared" si="260"/>
        <v>0</v>
      </c>
      <c r="K132" s="280">
        <v>4.1849119600000009</v>
      </c>
      <c r="L132" s="281">
        <v>12.257405890000001</v>
      </c>
      <c r="M132" s="281">
        <v>0</v>
      </c>
      <c r="N132" s="281">
        <v>0</v>
      </c>
      <c r="O132" s="529">
        <f t="shared" si="265"/>
        <v>4.1849119600000009</v>
      </c>
      <c r="P132" s="282">
        <f t="shared" si="266"/>
        <v>12.257405890000001</v>
      </c>
      <c r="Q132" s="282">
        <f t="shared" si="267"/>
        <v>0</v>
      </c>
      <c r="R132" s="282">
        <f t="shared" si="268"/>
        <v>0</v>
      </c>
      <c r="S132" s="654">
        <v>4.46</v>
      </c>
      <c r="T132" s="281">
        <v>11.120000000000001</v>
      </c>
      <c r="U132" s="281">
        <v>0</v>
      </c>
      <c r="V132" s="281">
        <v>0</v>
      </c>
      <c r="W132" s="534">
        <f t="shared" si="269"/>
        <v>4.46</v>
      </c>
      <c r="X132" s="282">
        <f t="shared" si="270"/>
        <v>11.120000000000001</v>
      </c>
      <c r="Y132" s="282">
        <f t="shared" si="271"/>
        <v>0</v>
      </c>
      <c r="Z132" s="708">
        <f t="shared" si="272"/>
        <v>0</v>
      </c>
    </row>
    <row r="133" spans="2:26" ht="15.75" hidden="1" outlineLevel="1">
      <c r="B133" s="705">
        <f t="shared" si="273"/>
        <v>2033</v>
      </c>
      <c r="C133" s="280">
        <v>4.0194696099999998</v>
      </c>
      <c r="D133" s="281">
        <v>14.058389020000002</v>
      </c>
      <c r="E133" s="281">
        <v>0</v>
      </c>
      <c r="F133" s="281">
        <v>0</v>
      </c>
      <c r="G133" s="529">
        <f t="shared" si="257"/>
        <v>4.0194696099999998</v>
      </c>
      <c r="H133" s="282">
        <f t="shared" si="258"/>
        <v>14.058389020000002</v>
      </c>
      <c r="I133" s="282">
        <f t="shared" si="259"/>
        <v>0</v>
      </c>
      <c r="J133" s="282">
        <f t="shared" si="260"/>
        <v>0</v>
      </c>
      <c r="K133" s="280">
        <v>4.2611276300000007</v>
      </c>
      <c r="L133" s="281">
        <v>12.565444830000001</v>
      </c>
      <c r="M133" s="281">
        <v>0</v>
      </c>
      <c r="N133" s="281">
        <v>0</v>
      </c>
      <c r="O133" s="529">
        <f t="shared" si="265"/>
        <v>4.2611276300000007</v>
      </c>
      <c r="P133" s="282">
        <f t="shared" si="266"/>
        <v>12.565444830000001</v>
      </c>
      <c r="Q133" s="282">
        <f t="shared" si="267"/>
        <v>0</v>
      </c>
      <c r="R133" s="282">
        <f t="shared" si="268"/>
        <v>0</v>
      </c>
      <c r="S133" s="654">
        <v>4.68</v>
      </c>
      <c r="T133" s="281">
        <v>11.280000000000001</v>
      </c>
      <c r="U133" s="281">
        <v>0</v>
      </c>
      <c r="V133" s="281">
        <v>0</v>
      </c>
      <c r="W133" s="534">
        <f t="shared" si="269"/>
        <v>4.68</v>
      </c>
      <c r="X133" s="282">
        <f t="shared" si="270"/>
        <v>11.280000000000001</v>
      </c>
      <c r="Y133" s="282">
        <f t="shared" si="271"/>
        <v>0</v>
      </c>
      <c r="Z133" s="708">
        <f t="shared" si="272"/>
        <v>0</v>
      </c>
    </row>
    <row r="134" spans="2:26" ht="15.75" hidden="1" outlineLevel="1">
      <c r="B134" s="705">
        <f t="shared" si="273"/>
        <v>2034</v>
      </c>
      <c r="C134" s="280">
        <v>3.9999895200000006</v>
      </c>
      <c r="D134" s="281">
        <v>14.517140040000001</v>
      </c>
      <c r="E134" s="281">
        <v>0</v>
      </c>
      <c r="F134" s="281">
        <v>0</v>
      </c>
      <c r="G134" s="529">
        <f t="shared" si="257"/>
        <v>3.9999895200000006</v>
      </c>
      <c r="H134" s="282">
        <f t="shared" si="258"/>
        <v>14.517140040000001</v>
      </c>
      <c r="I134" s="282">
        <f t="shared" si="259"/>
        <v>0</v>
      </c>
      <c r="J134" s="282">
        <f t="shared" si="260"/>
        <v>0</v>
      </c>
      <c r="K134" s="280">
        <v>4.2442118600000001</v>
      </c>
      <c r="L134" s="281">
        <v>12.990335170000003</v>
      </c>
      <c r="M134" s="281">
        <v>0</v>
      </c>
      <c r="N134" s="281">
        <v>0</v>
      </c>
      <c r="O134" s="529">
        <f t="shared" si="265"/>
        <v>4.2442118600000001</v>
      </c>
      <c r="P134" s="282">
        <f t="shared" si="266"/>
        <v>12.990335170000003</v>
      </c>
      <c r="Q134" s="282">
        <f t="shared" si="267"/>
        <v>0</v>
      </c>
      <c r="R134" s="282">
        <f t="shared" si="268"/>
        <v>0</v>
      </c>
      <c r="S134" s="654">
        <v>4.6500000000000004</v>
      </c>
      <c r="T134" s="281">
        <v>11.690000000000001</v>
      </c>
      <c r="U134" s="281">
        <v>0</v>
      </c>
      <c r="V134" s="281">
        <v>0</v>
      </c>
      <c r="W134" s="534">
        <f t="shared" si="269"/>
        <v>4.6500000000000004</v>
      </c>
      <c r="X134" s="282">
        <f t="shared" si="270"/>
        <v>11.690000000000001</v>
      </c>
      <c r="Y134" s="282">
        <f t="shared" si="271"/>
        <v>0</v>
      </c>
      <c r="Z134" s="708">
        <f t="shared" si="272"/>
        <v>0</v>
      </c>
    </row>
    <row r="135" spans="2:26" ht="15.75" hidden="1" outlineLevel="1">
      <c r="B135" s="705">
        <f t="shared" si="273"/>
        <v>2035</v>
      </c>
      <c r="C135" s="280">
        <v>4.0241174400000004</v>
      </c>
      <c r="D135" s="281">
        <v>14.96899945</v>
      </c>
      <c r="E135" s="281">
        <v>0</v>
      </c>
      <c r="F135" s="281">
        <v>0</v>
      </c>
      <c r="G135" s="529">
        <f t="shared" si="257"/>
        <v>4.0241174400000004</v>
      </c>
      <c r="H135" s="282">
        <f t="shared" si="258"/>
        <v>14.96899945</v>
      </c>
      <c r="I135" s="282">
        <f t="shared" si="259"/>
        <v>0</v>
      </c>
      <c r="J135" s="282">
        <f t="shared" si="260"/>
        <v>0</v>
      </c>
      <c r="K135" s="280">
        <v>4.2784805000000006</v>
      </c>
      <c r="L135" s="281">
        <v>13.414220179999999</v>
      </c>
      <c r="M135" s="281">
        <v>0</v>
      </c>
      <c r="N135" s="281">
        <v>0</v>
      </c>
      <c r="O135" s="529">
        <f t="shared" si="265"/>
        <v>4.2784805000000006</v>
      </c>
      <c r="P135" s="282">
        <f t="shared" si="266"/>
        <v>13.414220179999999</v>
      </c>
      <c r="Q135" s="282">
        <f t="shared" si="267"/>
        <v>0</v>
      </c>
      <c r="R135" s="282">
        <f t="shared" si="268"/>
        <v>0</v>
      </c>
      <c r="S135" s="654">
        <v>4.7699999999999996</v>
      </c>
      <c r="T135" s="281">
        <v>11.99</v>
      </c>
      <c r="U135" s="281">
        <v>0</v>
      </c>
      <c r="V135" s="281">
        <v>0</v>
      </c>
      <c r="W135" s="534">
        <f t="shared" si="269"/>
        <v>4.7699999999999996</v>
      </c>
      <c r="X135" s="282">
        <f t="shared" si="270"/>
        <v>11.99</v>
      </c>
      <c r="Y135" s="282">
        <f t="shared" si="271"/>
        <v>0</v>
      </c>
      <c r="Z135" s="708">
        <f t="shared" si="272"/>
        <v>0</v>
      </c>
    </row>
    <row r="136" spans="2:26" ht="15.75" hidden="1" outlineLevel="1">
      <c r="B136" s="705">
        <f t="shared" si="273"/>
        <v>2036</v>
      </c>
      <c r="C136" s="280">
        <v>4.1016589799999998</v>
      </c>
      <c r="D136" s="281">
        <v>15.405035840000002</v>
      </c>
      <c r="E136" s="281">
        <v>0</v>
      </c>
      <c r="F136" s="281">
        <v>0</v>
      </c>
      <c r="G136" s="529">
        <f t="shared" si="257"/>
        <v>4.1016589799999998</v>
      </c>
      <c r="H136" s="282">
        <f t="shared" si="258"/>
        <v>15.405035840000002</v>
      </c>
      <c r="I136" s="282">
        <f t="shared" si="259"/>
        <v>0</v>
      </c>
      <c r="J136" s="282">
        <f t="shared" si="260"/>
        <v>0</v>
      </c>
      <c r="K136" s="280">
        <v>4.3205149499999997</v>
      </c>
      <c r="L136" s="281">
        <v>13.844865670000001</v>
      </c>
      <c r="M136" s="281">
        <v>0</v>
      </c>
      <c r="N136" s="281">
        <v>0</v>
      </c>
      <c r="O136" s="529">
        <f t="shared" si="265"/>
        <v>4.3205149499999997</v>
      </c>
      <c r="P136" s="282">
        <f t="shared" si="266"/>
        <v>13.844865670000001</v>
      </c>
      <c r="Q136" s="282">
        <f t="shared" si="267"/>
        <v>0</v>
      </c>
      <c r="R136" s="282">
        <f t="shared" si="268"/>
        <v>0</v>
      </c>
      <c r="S136" s="654">
        <v>4.91</v>
      </c>
      <c r="T136" s="281">
        <v>12.3</v>
      </c>
      <c r="U136" s="281">
        <v>0</v>
      </c>
      <c r="V136" s="281">
        <v>0</v>
      </c>
      <c r="W136" s="534">
        <f t="shared" si="269"/>
        <v>4.91</v>
      </c>
      <c r="X136" s="282">
        <f t="shared" si="270"/>
        <v>12.3</v>
      </c>
      <c r="Y136" s="282">
        <f t="shared" si="271"/>
        <v>0</v>
      </c>
      <c r="Z136" s="708">
        <f t="shared" si="272"/>
        <v>0</v>
      </c>
    </row>
    <row r="137" spans="2:26" ht="15.75" hidden="1" outlineLevel="1">
      <c r="B137" s="705">
        <f t="shared" si="273"/>
        <v>2037</v>
      </c>
      <c r="C137" s="280">
        <v>4.1415516400000003</v>
      </c>
      <c r="D137" s="281">
        <v>15.871159279999999</v>
      </c>
      <c r="E137" s="281">
        <v>0</v>
      </c>
      <c r="F137" s="281">
        <v>0</v>
      </c>
      <c r="G137" s="529">
        <f t="shared" si="257"/>
        <v>4.1415516400000003</v>
      </c>
      <c r="H137" s="282">
        <f t="shared" si="258"/>
        <v>15.871159279999999</v>
      </c>
      <c r="I137" s="282">
        <f t="shared" si="259"/>
        <v>0</v>
      </c>
      <c r="J137" s="282">
        <f t="shared" si="260"/>
        <v>0</v>
      </c>
      <c r="K137" s="280">
        <v>4.3113504200000001</v>
      </c>
      <c r="L137" s="281">
        <v>14.303470989999999</v>
      </c>
      <c r="M137" s="281">
        <v>0</v>
      </c>
      <c r="N137" s="281">
        <v>0</v>
      </c>
      <c r="O137" s="529">
        <f t="shared" si="265"/>
        <v>4.3113504200000001</v>
      </c>
      <c r="P137" s="282">
        <f t="shared" si="266"/>
        <v>14.303470989999999</v>
      </c>
      <c r="Q137" s="282">
        <f t="shared" si="267"/>
        <v>0</v>
      </c>
      <c r="R137" s="282">
        <f t="shared" si="268"/>
        <v>0</v>
      </c>
      <c r="S137" s="654">
        <v>4.92</v>
      </c>
      <c r="T137" s="281">
        <v>12.7</v>
      </c>
      <c r="U137" s="281">
        <v>0</v>
      </c>
      <c r="V137" s="281">
        <v>0</v>
      </c>
      <c r="W137" s="534">
        <f t="shared" si="269"/>
        <v>4.92</v>
      </c>
      <c r="X137" s="282">
        <f t="shared" si="270"/>
        <v>12.7</v>
      </c>
      <c r="Y137" s="282">
        <f t="shared" si="271"/>
        <v>0</v>
      </c>
      <c r="Z137" s="708">
        <f t="shared" si="272"/>
        <v>0</v>
      </c>
    </row>
    <row r="138" spans="2:26" ht="15.75" hidden="1" outlineLevel="1">
      <c r="B138" s="705">
        <f t="shared" si="273"/>
        <v>2038</v>
      </c>
      <c r="C138" s="280">
        <v>4.1839212000000003</v>
      </c>
      <c r="D138" s="281">
        <v>16.344902830000002</v>
      </c>
      <c r="E138" s="281">
        <v>0</v>
      </c>
      <c r="F138" s="281">
        <v>0</v>
      </c>
      <c r="G138" s="529">
        <f t="shared" si="257"/>
        <v>4.1839212000000003</v>
      </c>
      <c r="H138" s="282">
        <f t="shared" si="258"/>
        <v>16.344902830000002</v>
      </c>
      <c r="I138" s="282">
        <f t="shared" si="259"/>
        <v>0</v>
      </c>
      <c r="J138" s="282">
        <f t="shared" si="260"/>
        <v>0</v>
      </c>
      <c r="K138" s="280">
        <v>4.3605241700000006</v>
      </c>
      <c r="L138" s="281">
        <v>14.75152763</v>
      </c>
      <c r="M138" s="281">
        <v>0</v>
      </c>
      <c r="N138" s="281">
        <v>0</v>
      </c>
      <c r="O138" s="529">
        <f t="shared" si="265"/>
        <v>4.3605241700000006</v>
      </c>
      <c r="P138" s="282">
        <f t="shared" si="266"/>
        <v>14.75152763</v>
      </c>
      <c r="Q138" s="282">
        <f t="shared" si="267"/>
        <v>0</v>
      </c>
      <c r="R138" s="282">
        <f t="shared" si="268"/>
        <v>0</v>
      </c>
      <c r="S138" s="654">
        <v>4.99</v>
      </c>
      <c r="T138" s="281">
        <v>13.09</v>
      </c>
      <c r="U138" s="281">
        <v>0</v>
      </c>
      <c r="V138" s="281">
        <v>0</v>
      </c>
      <c r="W138" s="534">
        <f t="shared" si="269"/>
        <v>4.99</v>
      </c>
      <c r="X138" s="282">
        <f t="shared" si="270"/>
        <v>13.09</v>
      </c>
      <c r="Y138" s="282">
        <f t="shared" si="271"/>
        <v>0</v>
      </c>
      <c r="Z138" s="708">
        <f t="shared" si="272"/>
        <v>0</v>
      </c>
    </row>
    <row r="139" spans="2:26" ht="15.75" hidden="1" outlineLevel="1">
      <c r="B139" s="705">
        <f t="shared" si="273"/>
        <v>2039</v>
      </c>
      <c r="C139" s="280">
        <v>4.2201276500000002</v>
      </c>
      <c r="D139" s="281">
        <v>16.846999599999997</v>
      </c>
      <c r="E139" s="281">
        <v>0</v>
      </c>
      <c r="F139" s="281">
        <v>0</v>
      </c>
      <c r="G139" s="529">
        <f t="shared" si="257"/>
        <v>4.2201276500000002</v>
      </c>
      <c r="H139" s="282">
        <f t="shared" si="258"/>
        <v>16.846999599999997</v>
      </c>
      <c r="I139" s="282">
        <f t="shared" si="259"/>
        <v>0</v>
      </c>
      <c r="J139" s="282">
        <f t="shared" si="260"/>
        <v>0</v>
      </c>
      <c r="K139" s="280">
        <v>4.3581492600000002</v>
      </c>
      <c r="L139" s="281">
        <v>15.240802800000001</v>
      </c>
      <c r="M139" s="281">
        <v>0</v>
      </c>
      <c r="N139" s="281">
        <v>0</v>
      </c>
      <c r="O139" s="529">
        <f t="shared" si="265"/>
        <v>4.3581492600000002</v>
      </c>
      <c r="P139" s="282">
        <f t="shared" si="266"/>
        <v>15.240802800000001</v>
      </c>
      <c r="Q139" s="282">
        <f t="shared" si="267"/>
        <v>0</v>
      </c>
      <c r="R139" s="282">
        <f t="shared" si="268"/>
        <v>0</v>
      </c>
      <c r="S139" s="654">
        <v>5.05</v>
      </c>
      <c r="T139" s="281">
        <v>13.489999999999998</v>
      </c>
      <c r="U139" s="281">
        <v>0</v>
      </c>
      <c r="V139" s="281">
        <v>0</v>
      </c>
      <c r="W139" s="534">
        <f t="shared" si="269"/>
        <v>5.05</v>
      </c>
      <c r="X139" s="282">
        <f t="shared" si="270"/>
        <v>13.489999999999998</v>
      </c>
      <c r="Y139" s="282">
        <f t="shared" si="271"/>
        <v>0</v>
      </c>
      <c r="Z139" s="708">
        <f t="shared" si="272"/>
        <v>0</v>
      </c>
    </row>
    <row r="140" spans="2:26" ht="16.5" hidden="1" outlineLevel="1" thickBot="1">
      <c r="B140" s="706">
        <f t="shared" si="273"/>
        <v>2040</v>
      </c>
      <c r="C140" s="283">
        <v>4.2496464700000001</v>
      </c>
      <c r="D140" s="284">
        <v>17.373967360000002</v>
      </c>
      <c r="E140" s="284">
        <v>0</v>
      </c>
      <c r="F140" s="284">
        <v>0</v>
      </c>
      <c r="G140" s="530">
        <f t="shared" si="257"/>
        <v>4.2496464700000001</v>
      </c>
      <c r="H140" s="285">
        <f t="shared" si="258"/>
        <v>17.373967360000002</v>
      </c>
      <c r="I140" s="285">
        <f t="shared" si="259"/>
        <v>0</v>
      </c>
      <c r="J140" s="285">
        <f t="shared" si="260"/>
        <v>0</v>
      </c>
      <c r="K140" s="283">
        <v>4.4015241500000002</v>
      </c>
      <c r="L140" s="284">
        <v>15.725299009999999</v>
      </c>
      <c r="M140" s="284">
        <v>0</v>
      </c>
      <c r="N140" s="284">
        <v>0</v>
      </c>
      <c r="O140" s="530">
        <f t="shared" si="265"/>
        <v>4.4015241500000002</v>
      </c>
      <c r="P140" s="285">
        <f t="shared" si="266"/>
        <v>15.725299009999999</v>
      </c>
      <c r="Q140" s="285">
        <f t="shared" si="267"/>
        <v>0</v>
      </c>
      <c r="R140" s="285">
        <f t="shared" si="268"/>
        <v>0</v>
      </c>
      <c r="S140" s="655">
        <v>5.14</v>
      </c>
      <c r="T140" s="284">
        <v>13.89</v>
      </c>
      <c r="U140" s="284">
        <v>0</v>
      </c>
      <c r="V140" s="284">
        <v>0</v>
      </c>
      <c r="W140" s="535">
        <f t="shared" si="269"/>
        <v>5.14</v>
      </c>
      <c r="X140" s="285">
        <f t="shared" si="270"/>
        <v>13.89</v>
      </c>
      <c r="Y140" s="285">
        <f t="shared" si="271"/>
        <v>0</v>
      </c>
      <c r="Z140" s="709">
        <f t="shared" si="272"/>
        <v>0</v>
      </c>
    </row>
    <row r="141" spans="2:26" ht="15.75" hidden="1" outlineLevel="1" thickBot="1"/>
    <row r="142" spans="2:26" ht="16.5" hidden="1" outlineLevel="1" thickBot="1">
      <c r="B142" s="1186" t="s">
        <v>389</v>
      </c>
      <c r="C142" s="1243" t="s">
        <v>222</v>
      </c>
      <c r="D142" s="1244"/>
      <c r="E142" s="1244"/>
      <c r="F142" s="1244"/>
      <c r="G142" s="1244"/>
      <c r="H142" s="1244"/>
      <c r="I142" s="1244"/>
      <c r="J142" s="1244"/>
      <c r="K142" s="1244"/>
      <c r="L142" s="1244"/>
      <c r="M142" s="1244"/>
      <c r="N142" s="1244"/>
      <c r="O142" s="1244"/>
      <c r="P142" s="1244"/>
      <c r="Q142" s="1244"/>
      <c r="R142" s="1244"/>
      <c r="S142" s="1244"/>
      <c r="T142" s="1244"/>
      <c r="U142" s="1244"/>
      <c r="V142" s="1244"/>
      <c r="W142" s="1244"/>
      <c r="X142" s="1244"/>
      <c r="Y142" s="1244"/>
      <c r="Z142" s="1245"/>
    </row>
    <row r="143" spans="2:26" ht="16.149999999999999" hidden="1" customHeight="1" outlineLevel="1" thickBot="1">
      <c r="B143" s="1188"/>
      <c r="C143" s="1297" t="s">
        <v>46</v>
      </c>
      <c r="D143" s="1298"/>
      <c r="E143" s="1298"/>
      <c r="F143" s="1299"/>
      <c r="G143" s="1300" t="s">
        <v>47</v>
      </c>
      <c r="H143" s="1301"/>
      <c r="I143" s="1301"/>
      <c r="J143" s="1302"/>
      <c r="K143" s="1297" t="s">
        <v>342</v>
      </c>
      <c r="L143" s="1298"/>
      <c r="M143" s="1298"/>
      <c r="N143" s="1299"/>
      <c r="O143" s="1300" t="s">
        <v>343</v>
      </c>
      <c r="P143" s="1301"/>
      <c r="Q143" s="1301"/>
      <c r="R143" s="1302"/>
      <c r="S143" s="1297" t="s">
        <v>344</v>
      </c>
      <c r="T143" s="1298"/>
      <c r="U143" s="1298"/>
      <c r="V143" s="1299"/>
      <c r="W143" s="1300" t="s">
        <v>345</v>
      </c>
      <c r="X143" s="1301"/>
      <c r="Y143" s="1301"/>
      <c r="Z143" s="1302"/>
    </row>
    <row r="144" spans="2:26" ht="32.25" hidden="1" outlineLevel="1" thickBot="1">
      <c r="B144" s="62" t="s">
        <v>0</v>
      </c>
      <c r="C144" s="157" t="str">
        <f ca="1">C118</f>
        <v>גז פחמיות מוסבות</v>
      </c>
      <c r="D144" s="157" t="str">
        <f t="shared" ref="D144:Z144" ca="1" si="274">D118</f>
        <v>גז חח"י מחזמים ופקירים ויח"פים</v>
      </c>
      <c r="E144" s="157" t="str">
        <f t="shared" ca="1" si="274"/>
        <v>אחר 1</v>
      </c>
      <c r="F144" s="157" t="str">
        <f t="shared" ca="1" si="274"/>
        <v>אחר 2</v>
      </c>
      <c r="G144" s="156" t="str">
        <f t="shared" ca="1" si="274"/>
        <v>גז פחמיות מוסבות</v>
      </c>
      <c r="H144" s="156" t="str">
        <f t="shared" ca="1" si="274"/>
        <v>גז חח"י מחזמים ופקירים ויח"פים</v>
      </c>
      <c r="I144" s="156" t="str">
        <f t="shared" ca="1" si="274"/>
        <v>אחר 1</v>
      </c>
      <c r="J144" s="156" t="str">
        <f t="shared" ca="1" si="274"/>
        <v>אחר 2</v>
      </c>
      <c r="K144" s="157" t="str">
        <f t="shared" ca="1" si="274"/>
        <v>גז פחמיות מוסבות</v>
      </c>
      <c r="L144" s="157" t="str">
        <f t="shared" ca="1" si="274"/>
        <v>גז חח"י מחזמים ופקירים ויח"פים</v>
      </c>
      <c r="M144" s="157" t="str">
        <f t="shared" ca="1" si="274"/>
        <v>אחר 1</v>
      </c>
      <c r="N144" s="157" t="str">
        <f t="shared" ca="1" si="274"/>
        <v>אחר 2</v>
      </c>
      <c r="O144" s="156" t="str">
        <f t="shared" ca="1" si="274"/>
        <v>גז פחמיות מוסבות</v>
      </c>
      <c r="P144" s="156" t="str">
        <f t="shared" ca="1" si="274"/>
        <v>גז חח"י מחזמים ופקירים ויח"פים</v>
      </c>
      <c r="Q144" s="156" t="str">
        <f t="shared" ca="1" si="274"/>
        <v>אחר 1</v>
      </c>
      <c r="R144" s="156" t="str">
        <f t="shared" ca="1" si="274"/>
        <v>אחר 2</v>
      </c>
      <c r="S144" s="157" t="str">
        <f t="shared" ca="1" si="274"/>
        <v>גז פחמיות מוסבות</v>
      </c>
      <c r="T144" s="157" t="str">
        <f t="shared" ca="1" si="274"/>
        <v>גז חח"י מחזמים ופקירים ויח"פים</v>
      </c>
      <c r="U144" s="157" t="str">
        <f t="shared" ca="1" si="274"/>
        <v>אחר 1</v>
      </c>
      <c r="V144" s="157" t="str">
        <f t="shared" ca="1" si="274"/>
        <v>אחר 2</v>
      </c>
      <c r="W144" s="156" t="str">
        <f t="shared" ca="1" si="274"/>
        <v>גז פחמיות מוסבות</v>
      </c>
      <c r="X144" s="156" t="str">
        <f t="shared" ca="1" si="274"/>
        <v>גז חח"י מחזמים ופקירים ויח"פים</v>
      </c>
      <c r="Y144" s="156" t="str">
        <f t="shared" ca="1" si="274"/>
        <v>אחר 1</v>
      </c>
      <c r="Z144" s="156" t="str">
        <f t="shared" ca="1" si="274"/>
        <v>אחר 2</v>
      </c>
    </row>
    <row r="145" spans="2:26" ht="16.5" hidden="1" outlineLevel="1" thickBot="1">
      <c r="B145" s="62" t="s">
        <v>28</v>
      </c>
      <c r="C145" s="287" t="s">
        <v>100</v>
      </c>
      <c r="D145" s="287" t="s">
        <v>100</v>
      </c>
      <c r="E145" s="287" t="s">
        <v>100</v>
      </c>
      <c r="F145" s="287" t="s">
        <v>100</v>
      </c>
      <c r="G145" s="312" t="str">
        <f t="shared" ref="G145:G166" si="275">C145</f>
        <v>BCM</v>
      </c>
      <c r="H145" s="312" t="str">
        <f t="shared" ref="H145:H166" si="276">D145</f>
        <v>BCM</v>
      </c>
      <c r="I145" s="312" t="str">
        <f t="shared" ref="I145:I166" si="277">E145</f>
        <v>BCM</v>
      </c>
      <c r="J145" s="312" t="str">
        <f t="shared" ref="J145:J166" si="278">F145</f>
        <v>BCM</v>
      </c>
      <c r="K145" s="287" t="str">
        <f t="shared" ref="K145" si="279">G145</f>
        <v>BCM</v>
      </c>
      <c r="L145" s="287" t="str">
        <f t="shared" ref="L145" si="280">H145</f>
        <v>BCM</v>
      </c>
      <c r="M145" s="287" t="str">
        <f t="shared" ref="M145" si="281">I145</f>
        <v>BCM</v>
      </c>
      <c r="N145" s="287" t="str">
        <f t="shared" ref="N145" si="282">J145</f>
        <v>BCM</v>
      </c>
      <c r="O145" s="48" t="str">
        <f t="shared" ref="O145:O166" si="283">K145</f>
        <v>BCM</v>
      </c>
      <c r="P145" s="48" t="str">
        <f t="shared" ref="P145:P166" si="284">L145</f>
        <v>BCM</v>
      </c>
      <c r="Q145" s="48" t="str">
        <f t="shared" ref="Q145:Q166" si="285">M145</f>
        <v>BCM</v>
      </c>
      <c r="R145" s="48" t="str">
        <f t="shared" ref="R145:R166" si="286">N145</f>
        <v>BCM</v>
      </c>
      <c r="S145" s="38" t="s">
        <v>100</v>
      </c>
      <c r="T145" s="38" t="s">
        <v>100</v>
      </c>
      <c r="U145" s="38" t="s">
        <v>100</v>
      </c>
      <c r="V145" s="38" t="s">
        <v>100</v>
      </c>
      <c r="W145" s="48" t="str">
        <f t="shared" ref="W145:W166" si="287">S145</f>
        <v>BCM</v>
      </c>
      <c r="X145" s="48" t="str">
        <f t="shared" ref="X145:X166" si="288">T145</f>
        <v>BCM</v>
      </c>
      <c r="Y145" s="48" t="str">
        <f t="shared" ref="Y145:Y166" si="289">U145</f>
        <v>BCM</v>
      </c>
      <c r="Z145" s="48" t="str">
        <f t="shared" ref="Z145:Z166" si="290">V145</f>
        <v>BCM</v>
      </c>
    </row>
    <row r="146" spans="2:26" ht="15.75" hidden="1" outlineLevel="1">
      <c r="B146" s="704">
        <f>B120</f>
        <v>2020</v>
      </c>
      <c r="C146" s="280">
        <v>0</v>
      </c>
      <c r="D146" s="281">
        <v>8.6058378721740034</v>
      </c>
      <c r="E146" s="281">
        <v>0</v>
      </c>
      <c r="F146" s="281">
        <v>0</v>
      </c>
      <c r="G146" s="528">
        <f t="shared" si="275"/>
        <v>0</v>
      </c>
      <c r="H146" s="279">
        <f t="shared" si="276"/>
        <v>8.6058378721740034</v>
      </c>
      <c r="I146" s="279">
        <f t="shared" si="277"/>
        <v>0</v>
      </c>
      <c r="J146" s="279">
        <f t="shared" si="278"/>
        <v>0</v>
      </c>
      <c r="K146" s="536">
        <v>0</v>
      </c>
      <c r="L146" s="537">
        <v>8.6058378721740034</v>
      </c>
      <c r="M146" s="537">
        <v>0</v>
      </c>
      <c r="N146" s="537">
        <v>0</v>
      </c>
      <c r="O146" s="528">
        <f t="shared" si="283"/>
        <v>0</v>
      </c>
      <c r="P146" s="279">
        <f t="shared" si="284"/>
        <v>8.6058378721740034</v>
      </c>
      <c r="Q146" s="279">
        <f t="shared" si="285"/>
        <v>0</v>
      </c>
      <c r="R146" s="279">
        <f t="shared" si="286"/>
        <v>0</v>
      </c>
      <c r="S146" s="653">
        <v>0</v>
      </c>
      <c r="T146" s="537">
        <v>8.6058378721740034</v>
      </c>
      <c r="U146" s="537">
        <v>0</v>
      </c>
      <c r="V146" s="537">
        <v>0</v>
      </c>
      <c r="W146" s="533">
        <f t="shared" si="287"/>
        <v>0</v>
      </c>
      <c r="X146" s="279">
        <f t="shared" si="288"/>
        <v>8.6058378721740034</v>
      </c>
      <c r="Y146" s="279">
        <f t="shared" si="289"/>
        <v>0</v>
      </c>
      <c r="Z146" s="707">
        <f t="shared" si="290"/>
        <v>0</v>
      </c>
    </row>
    <row r="147" spans="2:26" ht="15.75" hidden="1" outlineLevel="1">
      <c r="B147" s="705">
        <f t="shared" ref="B147:B166" si="291">B121</f>
        <v>2021</v>
      </c>
      <c r="C147" s="280">
        <v>0</v>
      </c>
      <c r="D147" s="281">
        <v>8.7783119554773741</v>
      </c>
      <c r="E147" s="281">
        <v>0</v>
      </c>
      <c r="F147" s="281">
        <v>0</v>
      </c>
      <c r="G147" s="529">
        <f t="shared" si="275"/>
        <v>0</v>
      </c>
      <c r="H147" s="282">
        <f t="shared" si="276"/>
        <v>8.7783119554773741</v>
      </c>
      <c r="I147" s="282">
        <f t="shared" si="277"/>
        <v>0</v>
      </c>
      <c r="J147" s="282">
        <f t="shared" si="278"/>
        <v>0</v>
      </c>
      <c r="K147" s="280">
        <v>0</v>
      </c>
      <c r="L147" s="281">
        <v>8.7380504660153715</v>
      </c>
      <c r="M147" s="281">
        <v>0</v>
      </c>
      <c r="N147" s="281">
        <v>0</v>
      </c>
      <c r="O147" s="529">
        <f t="shared" si="283"/>
        <v>0</v>
      </c>
      <c r="P147" s="282">
        <f t="shared" si="284"/>
        <v>8.7380504660153715</v>
      </c>
      <c r="Q147" s="282">
        <f t="shared" si="285"/>
        <v>0</v>
      </c>
      <c r="R147" s="282">
        <f t="shared" si="286"/>
        <v>0</v>
      </c>
      <c r="S147" s="654">
        <v>0</v>
      </c>
      <c r="T147" s="281">
        <v>8.7783119554773741</v>
      </c>
      <c r="U147" s="281">
        <v>0</v>
      </c>
      <c r="V147" s="281">
        <v>0</v>
      </c>
      <c r="W147" s="534">
        <f t="shared" si="287"/>
        <v>0</v>
      </c>
      <c r="X147" s="282">
        <f t="shared" si="288"/>
        <v>8.7783119554773741</v>
      </c>
      <c r="Y147" s="282">
        <f t="shared" si="289"/>
        <v>0</v>
      </c>
      <c r="Z147" s="708">
        <f t="shared" si="290"/>
        <v>0</v>
      </c>
    </row>
    <row r="148" spans="2:26" ht="15.75" hidden="1" outlineLevel="1">
      <c r="B148" s="705">
        <f t="shared" si="291"/>
        <v>2022</v>
      </c>
      <c r="C148" s="280">
        <v>0.36595469000000003</v>
      </c>
      <c r="D148" s="281">
        <v>10.517208800000001</v>
      </c>
      <c r="E148" s="281">
        <v>0</v>
      </c>
      <c r="F148" s="281">
        <v>0</v>
      </c>
      <c r="G148" s="529">
        <f t="shared" si="275"/>
        <v>0.36595469000000003</v>
      </c>
      <c r="H148" s="282">
        <f t="shared" si="276"/>
        <v>10.517208800000001</v>
      </c>
      <c r="I148" s="282">
        <f t="shared" si="277"/>
        <v>0</v>
      </c>
      <c r="J148" s="282">
        <f t="shared" si="278"/>
        <v>0</v>
      </c>
      <c r="K148" s="280">
        <v>0.35703785000000005</v>
      </c>
      <c r="L148" s="281">
        <v>10.271412900000001</v>
      </c>
      <c r="M148" s="281">
        <v>0</v>
      </c>
      <c r="N148" s="281">
        <v>0</v>
      </c>
      <c r="O148" s="529">
        <f t="shared" si="283"/>
        <v>0.35703785000000005</v>
      </c>
      <c r="P148" s="282">
        <f t="shared" si="284"/>
        <v>10.271412900000001</v>
      </c>
      <c r="Q148" s="282">
        <f t="shared" si="285"/>
        <v>0</v>
      </c>
      <c r="R148" s="282">
        <f t="shared" si="286"/>
        <v>0</v>
      </c>
      <c r="S148" s="654">
        <v>0.35387616</v>
      </c>
      <c r="T148" s="281">
        <v>10.139918650000002</v>
      </c>
      <c r="U148" s="281">
        <v>0</v>
      </c>
      <c r="V148" s="281">
        <v>0</v>
      </c>
      <c r="W148" s="534">
        <f t="shared" si="287"/>
        <v>0.35387616</v>
      </c>
      <c r="X148" s="282">
        <f t="shared" si="288"/>
        <v>10.139918650000002</v>
      </c>
      <c r="Y148" s="282">
        <f t="shared" si="289"/>
        <v>0</v>
      </c>
      <c r="Z148" s="708">
        <f t="shared" si="290"/>
        <v>0</v>
      </c>
    </row>
    <row r="149" spans="2:26" ht="15.75" hidden="1" outlineLevel="1">
      <c r="B149" s="705">
        <f t="shared" si="291"/>
        <v>2023</v>
      </c>
      <c r="C149" s="280">
        <v>0.56758892000000005</v>
      </c>
      <c r="D149" s="281">
        <v>11.418829540000001</v>
      </c>
      <c r="E149" s="281">
        <v>0</v>
      </c>
      <c r="F149" s="281">
        <v>0</v>
      </c>
      <c r="G149" s="529">
        <f t="shared" si="275"/>
        <v>0.56758892000000005</v>
      </c>
      <c r="H149" s="282">
        <f t="shared" si="276"/>
        <v>11.418829540000001</v>
      </c>
      <c r="I149" s="282">
        <f t="shared" si="277"/>
        <v>0</v>
      </c>
      <c r="J149" s="282">
        <f t="shared" si="278"/>
        <v>0</v>
      </c>
      <c r="K149" s="280">
        <v>0.55583093000000006</v>
      </c>
      <c r="L149" s="281">
        <v>11.03565311</v>
      </c>
      <c r="M149" s="281">
        <v>0</v>
      </c>
      <c r="N149" s="281">
        <v>0</v>
      </c>
      <c r="O149" s="529">
        <f t="shared" si="283"/>
        <v>0.55583093000000006</v>
      </c>
      <c r="P149" s="282">
        <f t="shared" si="284"/>
        <v>11.03565311</v>
      </c>
      <c r="Q149" s="282">
        <f t="shared" si="285"/>
        <v>0</v>
      </c>
      <c r="R149" s="282">
        <f t="shared" si="286"/>
        <v>0</v>
      </c>
      <c r="S149" s="654">
        <v>0.55264010000000008</v>
      </c>
      <c r="T149" s="281">
        <v>10.832926130000001</v>
      </c>
      <c r="U149" s="281">
        <v>0</v>
      </c>
      <c r="V149" s="281">
        <v>0</v>
      </c>
      <c r="W149" s="534">
        <f t="shared" si="287"/>
        <v>0.55264010000000008</v>
      </c>
      <c r="X149" s="282">
        <f t="shared" si="288"/>
        <v>10.832926130000001</v>
      </c>
      <c r="Y149" s="282">
        <f t="shared" si="289"/>
        <v>0</v>
      </c>
      <c r="Z149" s="708">
        <f t="shared" si="290"/>
        <v>0</v>
      </c>
    </row>
    <row r="150" spans="2:26" ht="15.75" hidden="1" outlineLevel="1">
      <c r="B150" s="705">
        <f t="shared" si="291"/>
        <v>2024</v>
      </c>
      <c r="C150" s="280">
        <v>0.74843175999999989</v>
      </c>
      <c r="D150" s="281">
        <v>12.10459573</v>
      </c>
      <c r="E150" s="281">
        <v>0</v>
      </c>
      <c r="F150" s="281">
        <v>0</v>
      </c>
      <c r="G150" s="529">
        <f t="shared" si="275"/>
        <v>0.74843175999999989</v>
      </c>
      <c r="H150" s="282">
        <f t="shared" si="276"/>
        <v>12.10459573</v>
      </c>
      <c r="I150" s="282">
        <f t="shared" si="277"/>
        <v>0</v>
      </c>
      <c r="J150" s="282">
        <f t="shared" si="278"/>
        <v>0</v>
      </c>
      <c r="K150" s="280">
        <v>0.73290014000000003</v>
      </c>
      <c r="L150" s="281">
        <v>11.591862860000001</v>
      </c>
      <c r="M150" s="281">
        <v>0</v>
      </c>
      <c r="N150" s="281">
        <v>0</v>
      </c>
      <c r="O150" s="529">
        <f t="shared" si="283"/>
        <v>0.73290014000000003</v>
      </c>
      <c r="P150" s="282">
        <f t="shared" si="284"/>
        <v>11.591862860000001</v>
      </c>
      <c r="Q150" s="282">
        <f t="shared" si="285"/>
        <v>0</v>
      </c>
      <c r="R150" s="282">
        <f t="shared" si="286"/>
        <v>0</v>
      </c>
      <c r="S150" s="654">
        <v>0.72953447000000005</v>
      </c>
      <c r="T150" s="281">
        <v>11.312759940000001</v>
      </c>
      <c r="U150" s="281">
        <v>0</v>
      </c>
      <c r="V150" s="281">
        <v>0</v>
      </c>
      <c r="W150" s="534">
        <f t="shared" si="287"/>
        <v>0.72953447000000005</v>
      </c>
      <c r="X150" s="282">
        <f t="shared" si="288"/>
        <v>11.312759940000001</v>
      </c>
      <c r="Y150" s="282">
        <f t="shared" si="289"/>
        <v>0</v>
      </c>
      <c r="Z150" s="708">
        <f t="shared" si="290"/>
        <v>0</v>
      </c>
    </row>
    <row r="151" spans="2:26" ht="15.75" hidden="1" outlineLevel="1">
      <c r="B151" s="705">
        <f t="shared" si="291"/>
        <v>2025</v>
      </c>
      <c r="C151" s="280">
        <v>2.5192987000000002</v>
      </c>
      <c r="D151" s="281">
        <v>12.271130830000002</v>
      </c>
      <c r="E151" s="281">
        <v>0</v>
      </c>
      <c r="F151" s="281">
        <v>0</v>
      </c>
      <c r="G151" s="529">
        <f t="shared" si="275"/>
        <v>2.5192987000000002</v>
      </c>
      <c r="H151" s="282">
        <f t="shared" si="276"/>
        <v>12.271130830000002</v>
      </c>
      <c r="I151" s="282">
        <f t="shared" si="277"/>
        <v>0</v>
      </c>
      <c r="J151" s="282">
        <f t="shared" si="278"/>
        <v>0</v>
      </c>
      <c r="K151" s="280">
        <v>2.4362059899999999</v>
      </c>
      <c r="L151" s="281">
        <v>11.63896767</v>
      </c>
      <c r="M151" s="281">
        <v>0</v>
      </c>
      <c r="N151" s="281">
        <v>0</v>
      </c>
      <c r="O151" s="529">
        <f t="shared" si="283"/>
        <v>2.4362059899999999</v>
      </c>
      <c r="P151" s="282">
        <f t="shared" si="284"/>
        <v>11.63896767</v>
      </c>
      <c r="Q151" s="282">
        <f t="shared" si="285"/>
        <v>0</v>
      </c>
      <c r="R151" s="282">
        <f t="shared" si="286"/>
        <v>0</v>
      </c>
      <c r="S151" s="654">
        <v>2.4434035700000001</v>
      </c>
      <c r="T151" s="281">
        <v>11.269297630000004</v>
      </c>
      <c r="U151" s="281">
        <v>0</v>
      </c>
      <c r="V151" s="281">
        <v>0</v>
      </c>
      <c r="W151" s="534">
        <f t="shared" si="287"/>
        <v>2.4434035700000001</v>
      </c>
      <c r="X151" s="282">
        <f t="shared" si="288"/>
        <v>11.269297630000004</v>
      </c>
      <c r="Y151" s="282">
        <f t="shared" si="289"/>
        <v>0</v>
      </c>
      <c r="Z151" s="708">
        <f t="shared" si="290"/>
        <v>0</v>
      </c>
    </row>
    <row r="152" spans="2:26" ht="15.75" hidden="1" outlineLevel="1">
      <c r="B152" s="705">
        <f t="shared" si="291"/>
        <v>2026</v>
      </c>
      <c r="C152" s="280">
        <v>4.1474816299999997</v>
      </c>
      <c r="D152" s="281">
        <v>11.82081584</v>
      </c>
      <c r="E152" s="281">
        <v>0</v>
      </c>
      <c r="F152" s="281">
        <v>0</v>
      </c>
      <c r="G152" s="529">
        <f t="shared" si="275"/>
        <v>4.1474816299999997</v>
      </c>
      <c r="H152" s="282">
        <f t="shared" si="276"/>
        <v>11.82081584</v>
      </c>
      <c r="I152" s="282">
        <f t="shared" si="277"/>
        <v>0</v>
      </c>
      <c r="J152" s="282">
        <f t="shared" si="278"/>
        <v>0</v>
      </c>
      <c r="K152" s="280">
        <v>4.0632815999999998</v>
      </c>
      <c r="L152" s="281">
        <v>11.074132479999999</v>
      </c>
      <c r="M152" s="281">
        <v>0</v>
      </c>
      <c r="N152" s="281">
        <v>0</v>
      </c>
      <c r="O152" s="529">
        <f t="shared" si="283"/>
        <v>4.0632815999999998</v>
      </c>
      <c r="P152" s="282">
        <f t="shared" si="284"/>
        <v>11.074132479999999</v>
      </c>
      <c r="Q152" s="282">
        <f t="shared" si="285"/>
        <v>0</v>
      </c>
      <c r="R152" s="282">
        <f t="shared" si="286"/>
        <v>0</v>
      </c>
      <c r="S152" s="654">
        <v>4.09</v>
      </c>
      <c r="T152" s="281">
        <v>10.6</v>
      </c>
      <c r="U152" s="281">
        <v>0</v>
      </c>
      <c r="V152" s="281">
        <v>0</v>
      </c>
      <c r="W152" s="534">
        <f t="shared" si="287"/>
        <v>4.09</v>
      </c>
      <c r="X152" s="282">
        <f t="shared" si="288"/>
        <v>10.6</v>
      </c>
      <c r="Y152" s="282">
        <f t="shared" si="289"/>
        <v>0</v>
      </c>
      <c r="Z152" s="708">
        <f t="shared" si="290"/>
        <v>0</v>
      </c>
    </row>
    <row r="153" spans="2:26" ht="15.75" hidden="1" outlineLevel="1">
      <c r="B153" s="705">
        <f t="shared" si="291"/>
        <v>2027</v>
      </c>
      <c r="C153" s="280">
        <v>4.0553409500000006</v>
      </c>
      <c r="D153" s="281">
        <v>12.147766640000004</v>
      </c>
      <c r="E153" s="281">
        <v>0</v>
      </c>
      <c r="F153" s="281">
        <v>0</v>
      </c>
      <c r="G153" s="529">
        <f t="shared" si="275"/>
        <v>4.0553409500000006</v>
      </c>
      <c r="H153" s="282">
        <f t="shared" si="276"/>
        <v>12.147766640000004</v>
      </c>
      <c r="I153" s="282">
        <f t="shared" si="277"/>
        <v>0</v>
      </c>
      <c r="J153" s="282">
        <f t="shared" si="278"/>
        <v>0</v>
      </c>
      <c r="K153" s="280">
        <v>4.0277599400000001</v>
      </c>
      <c r="L153" s="281">
        <v>11.23620916</v>
      </c>
      <c r="M153" s="281">
        <v>0</v>
      </c>
      <c r="N153" s="281">
        <v>0</v>
      </c>
      <c r="O153" s="529">
        <f t="shared" si="283"/>
        <v>4.0277599400000001</v>
      </c>
      <c r="P153" s="282">
        <f t="shared" si="284"/>
        <v>11.23620916</v>
      </c>
      <c r="Q153" s="282">
        <f t="shared" si="285"/>
        <v>0</v>
      </c>
      <c r="R153" s="282">
        <f t="shared" si="286"/>
        <v>0</v>
      </c>
      <c r="S153" s="654">
        <v>4.08</v>
      </c>
      <c r="T153" s="281">
        <v>10.69</v>
      </c>
      <c r="U153" s="281">
        <v>0</v>
      </c>
      <c r="V153" s="281">
        <v>0</v>
      </c>
      <c r="W153" s="534">
        <f t="shared" si="287"/>
        <v>4.08</v>
      </c>
      <c r="X153" s="282">
        <f t="shared" si="288"/>
        <v>10.69</v>
      </c>
      <c r="Y153" s="282">
        <f t="shared" si="289"/>
        <v>0</v>
      </c>
      <c r="Z153" s="708">
        <f t="shared" si="290"/>
        <v>0</v>
      </c>
    </row>
    <row r="154" spans="2:26" ht="15.75" hidden="1" outlineLevel="1">
      <c r="B154" s="705">
        <f t="shared" si="291"/>
        <v>2028</v>
      </c>
      <c r="C154" s="280">
        <v>3.9797226499999998</v>
      </c>
      <c r="D154" s="281">
        <v>12.413625430000003</v>
      </c>
      <c r="E154" s="281">
        <v>0</v>
      </c>
      <c r="F154" s="281">
        <v>0</v>
      </c>
      <c r="G154" s="529">
        <f t="shared" si="275"/>
        <v>3.9797226499999998</v>
      </c>
      <c r="H154" s="282">
        <f t="shared" si="276"/>
        <v>12.413625430000003</v>
      </c>
      <c r="I154" s="282">
        <f t="shared" si="277"/>
        <v>0</v>
      </c>
      <c r="J154" s="282">
        <f t="shared" si="278"/>
        <v>0</v>
      </c>
      <c r="K154" s="280">
        <v>4.1338149700000004</v>
      </c>
      <c r="L154" s="281">
        <v>11.268277730000001</v>
      </c>
      <c r="M154" s="281">
        <v>0</v>
      </c>
      <c r="N154" s="281">
        <v>0</v>
      </c>
      <c r="O154" s="529">
        <f t="shared" si="283"/>
        <v>4.1338149700000004</v>
      </c>
      <c r="P154" s="282">
        <f t="shared" si="284"/>
        <v>11.268277730000001</v>
      </c>
      <c r="Q154" s="282">
        <f t="shared" si="285"/>
        <v>0</v>
      </c>
      <c r="R154" s="282">
        <f t="shared" si="286"/>
        <v>0</v>
      </c>
      <c r="S154" s="654">
        <v>4.4000000000000004</v>
      </c>
      <c r="T154" s="281">
        <v>10.42</v>
      </c>
      <c r="U154" s="281">
        <v>0</v>
      </c>
      <c r="V154" s="281">
        <v>0</v>
      </c>
      <c r="W154" s="534">
        <f t="shared" si="287"/>
        <v>4.4000000000000004</v>
      </c>
      <c r="X154" s="282">
        <f t="shared" si="288"/>
        <v>10.42</v>
      </c>
      <c r="Y154" s="282">
        <f t="shared" si="289"/>
        <v>0</v>
      </c>
      <c r="Z154" s="708">
        <f t="shared" si="290"/>
        <v>0</v>
      </c>
    </row>
    <row r="155" spans="2:26" ht="15.75" hidden="1" outlineLevel="1">
      <c r="B155" s="705">
        <f t="shared" si="291"/>
        <v>2029</v>
      </c>
      <c r="C155" s="280">
        <v>3.9973086400000004</v>
      </c>
      <c r="D155" s="281">
        <v>12.651568099999999</v>
      </c>
      <c r="E155" s="281">
        <v>0</v>
      </c>
      <c r="F155" s="281">
        <v>0</v>
      </c>
      <c r="G155" s="529">
        <f t="shared" si="275"/>
        <v>3.9973086400000004</v>
      </c>
      <c r="H155" s="282">
        <f t="shared" si="276"/>
        <v>12.651568099999999</v>
      </c>
      <c r="I155" s="282">
        <f t="shared" si="277"/>
        <v>0</v>
      </c>
      <c r="J155" s="282">
        <f t="shared" si="278"/>
        <v>0</v>
      </c>
      <c r="K155" s="280">
        <v>4.2755665</v>
      </c>
      <c r="L155" s="281">
        <v>11.256971409999998</v>
      </c>
      <c r="M155" s="281">
        <v>0</v>
      </c>
      <c r="N155" s="281">
        <v>0</v>
      </c>
      <c r="O155" s="529">
        <f t="shared" si="283"/>
        <v>4.2755665</v>
      </c>
      <c r="P155" s="282">
        <f t="shared" si="284"/>
        <v>11.256971409999998</v>
      </c>
      <c r="Q155" s="282">
        <f t="shared" si="285"/>
        <v>0</v>
      </c>
      <c r="R155" s="282">
        <f t="shared" si="286"/>
        <v>0</v>
      </c>
      <c r="S155" s="654">
        <v>4.45</v>
      </c>
      <c r="T155" s="281">
        <v>10.42</v>
      </c>
      <c r="U155" s="281">
        <v>0</v>
      </c>
      <c r="V155" s="281">
        <v>0</v>
      </c>
      <c r="W155" s="534">
        <f t="shared" si="287"/>
        <v>4.45</v>
      </c>
      <c r="X155" s="282">
        <f t="shared" si="288"/>
        <v>10.42</v>
      </c>
      <c r="Y155" s="282">
        <f t="shared" si="289"/>
        <v>0</v>
      </c>
      <c r="Z155" s="708">
        <f t="shared" si="290"/>
        <v>0</v>
      </c>
    </row>
    <row r="156" spans="2:26" ht="15.75" hidden="1" outlineLevel="1">
      <c r="B156" s="705">
        <f t="shared" si="291"/>
        <v>2030</v>
      </c>
      <c r="C156" s="280">
        <v>4.31735326</v>
      </c>
      <c r="D156" s="281">
        <v>12.636473580000001</v>
      </c>
      <c r="E156" s="281">
        <v>0</v>
      </c>
      <c r="F156" s="281">
        <v>0</v>
      </c>
      <c r="G156" s="529">
        <f t="shared" si="275"/>
        <v>4.31735326</v>
      </c>
      <c r="H156" s="282">
        <f t="shared" si="276"/>
        <v>12.636473580000001</v>
      </c>
      <c r="I156" s="282">
        <f t="shared" si="277"/>
        <v>0</v>
      </c>
      <c r="J156" s="282">
        <f t="shared" si="278"/>
        <v>0</v>
      </c>
      <c r="K156" s="280">
        <v>4.5361509500000006</v>
      </c>
      <c r="L156" s="281">
        <v>11.167467899999998</v>
      </c>
      <c r="M156" s="281">
        <v>0</v>
      </c>
      <c r="N156" s="281">
        <v>0</v>
      </c>
      <c r="O156" s="529">
        <f t="shared" si="283"/>
        <v>4.5361509500000006</v>
      </c>
      <c r="P156" s="282">
        <f t="shared" si="284"/>
        <v>11.167467899999998</v>
      </c>
      <c r="Q156" s="282">
        <f t="shared" si="285"/>
        <v>0</v>
      </c>
      <c r="R156" s="282">
        <f t="shared" si="286"/>
        <v>0</v>
      </c>
      <c r="S156" s="654">
        <v>4.63</v>
      </c>
      <c r="T156" s="281">
        <v>10.280000000000001</v>
      </c>
      <c r="U156" s="281">
        <v>0</v>
      </c>
      <c r="V156" s="281">
        <v>0</v>
      </c>
      <c r="W156" s="534">
        <f t="shared" si="287"/>
        <v>4.63</v>
      </c>
      <c r="X156" s="282">
        <f t="shared" si="288"/>
        <v>10.280000000000001</v>
      </c>
      <c r="Y156" s="282">
        <f t="shared" si="289"/>
        <v>0</v>
      </c>
      <c r="Z156" s="708">
        <f t="shared" si="290"/>
        <v>0</v>
      </c>
    </row>
    <row r="157" spans="2:26" ht="15.75" hidden="1" outlineLevel="1">
      <c r="B157" s="705">
        <f t="shared" si="291"/>
        <v>2031</v>
      </c>
      <c r="C157" s="280">
        <v>4.39843531</v>
      </c>
      <c r="D157" s="281">
        <v>12.949495460000001</v>
      </c>
      <c r="E157" s="281">
        <v>0</v>
      </c>
      <c r="F157" s="281">
        <v>0</v>
      </c>
      <c r="G157" s="529">
        <f t="shared" si="275"/>
        <v>4.39843531</v>
      </c>
      <c r="H157" s="282">
        <f t="shared" si="276"/>
        <v>12.949495460000001</v>
      </c>
      <c r="I157" s="282">
        <f t="shared" si="277"/>
        <v>0</v>
      </c>
      <c r="J157" s="282">
        <f t="shared" si="278"/>
        <v>0</v>
      </c>
      <c r="K157" s="280">
        <v>4.5691665700000001</v>
      </c>
      <c r="L157" s="281">
        <v>11.503160700000002</v>
      </c>
      <c r="M157" s="281">
        <v>0</v>
      </c>
      <c r="N157" s="281">
        <v>0</v>
      </c>
      <c r="O157" s="529">
        <f t="shared" si="283"/>
        <v>4.5691665700000001</v>
      </c>
      <c r="P157" s="282">
        <f t="shared" si="284"/>
        <v>11.503160700000002</v>
      </c>
      <c r="Q157" s="282">
        <f t="shared" si="285"/>
        <v>0</v>
      </c>
      <c r="R157" s="282">
        <f t="shared" si="286"/>
        <v>0</v>
      </c>
      <c r="S157" s="654">
        <v>4.62</v>
      </c>
      <c r="T157" s="281">
        <v>10.64</v>
      </c>
      <c r="U157" s="281">
        <v>0</v>
      </c>
      <c r="V157" s="281">
        <v>0</v>
      </c>
      <c r="W157" s="534">
        <f t="shared" si="287"/>
        <v>4.62</v>
      </c>
      <c r="X157" s="282">
        <f t="shared" si="288"/>
        <v>10.64</v>
      </c>
      <c r="Y157" s="282">
        <f t="shared" si="289"/>
        <v>0</v>
      </c>
      <c r="Z157" s="708">
        <f t="shared" si="290"/>
        <v>0</v>
      </c>
    </row>
    <row r="158" spans="2:26" ht="15.75" hidden="1" outlineLevel="1">
      <c r="B158" s="705">
        <f t="shared" si="291"/>
        <v>2032</v>
      </c>
      <c r="C158" s="280">
        <v>4.49952197</v>
      </c>
      <c r="D158" s="281">
        <v>13.282332539999999</v>
      </c>
      <c r="E158" s="281">
        <v>0</v>
      </c>
      <c r="F158" s="281">
        <v>0</v>
      </c>
      <c r="G158" s="529">
        <f t="shared" si="275"/>
        <v>4.49952197</v>
      </c>
      <c r="H158" s="282">
        <f t="shared" si="276"/>
        <v>13.282332539999999</v>
      </c>
      <c r="I158" s="282">
        <f t="shared" si="277"/>
        <v>0</v>
      </c>
      <c r="J158" s="282">
        <f t="shared" si="278"/>
        <v>0</v>
      </c>
      <c r="K158" s="280">
        <v>4.6373833100000006</v>
      </c>
      <c r="L158" s="281">
        <v>11.828902190000001</v>
      </c>
      <c r="M158" s="281">
        <v>0</v>
      </c>
      <c r="N158" s="281">
        <v>0</v>
      </c>
      <c r="O158" s="529">
        <f t="shared" si="283"/>
        <v>4.6373833100000006</v>
      </c>
      <c r="P158" s="282">
        <f t="shared" si="284"/>
        <v>11.828902190000001</v>
      </c>
      <c r="Q158" s="282">
        <f t="shared" si="285"/>
        <v>0</v>
      </c>
      <c r="R158" s="282">
        <f t="shared" si="286"/>
        <v>0</v>
      </c>
      <c r="S158" s="654">
        <v>4.8</v>
      </c>
      <c r="T158" s="281">
        <v>10.86</v>
      </c>
      <c r="U158" s="281">
        <v>0</v>
      </c>
      <c r="V158" s="281">
        <v>0</v>
      </c>
      <c r="W158" s="534">
        <f t="shared" si="287"/>
        <v>4.8</v>
      </c>
      <c r="X158" s="282">
        <f t="shared" si="288"/>
        <v>10.86</v>
      </c>
      <c r="Y158" s="282">
        <f t="shared" si="289"/>
        <v>0</v>
      </c>
      <c r="Z158" s="708">
        <f t="shared" si="290"/>
        <v>0</v>
      </c>
    </row>
    <row r="159" spans="2:26" ht="15.75" hidden="1" outlineLevel="1">
      <c r="B159" s="705">
        <f t="shared" si="291"/>
        <v>2033</v>
      </c>
      <c r="C159" s="280">
        <v>4.8437819300000005</v>
      </c>
      <c r="D159" s="281">
        <v>13.46477808</v>
      </c>
      <c r="E159" s="281">
        <v>0</v>
      </c>
      <c r="F159" s="281">
        <v>0</v>
      </c>
      <c r="G159" s="529">
        <f t="shared" si="275"/>
        <v>4.8437819300000005</v>
      </c>
      <c r="H159" s="282">
        <f t="shared" si="276"/>
        <v>13.46477808</v>
      </c>
      <c r="I159" s="282">
        <f t="shared" si="277"/>
        <v>0</v>
      </c>
      <c r="J159" s="282">
        <f t="shared" si="278"/>
        <v>0</v>
      </c>
      <c r="K159" s="280">
        <v>4.8610328100000002</v>
      </c>
      <c r="L159" s="281">
        <v>12.039817510000002</v>
      </c>
      <c r="M159" s="281">
        <v>0</v>
      </c>
      <c r="N159" s="281">
        <v>0</v>
      </c>
      <c r="O159" s="529">
        <f t="shared" si="283"/>
        <v>4.8610328100000002</v>
      </c>
      <c r="P159" s="282">
        <f t="shared" si="284"/>
        <v>12.039817510000002</v>
      </c>
      <c r="Q159" s="282">
        <f t="shared" si="285"/>
        <v>0</v>
      </c>
      <c r="R159" s="282">
        <f t="shared" si="286"/>
        <v>0</v>
      </c>
      <c r="S159" s="654">
        <v>4.8600000000000003</v>
      </c>
      <c r="T159" s="281">
        <v>11.16</v>
      </c>
      <c r="U159" s="281">
        <v>0</v>
      </c>
      <c r="V159" s="281">
        <v>0</v>
      </c>
      <c r="W159" s="534">
        <f t="shared" si="287"/>
        <v>4.8600000000000003</v>
      </c>
      <c r="X159" s="282">
        <f t="shared" si="288"/>
        <v>11.16</v>
      </c>
      <c r="Y159" s="282">
        <f t="shared" si="289"/>
        <v>0</v>
      </c>
      <c r="Z159" s="708">
        <f t="shared" si="290"/>
        <v>0</v>
      </c>
    </row>
    <row r="160" spans="2:26" ht="15.75" hidden="1" outlineLevel="1">
      <c r="B160" s="705">
        <f t="shared" si="291"/>
        <v>2034</v>
      </c>
      <c r="C160" s="280">
        <v>4.9316390299999995</v>
      </c>
      <c r="D160" s="281">
        <v>13.861723160000002</v>
      </c>
      <c r="E160" s="281">
        <v>0</v>
      </c>
      <c r="F160" s="281">
        <v>0</v>
      </c>
      <c r="G160" s="529">
        <f t="shared" si="275"/>
        <v>4.9316390299999995</v>
      </c>
      <c r="H160" s="282">
        <f t="shared" si="276"/>
        <v>13.861723160000002</v>
      </c>
      <c r="I160" s="282">
        <f t="shared" si="277"/>
        <v>0</v>
      </c>
      <c r="J160" s="282">
        <f t="shared" si="278"/>
        <v>0</v>
      </c>
      <c r="K160" s="280">
        <v>4.9614638200000005</v>
      </c>
      <c r="L160" s="281">
        <v>12.378628289999998</v>
      </c>
      <c r="M160" s="281">
        <v>0</v>
      </c>
      <c r="N160" s="281">
        <v>0</v>
      </c>
      <c r="O160" s="529">
        <f t="shared" si="283"/>
        <v>4.9614638200000005</v>
      </c>
      <c r="P160" s="282">
        <f t="shared" si="284"/>
        <v>12.378628289999998</v>
      </c>
      <c r="Q160" s="282">
        <f t="shared" si="285"/>
        <v>0</v>
      </c>
      <c r="R160" s="282">
        <f t="shared" si="286"/>
        <v>0</v>
      </c>
      <c r="S160" s="654">
        <v>4.93</v>
      </c>
      <c r="T160" s="281">
        <v>11.51</v>
      </c>
      <c r="U160" s="281">
        <v>0</v>
      </c>
      <c r="V160" s="281">
        <v>0</v>
      </c>
      <c r="W160" s="534">
        <f t="shared" si="287"/>
        <v>4.93</v>
      </c>
      <c r="X160" s="282">
        <f t="shared" si="288"/>
        <v>11.51</v>
      </c>
      <c r="Y160" s="282">
        <f t="shared" si="289"/>
        <v>0</v>
      </c>
      <c r="Z160" s="708">
        <f t="shared" si="290"/>
        <v>0</v>
      </c>
    </row>
    <row r="161" spans="2:78" ht="15.75" hidden="1" outlineLevel="1">
      <c r="B161" s="705">
        <f t="shared" si="291"/>
        <v>2035</v>
      </c>
      <c r="C161" s="280">
        <v>4.9685594100000001</v>
      </c>
      <c r="D161" s="281">
        <v>14.29209182</v>
      </c>
      <c r="E161" s="281">
        <v>0</v>
      </c>
      <c r="F161" s="281">
        <v>0</v>
      </c>
      <c r="G161" s="529">
        <f t="shared" si="275"/>
        <v>4.9685594100000001</v>
      </c>
      <c r="H161" s="282">
        <f t="shared" si="276"/>
        <v>14.29209182</v>
      </c>
      <c r="I161" s="282">
        <f t="shared" si="277"/>
        <v>0</v>
      </c>
      <c r="J161" s="282">
        <f t="shared" si="278"/>
        <v>0</v>
      </c>
      <c r="K161" s="280">
        <v>5.0030466000000002</v>
      </c>
      <c r="L161" s="281">
        <v>12.761323910000002</v>
      </c>
      <c r="M161" s="281">
        <v>0</v>
      </c>
      <c r="N161" s="281">
        <v>0</v>
      </c>
      <c r="O161" s="529">
        <f t="shared" si="283"/>
        <v>5.0030466000000002</v>
      </c>
      <c r="P161" s="282">
        <f t="shared" si="284"/>
        <v>12.761323910000002</v>
      </c>
      <c r="Q161" s="282">
        <f t="shared" si="285"/>
        <v>0</v>
      </c>
      <c r="R161" s="282">
        <f t="shared" si="286"/>
        <v>0</v>
      </c>
      <c r="S161" s="654">
        <v>5</v>
      </c>
      <c r="T161" s="281">
        <v>11.879999999999999</v>
      </c>
      <c r="U161" s="281">
        <v>0</v>
      </c>
      <c r="V161" s="281">
        <v>0</v>
      </c>
      <c r="W161" s="534">
        <f t="shared" si="287"/>
        <v>5</v>
      </c>
      <c r="X161" s="282">
        <f t="shared" si="288"/>
        <v>11.879999999999999</v>
      </c>
      <c r="Y161" s="282">
        <f t="shared" si="289"/>
        <v>0</v>
      </c>
      <c r="Z161" s="708">
        <f t="shared" si="290"/>
        <v>0</v>
      </c>
    </row>
    <row r="162" spans="2:78" ht="15.75" hidden="1" outlineLevel="1">
      <c r="B162" s="705">
        <f t="shared" si="291"/>
        <v>2036</v>
      </c>
      <c r="C162" s="280">
        <v>4.9663156300000004</v>
      </c>
      <c r="D162" s="281">
        <v>14.742188260000001</v>
      </c>
      <c r="E162" s="281">
        <v>0</v>
      </c>
      <c r="F162" s="281">
        <v>0</v>
      </c>
      <c r="G162" s="529">
        <f t="shared" si="275"/>
        <v>4.9663156300000004</v>
      </c>
      <c r="H162" s="282">
        <f t="shared" si="276"/>
        <v>14.742188260000001</v>
      </c>
      <c r="I162" s="282">
        <f t="shared" si="277"/>
        <v>0</v>
      </c>
      <c r="J162" s="282">
        <f t="shared" si="278"/>
        <v>0</v>
      </c>
      <c r="K162" s="280">
        <v>5.1030696500000001</v>
      </c>
      <c r="L162" s="281">
        <v>13.126710370000001</v>
      </c>
      <c r="M162" s="281">
        <v>0</v>
      </c>
      <c r="N162" s="281">
        <v>0</v>
      </c>
      <c r="O162" s="529">
        <f t="shared" si="283"/>
        <v>5.1030696500000001</v>
      </c>
      <c r="P162" s="282">
        <f t="shared" si="284"/>
        <v>13.126710370000001</v>
      </c>
      <c r="Q162" s="282">
        <f t="shared" si="285"/>
        <v>0</v>
      </c>
      <c r="R162" s="282">
        <f t="shared" si="286"/>
        <v>0</v>
      </c>
      <c r="S162" s="654">
        <v>5.0999999999999996</v>
      </c>
      <c r="T162" s="281">
        <v>12.17</v>
      </c>
      <c r="U162" s="281">
        <v>0</v>
      </c>
      <c r="V162" s="281">
        <v>0</v>
      </c>
      <c r="W162" s="534">
        <f t="shared" si="287"/>
        <v>5.0999999999999996</v>
      </c>
      <c r="X162" s="282">
        <f t="shared" si="288"/>
        <v>12.17</v>
      </c>
      <c r="Y162" s="282">
        <f t="shared" si="289"/>
        <v>0</v>
      </c>
      <c r="Z162" s="708">
        <f t="shared" si="290"/>
        <v>0</v>
      </c>
    </row>
    <row r="163" spans="2:78" ht="15.75" hidden="1" outlineLevel="1">
      <c r="B163" s="705">
        <f t="shared" si="291"/>
        <v>2037</v>
      </c>
      <c r="C163" s="280">
        <v>5.1224186100000004</v>
      </c>
      <c r="D163" s="281">
        <v>15.103174579999999</v>
      </c>
      <c r="E163" s="281">
        <v>0</v>
      </c>
      <c r="F163" s="281">
        <v>0</v>
      </c>
      <c r="G163" s="529">
        <f t="shared" si="275"/>
        <v>5.1224186100000004</v>
      </c>
      <c r="H163" s="282">
        <f t="shared" si="276"/>
        <v>15.103174579999999</v>
      </c>
      <c r="I163" s="282">
        <f t="shared" si="277"/>
        <v>0</v>
      </c>
      <c r="J163" s="282">
        <f t="shared" si="278"/>
        <v>0</v>
      </c>
      <c r="K163" s="280">
        <v>5.1276638100000005</v>
      </c>
      <c r="L163" s="281">
        <v>13.52281039</v>
      </c>
      <c r="M163" s="281">
        <v>0</v>
      </c>
      <c r="N163" s="281">
        <v>0</v>
      </c>
      <c r="O163" s="529">
        <f t="shared" si="283"/>
        <v>5.1276638100000005</v>
      </c>
      <c r="P163" s="282">
        <f t="shared" si="284"/>
        <v>13.52281039</v>
      </c>
      <c r="Q163" s="282">
        <f t="shared" si="285"/>
        <v>0</v>
      </c>
      <c r="R163" s="282">
        <f t="shared" si="286"/>
        <v>0</v>
      </c>
      <c r="S163" s="654">
        <v>5.16</v>
      </c>
      <c r="T163" s="281">
        <v>12.61</v>
      </c>
      <c r="U163" s="281">
        <v>0</v>
      </c>
      <c r="V163" s="281">
        <v>0</v>
      </c>
      <c r="W163" s="534">
        <f t="shared" si="287"/>
        <v>5.16</v>
      </c>
      <c r="X163" s="282">
        <f t="shared" si="288"/>
        <v>12.61</v>
      </c>
      <c r="Y163" s="282">
        <f t="shared" si="289"/>
        <v>0</v>
      </c>
      <c r="Z163" s="708">
        <f t="shared" si="290"/>
        <v>0</v>
      </c>
    </row>
    <row r="164" spans="2:78" ht="15.75" hidden="1" outlineLevel="1">
      <c r="B164" s="705">
        <f t="shared" si="291"/>
        <v>2038</v>
      </c>
      <c r="C164" s="280">
        <v>5.2324075400000005</v>
      </c>
      <c r="D164" s="281">
        <v>15.521493850000002</v>
      </c>
      <c r="E164" s="281">
        <v>0</v>
      </c>
      <c r="F164" s="281">
        <v>0</v>
      </c>
      <c r="G164" s="529">
        <f t="shared" si="275"/>
        <v>5.2324075400000005</v>
      </c>
      <c r="H164" s="282">
        <f t="shared" si="276"/>
        <v>15.521493850000002</v>
      </c>
      <c r="I164" s="282">
        <f t="shared" si="277"/>
        <v>0</v>
      </c>
      <c r="J164" s="282">
        <f t="shared" si="278"/>
        <v>0</v>
      </c>
      <c r="K164" s="280">
        <v>5.1997707399999999</v>
      </c>
      <c r="L164" s="281">
        <v>13.93225653</v>
      </c>
      <c r="M164" s="281">
        <v>0</v>
      </c>
      <c r="N164" s="281">
        <v>0</v>
      </c>
      <c r="O164" s="529">
        <f t="shared" si="283"/>
        <v>5.1997707399999999</v>
      </c>
      <c r="P164" s="282">
        <f t="shared" si="284"/>
        <v>13.93225653</v>
      </c>
      <c r="Q164" s="282">
        <f t="shared" si="285"/>
        <v>0</v>
      </c>
      <c r="R164" s="282">
        <f t="shared" si="286"/>
        <v>0</v>
      </c>
      <c r="S164" s="654">
        <v>5.22</v>
      </c>
      <c r="T164" s="281">
        <v>13.01</v>
      </c>
      <c r="U164" s="281">
        <v>0</v>
      </c>
      <c r="V164" s="281">
        <v>0</v>
      </c>
      <c r="W164" s="534">
        <f t="shared" si="287"/>
        <v>5.22</v>
      </c>
      <c r="X164" s="282">
        <f t="shared" si="288"/>
        <v>13.01</v>
      </c>
      <c r="Y164" s="282">
        <f t="shared" si="289"/>
        <v>0</v>
      </c>
      <c r="Z164" s="708">
        <f t="shared" si="290"/>
        <v>0</v>
      </c>
    </row>
    <row r="165" spans="2:78" ht="15.75" hidden="1" outlineLevel="1">
      <c r="B165" s="705">
        <f t="shared" si="291"/>
        <v>2039</v>
      </c>
      <c r="C165" s="280">
        <v>5.2430582100000001</v>
      </c>
      <c r="D165" s="281">
        <v>15.949152489999999</v>
      </c>
      <c r="E165" s="281">
        <v>0</v>
      </c>
      <c r="F165" s="281">
        <v>0</v>
      </c>
      <c r="G165" s="529">
        <f t="shared" si="275"/>
        <v>5.2430582100000001</v>
      </c>
      <c r="H165" s="282">
        <f t="shared" si="276"/>
        <v>15.949152489999999</v>
      </c>
      <c r="I165" s="282">
        <f t="shared" si="277"/>
        <v>0</v>
      </c>
      <c r="J165" s="282">
        <f t="shared" si="278"/>
        <v>0</v>
      </c>
      <c r="K165" s="280">
        <v>5.2108293699999999</v>
      </c>
      <c r="L165" s="281">
        <v>14.354582550000002</v>
      </c>
      <c r="M165" s="281">
        <v>0</v>
      </c>
      <c r="N165" s="281">
        <v>0</v>
      </c>
      <c r="O165" s="529">
        <f t="shared" si="283"/>
        <v>5.2108293699999999</v>
      </c>
      <c r="P165" s="282">
        <f t="shared" si="284"/>
        <v>14.354582550000002</v>
      </c>
      <c r="Q165" s="282">
        <f t="shared" si="285"/>
        <v>0</v>
      </c>
      <c r="R165" s="282">
        <f t="shared" si="286"/>
        <v>0</v>
      </c>
      <c r="S165" s="654">
        <v>5.34</v>
      </c>
      <c r="T165" s="281">
        <v>13.37</v>
      </c>
      <c r="U165" s="281">
        <v>0</v>
      </c>
      <c r="V165" s="281">
        <v>0</v>
      </c>
      <c r="W165" s="534">
        <f t="shared" si="287"/>
        <v>5.34</v>
      </c>
      <c r="X165" s="282">
        <f t="shared" si="288"/>
        <v>13.37</v>
      </c>
      <c r="Y165" s="282">
        <f t="shared" si="289"/>
        <v>0</v>
      </c>
      <c r="Z165" s="708">
        <f t="shared" si="290"/>
        <v>0</v>
      </c>
    </row>
    <row r="166" spans="2:78" ht="16.5" hidden="1" outlineLevel="1" thickBot="1">
      <c r="B166" s="706">
        <f t="shared" si="291"/>
        <v>2040</v>
      </c>
      <c r="C166" s="283">
        <v>5.2457536600000001</v>
      </c>
      <c r="D166" s="284">
        <v>16.505551650000001</v>
      </c>
      <c r="E166" s="284">
        <v>0</v>
      </c>
      <c r="F166" s="284">
        <v>0</v>
      </c>
      <c r="G166" s="530">
        <f t="shared" si="275"/>
        <v>5.2457536600000001</v>
      </c>
      <c r="H166" s="285">
        <f t="shared" si="276"/>
        <v>16.505551650000001</v>
      </c>
      <c r="I166" s="285">
        <f t="shared" si="277"/>
        <v>0</v>
      </c>
      <c r="J166" s="285">
        <f t="shared" si="278"/>
        <v>0</v>
      </c>
      <c r="K166" s="283">
        <v>5.2408581400000003</v>
      </c>
      <c r="L166" s="284">
        <v>14.823663700000003</v>
      </c>
      <c r="M166" s="284">
        <v>0</v>
      </c>
      <c r="N166" s="284">
        <v>0</v>
      </c>
      <c r="O166" s="530">
        <f t="shared" si="283"/>
        <v>5.2408581400000003</v>
      </c>
      <c r="P166" s="285">
        <f t="shared" si="284"/>
        <v>14.823663700000003</v>
      </c>
      <c r="Q166" s="285">
        <f t="shared" si="285"/>
        <v>0</v>
      </c>
      <c r="R166" s="285">
        <f t="shared" si="286"/>
        <v>0</v>
      </c>
      <c r="S166" s="655">
        <v>5.4</v>
      </c>
      <c r="T166" s="284">
        <v>13.829999999999998</v>
      </c>
      <c r="U166" s="284">
        <v>0</v>
      </c>
      <c r="V166" s="284">
        <v>0</v>
      </c>
      <c r="W166" s="535">
        <f t="shared" si="287"/>
        <v>5.4</v>
      </c>
      <c r="X166" s="285">
        <f t="shared" si="288"/>
        <v>13.829999999999998</v>
      </c>
      <c r="Y166" s="285">
        <f t="shared" si="289"/>
        <v>0</v>
      </c>
      <c r="Z166" s="709">
        <f t="shared" si="290"/>
        <v>0</v>
      </c>
    </row>
    <row r="167" spans="2:78" collapsed="1"/>
    <row r="168" spans="2:78" ht="16.5" hidden="1" outlineLevel="1" thickBot="1">
      <c r="B168" s="1186" t="s">
        <v>386</v>
      </c>
      <c r="C168" s="1303" t="s">
        <v>221</v>
      </c>
      <c r="D168" s="1304"/>
      <c r="E168" s="1304"/>
      <c r="F168" s="1304"/>
      <c r="G168" s="1304"/>
      <c r="H168" s="1304"/>
      <c r="I168" s="1304"/>
      <c r="J168" s="1304"/>
      <c r="K168" s="1304"/>
      <c r="L168" s="1304"/>
      <c r="M168" s="1304"/>
      <c r="N168" s="1304"/>
      <c r="O168" s="1304"/>
      <c r="P168" s="1304"/>
      <c r="Q168" s="1304"/>
      <c r="R168" s="1304"/>
      <c r="S168" s="1304"/>
      <c r="T168" s="1304"/>
      <c r="U168" s="1304"/>
      <c r="V168" s="1304"/>
      <c r="W168" s="1304"/>
      <c r="X168" s="1304"/>
      <c r="Y168" s="1304"/>
      <c r="Z168" s="1304"/>
      <c r="AA168" s="1304"/>
      <c r="AB168" s="1304"/>
      <c r="AC168" s="1304"/>
      <c r="AD168" s="1304"/>
      <c r="AE168" s="1304"/>
      <c r="AF168" s="1304"/>
      <c r="AG168" s="1304"/>
      <c r="AH168" s="1304"/>
      <c r="AI168" s="1304"/>
      <c r="AJ168" s="1304"/>
      <c r="AK168" s="1304"/>
      <c r="AL168" s="1304"/>
      <c r="AM168" s="1304"/>
      <c r="AN168" s="1304"/>
      <c r="AO168" s="1304"/>
      <c r="AP168" s="1304"/>
      <c r="AQ168" s="1304"/>
      <c r="AR168" s="1304"/>
      <c r="AS168" s="1304"/>
      <c r="AT168" s="1304"/>
      <c r="AU168" s="1304"/>
      <c r="AV168" s="1304"/>
      <c r="AW168" s="1304"/>
      <c r="AX168" s="1304"/>
      <c r="AY168" s="1304"/>
      <c r="AZ168" s="1304"/>
      <c r="BA168" s="1304"/>
      <c r="BB168" s="1304"/>
      <c r="BC168" s="1304"/>
      <c r="BD168" s="1304"/>
      <c r="BE168" s="1304"/>
      <c r="BF168" s="1304"/>
      <c r="BG168" s="1304"/>
      <c r="BH168" s="1304"/>
      <c r="BI168" s="1304"/>
      <c r="BJ168" s="1304"/>
      <c r="BK168" s="1304"/>
      <c r="BL168" s="1304"/>
      <c r="BM168" s="1304"/>
      <c r="BN168" s="1304"/>
      <c r="BO168" s="1304"/>
      <c r="BP168" s="1304"/>
      <c r="BQ168" s="1304"/>
      <c r="BR168" s="1304"/>
      <c r="BS168" s="1304"/>
      <c r="BT168" s="1304"/>
      <c r="BU168" s="1304"/>
      <c r="BV168" s="1305"/>
    </row>
    <row r="169" spans="2:78" ht="16.5" hidden="1" outlineLevel="1" thickBot="1">
      <c r="B169" s="1188"/>
      <c r="C169" s="1297" t="s">
        <v>46</v>
      </c>
      <c r="D169" s="1298"/>
      <c r="E169" s="1298"/>
      <c r="F169" s="1298"/>
      <c r="G169" s="1298"/>
      <c r="H169" s="1298"/>
      <c r="I169" s="1298"/>
      <c r="J169" s="1298"/>
      <c r="K169" s="1298"/>
      <c r="L169" s="1298"/>
      <c r="M169" s="1298"/>
      <c r="N169" s="1299"/>
      <c r="O169" s="1300" t="s">
        <v>47</v>
      </c>
      <c r="P169" s="1301"/>
      <c r="Q169" s="1301"/>
      <c r="R169" s="1301"/>
      <c r="S169" s="1301"/>
      <c r="T169" s="1301"/>
      <c r="U169" s="1301"/>
      <c r="V169" s="1301"/>
      <c r="W169" s="1301"/>
      <c r="X169" s="1301"/>
      <c r="Y169" s="1301"/>
      <c r="Z169" s="1302"/>
      <c r="AA169" s="1297" t="s">
        <v>342</v>
      </c>
      <c r="AB169" s="1298"/>
      <c r="AC169" s="1298"/>
      <c r="AD169" s="1298"/>
      <c r="AE169" s="1298"/>
      <c r="AF169" s="1298"/>
      <c r="AG169" s="1298"/>
      <c r="AH169" s="1298"/>
      <c r="AI169" s="1298"/>
      <c r="AJ169" s="1298"/>
      <c r="AK169" s="1298"/>
      <c r="AL169" s="1299"/>
      <c r="AM169" s="1300" t="s">
        <v>343</v>
      </c>
      <c r="AN169" s="1301"/>
      <c r="AO169" s="1301"/>
      <c r="AP169" s="1301"/>
      <c r="AQ169" s="1301"/>
      <c r="AR169" s="1301"/>
      <c r="AS169" s="1301"/>
      <c r="AT169" s="1301"/>
      <c r="AU169" s="1301"/>
      <c r="AV169" s="1301"/>
      <c r="AW169" s="1301"/>
      <c r="AX169" s="1302"/>
      <c r="AY169" s="1297" t="s">
        <v>344</v>
      </c>
      <c r="AZ169" s="1298"/>
      <c r="BA169" s="1298"/>
      <c r="BB169" s="1298"/>
      <c r="BC169" s="1298"/>
      <c r="BD169" s="1298"/>
      <c r="BE169" s="1298"/>
      <c r="BF169" s="1298"/>
      <c r="BG169" s="1298"/>
      <c r="BH169" s="1298"/>
      <c r="BI169" s="1298"/>
      <c r="BJ169" s="1299"/>
      <c r="BK169" s="1300" t="s">
        <v>345</v>
      </c>
      <c r="BL169" s="1301"/>
      <c r="BM169" s="1301"/>
      <c r="BN169" s="1301"/>
      <c r="BO169" s="1301"/>
      <c r="BP169" s="1301"/>
      <c r="BQ169" s="1301"/>
      <c r="BR169" s="1301"/>
      <c r="BS169" s="1301"/>
      <c r="BT169" s="1301"/>
      <c r="BU169" s="1301"/>
      <c r="BV169" s="1302"/>
    </row>
    <row r="170" spans="2:78" ht="63.75" hidden="1" outlineLevel="1" thickBot="1">
      <c r="B170" s="62" t="str">
        <f t="shared" ref="B170:AG170" si="292">B62</f>
        <v>שנה</v>
      </c>
      <c r="C170" s="38" t="str">
        <f t="shared" ca="1" si="292"/>
        <v>מוטה קרקע PV</v>
      </c>
      <c r="D170" s="38" t="str">
        <f t="shared" ca="1" si="292"/>
        <v>מוטה דואלי PV</v>
      </c>
      <c r="E170" s="38" t="str">
        <f t="shared" ca="1" si="292"/>
        <v>רוח</v>
      </c>
      <c r="F170" s="38" t="str">
        <f t="shared" ca="1" si="292"/>
        <v>ביומסה/ביוגז</v>
      </c>
      <c r="G170" s="38" t="str">
        <f t="shared" ca="1" si="292"/>
        <v>תרמו סולארי</v>
      </c>
      <c r="H170" s="38" t="str">
        <f t="shared" si="292"/>
        <v>אחר</v>
      </c>
      <c r="I170" s="38" t="str">
        <f t="shared" ca="1" si="292"/>
        <v>גז פחמיות מוסבות</v>
      </c>
      <c r="J170" s="38" t="str">
        <f t="shared" ca="1" si="292"/>
        <v>גז חח"י מחזמים ופקירים ויח"פים</v>
      </c>
      <c r="K170" s="38" t="str">
        <f t="shared" ca="1" si="292"/>
        <v>אחר 1</v>
      </c>
      <c r="L170" s="38" t="str">
        <f t="shared" ca="1" si="292"/>
        <v>אחר 2</v>
      </c>
      <c r="M170" s="38" t="str">
        <f t="shared" si="292"/>
        <v>יחידה פחמית</v>
      </c>
      <c r="N170" s="38" t="str">
        <f t="shared" si="292"/>
        <v>סולר ופצלי שמן</v>
      </c>
      <c r="O170" s="48" t="str">
        <f t="shared" ca="1" si="292"/>
        <v>מוטה קרקע PV</v>
      </c>
      <c r="P170" s="48" t="str">
        <f t="shared" ca="1" si="292"/>
        <v>מוטה דואלי PV</v>
      </c>
      <c r="Q170" s="48" t="str">
        <f t="shared" ca="1" si="292"/>
        <v>רוח</v>
      </c>
      <c r="R170" s="48" t="str">
        <f t="shared" ca="1" si="292"/>
        <v>ביומסה/ביוגז</v>
      </c>
      <c r="S170" s="48" t="str">
        <f t="shared" ca="1" si="292"/>
        <v>תרמו סולארי</v>
      </c>
      <c r="T170" s="48" t="str">
        <f t="shared" si="292"/>
        <v>אחר</v>
      </c>
      <c r="U170" s="48" t="str">
        <f t="shared" ca="1" si="292"/>
        <v>גז פחמיות מוסבות</v>
      </c>
      <c r="V170" s="48" t="str">
        <f t="shared" ca="1" si="292"/>
        <v>גז חח"י מחזמים ופקירים ויח"פים</v>
      </c>
      <c r="W170" s="48" t="str">
        <f t="shared" ca="1" si="292"/>
        <v>אחר 1</v>
      </c>
      <c r="X170" s="48" t="str">
        <f t="shared" ca="1" si="292"/>
        <v>אחר 2</v>
      </c>
      <c r="Y170" s="48" t="str">
        <f t="shared" si="292"/>
        <v>יחידה פחמית</v>
      </c>
      <c r="Z170" s="48" t="str">
        <f t="shared" si="292"/>
        <v>סולר ופצלי שמן</v>
      </c>
      <c r="AA170" s="38" t="str">
        <f t="shared" ca="1" si="292"/>
        <v>מוטה קרקע PV</v>
      </c>
      <c r="AB170" s="38" t="str">
        <f t="shared" ca="1" si="292"/>
        <v>מוטה דואלי PV</v>
      </c>
      <c r="AC170" s="38" t="str">
        <f t="shared" ca="1" si="292"/>
        <v>רוח</v>
      </c>
      <c r="AD170" s="38" t="str">
        <f t="shared" ca="1" si="292"/>
        <v>ביומסה/ביוגז</v>
      </c>
      <c r="AE170" s="38" t="str">
        <f t="shared" ca="1" si="292"/>
        <v>תרמו סולארי</v>
      </c>
      <c r="AF170" s="38" t="str">
        <f t="shared" si="292"/>
        <v>אחר</v>
      </c>
      <c r="AG170" s="38" t="str">
        <f t="shared" ca="1" si="292"/>
        <v>גז פחמיות מוסבות</v>
      </c>
      <c r="AH170" s="38" t="str">
        <f t="shared" ref="AH170:BM170" ca="1" si="293">AH62</f>
        <v>גז חח"י מחזמים ופקירים ויח"פים</v>
      </c>
      <c r="AI170" s="38" t="str">
        <f t="shared" ca="1" si="293"/>
        <v>אחר 1</v>
      </c>
      <c r="AJ170" s="38" t="str">
        <f t="shared" ca="1" si="293"/>
        <v>אחר 2</v>
      </c>
      <c r="AK170" s="38" t="str">
        <f t="shared" si="293"/>
        <v>יחידה פחמית</v>
      </c>
      <c r="AL170" s="38" t="str">
        <f t="shared" si="293"/>
        <v>סולר ופצלי שמן</v>
      </c>
      <c r="AM170" s="48" t="str">
        <f t="shared" ca="1" si="293"/>
        <v>מוטה קרקע PV</v>
      </c>
      <c r="AN170" s="48" t="str">
        <f t="shared" ca="1" si="293"/>
        <v>מוטה דואלי PV</v>
      </c>
      <c r="AO170" s="48" t="str">
        <f t="shared" ca="1" si="293"/>
        <v>רוח</v>
      </c>
      <c r="AP170" s="48" t="str">
        <f t="shared" ca="1" si="293"/>
        <v>ביומסה/ביוגז</v>
      </c>
      <c r="AQ170" s="48" t="str">
        <f t="shared" ca="1" si="293"/>
        <v>תרמו סולארי</v>
      </c>
      <c r="AR170" s="48" t="str">
        <f t="shared" si="293"/>
        <v>אחר</v>
      </c>
      <c r="AS170" s="48" t="str">
        <f t="shared" ca="1" si="293"/>
        <v>גז פחמיות מוסבות</v>
      </c>
      <c r="AT170" s="48" t="str">
        <f t="shared" ca="1" si="293"/>
        <v>גז חח"י מחזמים ופקירים ויח"פים</v>
      </c>
      <c r="AU170" s="48" t="str">
        <f t="shared" ca="1" si="293"/>
        <v>אחר 1</v>
      </c>
      <c r="AV170" s="48" t="str">
        <f t="shared" ca="1" si="293"/>
        <v>אחר 2</v>
      </c>
      <c r="AW170" s="48" t="str">
        <f t="shared" si="293"/>
        <v>יחידה פחמית</v>
      </c>
      <c r="AX170" s="48" t="str">
        <f t="shared" si="293"/>
        <v>סולר ופצלי שמן</v>
      </c>
      <c r="AY170" s="38" t="str">
        <f t="shared" ca="1" si="293"/>
        <v>מוטה קרקע PV</v>
      </c>
      <c r="AZ170" s="38" t="str">
        <f t="shared" ca="1" si="293"/>
        <v>מוטה דואלי PV</v>
      </c>
      <c r="BA170" s="38" t="str">
        <f t="shared" ca="1" si="293"/>
        <v>רוח</v>
      </c>
      <c r="BB170" s="38" t="str">
        <f t="shared" ca="1" si="293"/>
        <v>ביומסה/ביוגז</v>
      </c>
      <c r="BC170" s="38" t="str">
        <f t="shared" ca="1" si="293"/>
        <v>תרמו סולארי</v>
      </c>
      <c r="BD170" s="38" t="str">
        <f t="shared" si="293"/>
        <v>אחר</v>
      </c>
      <c r="BE170" s="38" t="str">
        <f t="shared" ca="1" si="293"/>
        <v>גז פחמיות מוסבות</v>
      </c>
      <c r="BF170" s="38" t="str">
        <f t="shared" ca="1" si="293"/>
        <v>גז חח"י מחזמים ופקירים ויח"פים</v>
      </c>
      <c r="BG170" s="38" t="str">
        <f t="shared" ca="1" si="293"/>
        <v>אחר 1</v>
      </c>
      <c r="BH170" s="38" t="str">
        <f t="shared" ca="1" si="293"/>
        <v>אחר 2</v>
      </c>
      <c r="BI170" s="38" t="str">
        <f t="shared" si="293"/>
        <v>יחידה פחמית</v>
      </c>
      <c r="BJ170" s="38" t="str">
        <f t="shared" si="293"/>
        <v>סולר ופצלי שמן</v>
      </c>
      <c r="BK170" s="48" t="str">
        <f t="shared" ca="1" si="293"/>
        <v>מוטה קרקע PV</v>
      </c>
      <c r="BL170" s="48" t="str">
        <f t="shared" ca="1" si="293"/>
        <v>מוטה דואלי PV</v>
      </c>
      <c r="BM170" s="48" t="str">
        <f t="shared" ca="1" si="293"/>
        <v>רוח</v>
      </c>
      <c r="BN170" s="48" t="str">
        <f t="shared" ref="BN170:BV170" ca="1" si="294">BN62</f>
        <v>ביומסה/ביוגז</v>
      </c>
      <c r="BO170" s="48" t="str">
        <f t="shared" ca="1" si="294"/>
        <v>תרמו סולארי</v>
      </c>
      <c r="BP170" s="48" t="str">
        <f t="shared" si="294"/>
        <v>אחר</v>
      </c>
      <c r="BQ170" s="48" t="str">
        <f t="shared" ca="1" si="294"/>
        <v>גז פחמיות מוסבות</v>
      </c>
      <c r="BR170" s="48" t="str">
        <f t="shared" ca="1" si="294"/>
        <v>גז חח"י מחזמים ופקירים ויח"פים</v>
      </c>
      <c r="BS170" s="48" t="str">
        <f t="shared" ca="1" si="294"/>
        <v>אחר 1</v>
      </c>
      <c r="BT170" s="48" t="str">
        <f t="shared" ca="1" si="294"/>
        <v>אחר 2</v>
      </c>
      <c r="BU170" s="48" t="str">
        <f t="shared" si="294"/>
        <v>יחידה פחמית</v>
      </c>
      <c r="BV170" s="48" t="str">
        <f t="shared" si="294"/>
        <v>סולר ופצלי שמן</v>
      </c>
      <c r="BX170" s="860" t="s">
        <v>0</v>
      </c>
      <c r="BY170" s="858" t="s">
        <v>420</v>
      </c>
      <c r="BZ170" s="858" t="s">
        <v>421</v>
      </c>
    </row>
    <row r="171" spans="2:78" ht="16.5" hidden="1" outlineLevel="1" thickBot="1">
      <c r="B171" s="62" t="str">
        <f t="shared" ref="B171:B192" si="295">B63</f>
        <v>יחידות</v>
      </c>
      <c r="C171" s="38" t="s">
        <v>33</v>
      </c>
      <c r="D171" s="38" t="s">
        <v>33</v>
      </c>
      <c r="E171" s="38" t="s">
        <v>33</v>
      </c>
      <c r="F171" s="38" t="s">
        <v>33</v>
      </c>
      <c r="G171" s="38" t="s">
        <v>33</v>
      </c>
      <c r="H171" s="38" t="s">
        <v>33</v>
      </c>
      <c r="I171" s="38" t="s">
        <v>33</v>
      </c>
      <c r="J171" s="38" t="s">
        <v>33</v>
      </c>
      <c r="K171" s="38" t="s">
        <v>33</v>
      </c>
      <c r="L171" s="38" t="s">
        <v>33</v>
      </c>
      <c r="M171" s="38" t="s">
        <v>33</v>
      </c>
      <c r="N171" s="38" t="s">
        <v>33</v>
      </c>
      <c r="O171" s="48" t="s">
        <v>33</v>
      </c>
      <c r="P171" s="48" t="s">
        <v>33</v>
      </c>
      <c r="Q171" s="48" t="s">
        <v>33</v>
      </c>
      <c r="R171" s="48" t="s">
        <v>33</v>
      </c>
      <c r="S171" s="48" t="s">
        <v>33</v>
      </c>
      <c r="T171" s="48" t="s">
        <v>33</v>
      </c>
      <c r="U171" s="48" t="s">
        <v>33</v>
      </c>
      <c r="V171" s="48" t="s">
        <v>33</v>
      </c>
      <c r="W171" s="48" t="s">
        <v>33</v>
      </c>
      <c r="X171" s="48" t="s">
        <v>33</v>
      </c>
      <c r="Y171" s="48" t="s">
        <v>33</v>
      </c>
      <c r="Z171" s="48" t="s">
        <v>33</v>
      </c>
      <c r="AA171" s="38" t="s">
        <v>33</v>
      </c>
      <c r="AB171" s="38" t="s">
        <v>33</v>
      </c>
      <c r="AC171" s="38" t="s">
        <v>33</v>
      </c>
      <c r="AD171" s="38" t="s">
        <v>33</v>
      </c>
      <c r="AE171" s="38" t="s">
        <v>33</v>
      </c>
      <c r="AF171" s="38" t="s">
        <v>33</v>
      </c>
      <c r="AG171" s="38" t="s">
        <v>33</v>
      </c>
      <c r="AH171" s="38" t="s">
        <v>33</v>
      </c>
      <c r="AI171" s="38" t="s">
        <v>33</v>
      </c>
      <c r="AJ171" s="38" t="s">
        <v>33</v>
      </c>
      <c r="AK171" s="38" t="s">
        <v>33</v>
      </c>
      <c r="AL171" s="38" t="s">
        <v>33</v>
      </c>
      <c r="AM171" s="48" t="s">
        <v>33</v>
      </c>
      <c r="AN171" s="48" t="s">
        <v>33</v>
      </c>
      <c r="AO171" s="48" t="s">
        <v>33</v>
      </c>
      <c r="AP171" s="48" t="s">
        <v>33</v>
      </c>
      <c r="AQ171" s="48" t="s">
        <v>33</v>
      </c>
      <c r="AR171" s="48" t="s">
        <v>33</v>
      </c>
      <c r="AS171" s="48" t="s">
        <v>33</v>
      </c>
      <c r="AT171" s="48" t="s">
        <v>33</v>
      </c>
      <c r="AU171" s="48" t="s">
        <v>33</v>
      </c>
      <c r="AV171" s="48" t="s">
        <v>33</v>
      </c>
      <c r="AW171" s="48" t="s">
        <v>33</v>
      </c>
      <c r="AX171" s="48" t="s">
        <v>33</v>
      </c>
      <c r="AY171" s="38" t="s">
        <v>33</v>
      </c>
      <c r="AZ171" s="38" t="s">
        <v>33</v>
      </c>
      <c r="BA171" s="38" t="s">
        <v>33</v>
      </c>
      <c r="BB171" s="38" t="s">
        <v>33</v>
      </c>
      <c r="BC171" s="38" t="s">
        <v>33</v>
      </c>
      <c r="BD171" s="38" t="s">
        <v>33</v>
      </c>
      <c r="BE171" s="38" t="s">
        <v>33</v>
      </c>
      <c r="BF171" s="38" t="s">
        <v>33</v>
      </c>
      <c r="BG171" s="38" t="s">
        <v>33</v>
      </c>
      <c r="BH171" s="38" t="s">
        <v>33</v>
      </c>
      <c r="BI171" s="38" t="s">
        <v>33</v>
      </c>
      <c r="BJ171" s="38" t="s">
        <v>33</v>
      </c>
      <c r="BK171" s="48" t="s">
        <v>33</v>
      </c>
      <c r="BL171" s="48" t="s">
        <v>33</v>
      </c>
      <c r="BM171" s="48" t="s">
        <v>33</v>
      </c>
      <c r="BN171" s="48" t="s">
        <v>33</v>
      </c>
      <c r="BO171" s="48" t="s">
        <v>33</v>
      </c>
      <c r="BP171" s="48" t="s">
        <v>33</v>
      </c>
      <c r="BQ171" s="48" t="s">
        <v>33</v>
      </c>
      <c r="BR171" s="48" t="s">
        <v>33</v>
      </c>
      <c r="BS171" s="48" t="s">
        <v>33</v>
      </c>
      <c r="BT171" s="48" t="s">
        <v>33</v>
      </c>
      <c r="BU171" s="48" t="s">
        <v>33</v>
      </c>
      <c r="BV171" s="48" t="s">
        <v>33</v>
      </c>
      <c r="BX171" s="860" t="str">
        <f t="shared" ref="BX171:BX192" si="296">B171</f>
        <v>יחידות</v>
      </c>
      <c r="BY171" s="861" t="s">
        <v>33</v>
      </c>
      <c r="BZ171" s="858" t="s">
        <v>422</v>
      </c>
    </row>
    <row r="172" spans="2:78" ht="15.75" hidden="1" outlineLevel="1">
      <c r="B172" s="24">
        <f t="shared" si="295"/>
        <v>2020</v>
      </c>
      <c r="C172" s="660">
        <f>HLOOKUP(B172,'מטריצת ייצור מתחדשות'!$C$130:$W$152,'מטריצת ייצור מתחדשות'!$B$151-'מטריצת ייצור מתחדשות'!$B$131+3,FALSE)</f>
        <v>6.4147628560000207</v>
      </c>
      <c r="D172" s="661">
        <v>0</v>
      </c>
      <c r="E172" s="661">
        <f ca="1">'הספק קיים ותחזית יצור'!M114*VLOOKUP('התפלגות ייצור וסל דלקים'!E$170,'הנחות עבודה'!$C$33:$D$45,2,FALSE)/'הנחות עבודה'!$D$14</f>
        <v>8.4379203999999514E-2</v>
      </c>
      <c r="F172" s="661">
        <f ca="1">'הספק קיים ותחזית יצור'!N114*VLOOKUP('התפלגות ייצור וסל דלקים'!F$170,'הנחות עבודה'!$C$33:$D$45,2,FALSE)/'הנחות עבודה'!$D$14</f>
        <v>0.15329999999997584</v>
      </c>
      <c r="G172" s="661">
        <f ca="1">'הספק קיים ותחזית יצור'!O114*VLOOKUP('התפלגות ייצור וסל דלקים'!G$170,'הנחות עבודה'!$C$33:$D$45,2,FALSE)/'הנחות עבודה'!$D$14</f>
        <v>0.7377660400000029</v>
      </c>
      <c r="H172" s="661">
        <v>0</v>
      </c>
      <c r="I172" s="661">
        <v>0</v>
      </c>
      <c r="J172" s="661">
        <f ca="1">'הספק קיים ותחזית יצור'!C7-SUM('התפלגות ייצור וסל דלקים'!C172:I172,'התפלגות ייצור וסל דלקים'!K172:N172)</f>
        <v>48.709192899999998</v>
      </c>
      <c r="K172" s="661">
        <v>0</v>
      </c>
      <c r="L172" s="661">
        <v>0</v>
      </c>
      <c r="M172" s="41">
        <v>17.459679999999999</v>
      </c>
      <c r="N172" s="662">
        <v>0.34300000000000003</v>
      </c>
      <c r="O172" s="663">
        <v>0</v>
      </c>
      <c r="P172" s="664">
        <f>HLOOKUP(B172,'מטריצת ייצור מתחדשות'!$C$130:$W$152,'מטריצת ייצור מתחדשות'!$B$151-'מטריצת ייצור מתחדשות'!$B$131+3,FALSE)</f>
        <v>6.4147628560000207</v>
      </c>
      <c r="Q172" s="664">
        <f t="shared" ref="Q172:Q192" ca="1" si="297">E172</f>
        <v>8.4379203999999514E-2</v>
      </c>
      <c r="R172" s="664">
        <f t="shared" ref="R172:R192" ca="1" si="298">F172</f>
        <v>0.15329999999997584</v>
      </c>
      <c r="S172" s="664">
        <f t="shared" ref="S172:S192" ca="1" si="299">G172</f>
        <v>0.7377660400000029</v>
      </c>
      <c r="T172" s="664">
        <f t="shared" ref="T172:T192" si="300">H172</f>
        <v>0</v>
      </c>
      <c r="U172" s="664">
        <f t="shared" ref="U172:U192" si="301">I172</f>
        <v>0</v>
      </c>
      <c r="V172" s="664">
        <f t="shared" ref="V172:V192" ca="1" si="302">J172</f>
        <v>48.709192899999998</v>
      </c>
      <c r="W172" s="664">
        <f t="shared" ref="W172:W192" si="303">K172</f>
        <v>0</v>
      </c>
      <c r="X172" s="664">
        <f t="shared" ref="X172:X192" si="304">L172</f>
        <v>0</v>
      </c>
      <c r="Y172" s="664">
        <f t="shared" ref="Y172:Y192" si="305">M172</f>
        <v>17.459679999999999</v>
      </c>
      <c r="Z172" s="664">
        <f t="shared" ref="Z172:Z192" si="306">N172</f>
        <v>0.34300000000000003</v>
      </c>
      <c r="AA172" s="660">
        <f>HLOOKUP(B172,'מטריצת ייצור מתחדשות'!$B$105:$W$127,'מטריצת ייצור מתחדשות'!$B$151-'מטריצת ייצור מתחדשות'!$B$131+3,FALSE)</f>
        <v>6.4147628560000207</v>
      </c>
      <c r="AB172" s="661">
        <v>0</v>
      </c>
      <c r="AC172" s="661">
        <f ca="1">'הספק קיים ותחזית יצור'!M114*VLOOKUP('התפלגות ייצור וסל דלקים'!AC$170,'הנחות עבודה'!$C$33:$D$45,2,FALSE)/'הנחות עבודה'!$D$14</f>
        <v>8.4379203999999514E-2</v>
      </c>
      <c r="AD172" s="661">
        <f ca="1">'הספק קיים ותחזית יצור'!N114*VLOOKUP('התפלגות ייצור וסל דלקים'!AD$170,'הנחות עבודה'!$C$33:$D$45,2,FALSE)/'הנחות עבודה'!$D$14</f>
        <v>0.15329999999997584</v>
      </c>
      <c r="AE172" s="661">
        <f ca="1">'הספק קיים ותחזית יצור'!O114*VLOOKUP('התפלגות ייצור וסל דלקים'!AE$170,'הנחות עבודה'!$C$33:$D$45,2,FALSE)/'הנחות עבודה'!$D$14</f>
        <v>0.7377660400000029</v>
      </c>
      <c r="AF172" s="661">
        <v>0</v>
      </c>
      <c r="AG172" s="661">
        <v>0</v>
      </c>
      <c r="AH172" s="661">
        <f ca="1">'הספק קיים ותחזית יצור'!C7-SUM(AA172:AG172,AI172:AL172)</f>
        <v>48.709192899999998</v>
      </c>
      <c r="AI172" s="661">
        <v>0</v>
      </c>
      <c r="AJ172" s="661">
        <v>0</v>
      </c>
      <c r="AK172" s="41">
        <v>17.459679999999999</v>
      </c>
      <c r="AL172" s="662">
        <v>0.34300000000000003</v>
      </c>
      <c r="AM172" s="663">
        <v>0</v>
      </c>
      <c r="AN172" s="664">
        <f>HLOOKUP(B172,'מטריצת ייצור מתחדשות'!$B$105:$W$127,'מטריצת ייצור מתחדשות'!$B$151-'מטריצת ייצור מתחדשות'!$B$131+3,FALSE)</f>
        <v>6.4147628560000207</v>
      </c>
      <c r="AO172" s="664">
        <f ca="1">AC172</f>
        <v>8.4379203999999514E-2</v>
      </c>
      <c r="AP172" s="664">
        <f t="shared" ref="AP172:AP192" ca="1" si="307">AD172</f>
        <v>0.15329999999997584</v>
      </c>
      <c r="AQ172" s="664">
        <f t="shared" ref="AQ172:AQ192" ca="1" si="308">AE172</f>
        <v>0.7377660400000029</v>
      </c>
      <c r="AR172" s="664">
        <f t="shared" ref="AR172:AR192" si="309">AF172</f>
        <v>0</v>
      </c>
      <c r="AS172" s="664">
        <f t="shared" ref="AS172:AS192" si="310">AG172</f>
        <v>0</v>
      </c>
      <c r="AT172" s="664">
        <f t="shared" ref="AT172:AT192" ca="1" si="311">AH172</f>
        <v>48.709192899999998</v>
      </c>
      <c r="AU172" s="664">
        <f t="shared" ref="AU172:AU192" si="312">AI172</f>
        <v>0</v>
      </c>
      <c r="AV172" s="664">
        <f t="shared" ref="AV172:AV192" si="313">AJ172</f>
        <v>0</v>
      </c>
      <c r="AW172" s="664">
        <f t="shared" ref="AW172:AW192" si="314">AK172</f>
        <v>17.459679999999999</v>
      </c>
      <c r="AX172" s="664">
        <f t="shared" ref="AX172:AX192" si="315">AL172</f>
        <v>0.34300000000000003</v>
      </c>
      <c r="AY172" s="660">
        <f>HLOOKUP(B172,'מטריצת ייצור מתחדשות'!$C$80:$W$102,'מטריצת ייצור מתחדשות'!$B$101-'מטריצת ייצור מתחדשות'!$B$81+3,FALSE)</f>
        <v>6.4147628560000207</v>
      </c>
      <c r="AZ172" s="661">
        <v>0</v>
      </c>
      <c r="BA172" s="661">
        <f ca="1">'הספק קיים ותחזית יצור'!M114*VLOOKUP('התפלגות ייצור וסל דלקים'!BA$170,'הנחות עבודה'!$C$33:$D$45,2,FALSE)/'הנחות עבודה'!$D$14</f>
        <v>8.4379203999999514E-2</v>
      </c>
      <c r="BB172" s="661">
        <f ca="1">'הספק קיים ותחזית יצור'!N113*VLOOKUP('התפלגות ייצור וסל דלקים'!BB$170,'הנחות עבודה'!$C$33:$D$45,2,FALSE)/'הנחות עבודה'!$D$14</f>
        <v>0.15329999999997584</v>
      </c>
      <c r="BC172" s="661">
        <f ca="1">'הספק קיים ותחזית יצור'!O113*VLOOKUP('התפלגות ייצור וסל דלקים'!BC$170,'הנחות עבודה'!$C$33:$D$45,2,FALSE)/'הנחות עבודה'!$D$14</f>
        <v>0.7377660400000029</v>
      </c>
      <c r="BD172" s="661">
        <v>0</v>
      </c>
      <c r="BE172" s="661">
        <v>0</v>
      </c>
      <c r="BF172" s="661">
        <f ca="1">'הספק קיים ותחזית יצור'!C7-SUM('התפלגות ייצור וסל דלקים'!AY172:BE172,'התפלגות ייצור וסל דלקים'!BG172:BJ172)</f>
        <v>48.709192899999998</v>
      </c>
      <c r="BG172" s="661">
        <v>0</v>
      </c>
      <c r="BH172" s="661">
        <v>0</v>
      </c>
      <c r="BI172" s="661">
        <v>17.459679999999999</v>
      </c>
      <c r="BJ172" s="661">
        <v>0.34300000000000003</v>
      </c>
      <c r="BK172" s="665">
        <v>0</v>
      </c>
      <c r="BL172" s="664">
        <f>HLOOKUP(B172,'מטריצת ייצור מתחדשות'!$C$80:$W$102,'מטריצת ייצור מתחדשות'!$B$101-'מטריצת ייצור מתחדשות'!$B$81+3,FALSE)</f>
        <v>6.4147628560000207</v>
      </c>
      <c r="BM172" s="664">
        <f t="shared" ref="BM172:BM192" ca="1" si="316">BA172</f>
        <v>8.4379203999999514E-2</v>
      </c>
      <c r="BN172" s="664">
        <f t="shared" ref="BN172:BN192" ca="1" si="317">BB172</f>
        <v>0.15329999999997584</v>
      </c>
      <c r="BO172" s="664">
        <f t="shared" ref="BO172:BO192" ca="1" si="318">BC172</f>
        <v>0.7377660400000029</v>
      </c>
      <c r="BP172" s="664">
        <f t="shared" ref="BP172:BP192" si="319">BD172</f>
        <v>0</v>
      </c>
      <c r="BQ172" s="664">
        <f t="shared" ref="BQ172:BQ192" si="320">BE172</f>
        <v>0</v>
      </c>
      <c r="BR172" s="664">
        <f t="shared" ref="BR172:BR192" ca="1" si="321">BF172</f>
        <v>48.709192899999998</v>
      </c>
      <c r="BS172" s="664">
        <f t="shared" ref="BS172:BS192" si="322">BG172</f>
        <v>0</v>
      </c>
      <c r="BT172" s="664">
        <f t="shared" ref="BT172:BT192" si="323">BH172</f>
        <v>0</v>
      </c>
      <c r="BU172" s="664">
        <f t="shared" ref="BU172:BU192" si="324">BI172</f>
        <v>17.459679999999999</v>
      </c>
      <c r="BV172" s="666">
        <f t="shared" ref="BV172:BV192" si="325">BJ172</f>
        <v>0.34300000000000003</v>
      </c>
      <c r="BX172" s="857">
        <f t="shared" si="296"/>
        <v>2020</v>
      </c>
      <c r="BY172" s="864">
        <v>0</v>
      </c>
      <c r="BZ172" s="868">
        <f>BY172/('הספק קיים ותחזית יצור'!E56-('הספק קיים ותחזית יצור'!M114*'הנחות עבודה'!$D$35+'הנחות עבודה'!$D$36*'הספק קיים ותחזית יצור'!N114+'הספק קיים ותחזית יצור'!O114*'הנחות עבודה'!$D$37)/'הנחות עבודה'!$D$14)</f>
        <v>0</v>
      </c>
    </row>
    <row r="173" spans="2:78" ht="15.75" hidden="1" outlineLevel="1">
      <c r="B173" s="10">
        <f t="shared" si="295"/>
        <v>2021</v>
      </c>
      <c r="C173" s="667">
        <f>HLOOKUP(B173,'מטריצת ייצור מתחדשות'!$C$130:$W$152,'מטריצת ייצור מתחדשות'!$B$151-'מטריצת ייצור מתחדשות'!$B$131+3,FALSE)</f>
        <v>6.9084150280000509</v>
      </c>
      <c r="D173" s="668">
        <v>0</v>
      </c>
      <c r="E173" s="668">
        <f ca="1">'הספק קיים ותחזית יצור'!M115*VLOOKUP('התפלגות ייצור וסל דלקים'!E$170,'הנחות עבודה'!$C$33:$D$45,2,FALSE)/'הנחות עבודה'!$D$14</f>
        <v>8.4379203999999514E-2</v>
      </c>
      <c r="F173" s="668">
        <f ca="1">'הספק קיים ותחזית יצור'!N115*VLOOKUP('התפלגות ייצור וסל דלקים'!F$170,'הנחות עבודה'!$C$33:$D$45,2,FALSE)/'הנחות עבודה'!$D$14</f>
        <v>0.33725999999994682</v>
      </c>
      <c r="G173" s="668">
        <f ca="1">'הספק קיים ותחזית יצור'!O115*VLOOKUP('התפלגות ייצור וסל דלקים'!G$170,'הנחות עבודה'!$C$33:$D$45,2,FALSE)/'הנחות עבודה'!$D$14</f>
        <v>0.7377660400000029</v>
      </c>
      <c r="H173" s="668">
        <v>0</v>
      </c>
      <c r="I173" s="668">
        <v>0</v>
      </c>
      <c r="J173" s="668">
        <f ca="1">'הספק קיים ותחזית יצור'!C8-SUM('התפלגות ייצור וסל דלקים'!C173:I173,'התפלגות ייצור וסל דלקים'!K173:N173)</f>
        <v>50.241011728000004</v>
      </c>
      <c r="K173" s="668">
        <v>0</v>
      </c>
      <c r="L173" s="668">
        <v>0</v>
      </c>
      <c r="M173" s="44">
        <v>17.459679999999999</v>
      </c>
      <c r="N173" s="669">
        <v>0.34300000000000003</v>
      </c>
      <c r="O173" s="670">
        <v>0</v>
      </c>
      <c r="P173" s="671">
        <f>HLOOKUP(B173,'מטריצת ייצור מתחדשות'!$C$130:$W$152,'מטריצת ייצור מתחדשות'!$B$151-'מטריצת ייצור מתחדשות'!$B$131+3,FALSE)</f>
        <v>6.9084150280000509</v>
      </c>
      <c r="Q173" s="671">
        <f t="shared" ca="1" si="297"/>
        <v>8.4379203999999514E-2</v>
      </c>
      <c r="R173" s="671">
        <f t="shared" ca="1" si="298"/>
        <v>0.33725999999994682</v>
      </c>
      <c r="S173" s="671">
        <f t="shared" ca="1" si="299"/>
        <v>0.7377660400000029</v>
      </c>
      <c r="T173" s="671">
        <f t="shared" si="300"/>
        <v>0</v>
      </c>
      <c r="U173" s="671">
        <f t="shared" si="301"/>
        <v>0</v>
      </c>
      <c r="V173" s="671">
        <f t="shared" ca="1" si="302"/>
        <v>50.241011728000004</v>
      </c>
      <c r="W173" s="671">
        <f t="shared" si="303"/>
        <v>0</v>
      </c>
      <c r="X173" s="671">
        <f t="shared" si="304"/>
        <v>0</v>
      </c>
      <c r="Y173" s="671">
        <f t="shared" si="305"/>
        <v>17.459679999999999</v>
      </c>
      <c r="Z173" s="671">
        <f t="shared" si="306"/>
        <v>0.34300000000000003</v>
      </c>
      <c r="AA173" s="667">
        <f>HLOOKUP(B173,'מטריצת ייצור מתחדשות'!$B$105:$W$127,'מטריצת ייצור מתחדשות'!$B$151-'מטריצת ייצור מתחדשות'!$B$131+3,FALSE)</f>
        <v>7.5934186360000524</v>
      </c>
      <c r="AB173" s="668">
        <v>0</v>
      </c>
      <c r="AC173" s="668">
        <f ca="1">'הספק קיים ותחזית יצור'!M115*VLOOKUP('התפלגות ייצור וסל דלקים'!AC$170,'הנחות עבודה'!$C$33:$D$45,2,FALSE)/'הנחות עבודה'!$D$14</f>
        <v>8.4379203999999514E-2</v>
      </c>
      <c r="AD173" s="668">
        <f ca="1">'הספק קיים ותחזית יצור'!N115*VLOOKUP('התפלגות ייצור וסל דלקים'!AD$170,'הנחות עבודה'!$C$33:$D$45,2,FALSE)/'הנחות עבודה'!$D$14</f>
        <v>0.33725999999994682</v>
      </c>
      <c r="AE173" s="668">
        <f ca="1">'הספק קיים ותחזית יצור'!O115*VLOOKUP('התפלגות ייצור וסל דלקים'!AE$170,'הנחות עבודה'!$C$33:$D$45,2,FALSE)/'הנחות עבודה'!$D$14</f>
        <v>0.7377660400000029</v>
      </c>
      <c r="AF173" s="668">
        <v>0</v>
      </c>
      <c r="AG173" s="668">
        <v>0</v>
      </c>
      <c r="AH173" s="668">
        <f ca="1">'הספק קיים ותחזית יצור'!C8-SUM(AA173:AG173,AI173:AL173)</f>
        <v>49.556008120000001</v>
      </c>
      <c r="AI173" s="668">
        <v>0</v>
      </c>
      <c r="AJ173" s="668">
        <v>0</v>
      </c>
      <c r="AK173" s="44">
        <v>17.459679999999999</v>
      </c>
      <c r="AL173" s="669">
        <v>0.34300000000000003</v>
      </c>
      <c r="AM173" s="670">
        <v>0</v>
      </c>
      <c r="AN173" s="671">
        <f>HLOOKUP(B173,'מטריצת ייצור מתחדשות'!$B$105:$W$127,'מטריצת ייצור מתחדשות'!$B$151-'מטריצת ייצור מתחדשות'!$B$131+3,FALSE)</f>
        <v>7.5934186360000524</v>
      </c>
      <c r="AO173" s="671">
        <f t="shared" ref="AO173:AO192" ca="1" si="326">AC173</f>
        <v>8.4379203999999514E-2</v>
      </c>
      <c r="AP173" s="671">
        <f t="shared" ca="1" si="307"/>
        <v>0.33725999999994682</v>
      </c>
      <c r="AQ173" s="671">
        <f t="shared" ca="1" si="308"/>
        <v>0.7377660400000029</v>
      </c>
      <c r="AR173" s="671">
        <f t="shared" si="309"/>
        <v>0</v>
      </c>
      <c r="AS173" s="671">
        <f t="shared" si="310"/>
        <v>0</v>
      </c>
      <c r="AT173" s="671">
        <f t="shared" ca="1" si="311"/>
        <v>49.556008120000001</v>
      </c>
      <c r="AU173" s="671">
        <f t="shared" si="312"/>
        <v>0</v>
      </c>
      <c r="AV173" s="671">
        <f t="shared" si="313"/>
        <v>0</v>
      </c>
      <c r="AW173" s="671">
        <f t="shared" si="314"/>
        <v>17.459679999999999</v>
      </c>
      <c r="AX173" s="671">
        <f t="shared" si="315"/>
        <v>0.34300000000000003</v>
      </c>
      <c r="AY173" s="667">
        <f>HLOOKUP(B173,'מטריצת ייצור מתחדשות'!$C$80:$W$102,'מטריצת ייצור מתחדשות'!$B$101-'מטריצת ייצור מתחדשות'!$B$81+3,FALSE)</f>
        <v>7.973976196000053</v>
      </c>
      <c r="AZ173" s="668">
        <v>0</v>
      </c>
      <c r="BA173" s="668">
        <f ca="1">'הספק קיים ותחזית יצור'!M115*VLOOKUP('התפלגות ייצור וסל דלקים'!BA$170,'הנחות עבודה'!$C$33:$D$45,2,FALSE)/'הנחות עבודה'!$D$14</f>
        <v>8.4379203999999514E-2</v>
      </c>
      <c r="BB173" s="668">
        <f ca="1">'הספק קיים ותחזית יצור'!N114*VLOOKUP('התפלגות ייצור וסל דלקים'!BB$170,'הנחות עבודה'!$C$33:$D$45,2,FALSE)/'הנחות עבודה'!$D$14</f>
        <v>0.15329999999997584</v>
      </c>
      <c r="BC173" s="668">
        <f ca="1">'הספק קיים ותחזית יצור'!O114*VLOOKUP('התפלגות ייצור וסל דלקים'!BC$170,'הנחות עבודה'!$C$33:$D$45,2,FALSE)/'הנחות עבודה'!$D$14</f>
        <v>0.7377660400000029</v>
      </c>
      <c r="BD173" s="668">
        <v>0</v>
      </c>
      <c r="BE173" s="668">
        <v>0</v>
      </c>
      <c r="BF173" s="668">
        <f ca="1">'הספק קיים ותחזית יצור'!C8-SUM('התפלגות ייצור וסל דלקים'!AY173:BE173,'התפלגות ייצור וסל דלקים'!BG173:BJ173)</f>
        <v>49.359410559999972</v>
      </c>
      <c r="BG173" s="668">
        <v>0</v>
      </c>
      <c r="BH173" s="668">
        <v>0</v>
      </c>
      <c r="BI173" s="668">
        <f>BI174+BE174</f>
        <v>17.459679999999999</v>
      </c>
      <c r="BJ173" s="668">
        <v>0.34300000000000003</v>
      </c>
      <c r="BK173" s="672">
        <v>0</v>
      </c>
      <c r="BL173" s="671">
        <f>HLOOKUP(B173,'מטריצת ייצור מתחדשות'!$C$80:$W$102,'מטריצת ייצור מתחדשות'!$B$101-'מטריצת ייצור מתחדשות'!$B$81+3,FALSE)</f>
        <v>7.973976196000053</v>
      </c>
      <c r="BM173" s="671">
        <f t="shared" ca="1" si="316"/>
        <v>8.4379203999999514E-2</v>
      </c>
      <c r="BN173" s="671">
        <f t="shared" ca="1" si="317"/>
        <v>0.15329999999997584</v>
      </c>
      <c r="BO173" s="671">
        <f t="shared" ca="1" si="318"/>
        <v>0.7377660400000029</v>
      </c>
      <c r="BP173" s="671">
        <f t="shared" si="319"/>
        <v>0</v>
      </c>
      <c r="BQ173" s="671">
        <f t="shared" si="320"/>
        <v>0</v>
      </c>
      <c r="BR173" s="671">
        <f t="shared" ca="1" si="321"/>
        <v>49.359410559999972</v>
      </c>
      <c r="BS173" s="671">
        <f t="shared" si="322"/>
        <v>0</v>
      </c>
      <c r="BT173" s="671">
        <f t="shared" si="323"/>
        <v>0</v>
      </c>
      <c r="BU173" s="671">
        <f t="shared" si="324"/>
        <v>17.459679999999999</v>
      </c>
      <c r="BV173" s="673">
        <f t="shared" si="325"/>
        <v>0.34300000000000003</v>
      </c>
      <c r="BX173" s="862">
        <f t="shared" si="296"/>
        <v>2021</v>
      </c>
      <c r="BY173" s="865">
        <v>0</v>
      </c>
      <c r="BZ173" s="869">
        <f>BY173/('הספק קיים ותחזית יצור'!E57-('הספק קיים ותחזית יצור'!M115*'הנחות עבודה'!$D$35+'הנחות עבודה'!$D$36*'הספק קיים ותחזית יצור'!N115+'הספק קיים ותחזית יצור'!O115*'הנחות עבודה'!$D$37)/'הנחות עבודה'!$D$14)</f>
        <v>0</v>
      </c>
    </row>
    <row r="174" spans="2:78" ht="15.75" hidden="1" outlineLevel="1">
      <c r="B174" s="10">
        <f t="shared" si="295"/>
        <v>2022</v>
      </c>
      <c r="C174" s="667">
        <f>HLOOKUP(B174,'מטריצת ייצור מתחדשות'!$C$130:$W$152,'מטריצת ייצור מתחדשות'!$B$151-'מטריצת ייצור מתחדשות'!$B$131+3,FALSE)</f>
        <v>7.0555605900000593</v>
      </c>
      <c r="D174" s="668">
        <v>0</v>
      </c>
      <c r="E174" s="668">
        <f ca="1">'הספק קיים ותחזית יצור'!M116*VLOOKUP('התפלגות ייצור וסל דלקים'!E$170,'הנחות עבודה'!$C$33:$D$45,2,FALSE)/'הנחות עבודה'!$D$14</f>
        <v>0.59668151399999658</v>
      </c>
      <c r="F174" s="668">
        <f ca="1">'הספק קיים ותחזית יצור'!N116*VLOOKUP('התפלגות ייצור וסל דלקים'!F$170,'הנחות עבודה'!$C$33:$D$45,2,FALSE)/'הנחות עבודה'!$D$14</f>
        <v>0.36791999999994196</v>
      </c>
      <c r="G174" s="668">
        <f ca="1">'הספק קיים ותחזית יצור'!O116*VLOOKUP('התפלגות ייצור וסל דלקים'!G$170,'הנחות עבודה'!$C$33:$D$45,2,FALSE)/'הנחות עבודה'!$D$14</f>
        <v>0.7377660400000029</v>
      </c>
      <c r="H174" s="668">
        <v>0</v>
      </c>
      <c r="I174" s="668">
        <v>1.30576</v>
      </c>
      <c r="J174" s="668">
        <f ca="1">'הספק קיים ותחזית יצור'!C9-SUM('התפלגות ייצור וסל דלקים'!C174:I174,'התפלגות ייצור וסל דלקים'!K174:N174)</f>
        <v>51.585658855999995</v>
      </c>
      <c r="K174" s="668">
        <v>0</v>
      </c>
      <c r="L174" s="668">
        <v>0</v>
      </c>
      <c r="M174" s="44">
        <v>16.202909999999999</v>
      </c>
      <c r="N174" s="669">
        <v>0.34353</v>
      </c>
      <c r="O174" s="670">
        <v>0</v>
      </c>
      <c r="P174" s="671">
        <f>HLOOKUP(B174,'מטריצת ייצור מתחדשות'!$C$130:$W$152,'מטריצת ייצור מתחדשות'!$B$151-'מטריצת ייצור מתחדשות'!$B$131+3,FALSE)</f>
        <v>7.0555605900000593</v>
      </c>
      <c r="Q174" s="671">
        <f t="shared" ca="1" si="297"/>
        <v>0.59668151399999658</v>
      </c>
      <c r="R174" s="671">
        <f t="shared" ca="1" si="298"/>
        <v>0.36791999999994196</v>
      </c>
      <c r="S174" s="671">
        <f t="shared" ca="1" si="299"/>
        <v>0.7377660400000029</v>
      </c>
      <c r="T174" s="671">
        <f t="shared" si="300"/>
        <v>0</v>
      </c>
      <c r="U174" s="671">
        <f t="shared" si="301"/>
        <v>1.30576</v>
      </c>
      <c r="V174" s="671">
        <f t="shared" ca="1" si="302"/>
        <v>51.585658855999995</v>
      </c>
      <c r="W174" s="671">
        <f t="shared" si="303"/>
        <v>0</v>
      </c>
      <c r="X174" s="671">
        <f t="shared" si="304"/>
        <v>0</v>
      </c>
      <c r="Y174" s="671">
        <f t="shared" si="305"/>
        <v>16.202909999999999</v>
      </c>
      <c r="Z174" s="671">
        <f t="shared" si="306"/>
        <v>0.34353</v>
      </c>
      <c r="AA174" s="667">
        <f>HLOOKUP(B174,'מטריצת ייצור מתחדשות'!$B$105:$W$127,'מטריצת ייצור מתחדשות'!$B$151-'מטריצת ייצור מתחדשות'!$B$131+3,FALSE)</f>
        <v>8.4630847560000575</v>
      </c>
      <c r="AB174" s="668">
        <v>0</v>
      </c>
      <c r="AC174" s="668">
        <f ca="1">'הספק קיים ותחזית יצור'!M116*VLOOKUP('התפלגות ייצור וסל דלקים'!AC$170,'הנחות עבודה'!$C$33:$D$45,2,FALSE)/'הנחות עבודה'!$D$14</f>
        <v>0.59668151399999658</v>
      </c>
      <c r="AD174" s="668">
        <f ca="1">'הספק קיים ותחזית יצור'!N116*VLOOKUP('התפלגות ייצור וסל דלקים'!AD$170,'הנחות עבודה'!$C$33:$D$45,2,FALSE)/'הנחות עבודה'!$D$14</f>
        <v>0.36791999999994196</v>
      </c>
      <c r="AE174" s="668">
        <f ca="1">'הספק קיים ותחזית יצור'!O116*VLOOKUP('התפלגות ייצור וסל דלקים'!AE$170,'הנחות עבודה'!$C$33:$D$45,2,FALSE)/'הנחות עבודה'!$D$14</f>
        <v>0.7377660400000029</v>
      </c>
      <c r="AF174" s="668">
        <v>0</v>
      </c>
      <c r="AG174" s="668">
        <v>1.26959</v>
      </c>
      <c r="AH174" s="668">
        <f ca="1">'הספק קיים ותחזית יצור'!C9-SUM(AA174:AG174,AI174:AL174)</f>
        <v>50.214274689999996</v>
      </c>
      <c r="AI174" s="668">
        <v>0</v>
      </c>
      <c r="AJ174" s="668">
        <v>0</v>
      </c>
      <c r="AK174" s="44">
        <v>16.203489999999999</v>
      </c>
      <c r="AL174" s="669">
        <v>0.34298000000000001</v>
      </c>
      <c r="AM174" s="670">
        <v>0</v>
      </c>
      <c r="AN174" s="671">
        <f>HLOOKUP(B174,'מטריצת ייצור מתחדשות'!$B$105:$W$127,'מטריצת ייצור מתחדשות'!$B$151-'מטריצת ייצור מתחדשות'!$B$131+3,FALSE)</f>
        <v>8.4630847560000575</v>
      </c>
      <c r="AO174" s="671">
        <f t="shared" ca="1" si="326"/>
        <v>0.59668151399999658</v>
      </c>
      <c r="AP174" s="671">
        <f t="shared" ca="1" si="307"/>
        <v>0.36791999999994196</v>
      </c>
      <c r="AQ174" s="671">
        <f t="shared" ca="1" si="308"/>
        <v>0.7377660400000029</v>
      </c>
      <c r="AR174" s="671">
        <f t="shared" si="309"/>
        <v>0</v>
      </c>
      <c r="AS174" s="671">
        <f t="shared" si="310"/>
        <v>1.26959</v>
      </c>
      <c r="AT174" s="671">
        <f t="shared" ca="1" si="311"/>
        <v>50.214274689999996</v>
      </c>
      <c r="AU174" s="671">
        <f t="shared" si="312"/>
        <v>0</v>
      </c>
      <c r="AV174" s="671">
        <f t="shared" si="313"/>
        <v>0</v>
      </c>
      <c r="AW174" s="671">
        <f t="shared" si="314"/>
        <v>16.203489999999999</v>
      </c>
      <c r="AX174" s="671">
        <f t="shared" si="315"/>
        <v>0.34298000000000001</v>
      </c>
      <c r="AY174" s="667">
        <f>HLOOKUP(B174,'מטריצת ייצור מתחדשות'!$C$80:$W$102,'מטריצת ייצור מתחדשות'!$B$101-'מטריצת ייצור מתחדשות'!$B$81+3,FALSE)</f>
        <v>9.2450426260000551</v>
      </c>
      <c r="AZ174" s="668">
        <v>0</v>
      </c>
      <c r="BA174" s="668">
        <f ca="1">'הספק קיים ותחזית יצור'!M116*VLOOKUP('התפלגות ייצור וסל דלקים'!BA$170,'הנחות עבודה'!$C$33:$D$45,2,FALSE)/'הנחות עבודה'!$D$14</f>
        <v>0.59668151399999658</v>
      </c>
      <c r="BB174" s="668">
        <f ca="1">'הספק קיים ותחזית יצור'!N115*VLOOKUP('התפלגות ייצור וסל דלקים'!BB$170,'הנחות עבודה'!$C$33:$D$45,2,FALSE)/'הנחות עבודה'!$D$14</f>
        <v>0.33725999999994682</v>
      </c>
      <c r="BC174" s="668">
        <f ca="1">'הספק קיים ותחזית יצור'!O115*VLOOKUP('התפלגות ייצור וסל דלקים'!BC$170,'הנחות עבודה'!$C$33:$D$45,2,FALSE)/'הנחות עבודה'!$D$14</f>
        <v>0.7377660400000029</v>
      </c>
      <c r="BD174" s="668">
        <v>0</v>
      </c>
      <c r="BE174" s="668">
        <v>1.2567900000000001</v>
      </c>
      <c r="BF174" s="668">
        <f ca="1">'הספק קיים ותחזית יצור'!C9-SUM('התפלגות ייצור וסל דלקים'!AY174:BE174,'התפלגות ייצור וסל דלקים'!BG174:BJ174)</f>
        <v>49.476356819999992</v>
      </c>
      <c r="BG174" s="668">
        <v>0</v>
      </c>
      <c r="BH174" s="668">
        <v>0</v>
      </c>
      <c r="BI174" s="668">
        <v>16.20289</v>
      </c>
      <c r="BJ174" s="668">
        <v>0.34300000000000003</v>
      </c>
      <c r="BK174" s="672">
        <v>0</v>
      </c>
      <c r="BL174" s="671">
        <f>HLOOKUP(B174,'מטריצת ייצור מתחדשות'!$C$80:$W$102,'מטריצת ייצור מתחדשות'!$B$101-'מטריצת ייצור מתחדשות'!$B$81+3,FALSE)</f>
        <v>9.2450426260000551</v>
      </c>
      <c r="BM174" s="671">
        <f t="shared" ca="1" si="316"/>
        <v>0.59668151399999658</v>
      </c>
      <c r="BN174" s="671">
        <f t="shared" ca="1" si="317"/>
        <v>0.33725999999994682</v>
      </c>
      <c r="BO174" s="671">
        <f t="shared" ca="1" si="318"/>
        <v>0.7377660400000029</v>
      </c>
      <c r="BP174" s="671">
        <f t="shared" si="319"/>
        <v>0</v>
      </c>
      <c r="BQ174" s="671">
        <f t="shared" si="320"/>
        <v>1.2567900000000001</v>
      </c>
      <c r="BR174" s="671">
        <f t="shared" ca="1" si="321"/>
        <v>49.476356819999992</v>
      </c>
      <c r="BS174" s="671">
        <f t="shared" si="322"/>
        <v>0</v>
      </c>
      <c r="BT174" s="671">
        <f t="shared" si="323"/>
        <v>0</v>
      </c>
      <c r="BU174" s="671">
        <f t="shared" si="324"/>
        <v>16.20289</v>
      </c>
      <c r="BV174" s="673">
        <f t="shared" si="325"/>
        <v>0.34300000000000003</v>
      </c>
      <c r="BX174" s="862">
        <f t="shared" si="296"/>
        <v>2022</v>
      </c>
      <c r="BY174" s="865">
        <v>0</v>
      </c>
      <c r="BZ174" s="869">
        <f>BY174/('הספק קיים ותחזית יצור'!E58-('הספק קיים ותחזית יצור'!M116*'הנחות עבודה'!$D$35+'הנחות עבודה'!$D$36*'הספק קיים ותחזית יצור'!N116+'הספק קיים ותחזית יצור'!O116*'הנחות עבודה'!$D$37)/'הנחות עבודה'!$D$14)</f>
        <v>0</v>
      </c>
    </row>
    <row r="175" spans="2:78" ht="15.75" hidden="1" outlineLevel="1">
      <c r="B175" s="10">
        <f t="shared" si="295"/>
        <v>2023</v>
      </c>
      <c r="C175" s="667">
        <f>HLOOKUP(B175,'מטריצת ייצור מתחדשות'!$C$130:$W$152,'מטריצת ייצור מתחדשות'!$B$151-'מטריצת ייצור מתחדשות'!$B$131+3,FALSE)</f>
        <v>7.2139161130000691</v>
      </c>
      <c r="D175" s="668">
        <v>0</v>
      </c>
      <c r="E175" s="668">
        <f ca="1">'הספק קיים ותחזית יצור'!M117*VLOOKUP('התפלגות ייצור וסל דלקים'!E$170,'הנחות עבודה'!$C$33:$D$45,2,FALSE)/'הנחות עבודה'!$D$14</f>
        <v>1.1300786249999935</v>
      </c>
      <c r="F175" s="668">
        <f ca="1">'הספק קיים ותחזית יצור'!N117*VLOOKUP('התפלגות ייצור וסל דלקים'!F$170,'הנחות עבודה'!$C$33:$D$45,2,FALSE)/'הנחות עבודה'!$D$14</f>
        <v>0.39857999999993715</v>
      </c>
      <c r="G175" s="668">
        <f ca="1">'הספק קיים ותחזית יצור'!O117*VLOOKUP('התפלגות ייצור וסל דלקים'!G$170,'הנחות עבודה'!$C$33:$D$45,2,FALSE)/'הנחות עבודה'!$D$14</f>
        <v>0.7377660400000029</v>
      </c>
      <c r="H175" s="668">
        <v>0</v>
      </c>
      <c r="I175" s="668">
        <v>2.0048499999999998</v>
      </c>
      <c r="J175" s="668">
        <f ca="1">'הספק קיים ותחזית יצור'!C10-SUM('התפלגות ייצור וסל דלקים'!C175:I175,'התפלגות ייצור וסל דלקים'!K175:N175)</f>
        <v>57.255080221999997</v>
      </c>
      <c r="K175" s="668">
        <v>0</v>
      </c>
      <c r="L175" s="668">
        <v>0</v>
      </c>
      <c r="M175" s="44">
        <v>11.26074</v>
      </c>
      <c r="N175" s="669">
        <v>0.34086</v>
      </c>
      <c r="O175" s="670">
        <v>0</v>
      </c>
      <c r="P175" s="671">
        <f>HLOOKUP(B175,'מטריצת ייצור מתחדשות'!$C$130:$W$152,'מטריצת ייצור מתחדשות'!$B$151-'מטריצת ייצור מתחדשות'!$B$131+3,FALSE)</f>
        <v>7.2139161130000691</v>
      </c>
      <c r="Q175" s="671">
        <f t="shared" ca="1" si="297"/>
        <v>1.1300786249999935</v>
      </c>
      <c r="R175" s="671">
        <f t="shared" ca="1" si="298"/>
        <v>0.39857999999993715</v>
      </c>
      <c r="S175" s="671">
        <f t="shared" ca="1" si="299"/>
        <v>0.7377660400000029</v>
      </c>
      <c r="T175" s="671">
        <f t="shared" si="300"/>
        <v>0</v>
      </c>
      <c r="U175" s="671">
        <f t="shared" si="301"/>
        <v>2.0048499999999998</v>
      </c>
      <c r="V175" s="671">
        <f t="shared" ca="1" si="302"/>
        <v>57.255080221999997</v>
      </c>
      <c r="W175" s="671">
        <f t="shared" si="303"/>
        <v>0</v>
      </c>
      <c r="X175" s="671">
        <f t="shared" si="304"/>
        <v>0</v>
      </c>
      <c r="Y175" s="671">
        <f t="shared" si="305"/>
        <v>11.26074</v>
      </c>
      <c r="Z175" s="671">
        <f t="shared" si="306"/>
        <v>0.34086</v>
      </c>
      <c r="AA175" s="667">
        <f>HLOOKUP(B175,'מטריצת ייצור מתחדשות'!$B$105:$W$127,'מטריצת ייצור מתחדשות'!$B$151-'מטריצת ייצור מתחדשות'!$B$131+3,FALSE)</f>
        <v>9.3831466300000663</v>
      </c>
      <c r="AB175" s="668">
        <v>0</v>
      </c>
      <c r="AC175" s="668">
        <f ca="1">'הספק קיים ותחזית יצור'!M117*VLOOKUP('התפלגות ייצור וסל דלקים'!AC$170,'הנחות עבודה'!$C$33:$D$45,2,FALSE)/'הנחות עבודה'!$D$14</f>
        <v>1.1300786249999935</v>
      </c>
      <c r="AD175" s="668">
        <f ca="1">'הספק קיים ותחזית יצור'!N117*VLOOKUP('התפלגות ייצור וסל דלקים'!AD$170,'הנחות עבודה'!$C$33:$D$45,2,FALSE)/'הנחות עבודה'!$D$14</f>
        <v>0.39857999999993715</v>
      </c>
      <c r="AE175" s="668">
        <f ca="1">'הספק קיים ותחזית יצור'!O117*VLOOKUP('התפלגות ייצור וסל דלקים'!AE$170,'הנחות עבודה'!$C$33:$D$45,2,FALSE)/'הנחות עבודה'!$D$14</f>
        <v>0.7377660400000029</v>
      </c>
      <c r="AF175" s="668">
        <v>0</v>
      </c>
      <c r="AG175" s="668">
        <v>1.95722</v>
      </c>
      <c r="AH175" s="668">
        <f ca="1">'הספק קיים ותחזית יצור'!C10-SUM(AA175:AG175,AI175:AL175)</f>
        <v>55.136999704999994</v>
      </c>
      <c r="AI175" s="668">
        <v>0</v>
      </c>
      <c r="AJ175" s="668">
        <v>0</v>
      </c>
      <c r="AK175" s="44">
        <v>11.256959999999999</v>
      </c>
      <c r="AL175" s="669">
        <v>0.34111999999999998</v>
      </c>
      <c r="AM175" s="670">
        <v>0</v>
      </c>
      <c r="AN175" s="671">
        <f>HLOOKUP(B175,'מטריצת ייצור מתחדשות'!$B$105:$W$127,'מטריצת ייצור מתחדשות'!$B$151-'מטריצת ייצור מתחדשות'!$B$131+3,FALSE)</f>
        <v>9.3831466300000663</v>
      </c>
      <c r="AO175" s="671">
        <f t="shared" ca="1" si="326"/>
        <v>1.1300786249999935</v>
      </c>
      <c r="AP175" s="671">
        <f t="shared" ca="1" si="307"/>
        <v>0.39857999999993715</v>
      </c>
      <c r="AQ175" s="671">
        <f t="shared" ca="1" si="308"/>
        <v>0.7377660400000029</v>
      </c>
      <c r="AR175" s="671">
        <f t="shared" si="309"/>
        <v>0</v>
      </c>
      <c r="AS175" s="671">
        <f t="shared" si="310"/>
        <v>1.95722</v>
      </c>
      <c r="AT175" s="671">
        <f t="shared" ca="1" si="311"/>
        <v>55.136999704999994</v>
      </c>
      <c r="AU175" s="671">
        <f t="shared" si="312"/>
        <v>0</v>
      </c>
      <c r="AV175" s="671">
        <f t="shared" si="313"/>
        <v>0</v>
      </c>
      <c r="AW175" s="671">
        <f t="shared" si="314"/>
        <v>11.256959999999999</v>
      </c>
      <c r="AX175" s="671">
        <f t="shared" si="315"/>
        <v>0.34111999999999998</v>
      </c>
      <c r="AY175" s="667">
        <f>HLOOKUP(B175,'מטריצת ייצור מתחדשות'!$C$80:$W$102,'מטריצת ייצור מתחדשות'!$B$101-'מטריצת ייצור מתחדשות'!$B$81+3,FALSE)</f>
        <v>10.588274695000063</v>
      </c>
      <c r="AZ175" s="668">
        <v>0</v>
      </c>
      <c r="BA175" s="668">
        <f ca="1">'הספק קיים ותחזית יצור'!M117*VLOOKUP('התפלגות ייצור וסל דלקים'!BA$170,'הנחות עבודה'!$C$33:$D$45,2,FALSE)/'הנחות עבודה'!$D$14</f>
        <v>1.1300786249999935</v>
      </c>
      <c r="BB175" s="668">
        <f ca="1">'הספק קיים ותחזית יצור'!N116*VLOOKUP('התפלגות ייצור וסל דלקים'!BB$170,'הנחות עבודה'!$C$33:$D$45,2,FALSE)/'הנחות עבודה'!$D$14</f>
        <v>0.36791999999994196</v>
      </c>
      <c r="BC175" s="668">
        <f ca="1">'הספק קיים ותחזית יצור'!O116*VLOOKUP('התפלגות ייצור וסל דלקים'!BC$170,'הנחות עבודה'!$C$33:$D$45,2,FALSE)/'הנחות עבודה'!$D$14</f>
        <v>0.7377660400000029</v>
      </c>
      <c r="BD175" s="668">
        <v>0</v>
      </c>
      <c r="BE175" s="668">
        <v>1.9442300000000001</v>
      </c>
      <c r="BF175" s="668">
        <f ca="1">'הספק קיים ותחזית יצור'!C10-SUM('התפלגות ייצור וסל דלקים'!AY175:BE175,'התפלגות ייצור וסל דלקים'!BG175:BJ175)</f>
        <v>53.975601639999994</v>
      </c>
      <c r="BG175" s="668">
        <v>0</v>
      </c>
      <c r="BH175" s="668">
        <v>0</v>
      </c>
      <c r="BI175" s="668">
        <v>11.257200000000001</v>
      </c>
      <c r="BJ175" s="668">
        <v>0.34079999999999999</v>
      </c>
      <c r="BK175" s="672">
        <v>0</v>
      </c>
      <c r="BL175" s="671">
        <f>HLOOKUP(B175,'מטריצת ייצור מתחדשות'!$C$80:$W$102,'מטריצת ייצור מתחדשות'!$B$101-'מטריצת ייצור מתחדשות'!$B$81+3,FALSE)</f>
        <v>10.588274695000063</v>
      </c>
      <c r="BM175" s="671">
        <f t="shared" ca="1" si="316"/>
        <v>1.1300786249999935</v>
      </c>
      <c r="BN175" s="671">
        <f t="shared" ca="1" si="317"/>
        <v>0.36791999999994196</v>
      </c>
      <c r="BO175" s="671">
        <f t="shared" ca="1" si="318"/>
        <v>0.7377660400000029</v>
      </c>
      <c r="BP175" s="671">
        <f t="shared" si="319"/>
        <v>0</v>
      </c>
      <c r="BQ175" s="671">
        <f t="shared" si="320"/>
        <v>1.9442300000000001</v>
      </c>
      <c r="BR175" s="671">
        <f t="shared" ca="1" si="321"/>
        <v>53.975601639999994</v>
      </c>
      <c r="BS175" s="671">
        <f t="shared" si="322"/>
        <v>0</v>
      </c>
      <c r="BT175" s="671">
        <f t="shared" si="323"/>
        <v>0</v>
      </c>
      <c r="BU175" s="671">
        <f t="shared" si="324"/>
        <v>11.257200000000001</v>
      </c>
      <c r="BV175" s="673">
        <f t="shared" si="325"/>
        <v>0.34079999999999999</v>
      </c>
      <c r="BX175" s="862">
        <f t="shared" si="296"/>
        <v>2023</v>
      </c>
      <c r="BY175" s="865">
        <v>0</v>
      </c>
      <c r="BZ175" s="869">
        <f>BY175/('הספק קיים ותחזית יצור'!E59-('הספק קיים ותחזית יצור'!M117*'הנחות עבודה'!$D$35+'הנחות עבודה'!$D$36*'הספק קיים ותחזית יצור'!N117+'הספק קיים ותחזית יצור'!O117*'הנחות עבודה'!$D$37)/'הנחות עבודה'!$D$14)</f>
        <v>0</v>
      </c>
    </row>
    <row r="176" spans="2:78" ht="15.75" hidden="1" outlineLevel="1">
      <c r="B176" s="10">
        <f t="shared" si="295"/>
        <v>2024</v>
      </c>
      <c r="C176" s="667">
        <f>HLOOKUP(B176,'מטריצת ייצור מתחדשות'!$C$130:$W$152,'מטריצת ייצור מתחדשות'!$B$151-'מטריצת ייצור מתחדשות'!$B$131+3,FALSE)</f>
        <v>7.3761071770000788</v>
      </c>
      <c r="D176" s="668">
        <v>0</v>
      </c>
      <c r="E176" s="668">
        <f ca="1">'הספק קיים ותחזית יצור'!M118*VLOOKUP('התפלגות ייצור וסל דלקים'!E$170,'הנחות עבודה'!$C$33:$D$45,2,FALSE)/'הנחות עבודה'!$D$14</f>
        <v>1.6664892789999906</v>
      </c>
      <c r="F176" s="668">
        <f ca="1">'הספק קיים ותחזית יצור'!N118*VLOOKUP('התפלגות ייצור וסל דלקים'!F$170,'הנחות עבודה'!$C$33:$D$45,2,FALSE)/'הנחות עבודה'!$D$14</f>
        <v>0.42923999999993229</v>
      </c>
      <c r="G176" s="668">
        <f ca="1">'הספק קיים ותחזית יצור'!O118*VLOOKUP('התפלגות ייצור וסל דלקים'!G$170,'הנחות עבודה'!$C$33:$D$45,2,FALSE)/'הנחות עבודה'!$D$14</f>
        <v>0.7377660400000029</v>
      </c>
      <c r="H176" s="668">
        <v>0</v>
      </c>
      <c r="I176" s="668">
        <v>2.64059</v>
      </c>
      <c r="J176" s="668">
        <f ca="1">'הספק קיים ותחזית יצור'!C11-SUM('התפלגות ייצור וסל דלקים'!C176:I176,'התפלגות ייצור וסל דלקים'!K176:N176)</f>
        <v>59.578921503999993</v>
      </c>
      <c r="K176" s="668">
        <v>0</v>
      </c>
      <c r="L176" s="668">
        <v>0</v>
      </c>
      <c r="M176" s="44">
        <v>9.5552499999999991</v>
      </c>
      <c r="N176" s="669">
        <v>0.35113999999999995</v>
      </c>
      <c r="O176" s="670">
        <v>0</v>
      </c>
      <c r="P176" s="671">
        <f>HLOOKUP(B176,'מטריצת ייצור מתחדשות'!$C$130:$W$152,'מטריצת ייצור מתחדשות'!$B$151-'מטריצת ייצור מתחדשות'!$B$131+3,FALSE)</f>
        <v>7.3761071770000788</v>
      </c>
      <c r="Q176" s="671">
        <f t="shared" ca="1" si="297"/>
        <v>1.6664892789999906</v>
      </c>
      <c r="R176" s="671">
        <f t="shared" ca="1" si="298"/>
        <v>0.42923999999993229</v>
      </c>
      <c r="S176" s="671">
        <f t="shared" ca="1" si="299"/>
        <v>0.7377660400000029</v>
      </c>
      <c r="T176" s="671">
        <f t="shared" si="300"/>
        <v>0</v>
      </c>
      <c r="U176" s="671">
        <f t="shared" si="301"/>
        <v>2.64059</v>
      </c>
      <c r="V176" s="671">
        <f t="shared" ca="1" si="302"/>
        <v>59.578921503999993</v>
      </c>
      <c r="W176" s="671">
        <f t="shared" si="303"/>
        <v>0</v>
      </c>
      <c r="X176" s="671">
        <f t="shared" si="304"/>
        <v>0</v>
      </c>
      <c r="Y176" s="671">
        <f t="shared" si="305"/>
        <v>9.5552499999999991</v>
      </c>
      <c r="Z176" s="671">
        <f t="shared" si="306"/>
        <v>0.35113999999999995</v>
      </c>
      <c r="AA176" s="667">
        <f>HLOOKUP(B176,'מטריצת ייצור מתחדשות'!$B$105:$W$127,'מטריצת ייצור מתחדשות'!$B$151-'מטריצת ייצור מתחדשות'!$B$131+3,FALSE)</f>
        <v>10.340185321000073</v>
      </c>
      <c r="AB176" s="668">
        <v>0</v>
      </c>
      <c r="AC176" s="668">
        <f ca="1">'הספק קיים ותחזית יצור'!M118*VLOOKUP('התפלגות ייצור וסל דלקים'!AC$170,'הנחות עבודה'!$C$33:$D$45,2,FALSE)/'הנחות עבודה'!$D$14</f>
        <v>1.6664892789999906</v>
      </c>
      <c r="AD176" s="668">
        <f ca="1">'הספק קיים ותחזית יצור'!N118*VLOOKUP('התפלגות ייצור וסל דלקים'!AD$170,'הנחות עבודה'!$C$33:$D$45,2,FALSE)/'הנחות עבודה'!$D$14</f>
        <v>0.42923999999993229</v>
      </c>
      <c r="AE176" s="668">
        <f ca="1">'הספק קיים ותחזית יצור'!O118*VLOOKUP('התפלגות ייצור וסל דלקים'!AE$170,'הנחות עבודה'!$C$33:$D$45,2,FALSE)/'הנחות עבודה'!$D$14</f>
        <v>0.7377660400000029</v>
      </c>
      <c r="AF176" s="668">
        <v>0</v>
      </c>
      <c r="AG176" s="668">
        <v>2.57762</v>
      </c>
      <c r="AH176" s="668">
        <f ca="1">'הספק קיים ותחזית יצור'!C11-SUM(AA176:AG176,AI176:AL176)</f>
        <v>56.700923360000004</v>
      </c>
      <c r="AI176" s="668">
        <v>0</v>
      </c>
      <c r="AJ176" s="668">
        <v>0</v>
      </c>
      <c r="AK176" s="44">
        <v>9.5328900000000001</v>
      </c>
      <c r="AL176" s="669">
        <v>0.35038999999999998</v>
      </c>
      <c r="AM176" s="670">
        <v>0</v>
      </c>
      <c r="AN176" s="671">
        <f>HLOOKUP(B176,'מטריצת ייצור מתחדשות'!$B$105:$W$127,'מטריצת ייצור מתחדשות'!$B$151-'מטריצת ייצור מתחדשות'!$B$131+3,FALSE)</f>
        <v>10.340185321000073</v>
      </c>
      <c r="AO176" s="671">
        <f t="shared" ca="1" si="326"/>
        <v>1.6664892789999906</v>
      </c>
      <c r="AP176" s="671">
        <f t="shared" ca="1" si="307"/>
        <v>0.42923999999993229</v>
      </c>
      <c r="AQ176" s="671">
        <f t="shared" ca="1" si="308"/>
        <v>0.7377660400000029</v>
      </c>
      <c r="AR176" s="671">
        <f t="shared" si="309"/>
        <v>0</v>
      </c>
      <c r="AS176" s="671">
        <f t="shared" si="310"/>
        <v>2.57762</v>
      </c>
      <c r="AT176" s="671">
        <f t="shared" ca="1" si="311"/>
        <v>56.700923360000004</v>
      </c>
      <c r="AU176" s="671">
        <f t="shared" si="312"/>
        <v>0</v>
      </c>
      <c r="AV176" s="671">
        <f t="shared" si="313"/>
        <v>0</v>
      </c>
      <c r="AW176" s="671">
        <f t="shared" si="314"/>
        <v>9.5328900000000001</v>
      </c>
      <c r="AX176" s="671">
        <f t="shared" si="315"/>
        <v>0.35038999999999998</v>
      </c>
      <c r="AY176" s="667">
        <f>HLOOKUP(B176,'מטריצת ייצור מתחדשות'!$C$80:$W$102,'מטריצת ייצור מתחדשות'!$B$101-'מטריצת ייצור מתחדשות'!$B$81+3,FALSE)</f>
        <v>11.986895401000073</v>
      </c>
      <c r="AZ176" s="668">
        <v>0</v>
      </c>
      <c r="BA176" s="668">
        <f ca="1">'הספק קיים ותחזית יצור'!M118*VLOOKUP('התפלגות ייצור וסל דלקים'!BA$170,'הנחות עבודה'!$C$33:$D$45,2,FALSE)/'הנחות עבודה'!$D$14</f>
        <v>1.6664892789999906</v>
      </c>
      <c r="BB176" s="668">
        <f ca="1">'הספק קיים ותחזית יצור'!N117*VLOOKUP('התפלגות ייצור וסל דלקים'!BB$170,'הנחות עבודה'!$C$33:$D$45,2,FALSE)/'הנחות עבודה'!$D$14</f>
        <v>0.39857999999993715</v>
      </c>
      <c r="BC176" s="668">
        <f ca="1">'הספק קיים ותחזית יצור'!O117*VLOOKUP('התפלגות ייצור וסל דלקים'!BC$170,'הנחות עבודה'!$C$33:$D$45,2,FALSE)/'הנחות עבודה'!$D$14</f>
        <v>0.7377660400000029</v>
      </c>
      <c r="BD176" s="668">
        <v>0</v>
      </c>
      <c r="BE176" s="668">
        <v>2.5639499999999997</v>
      </c>
      <c r="BF176" s="668">
        <f ca="1">'הספק קיים ותחזית יצור'!C11-SUM('התפלגות ייצור וסל דלקים'!AY176:BE176,'התפלגות ייצור וסל דלקים'!BG176:BJ176)</f>
        <v>55.103853280000003</v>
      </c>
      <c r="BG176" s="668">
        <v>0</v>
      </c>
      <c r="BH176" s="668">
        <v>0</v>
      </c>
      <c r="BI176" s="668">
        <v>9.5279799999999994</v>
      </c>
      <c r="BJ176" s="668">
        <v>0.34998999999999997</v>
      </c>
      <c r="BK176" s="672">
        <v>0</v>
      </c>
      <c r="BL176" s="671">
        <f>HLOOKUP(B176,'מטריצת ייצור מתחדשות'!$C$80:$W$102,'מטריצת ייצור מתחדשות'!$B$101-'מטריצת ייצור מתחדשות'!$B$81+3,FALSE)</f>
        <v>11.986895401000073</v>
      </c>
      <c r="BM176" s="671">
        <f t="shared" ca="1" si="316"/>
        <v>1.6664892789999906</v>
      </c>
      <c r="BN176" s="671">
        <f t="shared" ca="1" si="317"/>
        <v>0.39857999999993715</v>
      </c>
      <c r="BO176" s="671">
        <f t="shared" ca="1" si="318"/>
        <v>0.7377660400000029</v>
      </c>
      <c r="BP176" s="671">
        <f t="shared" si="319"/>
        <v>0</v>
      </c>
      <c r="BQ176" s="671">
        <f t="shared" si="320"/>
        <v>2.5639499999999997</v>
      </c>
      <c r="BR176" s="671">
        <f t="shared" ca="1" si="321"/>
        <v>55.103853280000003</v>
      </c>
      <c r="BS176" s="671">
        <f t="shared" si="322"/>
        <v>0</v>
      </c>
      <c r="BT176" s="671">
        <f t="shared" si="323"/>
        <v>0</v>
      </c>
      <c r="BU176" s="671">
        <f t="shared" si="324"/>
        <v>9.5279799999999994</v>
      </c>
      <c r="BV176" s="673">
        <f t="shared" si="325"/>
        <v>0.34998999999999997</v>
      </c>
      <c r="BX176" s="862">
        <f t="shared" si="296"/>
        <v>2024</v>
      </c>
      <c r="BY176" s="865">
        <v>0</v>
      </c>
      <c r="BZ176" s="869">
        <f>BY176/('הספק קיים ותחזית יצור'!E60-('הספק קיים ותחזית יצור'!M118*'הנחות עבודה'!$D$35+'הנחות עבודה'!$D$36*'הספק קיים ותחזית יצור'!N118+'הספק קיים ותחזית יצור'!O118*'הנחות עבודה'!$D$37)/'הנחות עבודה'!$D$14)</f>
        <v>0</v>
      </c>
    </row>
    <row r="177" spans="2:78" ht="15.75" hidden="1" outlineLevel="1">
      <c r="B177" s="10">
        <f t="shared" si="295"/>
        <v>2025</v>
      </c>
      <c r="C177" s="667">
        <f>HLOOKUP(B177,'מטריצת ייצור מתחדשות'!$C$130:$W$152,'מטריצת ייצור מתחדשות'!$B$151-'מטריצת ייצור מתחדשות'!$B$131+3,FALSE)</f>
        <v>7.6295322100000806</v>
      </c>
      <c r="D177" s="668">
        <v>0</v>
      </c>
      <c r="E177" s="668">
        <f ca="1">'הספק קיים ותחזית יצור'!M119*VLOOKUP('התפלגות ייצור וסל דלקים'!E$170,'הנחות עבודה'!$C$33:$D$45,2,FALSE)/'הנחות עבודה'!$D$14</f>
        <v>2.1998863899999876</v>
      </c>
      <c r="F177" s="668">
        <f ca="1">'הספק קיים ותחזית יצור'!N119*VLOOKUP('התפלגות ייצור וסל דלקים'!F$170,'הנחות עבודה'!$C$33:$D$45,2,FALSE)/'הנחות עבודה'!$D$14</f>
        <v>0.45989999999992748</v>
      </c>
      <c r="G177" s="668">
        <f ca="1">'הספק קיים ותחזית יצור'!O119*VLOOKUP('התפלגות ייצור וסל דלקים'!G$170,'הנחות עבודה'!$C$33:$D$45,2,FALSE)/'הנחות עבודה'!$D$14</f>
        <v>0.7377660400000029</v>
      </c>
      <c r="H177" s="668">
        <v>0</v>
      </c>
      <c r="I177" s="668">
        <v>9.2489899999999992</v>
      </c>
      <c r="J177" s="668">
        <f ca="1">'הספק קיים ותחזית יצור'!C12-SUM('התפלגות ייצור וסל דלקים'!C177:I177,'התפלגות ייצור וסל דלקים'!K177:N177)</f>
        <v>61.419493360000004</v>
      </c>
      <c r="K177" s="668">
        <v>0</v>
      </c>
      <c r="L177" s="668">
        <v>0</v>
      </c>
      <c r="M177" s="44">
        <v>2.7700200000000001</v>
      </c>
      <c r="N177" s="669">
        <v>0.35813999999999996</v>
      </c>
      <c r="O177" s="670">
        <v>0</v>
      </c>
      <c r="P177" s="671">
        <f>HLOOKUP(B177,'מטריצת ייצור מתחדשות'!$C$130:$W$152,'מטריצת ייצור מתחדשות'!$B$151-'מטריצת ייצור מתחדשות'!$B$131+3,FALSE)</f>
        <v>7.6295322100000806</v>
      </c>
      <c r="Q177" s="671">
        <f t="shared" ca="1" si="297"/>
        <v>2.1998863899999876</v>
      </c>
      <c r="R177" s="671">
        <f t="shared" ca="1" si="298"/>
        <v>0.45989999999992748</v>
      </c>
      <c r="S177" s="671">
        <f t="shared" ca="1" si="299"/>
        <v>0.7377660400000029</v>
      </c>
      <c r="T177" s="671">
        <f t="shared" si="300"/>
        <v>0</v>
      </c>
      <c r="U177" s="671">
        <f t="shared" si="301"/>
        <v>9.2489899999999992</v>
      </c>
      <c r="V177" s="671">
        <f t="shared" ca="1" si="302"/>
        <v>61.419493360000004</v>
      </c>
      <c r="W177" s="671">
        <f t="shared" si="303"/>
        <v>0</v>
      </c>
      <c r="X177" s="671">
        <f t="shared" si="304"/>
        <v>0</v>
      </c>
      <c r="Y177" s="671">
        <f t="shared" si="305"/>
        <v>2.7700200000000001</v>
      </c>
      <c r="Z177" s="671">
        <f t="shared" si="306"/>
        <v>0.35813999999999996</v>
      </c>
      <c r="AA177" s="667">
        <f>HLOOKUP(B177,'מטריצת ייצור מתחדשות'!$B$105:$W$127,'מטריצת ייצור מתחדשות'!$B$151-'מטריצת ייצור מתחדשות'!$B$131+3,FALSE)</f>
        <v>11.446599970000078</v>
      </c>
      <c r="AB177" s="668">
        <v>0</v>
      </c>
      <c r="AC177" s="668">
        <f ca="1">'הספק קיים ותחזית יצור'!M119*VLOOKUP('התפלגות ייצור וסל דלקים'!AC$170,'הנחות עבודה'!$C$33:$D$45,2,FALSE)/'הנחות עבודה'!$D$14</f>
        <v>2.1998863899999876</v>
      </c>
      <c r="AD177" s="668">
        <f ca="1">'הספק קיים ותחזית יצור'!N119*VLOOKUP('התפלגות ייצור וסל דלקים'!AD$170,'הנחות עבודה'!$C$33:$D$45,2,FALSE)/'הנחות עבודה'!$D$14</f>
        <v>0.45989999999992748</v>
      </c>
      <c r="AE177" s="668">
        <f ca="1">'הספק קיים ותחזית יצור'!O119*VLOOKUP('התפלגות ייצור וסל דלקים'!AE$170,'הנחות עבודה'!$C$33:$D$45,2,FALSE)/'הנחות עבודה'!$D$14</f>
        <v>0.7377660400000029</v>
      </c>
      <c r="AF177" s="668">
        <v>0</v>
      </c>
      <c r="AG177" s="668">
        <v>8.9133699999999987</v>
      </c>
      <c r="AH177" s="668">
        <f ca="1">'הספק קיים ותחזית יצור'!C12-SUM(AA177:AG177,AI177:AL177)</f>
        <v>57.945445600000014</v>
      </c>
      <c r="AI177" s="668">
        <v>0</v>
      </c>
      <c r="AJ177" s="668">
        <v>0</v>
      </c>
      <c r="AK177" s="44">
        <v>2.7658299999999998</v>
      </c>
      <c r="AL177" s="669">
        <v>0.35492999999999997</v>
      </c>
      <c r="AM177" s="670">
        <v>0</v>
      </c>
      <c r="AN177" s="671">
        <f>HLOOKUP(B177,'מטריצת ייצור מתחדשות'!$B$105:$W$127,'מטריצת ייצור מתחדשות'!$B$151-'מטריצת ייצור מתחדשות'!$B$131+3,FALSE)</f>
        <v>11.446599970000078</v>
      </c>
      <c r="AO177" s="671">
        <f t="shared" ca="1" si="326"/>
        <v>2.1998863899999876</v>
      </c>
      <c r="AP177" s="671">
        <f t="shared" ca="1" si="307"/>
        <v>0.45989999999992748</v>
      </c>
      <c r="AQ177" s="671">
        <f t="shared" ca="1" si="308"/>
        <v>0.7377660400000029</v>
      </c>
      <c r="AR177" s="671">
        <f t="shared" si="309"/>
        <v>0</v>
      </c>
      <c r="AS177" s="671">
        <f t="shared" si="310"/>
        <v>8.9133699999999987</v>
      </c>
      <c r="AT177" s="671">
        <f t="shared" ca="1" si="311"/>
        <v>57.945445600000014</v>
      </c>
      <c r="AU177" s="671">
        <f t="shared" si="312"/>
        <v>0</v>
      </c>
      <c r="AV177" s="671">
        <f t="shared" si="313"/>
        <v>0</v>
      </c>
      <c r="AW177" s="671">
        <f t="shared" si="314"/>
        <v>2.7658299999999998</v>
      </c>
      <c r="AX177" s="671">
        <f t="shared" si="315"/>
        <v>0.35492999999999997</v>
      </c>
      <c r="AY177" s="667">
        <f>HLOOKUP(B177,'מטריצת ייצור מתחדשות'!$C$80:$W$102,'מטריצת ייצור מתחדשות'!$B$101-'מטריצת ייצור מתחדשות'!$B$81+3,FALSE)</f>
        <v>13.567193170000079</v>
      </c>
      <c r="AZ177" s="668">
        <v>0</v>
      </c>
      <c r="BA177" s="668">
        <f ca="1">'הספק קיים ותחזית יצור'!M119*VLOOKUP('התפלגות ייצור וסל דלקים'!BA$170,'הנחות עבודה'!$C$33:$D$45,2,FALSE)/'הנחות עבודה'!$D$14</f>
        <v>2.1998863899999876</v>
      </c>
      <c r="BB177" s="668">
        <f ca="1">'הספק קיים ותחזית יצור'!N118*VLOOKUP('התפלגות ייצור וסל דלקים'!BB$170,'הנחות עבודה'!$C$33:$D$45,2,FALSE)/'הנחות עבודה'!$D$14</f>
        <v>0.42923999999993229</v>
      </c>
      <c r="BC177" s="668">
        <f ca="1">'הספק קיים ותחזית יצור'!O118*VLOOKUP('התפלגות ייצור וסל דלקים'!BC$170,'הנחות עבודה'!$C$33:$D$45,2,FALSE)/'הנחות עבודה'!$D$14</f>
        <v>0.7377660400000029</v>
      </c>
      <c r="BD177" s="668">
        <v>0</v>
      </c>
      <c r="BE177" s="668">
        <v>8.94374</v>
      </c>
      <c r="BF177" s="668">
        <f ca="1">'הספק קיים ותחזית יצור'!C12-SUM('התפלגות ייצור וסל דלקים'!AY177:BE177,'התפלגות ייצור וסל דלקים'!BG177:BJ177)</f>
        <v>55.830952400000001</v>
      </c>
      <c r="BG177" s="668">
        <v>0</v>
      </c>
      <c r="BH177" s="668">
        <v>0</v>
      </c>
      <c r="BI177" s="668">
        <v>2.7608999999999999</v>
      </c>
      <c r="BJ177" s="668">
        <v>0.35405000000000003</v>
      </c>
      <c r="BK177" s="672">
        <v>0</v>
      </c>
      <c r="BL177" s="671">
        <f>HLOOKUP(B177,'מטריצת ייצור מתחדשות'!$C$80:$W$102,'מטריצת ייצור מתחדשות'!$B$101-'מטריצת ייצור מתחדשות'!$B$81+3,FALSE)</f>
        <v>13.567193170000079</v>
      </c>
      <c r="BM177" s="671">
        <f t="shared" ca="1" si="316"/>
        <v>2.1998863899999876</v>
      </c>
      <c r="BN177" s="671">
        <f t="shared" ca="1" si="317"/>
        <v>0.42923999999993229</v>
      </c>
      <c r="BO177" s="671">
        <f t="shared" ca="1" si="318"/>
        <v>0.7377660400000029</v>
      </c>
      <c r="BP177" s="671">
        <f t="shared" si="319"/>
        <v>0</v>
      </c>
      <c r="BQ177" s="671">
        <f t="shared" si="320"/>
        <v>8.94374</v>
      </c>
      <c r="BR177" s="671">
        <f t="shared" ca="1" si="321"/>
        <v>55.830952400000001</v>
      </c>
      <c r="BS177" s="671">
        <f t="shared" si="322"/>
        <v>0</v>
      </c>
      <c r="BT177" s="671">
        <f t="shared" si="323"/>
        <v>0</v>
      </c>
      <c r="BU177" s="671">
        <f t="shared" si="324"/>
        <v>2.7608999999999999</v>
      </c>
      <c r="BV177" s="673">
        <f t="shared" si="325"/>
        <v>0.35405000000000003</v>
      </c>
      <c r="BX177" s="862">
        <f t="shared" si="296"/>
        <v>2025</v>
      </c>
      <c r="BY177" s="865">
        <v>0</v>
      </c>
      <c r="BZ177" s="869">
        <f>BY177/('הספק קיים ותחזית יצור'!E61-('הספק קיים ותחזית יצור'!M119*'הנחות עבודה'!$D$35+'הנחות עבודה'!$D$36*'הספק קיים ותחזית יצור'!N119+'הספק קיים ותחזית יצור'!O119*'הנחות עבודה'!$D$37)/'הנחות עבודה'!$D$14)</f>
        <v>0</v>
      </c>
    </row>
    <row r="178" spans="2:78" ht="15.75" hidden="1" outlineLevel="1">
      <c r="B178" s="10">
        <f t="shared" si="295"/>
        <v>2026</v>
      </c>
      <c r="C178" s="667">
        <f>HLOOKUP(B178,'מטריצת ייצור מתחדשות'!$C$130:$W$152,'מטריצת ייצור מתחדשות'!$B$151-'מטריצת ייצור מתחדשות'!$B$131+3,FALSE)</f>
        <v>8.6007286900000874</v>
      </c>
      <c r="D178" s="668">
        <v>0</v>
      </c>
      <c r="E178" s="668">
        <f ca="1">'הספק קיים ותחזית יצור'!M120*VLOOKUP('התפלגות ייצור וסל דלקים'!E$170,'הנחות עבודה'!$C$33:$D$45,2,FALSE)/'הנחות עבודה'!$D$14</f>
        <v>2.1998863899999876</v>
      </c>
      <c r="F178" s="668">
        <f ca="1">'הספק קיים ותחזית יצור'!N120*VLOOKUP('התפלגות ייצור וסל דלקים'!F$170,'הנחות עבודה'!$C$33:$D$45,2,FALSE)/'הנחות עבודה'!$D$14</f>
        <v>0.49055999999992267</v>
      </c>
      <c r="G178" s="668">
        <f ca="1">'הספק קיים ותחזית יצור'!O120*VLOOKUP('התפלגות ייצור וסל דלקים'!G$170,'הנחות עבודה'!$C$33:$D$45,2,FALSE)/'הנחות עבודה'!$D$14</f>
        <v>0.7377660400000029</v>
      </c>
      <c r="H178" s="668">
        <v>0</v>
      </c>
      <c r="I178" s="668">
        <v>15.301380000000002</v>
      </c>
      <c r="J178" s="668">
        <f ca="1">'הספק קיים ותחזית יצור'!C13-SUM('התפלגות ייצור וסל דלקים'!C178:I178,'התפלגות ייצור וסל דלקים'!K178:N178)</f>
        <v>59.476838880000003</v>
      </c>
      <c r="K178" s="668">
        <v>0</v>
      </c>
      <c r="L178" s="668">
        <v>0</v>
      </c>
      <c r="M178" s="44">
        <v>0</v>
      </c>
      <c r="N178" s="669">
        <v>0.35907999999999995</v>
      </c>
      <c r="O178" s="670">
        <v>0</v>
      </c>
      <c r="P178" s="671">
        <f>HLOOKUP(B178,'מטריצת ייצור מתחדשות'!$C$130:$W$152,'מטריצת ייצור מתחדשות'!$B$151-'מטריצת ייצור מתחדשות'!$B$131+3,FALSE)</f>
        <v>8.6007286900000874</v>
      </c>
      <c r="Q178" s="671">
        <f t="shared" ca="1" si="297"/>
        <v>2.1998863899999876</v>
      </c>
      <c r="R178" s="671">
        <f t="shared" ca="1" si="298"/>
        <v>0.49055999999992267</v>
      </c>
      <c r="S178" s="671">
        <f t="shared" ca="1" si="299"/>
        <v>0.7377660400000029</v>
      </c>
      <c r="T178" s="671">
        <f t="shared" si="300"/>
        <v>0</v>
      </c>
      <c r="U178" s="671">
        <f t="shared" si="301"/>
        <v>15.301380000000002</v>
      </c>
      <c r="V178" s="671">
        <f t="shared" ca="1" si="302"/>
        <v>59.476838880000003</v>
      </c>
      <c r="W178" s="671">
        <f t="shared" si="303"/>
        <v>0</v>
      </c>
      <c r="X178" s="671">
        <f t="shared" si="304"/>
        <v>0</v>
      </c>
      <c r="Y178" s="671">
        <f t="shared" si="305"/>
        <v>0</v>
      </c>
      <c r="Z178" s="671">
        <f t="shared" si="306"/>
        <v>0.35907999999999995</v>
      </c>
      <c r="AA178" s="667">
        <f>HLOOKUP(B178,'מטריצת ייצור מתחדשות'!$B$105:$W$127,'מטריצת ייצור מתחדשות'!$B$151-'מטריצת ייצור מתחדשות'!$B$131+3,FALSE)</f>
        <v>13.133373170000084</v>
      </c>
      <c r="AB178" s="668">
        <v>0</v>
      </c>
      <c r="AC178" s="668">
        <f ca="1">'הספק קיים ותחזית יצור'!M120*VLOOKUP('התפלגות ייצור וסל דלקים'!AC$170,'הנחות עבודה'!$C$33:$D$45,2,FALSE)/'הנחות עבודה'!$D$14</f>
        <v>2.1998863899999876</v>
      </c>
      <c r="AD178" s="668">
        <f ca="1">'הספק קיים ותחזית יצור'!N120*VLOOKUP('התפלגות ייצור וסל דלקים'!AD$170,'הנחות עבודה'!$C$33:$D$45,2,FALSE)/'הנחות עבודה'!$D$14</f>
        <v>0.49055999999992267</v>
      </c>
      <c r="AE178" s="668">
        <f ca="1">'הספק קיים ותחזית יצור'!O120*VLOOKUP('התפלגות ייצור וסל דלקים'!AE$170,'הנחות עבודה'!$C$33:$D$45,2,FALSE)/'הנחות עבודה'!$D$14</f>
        <v>0.7377660400000029</v>
      </c>
      <c r="AF178" s="668">
        <v>0</v>
      </c>
      <c r="AG178" s="668">
        <v>14.962330000000001</v>
      </c>
      <c r="AH178" s="668">
        <f ca="1">'הספק קיים ותחזית יצור'!C13-SUM(AA178:AG178,AI178:AL178)</f>
        <v>55.286324399999998</v>
      </c>
      <c r="AI178" s="668">
        <v>0</v>
      </c>
      <c r="AJ178" s="668">
        <v>0</v>
      </c>
      <c r="AK178" s="44">
        <v>0</v>
      </c>
      <c r="AL178" s="669">
        <v>0.35600000000000004</v>
      </c>
      <c r="AM178" s="670">
        <v>0</v>
      </c>
      <c r="AN178" s="671">
        <f>HLOOKUP(B178,'מטריצת ייצור מתחדשות'!$B$105:$W$127,'מטריצת ייצור מתחדשות'!$B$151-'מטריצת ייצור מתחדשות'!$B$131+3,FALSE)</f>
        <v>13.133373170000084</v>
      </c>
      <c r="AO178" s="671">
        <f t="shared" ca="1" si="326"/>
        <v>2.1998863899999876</v>
      </c>
      <c r="AP178" s="671">
        <f t="shared" ca="1" si="307"/>
        <v>0.49055999999992267</v>
      </c>
      <c r="AQ178" s="671">
        <f t="shared" ca="1" si="308"/>
        <v>0.7377660400000029</v>
      </c>
      <c r="AR178" s="671">
        <f t="shared" si="309"/>
        <v>0</v>
      </c>
      <c r="AS178" s="671">
        <f t="shared" si="310"/>
        <v>14.962330000000001</v>
      </c>
      <c r="AT178" s="671">
        <f t="shared" ca="1" si="311"/>
        <v>55.286324399999998</v>
      </c>
      <c r="AU178" s="671">
        <f t="shared" si="312"/>
        <v>0</v>
      </c>
      <c r="AV178" s="671">
        <f t="shared" si="313"/>
        <v>0</v>
      </c>
      <c r="AW178" s="671">
        <f t="shared" si="314"/>
        <v>0</v>
      </c>
      <c r="AX178" s="671">
        <f t="shared" si="315"/>
        <v>0.35600000000000004</v>
      </c>
      <c r="AY178" s="667">
        <f>HLOOKUP(B178,'מטריצת ייצור מתחדשות'!$C$80:$W$102,'מטריצת ייצור מתחדשות'!$B$101-'מטריצת ייצור מתחדשות'!$B$81+3,FALSE)</f>
        <v>15.748360370000082</v>
      </c>
      <c r="AZ178" s="668">
        <v>0</v>
      </c>
      <c r="BA178" s="668">
        <f ca="1">'הספק קיים ותחזית יצור'!M120*VLOOKUP('התפלגות ייצור וסל דלקים'!BA$170,'הנחות עבודה'!$C$33:$D$45,2,FALSE)/'הנחות עבודה'!$D$14</f>
        <v>2.1998863899999876</v>
      </c>
      <c r="BB178" s="668">
        <f ca="1">'הספק קיים ותחזית יצור'!N119*VLOOKUP('התפלגות ייצור וסל דלקים'!BB$170,'הנחות עבודה'!$C$33:$D$45,2,FALSE)/'הנחות עבודה'!$D$14</f>
        <v>0.45989999999992748</v>
      </c>
      <c r="BC178" s="668">
        <f ca="1">'הספק קיים ותחזית יצור'!O119*VLOOKUP('התפלגות ייצור וסל דלקים'!BC$170,'הנחות עבודה'!$C$33:$D$45,2,FALSE)/'הנחות עבודה'!$D$14</f>
        <v>0.7377660400000029</v>
      </c>
      <c r="BD178" s="668">
        <v>0</v>
      </c>
      <c r="BE178" s="668">
        <v>15.082000000000001</v>
      </c>
      <c r="BF178" s="668">
        <f ca="1">'הספק קיים ותחזית יצור'!C13-SUM('התפלגות ייצור וסל דלקים'!AY178:BE178,'התפלגות ייצור וסל דלקים'!BG178:BJ178)</f>
        <v>52.583027200000004</v>
      </c>
      <c r="BG178" s="668">
        <v>0</v>
      </c>
      <c r="BH178" s="668">
        <v>0</v>
      </c>
      <c r="BI178" s="668">
        <v>0</v>
      </c>
      <c r="BJ178" s="668">
        <v>0.35529999999999995</v>
      </c>
      <c r="BK178" s="672">
        <v>0</v>
      </c>
      <c r="BL178" s="671">
        <f>HLOOKUP(B178,'מטריצת ייצור מתחדשות'!$C$80:$W$102,'מטריצת ייצור מתחדשות'!$B$101-'מטריצת ייצור מתחדשות'!$B$81+3,FALSE)</f>
        <v>15.748360370000082</v>
      </c>
      <c r="BM178" s="671">
        <f t="shared" ca="1" si="316"/>
        <v>2.1998863899999876</v>
      </c>
      <c r="BN178" s="671">
        <f t="shared" ca="1" si="317"/>
        <v>0.45989999999992748</v>
      </c>
      <c r="BO178" s="671">
        <f t="shared" ca="1" si="318"/>
        <v>0.7377660400000029</v>
      </c>
      <c r="BP178" s="671">
        <f t="shared" si="319"/>
        <v>0</v>
      </c>
      <c r="BQ178" s="671">
        <f t="shared" si="320"/>
        <v>15.082000000000001</v>
      </c>
      <c r="BR178" s="671">
        <f t="shared" ca="1" si="321"/>
        <v>52.583027200000004</v>
      </c>
      <c r="BS178" s="671">
        <f t="shared" si="322"/>
        <v>0</v>
      </c>
      <c r="BT178" s="671">
        <f t="shared" si="323"/>
        <v>0</v>
      </c>
      <c r="BU178" s="671">
        <f t="shared" si="324"/>
        <v>0</v>
      </c>
      <c r="BV178" s="673">
        <f t="shared" si="325"/>
        <v>0.35529999999999995</v>
      </c>
      <c r="BX178" s="862">
        <f t="shared" si="296"/>
        <v>2026</v>
      </c>
      <c r="BY178" s="866">
        <v>9.6560000000000014E-3</v>
      </c>
      <c r="BZ178" s="869">
        <f>BY178/('הספק קיים ותחזית יצור'!E62-('הספק קיים ותחזית יצור'!M120*'הנחות עבודה'!$D$35+'הנחות עבודה'!$D$36*'הספק קיים ותחזית יצור'!N120+'הספק קיים ותחזית יצור'!O120*'הנחות עבודה'!$D$37)/'הנחות עבודה'!$D$14)</f>
        <v>6.1314319542714085E-4</v>
      </c>
    </row>
    <row r="179" spans="2:78" ht="15.75" hidden="1" outlineLevel="1">
      <c r="B179" s="10">
        <f t="shared" si="295"/>
        <v>2027</v>
      </c>
      <c r="C179" s="667">
        <f>HLOOKUP(B179,'מטריצת ייצור מתחדשות'!$C$130:$W$152,'מטריצת ייצור מתחדשות'!$B$151-'מטריצת ייצור מתחדשות'!$B$131+3,FALSE)</f>
        <v>9.6195384920000926</v>
      </c>
      <c r="D179" s="668">
        <v>0</v>
      </c>
      <c r="E179" s="668">
        <f ca="1">'הספק קיים ותחזית יצור'!M121*VLOOKUP('התפלגות ייצור וסל דלקים'!E$170,'הנחות עבודה'!$C$33:$D$45,2,FALSE)/'הנחות עבודה'!$D$14</f>
        <v>2.1998863899999876</v>
      </c>
      <c r="F179" s="668">
        <f ca="1">'הספק קיים ותחזית יצור'!N121*VLOOKUP('התפלגות ייצור וסל דלקים'!F$170,'הנחות עבודה'!$C$33:$D$45,2,FALSE)/'הנחות עבודה'!$D$14</f>
        <v>0.52121999999991786</v>
      </c>
      <c r="G179" s="668">
        <f ca="1">'הספק קיים ותחזית יצור'!O121*VLOOKUP('התפלגות ייצור וסל דלקים'!G$170,'הנחות עבודה'!$C$33:$D$45,2,FALSE)/'הנחות עבודה'!$D$14</f>
        <v>0.7377660400000029</v>
      </c>
      <c r="H179" s="668">
        <v>0</v>
      </c>
      <c r="I179" s="668">
        <v>14.945649999999999</v>
      </c>
      <c r="J179" s="668">
        <f ca="1">'הספק קיים ותחזית יצור'!C14-SUM('התפלגות ייצור וסל דלקים'!C179:I179,'התפלגות ייצור וסל דלקים'!K179:N179)</f>
        <v>61.202026078000003</v>
      </c>
      <c r="K179" s="668">
        <v>0</v>
      </c>
      <c r="L179" s="668">
        <v>0</v>
      </c>
      <c r="M179" s="44">
        <v>0</v>
      </c>
      <c r="N179" s="669">
        <v>0.35207000000000005</v>
      </c>
      <c r="O179" s="670">
        <v>0</v>
      </c>
      <c r="P179" s="671">
        <f>HLOOKUP(B179,'מטריצת ייצור מתחדשות'!$C$130:$W$152,'מטריצת ייצור מתחדשות'!$B$151-'מטריצת ייצור מתחדשות'!$B$131+3,FALSE)</f>
        <v>9.6195384920000926</v>
      </c>
      <c r="Q179" s="671">
        <f t="shared" ca="1" si="297"/>
        <v>2.1998863899999876</v>
      </c>
      <c r="R179" s="671">
        <f t="shared" ca="1" si="298"/>
        <v>0.52121999999991786</v>
      </c>
      <c r="S179" s="671">
        <f t="shared" ca="1" si="299"/>
        <v>0.7377660400000029</v>
      </c>
      <c r="T179" s="671">
        <f t="shared" si="300"/>
        <v>0</v>
      </c>
      <c r="U179" s="671">
        <f t="shared" si="301"/>
        <v>14.945649999999999</v>
      </c>
      <c r="V179" s="671">
        <f t="shared" ca="1" si="302"/>
        <v>61.202026078000003</v>
      </c>
      <c r="W179" s="671">
        <f t="shared" si="303"/>
        <v>0</v>
      </c>
      <c r="X179" s="671">
        <f t="shared" si="304"/>
        <v>0</v>
      </c>
      <c r="Y179" s="671">
        <f t="shared" si="305"/>
        <v>0</v>
      </c>
      <c r="Z179" s="671">
        <f t="shared" si="306"/>
        <v>0.35207000000000005</v>
      </c>
      <c r="AA179" s="667">
        <f>HLOOKUP(B179,'מטריצת ייצור מתחדשות'!$B$105:$W$127,'מטריצת ייצור מתחדשות'!$B$151-'מטריצת ייצור מתחדשות'!$B$131+3,FALSE)</f>
        <v>14.904649755000092</v>
      </c>
      <c r="AB179" s="668">
        <v>0</v>
      </c>
      <c r="AC179" s="668">
        <f ca="1">'הספק קיים ותחזית יצור'!M121*VLOOKUP('התפלגות ייצור וסל דלקים'!AC$170,'הנחות עבודה'!$C$33:$D$45,2,FALSE)/'הנחות עבודה'!$D$14</f>
        <v>2.1998863899999876</v>
      </c>
      <c r="AD179" s="668">
        <f ca="1">'הספק קיים ותחזית יצור'!N121*VLOOKUP('התפלגות ייצור וסל דלקים'!AD$170,'הנחות עבודה'!$C$33:$D$45,2,FALSE)/'הנחות עבודה'!$D$14</f>
        <v>0.52121999999991786</v>
      </c>
      <c r="AE179" s="668">
        <f ca="1">'הספק קיים ותחזית יצור'!O121*VLOOKUP('התפלגות ייצור וסל דלקים'!AE$170,'הנחות עבודה'!$C$33:$D$45,2,FALSE)/'הנחות עבודה'!$D$14</f>
        <v>0.7377660400000029</v>
      </c>
      <c r="AF179" s="668">
        <v>0</v>
      </c>
      <c r="AG179" s="668">
        <v>14.828890000000001</v>
      </c>
      <c r="AH179" s="668">
        <f ca="1">'הספק קיים ותחזית יצור'!C14-SUM(AA179:AG179,AI179:AL179)</f>
        <v>56.035124815000003</v>
      </c>
      <c r="AI179" s="668">
        <v>0</v>
      </c>
      <c r="AJ179" s="668">
        <v>0</v>
      </c>
      <c r="AK179" s="44">
        <v>0</v>
      </c>
      <c r="AL179" s="669">
        <v>0.35062000000000004</v>
      </c>
      <c r="AM179" s="670">
        <v>0</v>
      </c>
      <c r="AN179" s="671">
        <f>HLOOKUP(B179,'מטריצת ייצור מתחדשות'!$B$105:$W$127,'מטריצת ייצור מתחדשות'!$B$151-'מטריצת ייצור מתחדשות'!$B$131+3,FALSE)</f>
        <v>14.904649755000092</v>
      </c>
      <c r="AO179" s="671">
        <f t="shared" ca="1" si="326"/>
        <v>2.1998863899999876</v>
      </c>
      <c r="AP179" s="671">
        <f t="shared" ca="1" si="307"/>
        <v>0.52121999999991786</v>
      </c>
      <c r="AQ179" s="671">
        <f t="shared" ca="1" si="308"/>
        <v>0.7377660400000029</v>
      </c>
      <c r="AR179" s="671">
        <f t="shared" si="309"/>
        <v>0</v>
      </c>
      <c r="AS179" s="671">
        <f t="shared" si="310"/>
        <v>14.828890000000001</v>
      </c>
      <c r="AT179" s="671">
        <f t="shared" ca="1" si="311"/>
        <v>56.035124815000003</v>
      </c>
      <c r="AU179" s="671">
        <f t="shared" si="312"/>
        <v>0</v>
      </c>
      <c r="AV179" s="671">
        <f t="shared" si="313"/>
        <v>0</v>
      </c>
      <c r="AW179" s="671">
        <f t="shared" si="314"/>
        <v>0</v>
      </c>
      <c r="AX179" s="671">
        <f t="shared" si="315"/>
        <v>0.35062000000000004</v>
      </c>
      <c r="AY179" s="667">
        <f>HLOOKUP(B179,'מטריצת ייצור מתחדשות'!$C$80:$W$102,'מטריצת ייצור מתחדשות'!$B$101-'מטריצת ייצור מתחדשות'!$B$81+3,FALSE)</f>
        <v>18.039885250000083</v>
      </c>
      <c r="AZ179" s="668">
        <v>0</v>
      </c>
      <c r="BA179" s="668">
        <f ca="1">'הספק קיים ותחזית יצור'!M121*VLOOKUP('התפלגות ייצור וסל דלקים'!BA$170,'הנחות עבודה'!$C$33:$D$45,2,FALSE)/'הנחות עבודה'!$D$14</f>
        <v>2.1998863899999876</v>
      </c>
      <c r="BB179" s="668">
        <f ca="1">'הספק קיים ותחזית יצור'!N120*VLOOKUP('התפלגות ייצור וסל דלקים'!BB$170,'הנחות עבודה'!$C$33:$D$45,2,FALSE)/'הנחות עבודה'!$D$14</f>
        <v>0.49055999999992267</v>
      </c>
      <c r="BC179" s="668">
        <f ca="1">'הספק קיים ותחזית יצור'!O120*VLOOKUP('התפלגות ייצור וסל דלקים'!BC$170,'הנחות עבודה'!$C$33:$D$45,2,FALSE)/'הנחות עבודה'!$D$14</f>
        <v>0.7377660400000029</v>
      </c>
      <c r="BD179" s="668">
        <v>0</v>
      </c>
      <c r="BE179" s="668">
        <v>15.039</v>
      </c>
      <c r="BF179" s="668">
        <f ca="1">'הספק קיים ותחזית יצור'!C14-SUM('התפלגות ייצור וסל דלקים'!AY179:BE179,'התפלגות ייצור וסל דלקים'!BG179:BJ179)</f>
        <v>52.721159320000005</v>
      </c>
      <c r="BG179" s="668">
        <v>0</v>
      </c>
      <c r="BH179" s="668">
        <v>0</v>
      </c>
      <c r="BI179" s="668">
        <v>0</v>
      </c>
      <c r="BJ179" s="668">
        <v>0.34989999999999999</v>
      </c>
      <c r="BK179" s="672">
        <v>0</v>
      </c>
      <c r="BL179" s="671">
        <f>HLOOKUP(B179,'מטריצת ייצור מתחדשות'!$C$80:$W$102,'מטריצת ייצור מתחדשות'!$B$101-'מטריצת ייצור מתחדשות'!$B$81+3,FALSE)</f>
        <v>18.039885250000083</v>
      </c>
      <c r="BM179" s="671">
        <f t="shared" ca="1" si="316"/>
        <v>2.1998863899999876</v>
      </c>
      <c r="BN179" s="671">
        <f t="shared" ca="1" si="317"/>
        <v>0.49055999999992267</v>
      </c>
      <c r="BO179" s="671">
        <f t="shared" ca="1" si="318"/>
        <v>0.7377660400000029</v>
      </c>
      <c r="BP179" s="671">
        <f t="shared" si="319"/>
        <v>0</v>
      </c>
      <c r="BQ179" s="671">
        <f t="shared" si="320"/>
        <v>15.039</v>
      </c>
      <c r="BR179" s="671">
        <f t="shared" ca="1" si="321"/>
        <v>52.721159320000005</v>
      </c>
      <c r="BS179" s="671">
        <f t="shared" si="322"/>
        <v>0</v>
      </c>
      <c r="BT179" s="671">
        <f t="shared" si="323"/>
        <v>0</v>
      </c>
      <c r="BU179" s="671">
        <f t="shared" si="324"/>
        <v>0</v>
      </c>
      <c r="BV179" s="673">
        <f t="shared" si="325"/>
        <v>0.34989999999999999</v>
      </c>
      <c r="BX179" s="862">
        <f t="shared" si="296"/>
        <v>2027</v>
      </c>
      <c r="BY179" s="866">
        <v>4.9557000000000004E-2</v>
      </c>
      <c r="BZ179" s="869">
        <f>BY179/('הספק קיים ותחזית יצור'!E63-('הספק קיים ותחזית יצור'!M121*'הנחות עבודה'!$D$35+'הנחות עבודה'!$D$36*'הספק קיים ותחזית יצור'!N121+'הספק קיים ותחזית יצור'!O121*'הנחות עבודה'!$D$37)/'הנחות עבודה'!$D$14)</f>
        <v>2.7470795580587059E-3</v>
      </c>
    </row>
    <row r="180" spans="2:78" ht="15.75" hidden="1" outlineLevel="1">
      <c r="B180" s="10">
        <f t="shared" si="295"/>
        <v>2028</v>
      </c>
      <c r="C180" s="667">
        <f>HLOOKUP(B180,'מטריצת ייצור מתחדשות'!$C$130:$W$152,'מטריצת ייצור מתחדשות'!$B$151-'מטריצת ייצור מתחדשות'!$B$131+3,FALSE)</f>
        <v>10.650187164000101</v>
      </c>
      <c r="D180" s="668">
        <v>0</v>
      </c>
      <c r="E180" s="668">
        <f ca="1">'הספק קיים ותחזית יצור'!M122*VLOOKUP('התפלגות ייצור וסל דלקים'!E$170,'הנחות עבודה'!$C$33:$D$45,2,FALSE)/'הנחות עבודה'!$D$14</f>
        <v>2.1998863899999876</v>
      </c>
      <c r="F180" s="668">
        <f ca="1">'הספק קיים ותחזית יצור'!N122*VLOOKUP('התפלגות ייצור וסל דלקים'!F$170,'הנחות עבודה'!$C$33:$D$45,2,FALSE)/'הנחות עבודה'!$D$14</f>
        <v>0.551879999999913</v>
      </c>
      <c r="G180" s="668">
        <f ca="1">'הספק קיים ותחזית יצור'!O122*VLOOKUP('התפלגות ייצור וסל דלקים'!G$170,'הנחות עבודה'!$C$33:$D$45,2,FALSE)/'הנחות עבודה'!$D$14</f>
        <v>0.7377660400000029</v>
      </c>
      <c r="H180" s="668">
        <v>0</v>
      </c>
      <c r="I180" s="668">
        <v>14.63696</v>
      </c>
      <c r="J180" s="668">
        <f ca="1">'הספק קיים ותחזית יצור'!C15-SUM('התפלגות ייצור וסל דלקים'!C180:I180,'התפלגות ייצור וסל דלקים'!K180:N180)</f>
        <v>62.683791405999997</v>
      </c>
      <c r="K180" s="668">
        <v>0</v>
      </c>
      <c r="L180" s="668">
        <v>0</v>
      </c>
      <c r="M180" s="44">
        <v>0</v>
      </c>
      <c r="N180" s="669">
        <v>0.35589000000000004</v>
      </c>
      <c r="O180" s="670">
        <v>0</v>
      </c>
      <c r="P180" s="671">
        <f>HLOOKUP(B180,'מטריצת ייצור מתחדשות'!$C$130:$W$152,'מטריצת ייצור מתחדשות'!$B$151-'מטריצת ייצור מתחדשות'!$B$131+3,FALSE)</f>
        <v>10.650187164000101</v>
      </c>
      <c r="Q180" s="671">
        <f t="shared" ca="1" si="297"/>
        <v>2.1998863899999876</v>
      </c>
      <c r="R180" s="671">
        <f t="shared" ca="1" si="298"/>
        <v>0.551879999999913</v>
      </c>
      <c r="S180" s="671">
        <f t="shared" ca="1" si="299"/>
        <v>0.7377660400000029</v>
      </c>
      <c r="T180" s="671">
        <f t="shared" si="300"/>
        <v>0</v>
      </c>
      <c r="U180" s="671">
        <f t="shared" si="301"/>
        <v>14.63696</v>
      </c>
      <c r="V180" s="671">
        <f t="shared" ca="1" si="302"/>
        <v>62.683791405999997</v>
      </c>
      <c r="W180" s="671">
        <f t="shared" si="303"/>
        <v>0</v>
      </c>
      <c r="X180" s="671">
        <f t="shared" si="304"/>
        <v>0</v>
      </c>
      <c r="Y180" s="671">
        <f t="shared" si="305"/>
        <v>0</v>
      </c>
      <c r="Z180" s="671">
        <f t="shared" si="306"/>
        <v>0.35589000000000004</v>
      </c>
      <c r="AA180" s="667">
        <f>HLOOKUP(B180,'מטריצת ייצור מתחדשות'!$B$105:$W$127,'מטריצת ייצור מתחדשות'!$B$151-'מטריצת ייצור מתחדשות'!$B$131+3,FALSE)</f>
        <v>16.710066990000101</v>
      </c>
      <c r="AB180" s="668">
        <v>0</v>
      </c>
      <c r="AC180" s="668">
        <f ca="1">'הספק קיים ותחזית יצור'!M122*VLOOKUP('התפלגות ייצור וסל דלקים'!AC$170,'הנחות עבודה'!$C$33:$D$45,2,FALSE)/'הנחות עבודה'!$D$14</f>
        <v>2.1998863899999876</v>
      </c>
      <c r="AD180" s="668">
        <f ca="1">'הספק קיים ותחזית יצור'!N122*VLOOKUP('התפלגות ייצור וסל דלקים'!AD$170,'הנחות עבודה'!$C$33:$D$45,2,FALSE)/'הנחות עבודה'!$D$14</f>
        <v>0.551879999999913</v>
      </c>
      <c r="AE180" s="668">
        <f ca="1">'הספק קיים ותחזית יצור'!O122*VLOOKUP('התפלגות ייצור וסל דלקים'!AE$170,'הנחות עבודה'!$C$33:$D$45,2,FALSE)/'הנחות עבודה'!$D$14</f>
        <v>0.7377660400000029</v>
      </c>
      <c r="AF180" s="668">
        <v>0</v>
      </c>
      <c r="AG180" s="668">
        <v>14.951639999999999</v>
      </c>
      <c r="AH180" s="668">
        <f ca="1">'הספק קיים ותחזית יצור'!C15-SUM(AA180:AG180,AI180:AL180)</f>
        <v>56.307621579999996</v>
      </c>
      <c r="AI180" s="668">
        <v>0</v>
      </c>
      <c r="AJ180" s="668">
        <v>0</v>
      </c>
      <c r="AK180" s="44">
        <v>0</v>
      </c>
      <c r="AL180" s="669">
        <v>0.35749999999999998</v>
      </c>
      <c r="AM180" s="670">
        <v>0</v>
      </c>
      <c r="AN180" s="671">
        <f>HLOOKUP(B180,'מטריצת ייצור מתחדשות'!$B$105:$W$127,'מטריצת ייצור מתחדשות'!$B$151-'מטריצת ייצור מתחדשות'!$B$131+3,FALSE)</f>
        <v>16.710066990000101</v>
      </c>
      <c r="AO180" s="671">
        <f t="shared" ca="1" si="326"/>
        <v>2.1998863899999876</v>
      </c>
      <c r="AP180" s="671">
        <f t="shared" ca="1" si="307"/>
        <v>0.551879999999913</v>
      </c>
      <c r="AQ180" s="671">
        <f t="shared" ca="1" si="308"/>
        <v>0.7377660400000029</v>
      </c>
      <c r="AR180" s="671">
        <f t="shared" si="309"/>
        <v>0</v>
      </c>
      <c r="AS180" s="671">
        <f t="shared" si="310"/>
        <v>14.951639999999999</v>
      </c>
      <c r="AT180" s="671">
        <f t="shared" ca="1" si="311"/>
        <v>56.307621579999996</v>
      </c>
      <c r="AU180" s="671">
        <f t="shared" si="312"/>
        <v>0</v>
      </c>
      <c r="AV180" s="671">
        <f t="shared" si="313"/>
        <v>0</v>
      </c>
      <c r="AW180" s="671">
        <f t="shared" si="314"/>
        <v>0</v>
      </c>
      <c r="AX180" s="671">
        <f t="shared" si="315"/>
        <v>0.35749999999999998</v>
      </c>
      <c r="AY180" s="667">
        <f>HLOOKUP(B180,'מטריצת ייצור מתחדשות'!$C$80:$W$102,'מטריצת ייצור מתחדשות'!$B$101-'מטריצת ייצור מתחדשות'!$B$81+3,FALSE)</f>
        <v>20.382721430000093</v>
      </c>
      <c r="AZ180" s="668">
        <v>0</v>
      </c>
      <c r="BA180" s="668">
        <f ca="1">'הספק קיים ותחזית יצור'!M122*VLOOKUP('התפלגות ייצור וסל דלקים'!BA$170,'הנחות עבודה'!$C$33:$D$45,2,FALSE)/'הנחות עבודה'!$D$14</f>
        <v>2.1998863899999876</v>
      </c>
      <c r="BB180" s="668">
        <f ca="1">'הספק קיים ותחזית יצור'!N121*VLOOKUP('התפלגות ייצור וסל דלקים'!BB$170,'הנחות עבודה'!$C$33:$D$45,2,FALSE)/'הנחות עבודה'!$D$14</f>
        <v>0.52121999999991786</v>
      </c>
      <c r="BC180" s="668">
        <f ca="1">'הספק קיים ותחזית יצור'!O121*VLOOKUP('התפלגות ייצור וסל דלקים'!BC$170,'הנחות עבודה'!$C$33:$D$45,2,FALSE)/'הנחות עבודה'!$D$14</f>
        <v>0.7377660400000029</v>
      </c>
      <c r="BD180" s="668">
        <v>0</v>
      </c>
      <c r="BE180" s="668">
        <v>15.288</v>
      </c>
      <c r="BF180" s="668">
        <f ca="1">'הספק קיים ותחזית יצור'!C15-SUM('התפלגות ייצור וסל דלקים'!AY180:BE180,'התפלגות ייצור וסל דלקים'!BG180:BJ180)</f>
        <v>52.32866714</v>
      </c>
      <c r="BG180" s="668">
        <v>0</v>
      </c>
      <c r="BH180" s="668">
        <v>0</v>
      </c>
      <c r="BI180" s="668">
        <v>0</v>
      </c>
      <c r="BJ180" s="668">
        <v>0.35809999999999997</v>
      </c>
      <c r="BK180" s="672">
        <v>0</v>
      </c>
      <c r="BL180" s="671">
        <f>HLOOKUP(B180,'מטריצת ייצור מתחדשות'!$C$80:$W$102,'מטריצת ייצור מתחדשות'!$B$101-'מטריצת ייצור מתחדשות'!$B$81+3,FALSE)</f>
        <v>20.382721430000093</v>
      </c>
      <c r="BM180" s="671">
        <f t="shared" ca="1" si="316"/>
        <v>2.1998863899999876</v>
      </c>
      <c r="BN180" s="671">
        <f t="shared" ca="1" si="317"/>
        <v>0.52121999999991786</v>
      </c>
      <c r="BO180" s="671">
        <f t="shared" ca="1" si="318"/>
        <v>0.7377660400000029</v>
      </c>
      <c r="BP180" s="671">
        <f t="shared" si="319"/>
        <v>0</v>
      </c>
      <c r="BQ180" s="671">
        <f t="shared" si="320"/>
        <v>15.288</v>
      </c>
      <c r="BR180" s="671">
        <f t="shared" ca="1" si="321"/>
        <v>52.32866714</v>
      </c>
      <c r="BS180" s="671">
        <f t="shared" si="322"/>
        <v>0</v>
      </c>
      <c r="BT180" s="671">
        <f t="shared" si="323"/>
        <v>0</v>
      </c>
      <c r="BU180" s="671">
        <f t="shared" si="324"/>
        <v>0</v>
      </c>
      <c r="BV180" s="673">
        <f t="shared" si="325"/>
        <v>0.35809999999999997</v>
      </c>
      <c r="BX180" s="862">
        <f t="shared" si="296"/>
        <v>2028</v>
      </c>
      <c r="BY180" s="866">
        <v>0.16739400000000002</v>
      </c>
      <c r="BZ180" s="869">
        <f>BY180/('הספק קיים ותחזית יצור'!E64-('הספק קיים ותחזית יצור'!M122*'הנחות עבודה'!$D$35+'הנחות עבודה'!$D$36*'הספק קיים ותחזית יצור'!N122+'הספק קיים ותחזית יצור'!O122*'הנחות עבודה'!$D$37)/'הנחות עבודה'!$D$14)</f>
        <v>8.2125441676116386E-3</v>
      </c>
    </row>
    <row r="181" spans="2:78" ht="15.75" hidden="1" outlineLevel="1">
      <c r="B181" s="10">
        <f t="shared" si="295"/>
        <v>2029</v>
      </c>
      <c r="C181" s="667">
        <f>HLOOKUP(B181,'מטריצת ייצור מתחדשות'!$C$130:$W$152,'מטריצת ייצור מתחדשות'!$B$151-'מטריצת ייצור מתחדשות'!$B$131+3,FALSE)</f>
        <v>11.808267010000106</v>
      </c>
      <c r="D181" s="668">
        <v>0</v>
      </c>
      <c r="E181" s="668">
        <f ca="1">'הספק קיים ותחזית יצור'!M123*VLOOKUP('התפלגות ייצור וסל דלקים'!E$170,'הנחות עבודה'!$C$33:$D$45,2,FALSE)/'הנחות עבודה'!$D$14</f>
        <v>2.1998863899999876</v>
      </c>
      <c r="F181" s="668">
        <f ca="1">'הספק קיים ותחזית יצור'!N123*VLOOKUP('התפלגות ייצור וסל דלקים'!F$170,'הנחות עבודה'!$C$33:$D$45,2,FALSE)/'הנחות עבודה'!$D$14</f>
        <v>0.58253999999990813</v>
      </c>
      <c r="G181" s="668">
        <f ca="1">'הספק קיים ותחזית יצור'!O123*VLOOKUP('התפלגות ייצור וסל דלקים'!G$170,'הנחות עבודה'!$C$33:$D$45,2,FALSE)/'הנחות עבודה'!$D$14</f>
        <v>0.7377660400000029</v>
      </c>
      <c r="H181" s="668">
        <v>0</v>
      </c>
      <c r="I181" s="668">
        <v>14.69609</v>
      </c>
      <c r="J181" s="668">
        <f ca="1">'הספק קיים ותחזית יצור'!C16-SUM('התפלגות ייצור וסל דלקים'!C181:I181,'התפלגות ייצור וסל דלקים'!K181:N181)</f>
        <v>64.23705056</v>
      </c>
      <c r="K181" s="668">
        <v>0</v>
      </c>
      <c r="L181" s="668">
        <v>0</v>
      </c>
      <c r="M181" s="44">
        <v>0</v>
      </c>
      <c r="N181" s="669">
        <v>0.35852000000000001</v>
      </c>
      <c r="O181" s="670">
        <v>0</v>
      </c>
      <c r="P181" s="671">
        <f>HLOOKUP(B181,'מטריצת ייצור מתחדשות'!$C$130:$W$152,'מטריצת ייצור מתחדשות'!$B$151-'מטריצת ייצור מתחדשות'!$B$131+3,FALSE)</f>
        <v>11.808267010000106</v>
      </c>
      <c r="Q181" s="671">
        <f t="shared" ca="1" si="297"/>
        <v>2.1998863899999876</v>
      </c>
      <c r="R181" s="671">
        <f t="shared" ca="1" si="298"/>
        <v>0.58253999999990813</v>
      </c>
      <c r="S181" s="671">
        <f t="shared" ca="1" si="299"/>
        <v>0.7377660400000029</v>
      </c>
      <c r="T181" s="671">
        <f t="shared" si="300"/>
        <v>0</v>
      </c>
      <c r="U181" s="671">
        <f t="shared" si="301"/>
        <v>14.69609</v>
      </c>
      <c r="V181" s="671">
        <f t="shared" ca="1" si="302"/>
        <v>64.23705056</v>
      </c>
      <c r="W181" s="671">
        <f t="shared" si="303"/>
        <v>0</v>
      </c>
      <c r="X181" s="671">
        <f t="shared" si="304"/>
        <v>0</v>
      </c>
      <c r="Y181" s="671">
        <f t="shared" si="305"/>
        <v>0</v>
      </c>
      <c r="Z181" s="671">
        <f t="shared" si="306"/>
        <v>0.35852000000000001</v>
      </c>
      <c r="AA181" s="667">
        <f>HLOOKUP(B181,'מטריצת ייצור מתחדשות'!$B$105:$W$127,'מטריצת ייצור מתחדשות'!$B$151-'מטריצת ייצור מתחדשות'!$B$131+3,FALSE)</f>
        <v>18.715535770000102</v>
      </c>
      <c r="AB181" s="668">
        <v>0</v>
      </c>
      <c r="AC181" s="668">
        <f ca="1">'הספק קיים ותחזית יצור'!M123*VLOOKUP('התפלגות ייצור וסל דלקים'!AC$170,'הנחות עבודה'!$C$33:$D$45,2,FALSE)/'הנחות עבודה'!$D$14</f>
        <v>2.1998863899999876</v>
      </c>
      <c r="AD181" s="668">
        <f ca="1">'הספק קיים ותחזית יצור'!N123*VLOOKUP('התפלגות ייצור וסל דלקים'!AD$170,'הנחות עבודה'!$C$33:$D$45,2,FALSE)/'הנחות עבודה'!$D$14</f>
        <v>0.58253999999990813</v>
      </c>
      <c r="AE181" s="668">
        <f ca="1">'הספק קיים ותחזית יצור'!O123*VLOOKUP('התפלגות ייצור וסל דלקים'!AE$170,'הנחות עבודה'!$C$33:$D$45,2,FALSE)/'הנחות עבודה'!$D$14</f>
        <v>0.7377660400000029</v>
      </c>
      <c r="AF181" s="668">
        <v>0</v>
      </c>
      <c r="AG181" s="668">
        <v>15.215110000000001</v>
      </c>
      <c r="AH181" s="668">
        <f ca="1">'הספק קיים ותחזית יצור'!C16-SUM(AA181:AG181,AI181:AL181)</f>
        <v>56.809641799999994</v>
      </c>
      <c r="AI181" s="668">
        <v>0</v>
      </c>
      <c r="AJ181" s="668">
        <v>0</v>
      </c>
      <c r="AK181" s="44">
        <v>0</v>
      </c>
      <c r="AL181" s="669">
        <v>0.35964000000000002</v>
      </c>
      <c r="AM181" s="670">
        <v>0</v>
      </c>
      <c r="AN181" s="671">
        <f>HLOOKUP(B181,'מטריצת ייצור מתחדשות'!$B$105:$W$127,'מטריצת ייצור מתחדשות'!$B$151-'מטריצת ייצור מתחדשות'!$B$131+3,FALSE)</f>
        <v>18.715535770000102</v>
      </c>
      <c r="AO181" s="671">
        <f t="shared" ca="1" si="326"/>
        <v>2.1998863899999876</v>
      </c>
      <c r="AP181" s="671">
        <f t="shared" ca="1" si="307"/>
        <v>0.58253999999990813</v>
      </c>
      <c r="AQ181" s="671">
        <f t="shared" ca="1" si="308"/>
        <v>0.7377660400000029</v>
      </c>
      <c r="AR181" s="671">
        <f t="shared" si="309"/>
        <v>0</v>
      </c>
      <c r="AS181" s="671">
        <f t="shared" si="310"/>
        <v>15.215110000000001</v>
      </c>
      <c r="AT181" s="671">
        <f t="shared" ca="1" si="311"/>
        <v>56.809641799999994</v>
      </c>
      <c r="AU181" s="671">
        <f t="shared" si="312"/>
        <v>0</v>
      </c>
      <c r="AV181" s="671">
        <f t="shared" si="313"/>
        <v>0</v>
      </c>
      <c r="AW181" s="671">
        <f t="shared" si="314"/>
        <v>0</v>
      </c>
      <c r="AX181" s="671">
        <f t="shared" si="315"/>
        <v>0.35964000000000002</v>
      </c>
      <c r="AY181" s="667">
        <f>HLOOKUP(B181,'מטריצת ייצור מתחדשות'!$C$80:$W$102,'מטריצת ייצור מתחדשות'!$B$101-'מטריצת ייצור מתחדשות'!$B$81+3,FALSE)</f>
        <v>22.973441170000097</v>
      </c>
      <c r="AZ181" s="668">
        <v>0</v>
      </c>
      <c r="BA181" s="668">
        <f ca="1">'הספק קיים ותחזית יצור'!M123*VLOOKUP('התפלגות ייצור וסל דלקים'!BA$170,'הנחות עבודה'!$C$33:$D$45,2,FALSE)/'הנחות עבודה'!$D$14</f>
        <v>2.1998863899999876</v>
      </c>
      <c r="BB181" s="668">
        <f ca="1">'הספק קיים ותחזית יצור'!N122*VLOOKUP('התפלגות ייצור וסל דלקים'!BB$170,'הנחות עבודה'!$C$33:$D$45,2,FALSE)/'הנחות עבודה'!$D$14</f>
        <v>0.551879999999913</v>
      </c>
      <c r="BC181" s="668">
        <f ca="1">'הספק קיים ותחזית יצור'!O122*VLOOKUP('התפלגות ייצור וסל דלקים'!BC$170,'הנחות עבודה'!$C$33:$D$45,2,FALSE)/'הנחות עבודה'!$D$14</f>
        <v>0.7377660400000029</v>
      </c>
      <c r="BD181" s="668">
        <v>0</v>
      </c>
      <c r="BE181" s="668">
        <v>15.605</v>
      </c>
      <c r="BF181" s="668">
        <f ca="1">'הספק קיים ותחזית יצור'!C16-SUM('התפלגות ייצור וסל דלקים'!AY181:BE181,'התפלגות ייצור וסל דלקים'!BG181:BJ181)</f>
        <v>52.187646399999998</v>
      </c>
      <c r="BG181" s="668">
        <v>0</v>
      </c>
      <c r="BH181" s="668">
        <v>0</v>
      </c>
      <c r="BI181" s="668">
        <v>0</v>
      </c>
      <c r="BJ181" s="668">
        <v>0.36449999999999999</v>
      </c>
      <c r="BK181" s="672">
        <v>0</v>
      </c>
      <c r="BL181" s="671">
        <f>HLOOKUP(B181,'מטריצת ייצור מתחדשות'!$C$80:$W$102,'מטריצת ייצור מתחדשות'!$B$101-'מטריצת ייצור מתחדשות'!$B$81+3,FALSE)</f>
        <v>22.973441170000097</v>
      </c>
      <c r="BM181" s="671">
        <f t="shared" ca="1" si="316"/>
        <v>2.1998863899999876</v>
      </c>
      <c r="BN181" s="671">
        <f t="shared" ca="1" si="317"/>
        <v>0.551879999999913</v>
      </c>
      <c r="BO181" s="671">
        <f t="shared" ca="1" si="318"/>
        <v>0.7377660400000029</v>
      </c>
      <c r="BP181" s="671">
        <f t="shared" si="319"/>
        <v>0</v>
      </c>
      <c r="BQ181" s="671">
        <f t="shared" si="320"/>
        <v>15.605</v>
      </c>
      <c r="BR181" s="671">
        <f t="shared" ca="1" si="321"/>
        <v>52.187646399999998</v>
      </c>
      <c r="BS181" s="671">
        <f t="shared" si="322"/>
        <v>0</v>
      </c>
      <c r="BT181" s="671">
        <f t="shared" si="323"/>
        <v>0</v>
      </c>
      <c r="BU181" s="671">
        <f t="shared" si="324"/>
        <v>0</v>
      </c>
      <c r="BV181" s="673">
        <f t="shared" si="325"/>
        <v>0.36449999999999999</v>
      </c>
      <c r="BX181" s="862">
        <f t="shared" si="296"/>
        <v>2029</v>
      </c>
      <c r="BY181" s="866">
        <v>0.39123000000000002</v>
      </c>
      <c r="BZ181" s="869">
        <f>BY181/('הספק קיים ותחזית יצור'!E65-('הספק קיים ותחזית יצור'!M123*'הנחות עבודה'!$D$35+'הנחות עבודה'!$D$36*'הספק קיים ותחזית יצור'!N123+'הספק קיים ותחזית יצור'!O123*'הנחות עבודה'!$D$37)/'הנחות עבודה'!$D$14)</f>
        <v>1.7029664694329219E-2</v>
      </c>
    </row>
    <row r="182" spans="2:78" ht="15.75" hidden="1" outlineLevel="1">
      <c r="B182" s="10">
        <f t="shared" si="295"/>
        <v>2030</v>
      </c>
      <c r="C182" s="667">
        <f>HLOOKUP(B182,'מטריצת ייצור מתחדשות'!$C$130:$W$152,'מטריצת ייצור מתחדשות'!$B$151-'מטריצת ייצור מתחדשות'!$B$131+3,FALSE)</f>
        <v>12.982706840000105</v>
      </c>
      <c r="D182" s="668">
        <v>0</v>
      </c>
      <c r="E182" s="668">
        <f ca="1">'הספק קיים ותחזית יצור'!M124*VLOOKUP('התפלגות ייצור וסל דלקים'!E$170,'הנחות עבודה'!$C$33:$D$45,2,FALSE)/'הנחות עבודה'!$D$14</f>
        <v>2.1998863899999876</v>
      </c>
      <c r="F182" s="668">
        <f ca="1">'הספק קיים ותחזית יצור'!N124*VLOOKUP('התפלגות ייצור וסל דלקים'!F$170,'הנחות עבודה'!$C$33:$D$45,2,FALSE)/'הנחות עבודה'!$D$14</f>
        <v>0.61319999999990338</v>
      </c>
      <c r="G182" s="668">
        <f ca="1">'הספק קיים ותחזית יצור'!O124*VLOOKUP('התפלגות ייצור וסל דלקים'!G$170,'הנחות עבודה'!$C$33:$D$45,2,FALSE)/'הנחות עבודה'!$D$14</f>
        <v>0.7377660400000029</v>
      </c>
      <c r="H182" s="668">
        <v>0</v>
      </c>
      <c r="I182" s="668">
        <v>14.550709999999999</v>
      </c>
      <c r="J182" s="668">
        <f ca="1">'הספק קיים ותחזית יצור'!C17-SUM('התפלגות ייצור וסל דלקים'!C182:I182,'התפלגות ייצור וסל דלקים'!K182:N182)</f>
        <v>65.818201729999998</v>
      </c>
      <c r="K182" s="668">
        <v>0</v>
      </c>
      <c r="L182" s="668">
        <v>0</v>
      </c>
      <c r="M182" s="44">
        <v>0</v>
      </c>
      <c r="N182" s="669">
        <v>0.35375999999999996</v>
      </c>
      <c r="O182" s="670">
        <v>0</v>
      </c>
      <c r="P182" s="671">
        <f>HLOOKUP(B182,'מטריצת ייצור מתחדשות'!$C$130:$W$152,'מטריצת ייצור מתחדשות'!$B$151-'מטריצת ייצור מתחדשות'!$B$131+3,FALSE)</f>
        <v>12.982706840000105</v>
      </c>
      <c r="Q182" s="671">
        <f t="shared" ca="1" si="297"/>
        <v>2.1998863899999876</v>
      </c>
      <c r="R182" s="671">
        <f t="shared" ca="1" si="298"/>
        <v>0.61319999999990338</v>
      </c>
      <c r="S182" s="671">
        <f t="shared" ca="1" si="299"/>
        <v>0.7377660400000029</v>
      </c>
      <c r="T182" s="671">
        <f t="shared" si="300"/>
        <v>0</v>
      </c>
      <c r="U182" s="671">
        <f t="shared" si="301"/>
        <v>14.550709999999999</v>
      </c>
      <c r="V182" s="671">
        <f t="shared" ca="1" si="302"/>
        <v>65.818201729999998</v>
      </c>
      <c r="W182" s="671">
        <f t="shared" si="303"/>
        <v>0</v>
      </c>
      <c r="X182" s="671">
        <f t="shared" si="304"/>
        <v>0</v>
      </c>
      <c r="Y182" s="671">
        <f t="shared" si="305"/>
        <v>0</v>
      </c>
      <c r="Z182" s="671">
        <f t="shared" si="306"/>
        <v>0.35375999999999996</v>
      </c>
      <c r="AA182" s="667">
        <f>HLOOKUP(B182,'מטריצת ייצור מתחדשות'!$B$105:$W$127,'מטריצת ייצור מתחדשות'!$B$151-'מטריצת ייצור מתחדשות'!$B$131+3,FALSE)</f>
        <v>20.763205320000111</v>
      </c>
      <c r="AB182" s="668">
        <v>0</v>
      </c>
      <c r="AC182" s="668">
        <f ca="1">'הספק קיים ותחזית יצור'!M124*VLOOKUP('התפלגות ייצור וסל דלקים'!AC$170,'הנחות עבודה'!$C$33:$D$45,2,FALSE)/'הנחות עבודה'!$D$14</f>
        <v>2.1998863899999876</v>
      </c>
      <c r="AD182" s="668">
        <f ca="1">'הספק קיים ותחזית יצור'!N124*VLOOKUP('התפלגות ייצור וסל דלקים'!AD$170,'הנחות עבודה'!$C$33:$D$45,2,FALSE)/'הנחות עבודה'!$D$14</f>
        <v>0.61319999999990338</v>
      </c>
      <c r="AE182" s="668">
        <f ca="1">'הספק קיים ותחזית יצור'!O124*VLOOKUP('התפלגות ייצור וסל דלקים'!AE$170,'הנחות עבודה'!$C$33:$D$45,2,FALSE)/'הנחות עבודה'!$D$14</f>
        <v>0.7377660400000029</v>
      </c>
      <c r="AF182" s="668">
        <v>0</v>
      </c>
      <c r="AG182" s="668">
        <v>15.414509999999998</v>
      </c>
      <c r="AH182" s="668">
        <f ca="1">'הספק קיים ותחזית יצור'!C17-SUM(AA182:AG182,AI182:AL182)</f>
        <v>57.169833249999996</v>
      </c>
      <c r="AI182" s="668">
        <v>0</v>
      </c>
      <c r="AJ182" s="668">
        <v>0</v>
      </c>
      <c r="AK182" s="44">
        <v>0</v>
      </c>
      <c r="AL182" s="669">
        <v>0.35783000000000004</v>
      </c>
      <c r="AM182" s="670">
        <v>0</v>
      </c>
      <c r="AN182" s="671">
        <f>HLOOKUP(B182,'מטריצת ייצור מתחדשות'!$B$105:$W$127,'מטריצת ייצור מתחדשות'!$B$151-'מטריצת ייצור מתחדשות'!$B$131+3,FALSE)</f>
        <v>20.763205320000111</v>
      </c>
      <c r="AO182" s="671">
        <f t="shared" ca="1" si="326"/>
        <v>2.1998863899999876</v>
      </c>
      <c r="AP182" s="671">
        <f t="shared" ca="1" si="307"/>
        <v>0.61319999999990338</v>
      </c>
      <c r="AQ182" s="671">
        <f t="shared" ca="1" si="308"/>
        <v>0.7377660400000029</v>
      </c>
      <c r="AR182" s="671">
        <f t="shared" si="309"/>
        <v>0</v>
      </c>
      <c r="AS182" s="671">
        <f t="shared" si="310"/>
        <v>15.414509999999998</v>
      </c>
      <c r="AT182" s="671">
        <f t="shared" ca="1" si="311"/>
        <v>57.169833249999996</v>
      </c>
      <c r="AU182" s="671">
        <f t="shared" si="312"/>
        <v>0</v>
      </c>
      <c r="AV182" s="671">
        <f t="shared" si="313"/>
        <v>0</v>
      </c>
      <c r="AW182" s="671">
        <f t="shared" si="314"/>
        <v>0</v>
      </c>
      <c r="AX182" s="671">
        <f t="shared" si="315"/>
        <v>0.35783000000000004</v>
      </c>
      <c r="AY182" s="667">
        <f>HLOOKUP(B182,'מטריצת ייצור מתחדשות'!$C$80:$W$102,'מטריצת ייצור מתחדשות'!$B$101-'מטריצת ייצור מתחדשות'!$B$81+3,FALSE)</f>
        <v>25.626016870000111</v>
      </c>
      <c r="AZ182" s="668">
        <v>0</v>
      </c>
      <c r="BA182" s="668">
        <f ca="1">'הספק קיים ותחזית יצור'!M124*VLOOKUP('התפלגות ייצור וסל דלקים'!BA$170,'הנחות עבודה'!$C$33:$D$45,2,FALSE)/'הנחות עבודה'!$D$14</f>
        <v>2.1998863899999876</v>
      </c>
      <c r="BB182" s="668">
        <f ca="1">'הספק קיים ותחזית יצור'!N123*VLOOKUP('התפלגות ייצור וסל דלקים'!BB$170,'הנחות עבודה'!$C$33:$D$45,2,FALSE)/'הנחות עבודה'!$D$14</f>
        <v>0.58253999999990813</v>
      </c>
      <c r="BC182" s="668">
        <f ca="1">'הספק קיים ותחזית יצור'!O123*VLOOKUP('התפלגות ייצור וסל דלקים'!BC$170,'הנחות עבודה'!$C$33:$D$45,2,FALSE)/'הנחות עבודה'!$D$14</f>
        <v>0.7377660400000029</v>
      </c>
      <c r="BD182" s="668">
        <v>0</v>
      </c>
      <c r="BE182" s="668">
        <v>15.702</v>
      </c>
      <c r="BF182" s="668">
        <f ca="1">'הספק קיים ותחזית יצור'!C17-SUM('התפלגות ייצור וסל דלקים'!AY182:BE182,'התפלגות ייצור וסל דלקים'!BG182:BJ182)</f>
        <v>52.051221699999985</v>
      </c>
      <c r="BG182" s="668">
        <v>0</v>
      </c>
      <c r="BH182" s="668">
        <v>0</v>
      </c>
      <c r="BI182" s="668">
        <v>0</v>
      </c>
      <c r="BJ182" s="668">
        <v>0.35680000000000001</v>
      </c>
      <c r="BK182" s="672">
        <v>0</v>
      </c>
      <c r="BL182" s="671">
        <f>HLOOKUP(B182,'מטריצת ייצור מתחדשות'!$C$80:$W$102,'מטריצת ייצור מתחדשות'!$B$101-'מטריצת ייצור מתחדשות'!$B$81+3,FALSE)</f>
        <v>25.626016870000111</v>
      </c>
      <c r="BM182" s="671">
        <f t="shared" ca="1" si="316"/>
        <v>2.1998863899999876</v>
      </c>
      <c r="BN182" s="671">
        <f t="shared" ca="1" si="317"/>
        <v>0.58253999999990813</v>
      </c>
      <c r="BO182" s="671">
        <f t="shared" ca="1" si="318"/>
        <v>0.7377660400000029</v>
      </c>
      <c r="BP182" s="671">
        <f t="shared" si="319"/>
        <v>0</v>
      </c>
      <c r="BQ182" s="671">
        <f t="shared" si="320"/>
        <v>15.702</v>
      </c>
      <c r="BR182" s="671">
        <f t="shared" ca="1" si="321"/>
        <v>52.051221699999985</v>
      </c>
      <c r="BS182" s="671">
        <f t="shared" si="322"/>
        <v>0</v>
      </c>
      <c r="BT182" s="671">
        <f t="shared" si="323"/>
        <v>0</v>
      </c>
      <c r="BU182" s="671">
        <f t="shared" si="324"/>
        <v>0</v>
      </c>
      <c r="BV182" s="673">
        <f t="shared" si="325"/>
        <v>0.35680000000000001</v>
      </c>
      <c r="BX182" s="862">
        <f t="shared" si="296"/>
        <v>2030</v>
      </c>
      <c r="BY182" s="866">
        <v>0.90727000000000002</v>
      </c>
      <c r="BZ182" s="869">
        <f>BY182/('הספק קיים ותחזית יצור'!E66-('הספק קיים ותחזית יצור'!M124*'הנחות עבודה'!$D$35+'הנחות עבודה'!$D$36*'הספק קיים ותחזית יצור'!N124+'הספק קיים ותחזית יצור'!O124*'הנחות עבודה'!$D$37)/'הנחות עבודה'!$D$14)</f>
        <v>3.5404253599088345E-2</v>
      </c>
    </row>
    <row r="183" spans="2:78" ht="15.75" hidden="1" outlineLevel="1">
      <c r="B183" s="10">
        <f t="shared" si="295"/>
        <v>2031</v>
      </c>
      <c r="C183" s="667">
        <f>HLOOKUP(B183,'מטריצת ייצור מתחדשות'!$C$130:$W$152,'מטריצת ייצור מתחדשות'!$B$151-'מטריצת ייצור מתחדשות'!$B$131+3,FALSE)</f>
        <v>12.904810598960104</v>
      </c>
      <c r="D183" s="668">
        <v>0</v>
      </c>
      <c r="E183" s="668">
        <f ca="1">'הספק קיים ותחזית יצור'!M125*VLOOKUP('התפלגות ייצור וסל דלקים'!E$170,'הנחות עבודה'!$C$33:$D$45,2,FALSE)/'הנחות עבודה'!$D$14</f>
        <v>2.1998863899999876</v>
      </c>
      <c r="F183" s="668">
        <f ca="1">'הספק קיים ותחזית יצור'!N125*VLOOKUP('התפלגות ייצור וסל דלקים'!F$170,'הנחות עבודה'!$C$33:$D$45,2,FALSE)/'הנחות עבודה'!$D$14</f>
        <v>0.61319999999990338</v>
      </c>
      <c r="G183" s="668">
        <f ca="1">'הספק קיים ותחזית יצור'!O125*VLOOKUP('התפלגות ייצור וסל דלקים'!G$170,'הנחות עבודה'!$C$33:$D$45,2,FALSE)/'הנחות עבודה'!$D$14</f>
        <v>0.7377660400000029</v>
      </c>
      <c r="H183" s="668">
        <v>0</v>
      </c>
      <c r="I183" s="668">
        <v>14.496930000000001</v>
      </c>
      <c r="J183" s="668">
        <f ca="1">'הספק קיים ותחזית יצור'!C18-SUM('התפלגות ייצור וסל דלקים'!C183:I183,'התפלגות ייצור וסל דלקים'!K183:N183)</f>
        <v>68.872114901040007</v>
      </c>
      <c r="K183" s="668">
        <v>0</v>
      </c>
      <c r="L183" s="668">
        <v>0</v>
      </c>
      <c r="M183" s="44">
        <v>0</v>
      </c>
      <c r="N183" s="669">
        <v>0.34921000000000002</v>
      </c>
      <c r="O183" s="670">
        <v>0</v>
      </c>
      <c r="P183" s="671">
        <f>HLOOKUP(B183,'מטריצת ייצור מתחדשות'!$C$130:$W$152,'מטריצת ייצור מתחדשות'!$B$151-'מטריצת ייצור מתחדשות'!$B$131+3,FALSE)</f>
        <v>12.904810598960104</v>
      </c>
      <c r="Q183" s="671">
        <f t="shared" ca="1" si="297"/>
        <v>2.1998863899999876</v>
      </c>
      <c r="R183" s="671">
        <f t="shared" ca="1" si="298"/>
        <v>0.61319999999990338</v>
      </c>
      <c r="S183" s="671">
        <f t="shared" ca="1" si="299"/>
        <v>0.7377660400000029</v>
      </c>
      <c r="T183" s="671">
        <f t="shared" si="300"/>
        <v>0</v>
      </c>
      <c r="U183" s="671">
        <f t="shared" si="301"/>
        <v>14.496930000000001</v>
      </c>
      <c r="V183" s="671">
        <f t="shared" ca="1" si="302"/>
        <v>68.872114901040007</v>
      </c>
      <c r="W183" s="671">
        <f t="shared" si="303"/>
        <v>0</v>
      </c>
      <c r="X183" s="671">
        <f t="shared" si="304"/>
        <v>0</v>
      </c>
      <c r="Y183" s="671">
        <f t="shared" si="305"/>
        <v>0</v>
      </c>
      <c r="Z183" s="671">
        <f t="shared" si="306"/>
        <v>0.34921000000000002</v>
      </c>
      <c r="AA183" s="667">
        <f>HLOOKUP(B183,'מטריצת ייצור מתחדשות'!$B$105:$W$127,'מטריצת ייצור מתחדשות'!$B$151-'מטריצת ייצור מתחדשות'!$B$131+3,FALSE)</f>
        <v>20.638626088080109</v>
      </c>
      <c r="AB183" s="668">
        <v>0</v>
      </c>
      <c r="AC183" s="668">
        <f ca="1">'הספק קיים ותחזית יצור'!M125*VLOOKUP('התפלגות ייצור וסל דלקים'!AC$170,'הנחות עבודה'!$C$33:$D$45,2,FALSE)/'הנחות עבודה'!$D$14</f>
        <v>2.1998863899999876</v>
      </c>
      <c r="AD183" s="668">
        <f ca="1">'הספק קיים ותחזית יצור'!N125*VLOOKUP('התפלגות ייצור וסל דלקים'!AD$170,'הנחות עבודה'!$C$33:$D$45,2,FALSE)/'הנחות עבודה'!$D$14</f>
        <v>0.61319999999990338</v>
      </c>
      <c r="AE183" s="668">
        <f ca="1">'הספק קיים ותחזית יצור'!O125*VLOOKUP('התפלגות ייצור וסל דלקים'!AE$170,'הנחות עבודה'!$C$33:$D$45,2,FALSE)/'הנחות עבודה'!$D$14</f>
        <v>0.7377660400000029</v>
      </c>
      <c r="AF183" s="668">
        <v>0</v>
      </c>
      <c r="AG183" s="668">
        <v>15.3995</v>
      </c>
      <c r="AH183" s="668">
        <f ca="1">'הספק קיים ותחזית יצור'!C18-SUM(AA183:AG183,AI183:AL183)</f>
        <v>60.235999411919998</v>
      </c>
      <c r="AI183" s="668">
        <v>0</v>
      </c>
      <c r="AJ183" s="668">
        <v>0</v>
      </c>
      <c r="AK183" s="44">
        <v>0</v>
      </c>
      <c r="AL183" s="669">
        <v>0.34894000000000003</v>
      </c>
      <c r="AM183" s="670">
        <v>0</v>
      </c>
      <c r="AN183" s="671">
        <f>HLOOKUP(B183,'מטריצת ייצור מתחדשות'!$B$105:$W$127,'מטריצת ייצור מתחדשות'!$B$151-'מטריצת ייצור מתחדשות'!$B$131+3,FALSE)</f>
        <v>20.638626088080109</v>
      </c>
      <c r="AO183" s="671">
        <f t="shared" ca="1" si="326"/>
        <v>2.1998863899999876</v>
      </c>
      <c r="AP183" s="671">
        <f t="shared" ca="1" si="307"/>
        <v>0.61319999999990338</v>
      </c>
      <c r="AQ183" s="671">
        <f t="shared" ca="1" si="308"/>
        <v>0.7377660400000029</v>
      </c>
      <c r="AR183" s="671">
        <f t="shared" si="309"/>
        <v>0</v>
      </c>
      <c r="AS183" s="671">
        <f t="shared" si="310"/>
        <v>15.3995</v>
      </c>
      <c r="AT183" s="671">
        <f t="shared" ca="1" si="311"/>
        <v>60.235999411919998</v>
      </c>
      <c r="AU183" s="671">
        <f t="shared" si="312"/>
        <v>0</v>
      </c>
      <c r="AV183" s="671">
        <f t="shared" si="313"/>
        <v>0</v>
      </c>
      <c r="AW183" s="671">
        <f t="shared" si="314"/>
        <v>0</v>
      </c>
      <c r="AX183" s="671">
        <f t="shared" si="315"/>
        <v>0.34894000000000003</v>
      </c>
      <c r="AY183" s="667">
        <f>HLOOKUP(B183,'מטריצת ייצור מתחדשות'!$C$80:$W$102,'מטריצת ייצור מתחדשות'!$B$101-'מטריצת ייצור מתחדשות'!$B$81+3,FALSE)</f>
        <v>25.47226076878011</v>
      </c>
      <c r="AZ183" s="668">
        <v>0</v>
      </c>
      <c r="BA183" s="668">
        <f ca="1">'הספק קיים ותחזית יצור'!M125*VLOOKUP('התפלגות ייצור וסל דלקים'!BA$170,'הנחות עבודה'!$C$33:$D$45,2,FALSE)/'הנחות עבודה'!$D$14</f>
        <v>2.1998863899999876</v>
      </c>
      <c r="BB183" s="668">
        <f ca="1">'הספק קיים ותחזית יצור'!N124*VLOOKUP('התפלגות ייצור וסל דלקים'!BB$170,'הנחות עבודה'!$C$33:$D$45,2,FALSE)/'הנחות עבודה'!$D$14</f>
        <v>0.61319999999990338</v>
      </c>
      <c r="BC183" s="668">
        <f ca="1">'הספק קיים ותחזית יצור'!O124*VLOOKUP('התפלגות ייצור וסל דלקים'!BC$170,'הנחות עבודה'!$C$33:$D$45,2,FALSE)/'הנחות עבודה'!$D$14</f>
        <v>0.7377660400000029</v>
      </c>
      <c r="BD183" s="668">
        <v>0</v>
      </c>
      <c r="BE183" s="668">
        <v>15.718</v>
      </c>
      <c r="BF183" s="668">
        <f ca="1">'הספק קיים ותחזית יצור'!C18-SUM('התפלגות ייצור וסל דלקים'!AY183:BE183,'התפלגות ייצור וסל דלקים'!BG183:BJ183)</f>
        <v>55.086504731219996</v>
      </c>
      <c r="BG183" s="668">
        <v>0</v>
      </c>
      <c r="BH183" s="668">
        <v>0</v>
      </c>
      <c r="BI183" s="668">
        <v>0</v>
      </c>
      <c r="BJ183" s="668">
        <v>0.3463</v>
      </c>
      <c r="BK183" s="672">
        <v>0</v>
      </c>
      <c r="BL183" s="671">
        <f>HLOOKUP(B183,'מטריצת ייצור מתחדשות'!$C$80:$W$102,'מטריצת ייצור מתחדשות'!$B$101-'מטריצת ייצור מתחדשות'!$B$81+3,FALSE)</f>
        <v>25.47226076878011</v>
      </c>
      <c r="BM183" s="671">
        <f t="shared" ca="1" si="316"/>
        <v>2.1998863899999876</v>
      </c>
      <c r="BN183" s="671">
        <f t="shared" ca="1" si="317"/>
        <v>0.61319999999990338</v>
      </c>
      <c r="BO183" s="671">
        <f t="shared" ca="1" si="318"/>
        <v>0.7377660400000029</v>
      </c>
      <c r="BP183" s="671">
        <f t="shared" si="319"/>
        <v>0</v>
      </c>
      <c r="BQ183" s="671">
        <f t="shared" si="320"/>
        <v>15.718</v>
      </c>
      <c r="BR183" s="671">
        <f t="shared" ca="1" si="321"/>
        <v>55.086504731219996</v>
      </c>
      <c r="BS183" s="671">
        <f t="shared" si="322"/>
        <v>0</v>
      </c>
      <c r="BT183" s="671">
        <f t="shared" si="323"/>
        <v>0</v>
      </c>
      <c r="BU183" s="671">
        <f t="shared" si="324"/>
        <v>0</v>
      </c>
      <c r="BV183" s="673">
        <f t="shared" si="325"/>
        <v>0.3463</v>
      </c>
      <c r="BX183" s="862">
        <f t="shared" si="296"/>
        <v>2031</v>
      </c>
      <c r="BY183" s="866">
        <v>0.90659199999999995</v>
      </c>
      <c r="BZ183" s="869">
        <f>BY183/('הספק קיים ותחזית יצור'!E67-('הספק קיים ותחזית יצור'!M125*'הנחות עבודה'!$D$35+'הנחות עבודה'!$D$36*'הספק קיים ותחזית יצור'!N125+'הספק קיים ותחזית יצור'!O125*'הנחות עבודה'!$D$37)/'הנחות עבודה'!$D$14)</f>
        <v>3.5377796112408322E-2</v>
      </c>
    </row>
    <row r="184" spans="2:78" ht="15.75" hidden="1" outlineLevel="1">
      <c r="B184" s="10">
        <f t="shared" si="295"/>
        <v>2032</v>
      </c>
      <c r="C184" s="667">
        <f>HLOOKUP(B184,'מטריצת ייצור מתחדשות'!$C$130:$W$152,'מטריצת ייצור מתחדשות'!$B$151-'מטריצת ייצור מתחדשות'!$B$131+3,FALSE)</f>
        <v>12.82738173536635</v>
      </c>
      <c r="D184" s="668">
        <v>0</v>
      </c>
      <c r="E184" s="668">
        <f ca="1">'הספק קיים ותחזית יצור'!M126*VLOOKUP('התפלגות ייצור וסל דלקים'!E$170,'הנחות עבודה'!$C$33:$D$45,2,FALSE)/'הנחות עבודה'!$D$14</f>
        <v>2.1998863899999876</v>
      </c>
      <c r="F184" s="668">
        <f ca="1">'הספק קיים ותחזית יצור'!N126*VLOOKUP('התפלגות ייצור וסל דלקים'!F$170,'הנחות עבודה'!$C$33:$D$45,2,FALSE)/'הנחות עבודה'!$D$14</f>
        <v>0.61319999999990338</v>
      </c>
      <c r="G184" s="668">
        <f ca="1">'הספק קיים ותחזית יצור'!O126*VLOOKUP('התפלגות ייצור וסל דלקים'!G$170,'הנחות עבודה'!$C$33:$D$45,2,FALSE)/'הנחות עבודה'!$D$14</f>
        <v>0.7377660400000029</v>
      </c>
      <c r="H184" s="668">
        <v>0</v>
      </c>
      <c r="I184" s="668">
        <v>14.490209999999999</v>
      </c>
      <c r="J184" s="668">
        <f ca="1">'הספק קיים ותחזית יצור'!C19-SUM('התפלגות ייצור וסל דלקים'!C184:I184,'התפלגות ייצור וסל דלקים'!K184:N184)</f>
        <v>71.965581302533764</v>
      </c>
      <c r="K184" s="668">
        <v>0</v>
      </c>
      <c r="L184" s="668">
        <v>0</v>
      </c>
      <c r="M184" s="44">
        <v>0</v>
      </c>
      <c r="N184" s="669">
        <v>0.34510999999999997</v>
      </c>
      <c r="O184" s="670">
        <v>0</v>
      </c>
      <c r="P184" s="671">
        <f>HLOOKUP(B184,'מטריצת ייצור מתחדשות'!$C$130:$W$152,'מטריצת ייצור מתחדשות'!$B$151-'מטריצת ייצור מתחדשות'!$B$131+3,FALSE)</f>
        <v>12.82738173536635</v>
      </c>
      <c r="Q184" s="671">
        <f t="shared" ca="1" si="297"/>
        <v>2.1998863899999876</v>
      </c>
      <c r="R184" s="671">
        <f t="shared" ca="1" si="298"/>
        <v>0.61319999999990338</v>
      </c>
      <c r="S184" s="671">
        <f t="shared" ca="1" si="299"/>
        <v>0.7377660400000029</v>
      </c>
      <c r="T184" s="671">
        <f t="shared" si="300"/>
        <v>0</v>
      </c>
      <c r="U184" s="671">
        <f t="shared" si="301"/>
        <v>14.490209999999999</v>
      </c>
      <c r="V184" s="671">
        <f t="shared" ca="1" si="302"/>
        <v>71.965581302533764</v>
      </c>
      <c r="W184" s="671">
        <f t="shared" si="303"/>
        <v>0</v>
      </c>
      <c r="X184" s="671">
        <f t="shared" si="304"/>
        <v>0</v>
      </c>
      <c r="Y184" s="671">
        <f t="shared" si="305"/>
        <v>0</v>
      </c>
      <c r="Z184" s="671">
        <f t="shared" si="306"/>
        <v>0.34510999999999997</v>
      </c>
      <c r="AA184" s="667">
        <f>HLOOKUP(B184,'מטריצת ייצור מתחדשות'!$B$105:$W$127,'מטריצת ייצור מתחדשות'!$B$151-'מטריצת ייצור מתחדשות'!$B$131+3,FALSE)</f>
        <v>20.514794331551624</v>
      </c>
      <c r="AB184" s="668">
        <v>0</v>
      </c>
      <c r="AC184" s="668">
        <f ca="1">'הספק קיים ותחזית יצור'!M126*VLOOKUP('התפלגות ייצור וסל דלקים'!AC$170,'הנחות עבודה'!$C$33:$D$45,2,FALSE)/'הנחות עבודה'!$D$14</f>
        <v>2.1998863899999876</v>
      </c>
      <c r="AD184" s="668">
        <f ca="1">'הספק קיים ותחזית יצור'!N126*VLOOKUP('התפלגות ייצור וסל דלקים'!AD$170,'הנחות עבודה'!$C$33:$D$45,2,FALSE)/'הנחות עבודה'!$D$14</f>
        <v>0.61319999999990338</v>
      </c>
      <c r="AE184" s="668">
        <f ca="1">'הספק קיים ותחזית יצור'!O126*VLOOKUP('התפלגות ייצור וסל דלקים'!AE$170,'הנחות עבודה'!$C$33:$D$45,2,FALSE)/'הנחות עבודה'!$D$14</f>
        <v>0.7377660400000029</v>
      </c>
      <c r="AF184" s="668">
        <v>0</v>
      </c>
      <c r="AG184" s="668">
        <v>15.459100000000001</v>
      </c>
      <c r="AH184" s="668">
        <f ca="1">'הספק קיים ותחזית יצור'!C19-SUM(AA184:AG184,AI184:AL184)</f>
        <v>63.308568706348488</v>
      </c>
      <c r="AI184" s="668">
        <v>0</v>
      </c>
      <c r="AJ184" s="668">
        <v>0</v>
      </c>
      <c r="AK184" s="44">
        <v>0</v>
      </c>
      <c r="AL184" s="669">
        <v>0.34581999999999996</v>
      </c>
      <c r="AM184" s="670">
        <v>0</v>
      </c>
      <c r="AN184" s="671">
        <f>HLOOKUP(B184,'מטריצת ייצור מתחדשות'!$B$105:$W$127,'מטריצת ייצור מתחדשות'!$B$151-'מטריצת ייצור מתחדשות'!$B$131+3,FALSE)</f>
        <v>20.514794331551624</v>
      </c>
      <c r="AO184" s="671">
        <f t="shared" ca="1" si="326"/>
        <v>2.1998863899999876</v>
      </c>
      <c r="AP184" s="671">
        <f t="shared" ca="1" si="307"/>
        <v>0.61319999999990338</v>
      </c>
      <c r="AQ184" s="671">
        <f t="shared" ca="1" si="308"/>
        <v>0.7377660400000029</v>
      </c>
      <c r="AR184" s="671">
        <f t="shared" si="309"/>
        <v>0</v>
      </c>
      <c r="AS184" s="671">
        <f t="shared" si="310"/>
        <v>15.459100000000001</v>
      </c>
      <c r="AT184" s="671">
        <f t="shared" ca="1" si="311"/>
        <v>63.308568706348488</v>
      </c>
      <c r="AU184" s="671">
        <f t="shared" si="312"/>
        <v>0</v>
      </c>
      <c r="AV184" s="671">
        <f t="shared" si="313"/>
        <v>0</v>
      </c>
      <c r="AW184" s="671">
        <f t="shared" si="314"/>
        <v>0</v>
      </c>
      <c r="AX184" s="671">
        <f t="shared" si="315"/>
        <v>0.34581999999999996</v>
      </c>
      <c r="AY184" s="667">
        <f>HLOOKUP(B184,'מטריצת ייצור מתחדשות'!$C$80:$W$102,'מטריצת ייצור מתחדשות'!$B$101-'מטריצת ייצור מתחדשות'!$B$81+3,FALSE)</f>
        <v>25.319427204167425</v>
      </c>
      <c r="AZ184" s="668">
        <v>0</v>
      </c>
      <c r="BA184" s="668">
        <f ca="1">'הספק קיים ותחזית יצור'!M126*VLOOKUP('התפלגות ייצור וסל דלקים'!BA$170,'הנחות עבודה'!$C$33:$D$45,2,FALSE)/'הנחות עבודה'!$D$14</f>
        <v>2.1998863899999876</v>
      </c>
      <c r="BB184" s="668">
        <f ca="1">'הספק קיים ותחזית יצור'!N125*VLOOKUP('התפלגות ייצור וסל דלקים'!BB$170,'הנחות עבודה'!$C$33:$D$45,2,FALSE)/'הנחות עבודה'!$D$14</f>
        <v>0.61319999999990338</v>
      </c>
      <c r="BC184" s="668">
        <f ca="1">'הספק קיים ותחזית יצור'!O125*VLOOKUP('התפלגות ייצור וסל דלקים'!BC$170,'הנחות עבודה'!$C$33:$D$45,2,FALSE)/'הנחות עבודה'!$D$14</f>
        <v>0.7377660400000029</v>
      </c>
      <c r="BD184" s="668">
        <v>0</v>
      </c>
      <c r="BE184" s="668">
        <v>15.814</v>
      </c>
      <c r="BF184" s="668">
        <f ca="1">'הספק קיים ותחזית יצור'!C19-SUM('התפלגות ייצור וסל דלקים'!AY184:BE184,'התפלגות ייצור וסל דלקים'!BG184:BJ184)</f>
        <v>58.154855833732682</v>
      </c>
      <c r="BG184" s="668">
        <v>0</v>
      </c>
      <c r="BH184" s="668">
        <v>0</v>
      </c>
      <c r="BI184" s="668">
        <v>0</v>
      </c>
      <c r="BJ184" s="668">
        <v>0.34</v>
      </c>
      <c r="BK184" s="672">
        <v>0</v>
      </c>
      <c r="BL184" s="671">
        <f>HLOOKUP(B184,'מטריצת ייצור מתחדשות'!$C$80:$W$102,'מטריצת ייצור מתחדשות'!$B$101-'מטריצת ייצור מתחדשות'!$B$81+3,FALSE)</f>
        <v>25.319427204167425</v>
      </c>
      <c r="BM184" s="671">
        <f t="shared" ca="1" si="316"/>
        <v>2.1998863899999876</v>
      </c>
      <c r="BN184" s="671">
        <f t="shared" ca="1" si="317"/>
        <v>0.61319999999990338</v>
      </c>
      <c r="BO184" s="671">
        <f t="shared" ca="1" si="318"/>
        <v>0.7377660400000029</v>
      </c>
      <c r="BP184" s="671">
        <f t="shared" si="319"/>
        <v>0</v>
      </c>
      <c r="BQ184" s="671">
        <f t="shared" si="320"/>
        <v>15.814</v>
      </c>
      <c r="BR184" s="671">
        <f t="shared" ca="1" si="321"/>
        <v>58.154855833732682</v>
      </c>
      <c r="BS184" s="671">
        <f t="shared" si="322"/>
        <v>0</v>
      </c>
      <c r="BT184" s="671">
        <f t="shared" si="323"/>
        <v>0</v>
      </c>
      <c r="BU184" s="671">
        <f t="shared" si="324"/>
        <v>0</v>
      </c>
      <c r="BV184" s="673">
        <f t="shared" si="325"/>
        <v>0.34</v>
      </c>
      <c r="BX184" s="862">
        <f t="shared" si="296"/>
        <v>2032</v>
      </c>
      <c r="BY184" s="866">
        <v>0.90798199999999996</v>
      </c>
      <c r="BZ184" s="869">
        <f>BY184/('הספק קיים ותחזית יצור'!E68-('הספק קיים ותחזית יצור'!M126*'הנחות עבודה'!$D$35+'הנחות עבודה'!$D$36*'הספק קיים ותחזית יצור'!N126+'הספק קיים ותחזית יצור'!O126*'הנחות עבודה'!$D$37)/'הנחות עבודה'!$D$14)</f>
        <v>3.5432037862386537E-2</v>
      </c>
    </row>
    <row r="185" spans="2:78" ht="15.75" hidden="1" outlineLevel="1">
      <c r="B185" s="10">
        <f t="shared" si="295"/>
        <v>2033</v>
      </c>
      <c r="C185" s="667">
        <f>HLOOKUP(B185,'מטריצת ייצור מתחדשות'!$C$130:$W$152,'מטריצת ייצור מתחדשות'!$B$151-'מטריצת ייצור מתחדשות'!$B$131+3,FALSE)</f>
        <v>12.750417444954151</v>
      </c>
      <c r="D185" s="668">
        <v>0</v>
      </c>
      <c r="E185" s="668">
        <f ca="1">'הספק קיים ותחזית יצור'!M127*VLOOKUP('התפלגות ייצור וסל דלקים'!E$170,'הנחות עבודה'!$C$33:$D$45,2,FALSE)/'הנחות עבודה'!$D$14</f>
        <v>2.1998863899999876</v>
      </c>
      <c r="F185" s="668">
        <f ca="1">'הספק קיים ותחזית יצור'!N127*VLOOKUP('התפלגות ייצור וסל דלקים'!F$170,'הנחות עבודה'!$C$33:$D$45,2,FALSE)/'הנחות עבודה'!$D$14</f>
        <v>0.61319999999990338</v>
      </c>
      <c r="G185" s="668">
        <f ca="1">'הספק קיים ותחזית יצור'!O127*VLOOKUP('התפלגות ייצור וסל דלקים'!G$170,'הנחות עבודה'!$C$33:$D$45,2,FALSE)/'הנחות עבודה'!$D$14</f>
        <v>0.7377660400000029</v>
      </c>
      <c r="H185" s="668">
        <v>0</v>
      </c>
      <c r="I185" s="668">
        <v>14.790119999999998</v>
      </c>
      <c r="J185" s="668">
        <f ca="1">'הספק קיים ותחזית יצור'!C20-SUM('התפלגות ייצור וסל דלקים'!C185:I185,'התפלגות ייצור וסל דלקים'!K185:N185)</f>
        <v>74.831239656982973</v>
      </c>
      <c r="K185" s="668">
        <v>0</v>
      </c>
      <c r="L185" s="668">
        <v>0</v>
      </c>
      <c r="M185" s="44">
        <v>0</v>
      </c>
      <c r="N185" s="669">
        <v>0.35187999999999997</v>
      </c>
      <c r="O185" s="670">
        <v>0</v>
      </c>
      <c r="P185" s="671">
        <f>HLOOKUP(B185,'מטריצת ייצור מתחדשות'!$C$130:$W$152,'מטריצת ייצור מתחדשות'!$B$151-'מטריצת ייצור מתחדשות'!$B$131+3,FALSE)</f>
        <v>12.750417444954151</v>
      </c>
      <c r="Q185" s="671">
        <f t="shared" ca="1" si="297"/>
        <v>2.1998863899999876</v>
      </c>
      <c r="R185" s="671">
        <f t="shared" ca="1" si="298"/>
        <v>0.61319999999990338</v>
      </c>
      <c r="S185" s="671">
        <f t="shared" ca="1" si="299"/>
        <v>0.7377660400000029</v>
      </c>
      <c r="T185" s="671">
        <f t="shared" si="300"/>
        <v>0</v>
      </c>
      <c r="U185" s="671">
        <f t="shared" si="301"/>
        <v>14.790119999999998</v>
      </c>
      <c r="V185" s="671">
        <f t="shared" ca="1" si="302"/>
        <v>74.831239656982973</v>
      </c>
      <c r="W185" s="671">
        <f t="shared" si="303"/>
        <v>0</v>
      </c>
      <c r="X185" s="671">
        <f t="shared" si="304"/>
        <v>0</v>
      </c>
      <c r="Y185" s="671">
        <f t="shared" si="305"/>
        <v>0</v>
      </c>
      <c r="Z185" s="671">
        <f t="shared" si="306"/>
        <v>0.35187999999999997</v>
      </c>
      <c r="AA185" s="667">
        <f>HLOOKUP(B185,'מטריצת ייצור מתחדשות'!$B$105:$W$127,'מטריצת ייצור מתחדשות'!$B$151-'מטריצת ייצור מתחדשות'!$B$131+3,FALSE)</f>
        <v>20.391705565562319</v>
      </c>
      <c r="AB185" s="668">
        <v>0</v>
      </c>
      <c r="AC185" s="668">
        <f ca="1">'הספק קיים ותחזית יצור'!M127*VLOOKUP('התפלגות ייצור וסל דלקים'!AC$170,'הנחות עבודה'!$C$33:$D$45,2,FALSE)/'הנחות עבודה'!$D$14</f>
        <v>2.1998863899999876</v>
      </c>
      <c r="AD185" s="668">
        <f ca="1">'הספק קיים ותחזית יצור'!N127*VLOOKUP('התפלגות ייצור וסל דלקים'!AD$170,'הנחות עבודה'!$C$33:$D$45,2,FALSE)/'הנחות עבודה'!$D$14</f>
        <v>0.61319999999990338</v>
      </c>
      <c r="AE185" s="668">
        <f ca="1">'הספק קיים ותחזית יצור'!O127*VLOOKUP('התפלגות ייצור וסל דלקים'!AE$170,'הנחות עבודה'!$C$33:$D$45,2,FALSE)/'הנחות עבודה'!$D$14</f>
        <v>0.7377660400000029</v>
      </c>
      <c r="AF185" s="668">
        <v>0</v>
      </c>
      <c r="AG185" s="668">
        <v>15.75886</v>
      </c>
      <c r="AH185" s="668">
        <f ca="1">'הספק קיים ותחזית יצור'!C20-SUM(AA185:AG185,AI185:AL185)</f>
        <v>66.217181536374795</v>
      </c>
      <c r="AI185" s="668">
        <v>0</v>
      </c>
      <c r="AJ185" s="668">
        <v>0</v>
      </c>
      <c r="AK185" s="44">
        <v>0</v>
      </c>
      <c r="AL185" s="669">
        <v>0.35591</v>
      </c>
      <c r="AM185" s="670">
        <v>0</v>
      </c>
      <c r="AN185" s="671">
        <f>HLOOKUP(B185,'מטריצת ייצור מתחדשות'!$B$105:$W$127,'מטריצת ייצור מתחדשות'!$B$151-'מטריצת ייצור מתחדשות'!$B$131+3,FALSE)</f>
        <v>20.391705565562319</v>
      </c>
      <c r="AO185" s="671">
        <f t="shared" ca="1" si="326"/>
        <v>2.1998863899999876</v>
      </c>
      <c r="AP185" s="671">
        <f t="shared" ca="1" si="307"/>
        <v>0.61319999999990338</v>
      </c>
      <c r="AQ185" s="671">
        <f t="shared" ca="1" si="308"/>
        <v>0.7377660400000029</v>
      </c>
      <c r="AR185" s="671">
        <f t="shared" si="309"/>
        <v>0</v>
      </c>
      <c r="AS185" s="671">
        <f t="shared" si="310"/>
        <v>15.75886</v>
      </c>
      <c r="AT185" s="671">
        <f t="shared" ca="1" si="311"/>
        <v>66.217181536374795</v>
      </c>
      <c r="AU185" s="671">
        <f t="shared" si="312"/>
        <v>0</v>
      </c>
      <c r="AV185" s="671">
        <f t="shared" si="313"/>
        <v>0</v>
      </c>
      <c r="AW185" s="671">
        <f t="shared" si="314"/>
        <v>0</v>
      </c>
      <c r="AX185" s="671">
        <f t="shared" si="315"/>
        <v>0.35591</v>
      </c>
      <c r="AY185" s="667">
        <f>HLOOKUP(B185,'מטריצת ייצור מתחדשות'!$C$80:$W$102,'מטריצת ייצור מתחדשות'!$B$101-'מטריצת ייצור מתחדשות'!$B$81+3,FALSE)</f>
        <v>25.167510640942421</v>
      </c>
      <c r="AZ185" s="668">
        <v>0</v>
      </c>
      <c r="BA185" s="668">
        <f ca="1">'הספק קיים ותחזית יצור'!M127*VLOOKUP('התפלגות ייצור וסל דלקים'!BA$170,'הנחות עבודה'!$C$33:$D$45,2,FALSE)/'הנחות עבודה'!$D$14</f>
        <v>2.1998863899999876</v>
      </c>
      <c r="BB185" s="668">
        <f ca="1">'הספק קיים ותחזית יצור'!N126*VLOOKUP('התפלגות ייצור וסל דלקים'!BB$170,'הנחות עבודה'!$C$33:$D$45,2,FALSE)/'הנחות עבודה'!$D$14</f>
        <v>0.61319999999990338</v>
      </c>
      <c r="BC185" s="668">
        <f ca="1">'הספק קיים ותחזית יצור'!O126*VLOOKUP('התפלגות ייצור וסל דלקים'!BC$170,'הנחות עבודה'!$C$33:$D$45,2,FALSE)/'הנחות עבודה'!$D$14</f>
        <v>0.7377660400000029</v>
      </c>
      <c r="BD185" s="668">
        <v>0</v>
      </c>
      <c r="BE185" s="668">
        <v>16.167000000000002</v>
      </c>
      <c r="BF185" s="668">
        <f ca="1">'הספק קיים ותחזית יצור'!C20-SUM('התפלגות ייצור וסל דלקים'!AY185:BE185,'התפלגות ייצור וסל דלקים'!BG185:BJ185)</f>
        <v>61.039046460994697</v>
      </c>
      <c r="BG185" s="668">
        <v>0</v>
      </c>
      <c r="BH185" s="668">
        <v>0</v>
      </c>
      <c r="BI185" s="668">
        <v>0</v>
      </c>
      <c r="BJ185" s="668">
        <v>0.35010000000000002</v>
      </c>
      <c r="BK185" s="672">
        <v>0</v>
      </c>
      <c r="BL185" s="671">
        <f>HLOOKUP(B185,'מטריצת ייצור מתחדשות'!$C$80:$W$102,'מטריצת ייצור מתחדשות'!$B$101-'מטריצת ייצור מתחדשות'!$B$81+3,FALSE)</f>
        <v>25.167510640942421</v>
      </c>
      <c r="BM185" s="671">
        <f t="shared" ca="1" si="316"/>
        <v>2.1998863899999876</v>
      </c>
      <c r="BN185" s="671">
        <f t="shared" ca="1" si="317"/>
        <v>0.61319999999990338</v>
      </c>
      <c r="BO185" s="671">
        <f t="shared" ca="1" si="318"/>
        <v>0.7377660400000029</v>
      </c>
      <c r="BP185" s="671">
        <f t="shared" si="319"/>
        <v>0</v>
      </c>
      <c r="BQ185" s="671">
        <f t="shared" si="320"/>
        <v>16.167000000000002</v>
      </c>
      <c r="BR185" s="671">
        <f t="shared" ca="1" si="321"/>
        <v>61.039046460994697</v>
      </c>
      <c r="BS185" s="671">
        <f t="shared" si="322"/>
        <v>0</v>
      </c>
      <c r="BT185" s="671">
        <f t="shared" si="323"/>
        <v>0</v>
      </c>
      <c r="BU185" s="671">
        <f t="shared" si="324"/>
        <v>0</v>
      </c>
      <c r="BV185" s="673">
        <f t="shared" si="325"/>
        <v>0.35010000000000002</v>
      </c>
      <c r="BX185" s="862">
        <f t="shared" si="296"/>
        <v>2033</v>
      </c>
      <c r="BY185" s="866">
        <v>0.92726599999999992</v>
      </c>
      <c r="BZ185" s="869">
        <f>BY185/('הספק קיים ותחזית יצור'!E69-('הספק קיים ותחזית יצור'!M127*'הנחות עבודה'!$D$35+'הנחות עבודה'!$D$36*'הספק קיים ותחזית יצור'!N127+'הספק קיים ותחזית יצור'!O127*'הנחות עבודה'!$D$37)/'הנחות עבודה'!$D$14)</f>
        <v>3.6184554341940386E-2</v>
      </c>
    </row>
    <row r="186" spans="2:78" ht="15.75" hidden="1" outlineLevel="1">
      <c r="B186" s="10">
        <f t="shared" si="295"/>
        <v>2034</v>
      </c>
      <c r="C186" s="667">
        <f>HLOOKUP(B186,'מטריצת ייצור מתחדשות'!$C$130:$W$152,'מטריצת ייצור מתחדשות'!$B$151-'מטריצת ייצור מתחדשות'!$B$131+3,FALSE)</f>
        <v>12.673914940284423</v>
      </c>
      <c r="D186" s="668">
        <v>0</v>
      </c>
      <c r="E186" s="668">
        <f ca="1">'הספק קיים ותחזית יצור'!M128*VLOOKUP('התפלגות ייצור וסל דלקים'!E$170,'הנחות עבודה'!$C$33:$D$45,2,FALSE)/'הנחות עבודה'!$D$14</f>
        <v>2.1998863899999876</v>
      </c>
      <c r="F186" s="668">
        <f ca="1">'הספק קיים ותחזית יצור'!N128*VLOOKUP('התפלגות ייצור וסל דלקים'!F$170,'הנחות עבודה'!$C$33:$D$45,2,FALSE)/'הנחות עבודה'!$D$14</f>
        <v>0.61319999999990338</v>
      </c>
      <c r="G186" s="668">
        <f ca="1">'הספק קיים ותחזית יצור'!O128*VLOOKUP('התפלגות ייצור וסל דלקים'!G$170,'הנחות עבודה'!$C$33:$D$45,2,FALSE)/'הנחות עבודה'!$D$14</f>
        <v>0.7377660400000029</v>
      </c>
      <c r="H186" s="668">
        <v>0</v>
      </c>
      <c r="I186" s="668">
        <v>14.716479999999999</v>
      </c>
      <c r="J186" s="668">
        <f ca="1">'הספק קיים ותחזית יצור'!C21-SUM('התפלגות ייצור וסל דלקים'!C186:I186,'התפלגות ייצור וסל דלקים'!K186:N186)</f>
        <v>78.175137447610808</v>
      </c>
      <c r="K186" s="668">
        <v>0</v>
      </c>
      <c r="L186" s="668">
        <v>0</v>
      </c>
      <c r="M186" s="44">
        <v>0</v>
      </c>
      <c r="N186" s="669">
        <v>0.34636</v>
      </c>
      <c r="O186" s="670">
        <v>0</v>
      </c>
      <c r="P186" s="671">
        <f>HLOOKUP(B186,'מטריצת ייצור מתחדשות'!$C$130:$W$152,'מטריצת ייצור מתחדשות'!$B$151-'מטריצת ייצור מתחדשות'!$B$131+3,FALSE)</f>
        <v>12.673914940284423</v>
      </c>
      <c r="Q186" s="671">
        <f t="shared" ca="1" si="297"/>
        <v>2.1998863899999876</v>
      </c>
      <c r="R186" s="671">
        <f t="shared" ca="1" si="298"/>
        <v>0.61319999999990338</v>
      </c>
      <c r="S186" s="671">
        <f t="shared" ca="1" si="299"/>
        <v>0.7377660400000029</v>
      </c>
      <c r="T186" s="671">
        <f t="shared" si="300"/>
        <v>0</v>
      </c>
      <c r="U186" s="671">
        <f t="shared" si="301"/>
        <v>14.716479999999999</v>
      </c>
      <c r="V186" s="671">
        <f t="shared" ca="1" si="302"/>
        <v>78.175137447610808</v>
      </c>
      <c r="W186" s="671">
        <f t="shared" si="303"/>
        <v>0</v>
      </c>
      <c r="X186" s="671">
        <f t="shared" si="304"/>
        <v>0</v>
      </c>
      <c r="Y186" s="671">
        <f t="shared" si="305"/>
        <v>0</v>
      </c>
      <c r="Z186" s="671">
        <f t="shared" si="306"/>
        <v>0.34636</v>
      </c>
      <c r="AA186" s="667">
        <f>HLOOKUP(B186,'מטריצת ייצור מתחדשות'!$B$105:$W$127,'מטריצת ייצור מתחדשות'!$B$151-'מטריצת ייצור מתחדשות'!$B$131+3,FALSE)</f>
        <v>20.269355332168946</v>
      </c>
      <c r="AB186" s="668">
        <v>0</v>
      </c>
      <c r="AC186" s="668">
        <f ca="1">'הספק קיים ותחזית יצור'!M128*VLOOKUP('התפלגות ייצור וסל דלקים'!AC$170,'הנחות עבודה'!$C$33:$D$45,2,FALSE)/'הנחות עבודה'!$D$14</f>
        <v>2.1998863899999876</v>
      </c>
      <c r="AD186" s="668">
        <f ca="1">'הספק קיים ותחזית יצור'!N128*VLOOKUP('התפלגות ייצור וסל דלקים'!AD$170,'הנחות עבודה'!$C$33:$D$45,2,FALSE)/'הנחות עבודה'!$D$14</f>
        <v>0.61319999999990338</v>
      </c>
      <c r="AE186" s="668">
        <f ca="1">'הספק קיים ותחזית יצור'!O128*VLOOKUP('התפלגות ייצור וסל דלקים'!AE$170,'הנחות עבודה'!$C$33:$D$45,2,FALSE)/'הנחות עבודה'!$D$14</f>
        <v>0.7377660400000029</v>
      </c>
      <c r="AF186" s="668">
        <v>0</v>
      </c>
      <c r="AG186" s="668">
        <v>15.69491</v>
      </c>
      <c r="AH186" s="668">
        <f ca="1">'הספק קיים ותחזית יצור'!C21-SUM(AA186:AG186,AI186:AL186)</f>
        <v>69.596227055726288</v>
      </c>
      <c r="AI186" s="668">
        <v>0</v>
      </c>
      <c r="AJ186" s="668">
        <v>0</v>
      </c>
      <c r="AK186" s="44">
        <v>0</v>
      </c>
      <c r="AL186" s="669">
        <v>0.35139999999999999</v>
      </c>
      <c r="AM186" s="670">
        <v>0</v>
      </c>
      <c r="AN186" s="671">
        <f>HLOOKUP(B186,'מטריצת ייצור מתחדשות'!$B$105:$W$127,'מטריצת ייצור מתחדשות'!$B$151-'מטריצת ייצור מתחדשות'!$B$131+3,FALSE)</f>
        <v>20.269355332168946</v>
      </c>
      <c r="AO186" s="671">
        <f t="shared" ca="1" si="326"/>
        <v>2.1998863899999876</v>
      </c>
      <c r="AP186" s="671">
        <f t="shared" ca="1" si="307"/>
        <v>0.61319999999990338</v>
      </c>
      <c r="AQ186" s="671">
        <f t="shared" ca="1" si="308"/>
        <v>0.7377660400000029</v>
      </c>
      <c r="AR186" s="671">
        <f t="shared" si="309"/>
        <v>0</v>
      </c>
      <c r="AS186" s="671">
        <f t="shared" si="310"/>
        <v>15.69491</v>
      </c>
      <c r="AT186" s="671">
        <f t="shared" ca="1" si="311"/>
        <v>69.596227055726288</v>
      </c>
      <c r="AU186" s="671">
        <f t="shared" si="312"/>
        <v>0</v>
      </c>
      <c r="AV186" s="671">
        <f t="shared" si="313"/>
        <v>0</v>
      </c>
      <c r="AW186" s="671">
        <f t="shared" si="314"/>
        <v>0</v>
      </c>
      <c r="AX186" s="671">
        <f t="shared" si="315"/>
        <v>0.35139999999999999</v>
      </c>
      <c r="AY186" s="667">
        <f>HLOOKUP(B186,'מטריצת ייצור מתחדשות'!$C$80:$W$102,'מטריצת ייצור מתחדשות'!$B$101-'מטריצת ייצור מתחדשות'!$B$81+3,FALSE)</f>
        <v>25.016505577096769</v>
      </c>
      <c r="AZ186" s="668">
        <v>0</v>
      </c>
      <c r="BA186" s="668">
        <f ca="1">'הספק קיים ותחזית יצור'!M128*VLOOKUP('התפלגות ייצור וסל דלקים'!BA$170,'הנחות עבודה'!$C$33:$D$45,2,FALSE)/'הנחות עבודה'!$D$14</f>
        <v>2.1998863899999876</v>
      </c>
      <c r="BB186" s="668">
        <f ca="1">'הספק קיים ותחזית יצור'!N127*VLOOKUP('התפלגות ייצור וסל דלקים'!BB$170,'הנחות עבודה'!$C$33:$D$45,2,FALSE)/'הנחות עבודה'!$D$14</f>
        <v>0.61319999999990338</v>
      </c>
      <c r="BC186" s="668">
        <f ca="1">'הספק קיים ותחזית יצור'!O127*VLOOKUP('התפלגות ייצור וסל דלקים'!BC$170,'הנחות עבודה'!$C$33:$D$45,2,FALSE)/'הנחות עבודה'!$D$14</f>
        <v>0.7377660400000029</v>
      </c>
      <c r="BD186" s="668">
        <v>0</v>
      </c>
      <c r="BE186" s="668">
        <v>16.077000000000002</v>
      </c>
      <c r="BF186" s="668">
        <f ca="1">'הספק קיים ותחזית יצור'!C21-SUM('התפלגות ייצור וסל דלקים'!AY186:BE186,'התפלגות ייצור וסל דלקים'!BG186:BJ186)</f>
        <v>64.475086810798459</v>
      </c>
      <c r="BG186" s="668">
        <v>0</v>
      </c>
      <c r="BH186" s="668">
        <v>0</v>
      </c>
      <c r="BI186" s="668">
        <v>0</v>
      </c>
      <c r="BJ186" s="668">
        <v>0.34329999999999999</v>
      </c>
      <c r="BK186" s="672">
        <v>0</v>
      </c>
      <c r="BL186" s="671">
        <f>HLOOKUP(B186,'מטריצת ייצור מתחדשות'!$C$80:$W$102,'מטריצת ייצור מתחדשות'!$B$101-'מטריצת ייצור מתחדשות'!$B$81+3,FALSE)</f>
        <v>25.016505577096769</v>
      </c>
      <c r="BM186" s="671">
        <f t="shared" ca="1" si="316"/>
        <v>2.1998863899999876</v>
      </c>
      <c r="BN186" s="671">
        <f t="shared" ca="1" si="317"/>
        <v>0.61319999999990338</v>
      </c>
      <c r="BO186" s="671">
        <f t="shared" ca="1" si="318"/>
        <v>0.7377660400000029</v>
      </c>
      <c r="BP186" s="671">
        <f t="shared" si="319"/>
        <v>0</v>
      </c>
      <c r="BQ186" s="671">
        <f t="shared" si="320"/>
        <v>16.077000000000002</v>
      </c>
      <c r="BR186" s="671">
        <f t="shared" ca="1" si="321"/>
        <v>64.475086810798459</v>
      </c>
      <c r="BS186" s="671">
        <f t="shared" si="322"/>
        <v>0</v>
      </c>
      <c r="BT186" s="671">
        <f t="shared" si="323"/>
        <v>0</v>
      </c>
      <c r="BU186" s="671">
        <f t="shared" si="324"/>
        <v>0</v>
      </c>
      <c r="BV186" s="673">
        <f t="shared" si="325"/>
        <v>0.34329999999999999</v>
      </c>
      <c r="BX186" s="862">
        <f t="shared" si="296"/>
        <v>2034</v>
      </c>
      <c r="BY186" s="866">
        <v>0.93597699999999995</v>
      </c>
      <c r="BZ186" s="869">
        <f>BY186/('הספק קיים ותחזית יצור'!E70-('הספק קיים ותחזית יצור'!M128*'הנחות עבודה'!$D$35+'הנחות עבודה'!$D$36*'הספק קיים ותחזית יצור'!N128+'הספק קיים ותחזית יצור'!O128*'הנחות עבודה'!$D$37)/'הנחות עבודה'!$D$14)</f>
        <v>3.652448231608442E-2</v>
      </c>
    </row>
    <row r="187" spans="2:78" ht="15.75" hidden="1" outlineLevel="1">
      <c r="B187" s="10">
        <f t="shared" si="295"/>
        <v>2035</v>
      </c>
      <c r="C187" s="667">
        <f>HLOOKUP(B187,'מטריצת ייצור מתחדשות'!$C$130:$W$152,'מטריצת ייצור מתחדשות'!$B$151-'מטריצת ייצור מתחדשות'!$B$131+3,FALSE)</f>
        <v>12.597871450642717</v>
      </c>
      <c r="D187" s="668">
        <v>0</v>
      </c>
      <c r="E187" s="668">
        <f ca="1">'הספק קיים ותחזית יצור'!M129*VLOOKUP('התפלגות ייצור וסל דלקים'!E$170,'הנחות עבודה'!$C$33:$D$45,2,FALSE)/'הנחות עבודה'!$D$14</f>
        <v>2.1998863899999876</v>
      </c>
      <c r="F187" s="668">
        <f ca="1">'הספק קיים ותחזית יצור'!N129*VLOOKUP('התפלגות ייצור וסל דלקים'!F$170,'הנחות עבודה'!$C$33:$D$45,2,FALSE)/'הנחות עבודה'!$D$14</f>
        <v>0.61319999999990338</v>
      </c>
      <c r="G187" s="668">
        <f ca="1">'הספק קיים ותחזית יצור'!O129*VLOOKUP('התפלגות ייצור וסל דלקים'!G$170,'הנחות עבודה'!$C$33:$D$45,2,FALSE)/'הנחות עבודה'!$D$14</f>
        <v>0.7377660400000029</v>
      </c>
      <c r="H187" s="668">
        <v>0</v>
      </c>
      <c r="I187" s="668">
        <v>14.811360000000001</v>
      </c>
      <c r="J187" s="668">
        <f ca="1">'הספק קיים ותחזית יצור'!C22-SUM('התפלגות ייצור וסל דלקים'!C187:I187,'התפלגות ייצור וסל דלקים'!K187:N187)</f>
        <v>81.441213281789373</v>
      </c>
      <c r="K187" s="668">
        <v>0</v>
      </c>
      <c r="L187" s="668">
        <v>0</v>
      </c>
      <c r="M187" s="44">
        <v>0</v>
      </c>
      <c r="N187" s="669">
        <v>0.34532999999999997</v>
      </c>
      <c r="O187" s="670">
        <v>0</v>
      </c>
      <c r="P187" s="671">
        <f>HLOOKUP(B187,'מטריצת ייצור מתחדשות'!$C$130:$W$152,'מטריצת ייצור מתחדשות'!$B$151-'מטריצת ייצור מתחדשות'!$B$131+3,FALSE)</f>
        <v>12.597871450642717</v>
      </c>
      <c r="Q187" s="671">
        <f t="shared" ca="1" si="297"/>
        <v>2.1998863899999876</v>
      </c>
      <c r="R187" s="671">
        <f t="shared" ca="1" si="298"/>
        <v>0.61319999999990338</v>
      </c>
      <c r="S187" s="671">
        <f t="shared" ca="1" si="299"/>
        <v>0.7377660400000029</v>
      </c>
      <c r="T187" s="671">
        <f t="shared" si="300"/>
        <v>0</v>
      </c>
      <c r="U187" s="671">
        <f t="shared" si="301"/>
        <v>14.811360000000001</v>
      </c>
      <c r="V187" s="671">
        <f t="shared" ca="1" si="302"/>
        <v>81.441213281789373</v>
      </c>
      <c r="W187" s="671">
        <f t="shared" si="303"/>
        <v>0</v>
      </c>
      <c r="X187" s="671">
        <f t="shared" si="304"/>
        <v>0</v>
      </c>
      <c r="Y187" s="671">
        <f t="shared" si="305"/>
        <v>0</v>
      </c>
      <c r="Z187" s="671">
        <f t="shared" si="306"/>
        <v>0.34532999999999997</v>
      </c>
      <c r="AA187" s="667">
        <f>HLOOKUP(B187,'מטריצת ייצור מתחדשות'!$B$105:$W$127,'מטריצת ייצור מתחדשות'!$B$151-'מטריצת ייצור מתחדשות'!$B$131+3,FALSE)</f>
        <v>20.147739200175927</v>
      </c>
      <c r="AB187" s="668">
        <v>0</v>
      </c>
      <c r="AC187" s="668">
        <f ca="1">'הספק קיים ותחזית יצור'!M129*VLOOKUP('התפלגות ייצור וסל דלקים'!AC$170,'הנחות עבודה'!$C$33:$D$45,2,FALSE)/'הנחות עבודה'!$D$14</f>
        <v>2.1998863899999876</v>
      </c>
      <c r="AD187" s="668">
        <f ca="1">'הספק קיים ותחזית יצור'!N129*VLOOKUP('התפלגות ייצור וסל דלקים'!AD$170,'הנחות עבודה'!$C$33:$D$45,2,FALSE)/'הנחות עבודה'!$D$14</f>
        <v>0.61319999999990338</v>
      </c>
      <c r="AE187" s="668">
        <f ca="1">'הספק קיים ותחזית יצור'!O129*VLOOKUP('התפלגות ייצור וסל דלקים'!AE$170,'הנחות עבודה'!$C$33:$D$45,2,FALSE)/'הנחות עבודה'!$D$14</f>
        <v>0.7377660400000029</v>
      </c>
      <c r="AF187" s="668">
        <v>0</v>
      </c>
      <c r="AG187" s="668">
        <v>15.831440000000001</v>
      </c>
      <c r="AH187" s="668">
        <f ca="1">'הספק קיים ותחזית יצור'!C22-SUM(AA187:AG187,AI187:AL187)</f>
        <v>72.869845532256164</v>
      </c>
      <c r="AI187" s="668">
        <v>0</v>
      </c>
      <c r="AJ187" s="668">
        <v>0</v>
      </c>
      <c r="AK187" s="44">
        <v>0</v>
      </c>
      <c r="AL187" s="669">
        <v>0.34675</v>
      </c>
      <c r="AM187" s="670">
        <v>0</v>
      </c>
      <c r="AN187" s="671">
        <f>HLOOKUP(B187,'מטריצת ייצור מתחדשות'!$B$105:$W$127,'מטריצת ייצור מתחדשות'!$B$151-'מטריצת ייצור מתחדשות'!$B$131+3,FALSE)</f>
        <v>20.147739200175927</v>
      </c>
      <c r="AO187" s="671">
        <f t="shared" ca="1" si="326"/>
        <v>2.1998863899999876</v>
      </c>
      <c r="AP187" s="671">
        <f t="shared" ca="1" si="307"/>
        <v>0.61319999999990338</v>
      </c>
      <c r="AQ187" s="671">
        <f t="shared" ca="1" si="308"/>
        <v>0.7377660400000029</v>
      </c>
      <c r="AR187" s="671">
        <f t="shared" si="309"/>
        <v>0</v>
      </c>
      <c r="AS187" s="671">
        <f t="shared" si="310"/>
        <v>15.831440000000001</v>
      </c>
      <c r="AT187" s="671">
        <f t="shared" ca="1" si="311"/>
        <v>72.869845532256164</v>
      </c>
      <c r="AU187" s="671">
        <f t="shared" si="312"/>
        <v>0</v>
      </c>
      <c r="AV187" s="671">
        <f t="shared" si="313"/>
        <v>0</v>
      </c>
      <c r="AW187" s="671">
        <f t="shared" si="314"/>
        <v>0</v>
      </c>
      <c r="AX187" s="671">
        <f t="shared" si="315"/>
        <v>0.34675</v>
      </c>
      <c r="AY187" s="667">
        <f>HLOOKUP(B187,'מטריצת ייצור מתחדשות'!$C$80:$W$102,'מטריצת ייצור מתחדשות'!$B$101-'מטריצת ייצור מתחדשות'!$B$81+3,FALSE)</f>
        <v>24.866406543634188</v>
      </c>
      <c r="AZ187" s="668">
        <v>0</v>
      </c>
      <c r="BA187" s="668">
        <f ca="1">'הספק קיים ותחזית יצור'!M129*VLOOKUP('התפלגות ייצור וסל דלקים'!BA$170,'הנחות עבודה'!$C$33:$D$45,2,FALSE)/'הנחות עבודה'!$D$14</f>
        <v>2.1998863899999876</v>
      </c>
      <c r="BB187" s="668">
        <f ca="1">'הספק קיים ותחזית יצור'!N128*VLOOKUP('התפלגות ייצור וסל דלקים'!BB$170,'הנחות עבודה'!$C$33:$D$45,2,FALSE)/'הנחות עבודה'!$D$14</f>
        <v>0.61319999999990338</v>
      </c>
      <c r="BC187" s="668">
        <f ca="1">'הספק קיים ותחזית יצור'!O128*VLOOKUP('התפלגות ייצור וסל דלקים'!BC$170,'הנחות עבודה'!$C$33:$D$45,2,FALSE)/'הנחות עבודה'!$D$14</f>
        <v>0.7377660400000029</v>
      </c>
      <c r="BD187" s="668">
        <v>0</v>
      </c>
      <c r="BE187" s="668">
        <v>16.170000000000002</v>
      </c>
      <c r="BF187" s="668">
        <f ca="1">'הספק קיים ותחזית יצור'!C22-SUM('התפלגות ייצור וסל דלקים'!AY187:BE187,'התפלגות ייצור וסל דלקים'!BG187:BJ187)</f>
        <v>67.815868188797907</v>
      </c>
      <c r="BG187" s="668">
        <v>0</v>
      </c>
      <c r="BH187" s="668">
        <v>0</v>
      </c>
      <c r="BI187" s="668">
        <v>0</v>
      </c>
      <c r="BJ187" s="668">
        <v>0.34350000000000003</v>
      </c>
      <c r="BK187" s="672">
        <v>0</v>
      </c>
      <c r="BL187" s="671">
        <f>HLOOKUP(B187,'מטריצת ייצור מתחדשות'!$C$80:$W$102,'מטריצת ייצור מתחדשות'!$B$101-'מטריצת ייצור מתחדשות'!$B$81+3,FALSE)</f>
        <v>24.866406543634188</v>
      </c>
      <c r="BM187" s="671">
        <f t="shared" ca="1" si="316"/>
        <v>2.1998863899999876</v>
      </c>
      <c r="BN187" s="671">
        <f t="shared" ca="1" si="317"/>
        <v>0.61319999999990338</v>
      </c>
      <c r="BO187" s="671">
        <f t="shared" ca="1" si="318"/>
        <v>0.7377660400000029</v>
      </c>
      <c r="BP187" s="671">
        <f t="shared" si="319"/>
        <v>0</v>
      </c>
      <c r="BQ187" s="671">
        <f t="shared" si="320"/>
        <v>16.170000000000002</v>
      </c>
      <c r="BR187" s="671">
        <f t="shared" ca="1" si="321"/>
        <v>67.815868188797907</v>
      </c>
      <c r="BS187" s="671">
        <f t="shared" si="322"/>
        <v>0</v>
      </c>
      <c r="BT187" s="671">
        <f t="shared" si="323"/>
        <v>0</v>
      </c>
      <c r="BU187" s="671">
        <f t="shared" si="324"/>
        <v>0</v>
      </c>
      <c r="BV187" s="673">
        <f t="shared" si="325"/>
        <v>0.34350000000000003</v>
      </c>
      <c r="BX187" s="862">
        <f t="shared" si="296"/>
        <v>2035</v>
      </c>
      <c r="BY187" s="866">
        <v>0.96701499999999996</v>
      </c>
      <c r="BZ187" s="869">
        <f>BY187/('הספק קיים ותחזית יצור'!E71-('הספק קיים ותחזית יצור'!M129*'הנחות עבודה'!$D$35+'הנחות עבודה'!$D$36*'הספק קיים ותחזית יצור'!N129+'הספק קיים ותחזית יצור'!O129*'הנחות עבודה'!$D$37)/'הנחות עבודה'!$D$14)</f>
        <v>3.7735673277108708E-2</v>
      </c>
    </row>
    <row r="188" spans="2:78" ht="15.75" hidden="1" outlineLevel="1">
      <c r="B188" s="10">
        <f t="shared" si="295"/>
        <v>2036</v>
      </c>
      <c r="C188" s="667">
        <f>HLOOKUP(B188,'מטריצת ייצור מתחדשות'!$C$130:$W$152,'מטריצת ייצור מתחדשות'!$B$151-'מטריצת ייצור מתחדשות'!$B$131+3,FALSE)</f>
        <v>12.522284221938861</v>
      </c>
      <c r="D188" s="668">
        <v>0</v>
      </c>
      <c r="E188" s="668">
        <f ca="1">'הספק קיים ותחזית יצור'!M130*VLOOKUP('התפלגות ייצור וסל דלקים'!E$170,'הנחות עבודה'!$C$33:$D$45,2,FALSE)/'הנחות עבודה'!$D$14</f>
        <v>2.1998863899999876</v>
      </c>
      <c r="F188" s="668">
        <f ca="1">'הספק קיים ותחזית יצור'!N130*VLOOKUP('התפלגות ייצור וסל דלקים'!F$170,'הנחות עבודה'!$C$33:$D$45,2,FALSE)/'הנחות עבודה'!$D$14</f>
        <v>0.61319999999990338</v>
      </c>
      <c r="G188" s="668">
        <f ca="1">'הספק קיים ותחזית יצור'!O130*VLOOKUP('התפלגות ייצור וסל דלקים'!G$170,'הנחות עבודה'!$C$33:$D$45,2,FALSE)/'הנחות עבודה'!$D$14</f>
        <v>0.7377660400000029</v>
      </c>
      <c r="H188" s="668">
        <v>0</v>
      </c>
      <c r="I188" s="668">
        <v>15.116680000000001</v>
      </c>
      <c r="J188" s="668">
        <f ca="1">'הספק קיים ותחזית יצור'!C23-SUM('התפלגות ייצור וסל דלקים'!C188:I188,'התפלגות ייצור וסל דלקים'!K188:N188)</f>
        <v>84.59119932536619</v>
      </c>
      <c r="K188" s="668">
        <v>0</v>
      </c>
      <c r="L188" s="668">
        <v>0</v>
      </c>
      <c r="M188" s="44">
        <v>0</v>
      </c>
      <c r="N188" s="669">
        <v>0.34800999999999999</v>
      </c>
      <c r="O188" s="670">
        <v>0</v>
      </c>
      <c r="P188" s="671">
        <f>HLOOKUP(B188,'מטריצת ייצור מתחדשות'!$C$130:$W$152,'מטריצת ייצור מתחדשות'!$B$151-'מטריצת ייצור מתחדשות'!$B$131+3,FALSE)</f>
        <v>12.522284221938861</v>
      </c>
      <c r="Q188" s="671">
        <f t="shared" ca="1" si="297"/>
        <v>2.1998863899999876</v>
      </c>
      <c r="R188" s="671">
        <f t="shared" ca="1" si="298"/>
        <v>0.61319999999990338</v>
      </c>
      <c r="S188" s="671">
        <f t="shared" ca="1" si="299"/>
        <v>0.7377660400000029</v>
      </c>
      <c r="T188" s="671">
        <f t="shared" si="300"/>
        <v>0</v>
      </c>
      <c r="U188" s="671">
        <f t="shared" si="301"/>
        <v>15.116680000000001</v>
      </c>
      <c r="V188" s="671">
        <f t="shared" ca="1" si="302"/>
        <v>84.59119932536619</v>
      </c>
      <c r="W188" s="671">
        <f t="shared" si="303"/>
        <v>0</v>
      </c>
      <c r="X188" s="671">
        <f t="shared" si="304"/>
        <v>0</v>
      </c>
      <c r="Y188" s="671">
        <f t="shared" si="305"/>
        <v>0</v>
      </c>
      <c r="Z188" s="671">
        <f t="shared" si="306"/>
        <v>0.34800999999999999</v>
      </c>
      <c r="AA188" s="667">
        <f>HLOOKUP(B188,'מטריצת ייצור מתחדשות'!$B$105:$W$127,'מטריצת ייצור מתחדשות'!$B$151-'מטריצת ייצור מתחדשות'!$B$131+3,FALSE)</f>
        <v>20.026852764974876</v>
      </c>
      <c r="AB188" s="668">
        <v>0</v>
      </c>
      <c r="AC188" s="668">
        <f ca="1">'הספק קיים ותחזית יצור'!M130*VLOOKUP('התפלגות ייצור וסל דלקים'!AC$170,'הנחות עבודה'!$C$33:$D$45,2,FALSE)/'הנחות עבודה'!$D$14</f>
        <v>2.1998863899999876</v>
      </c>
      <c r="AD188" s="668">
        <f ca="1">'הספק קיים ותחזית יצור'!N130*VLOOKUP('התפלגות ייצור וסל דלקים'!AD$170,'הנחות עבודה'!$C$33:$D$45,2,FALSE)/'הנחות עבודה'!$D$14</f>
        <v>0.61319999999990338</v>
      </c>
      <c r="AE188" s="668">
        <f ca="1">'הספק קיים ותחזית יצור'!O130*VLOOKUP('התפלגות ייצור וסל דלקים'!AE$170,'הנחות עבודה'!$C$33:$D$45,2,FALSE)/'הנחות עבודה'!$D$14</f>
        <v>0.7377660400000029</v>
      </c>
      <c r="AF188" s="668">
        <v>0</v>
      </c>
      <c r="AG188" s="668">
        <v>15.992709999999999</v>
      </c>
      <c r="AH188" s="668">
        <f ca="1">'הספק קיים ותחזית יצור'!C23-SUM(AA188:AG188,AI188:AL188)</f>
        <v>76.209020782330185</v>
      </c>
      <c r="AI188" s="668">
        <v>0</v>
      </c>
      <c r="AJ188" s="668">
        <v>0</v>
      </c>
      <c r="AK188" s="44">
        <v>0</v>
      </c>
      <c r="AL188" s="669">
        <v>0.34959000000000001</v>
      </c>
      <c r="AM188" s="670">
        <v>0</v>
      </c>
      <c r="AN188" s="671">
        <f>HLOOKUP(B188,'מטריצת ייצור מתחדשות'!$B$105:$W$127,'מטריצת ייצור מתחדשות'!$B$151-'מטריצת ייצור מתחדשות'!$B$131+3,FALSE)</f>
        <v>20.026852764974876</v>
      </c>
      <c r="AO188" s="671">
        <f t="shared" ca="1" si="326"/>
        <v>2.1998863899999876</v>
      </c>
      <c r="AP188" s="671">
        <f t="shared" ca="1" si="307"/>
        <v>0.61319999999990338</v>
      </c>
      <c r="AQ188" s="671">
        <f t="shared" ca="1" si="308"/>
        <v>0.7377660400000029</v>
      </c>
      <c r="AR188" s="671">
        <f t="shared" si="309"/>
        <v>0</v>
      </c>
      <c r="AS188" s="671">
        <f t="shared" si="310"/>
        <v>15.992709999999999</v>
      </c>
      <c r="AT188" s="671">
        <f t="shared" ca="1" si="311"/>
        <v>76.209020782330185</v>
      </c>
      <c r="AU188" s="671">
        <f t="shared" si="312"/>
        <v>0</v>
      </c>
      <c r="AV188" s="671">
        <f t="shared" si="313"/>
        <v>0</v>
      </c>
      <c r="AW188" s="671">
        <f t="shared" si="314"/>
        <v>0</v>
      </c>
      <c r="AX188" s="671">
        <f t="shared" si="315"/>
        <v>0.34959000000000001</v>
      </c>
      <c r="AY188" s="667">
        <f>HLOOKUP(B188,'מטריצת ייצור מתחדשות'!$C$80:$W$102,'מטריצת ייצור מתחדשות'!$B$101-'מטריצת ייצור מתחדשות'!$B$81+3,FALSE)</f>
        <v>24.717208104372386</v>
      </c>
      <c r="AZ188" s="668">
        <v>0</v>
      </c>
      <c r="BA188" s="668">
        <f ca="1">'הספק קיים ותחזית יצור'!M130*VLOOKUP('התפלגות ייצור וסל דלקים'!BA$170,'הנחות עבודה'!$C$33:$D$45,2,FALSE)/'הנחות עבודה'!$D$14</f>
        <v>2.1998863899999876</v>
      </c>
      <c r="BB188" s="668">
        <f ca="1">'הספק קיים ותחזית יצור'!N129*VLOOKUP('התפלגות ייצור וסל דלקים'!BB$170,'הנחות עבודה'!$C$33:$D$45,2,FALSE)/'הנחות עבודה'!$D$14</f>
        <v>0.61319999999990338</v>
      </c>
      <c r="BC188" s="668">
        <f ca="1">'הספק קיים ותחזית יצור'!O129*VLOOKUP('התפלגות ייצור וסל דלקים'!BC$170,'הנחות עבודה'!$C$33:$D$45,2,FALSE)/'הנחות עבודה'!$D$14</f>
        <v>0.7377660400000029</v>
      </c>
      <c r="BD188" s="668">
        <v>0</v>
      </c>
      <c r="BE188" s="668">
        <v>16.321999999999999</v>
      </c>
      <c r="BF188" s="668">
        <f ca="1">'הספק קיים ותחזית יצור'!C23-SUM('התפלגות ייצור וסל דלקים'!AY188:BE188,'התפלגות ייצור וסל דלקים'!BG188:BJ188)</f>
        <v>71.191865442932666</v>
      </c>
      <c r="BG188" s="668">
        <v>0</v>
      </c>
      <c r="BH188" s="668">
        <v>0</v>
      </c>
      <c r="BI188" s="668">
        <v>0</v>
      </c>
      <c r="BJ188" s="668">
        <v>0.34710000000000002</v>
      </c>
      <c r="BK188" s="672">
        <v>0</v>
      </c>
      <c r="BL188" s="671">
        <f>HLOOKUP(B188,'מטריצת ייצור מתחדשות'!$C$80:$W$102,'מטריצת ייצור מתחדשות'!$B$101-'מטריצת ייצור מתחדשות'!$B$81+3,FALSE)</f>
        <v>24.717208104372386</v>
      </c>
      <c r="BM188" s="671">
        <f t="shared" ca="1" si="316"/>
        <v>2.1998863899999876</v>
      </c>
      <c r="BN188" s="671">
        <f t="shared" ca="1" si="317"/>
        <v>0.61319999999990338</v>
      </c>
      <c r="BO188" s="671">
        <f t="shared" ca="1" si="318"/>
        <v>0.7377660400000029</v>
      </c>
      <c r="BP188" s="671">
        <f t="shared" si="319"/>
        <v>0</v>
      </c>
      <c r="BQ188" s="671">
        <f t="shared" si="320"/>
        <v>16.321999999999999</v>
      </c>
      <c r="BR188" s="671">
        <f t="shared" ca="1" si="321"/>
        <v>71.191865442932666</v>
      </c>
      <c r="BS188" s="671">
        <f t="shared" si="322"/>
        <v>0</v>
      </c>
      <c r="BT188" s="671">
        <f t="shared" si="323"/>
        <v>0</v>
      </c>
      <c r="BU188" s="671">
        <f t="shared" si="324"/>
        <v>0</v>
      </c>
      <c r="BV188" s="673">
        <f t="shared" si="325"/>
        <v>0.34710000000000002</v>
      </c>
      <c r="BX188" s="862">
        <f t="shared" si="296"/>
        <v>2036</v>
      </c>
      <c r="BY188" s="866">
        <v>0.98414900000000005</v>
      </c>
      <c r="BZ188" s="869">
        <f>BY188/('הספק קיים ותחזית יצור'!E72-('הספק קיים ותחזית יצור'!M130*'הנחות עבודה'!$D$35+'הנחות עבודה'!$D$36*'הספק קיים ותחזית יצור'!N130+'הספק קיים ותחזית יצור'!O130*'הנחות עבודה'!$D$37)/'הנחות עבודה'!$D$14)</f>
        <v>3.840429064698403E-2</v>
      </c>
    </row>
    <row r="189" spans="2:78" ht="15.75" hidden="1" outlineLevel="1">
      <c r="B189" s="10">
        <f t="shared" si="295"/>
        <v>2037</v>
      </c>
      <c r="C189" s="667">
        <f>HLOOKUP(B189,'מטריצת ייצור מתחדשות'!$C$130:$W$152,'מטריצת ייצור מתחדשות'!$B$151-'מטריצת ייצור מתחדשות'!$B$131+3,FALSE)</f>
        <v>12.44715051660723</v>
      </c>
      <c r="D189" s="668">
        <v>0</v>
      </c>
      <c r="E189" s="668">
        <f ca="1">'הספק קיים ותחזית יצור'!M131*VLOOKUP('התפלגות ייצור וסל דלקים'!E$170,'הנחות עבודה'!$C$33:$D$45,2,FALSE)/'הנחות עבודה'!$D$14</f>
        <v>2.1998863899999876</v>
      </c>
      <c r="F189" s="668">
        <f ca="1">'הספק קיים ותחזית יצור'!N131*VLOOKUP('התפלגות ייצור וסל דלקים'!F$170,'הנחות עבודה'!$C$33:$D$45,2,FALSE)/'הנחות עבודה'!$D$14</f>
        <v>0.61319999999990338</v>
      </c>
      <c r="G189" s="668">
        <f ca="1">'הספק קיים ותחזית יצור'!O131*VLOOKUP('התפלגות ייצור וסל דלקים'!G$170,'הנחות עבודה'!$C$33:$D$45,2,FALSE)/'הנחות עבודה'!$D$14</f>
        <v>0.7377660400000029</v>
      </c>
      <c r="H189" s="668">
        <v>0</v>
      </c>
      <c r="I189" s="668">
        <v>15.286460000000002</v>
      </c>
      <c r="J189" s="668">
        <f ca="1">'הספק קיים ותחזית יצור'!C24-SUM('התפלגות ייצור וסל דלקים'!C189:I189,'התפלגות ייצור וסל דלקים'!K189:N189)</f>
        <v>87.980223810016966</v>
      </c>
      <c r="K189" s="668">
        <v>0</v>
      </c>
      <c r="L189" s="668">
        <v>0</v>
      </c>
      <c r="M189" s="44">
        <v>0</v>
      </c>
      <c r="N189" s="669">
        <v>0.34821000000000002</v>
      </c>
      <c r="O189" s="670">
        <v>0</v>
      </c>
      <c r="P189" s="671">
        <f>HLOOKUP(B189,'מטריצת ייצור מתחדשות'!$C$130:$W$152,'מטריצת ייצור מתחדשות'!$B$151-'מטריצת ייצור מתחדשות'!$B$131+3,FALSE)</f>
        <v>12.44715051660723</v>
      </c>
      <c r="Q189" s="671">
        <f t="shared" ca="1" si="297"/>
        <v>2.1998863899999876</v>
      </c>
      <c r="R189" s="671">
        <f t="shared" ca="1" si="298"/>
        <v>0.61319999999990338</v>
      </c>
      <c r="S189" s="671">
        <f t="shared" ca="1" si="299"/>
        <v>0.7377660400000029</v>
      </c>
      <c r="T189" s="671">
        <f t="shared" si="300"/>
        <v>0</v>
      </c>
      <c r="U189" s="671">
        <f t="shared" si="301"/>
        <v>15.286460000000002</v>
      </c>
      <c r="V189" s="671">
        <f t="shared" ca="1" si="302"/>
        <v>87.980223810016966</v>
      </c>
      <c r="W189" s="671">
        <f t="shared" si="303"/>
        <v>0</v>
      </c>
      <c r="X189" s="671">
        <f t="shared" si="304"/>
        <v>0</v>
      </c>
      <c r="Y189" s="671">
        <f t="shared" si="305"/>
        <v>0</v>
      </c>
      <c r="Z189" s="671">
        <f t="shared" si="306"/>
        <v>0.34821000000000002</v>
      </c>
      <c r="AA189" s="667">
        <f>HLOOKUP(B189,'מטריצת ייצור מתחדשות'!$B$105:$W$127,'מטריצת ייצור מתחדשות'!$B$151-'מטריצת ייצור מתחדשות'!$B$131+3,FALSE)</f>
        <v>19.906691648385024</v>
      </c>
      <c r="AB189" s="668">
        <v>0</v>
      </c>
      <c r="AC189" s="668">
        <f ca="1">'הספק קיים ותחזית יצור'!M131*VLOOKUP('התפלגות ייצור וסל דלקים'!AC$170,'הנחות עבודה'!$C$33:$D$45,2,FALSE)/'הנחות עבודה'!$D$14</f>
        <v>2.1998863899999876</v>
      </c>
      <c r="AD189" s="668">
        <f ca="1">'הספק קיים ותחזית יצור'!N131*VLOOKUP('התפלגות ייצור וסל דלקים'!AD$170,'הנחות עבודה'!$C$33:$D$45,2,FALSE)/'הנחות עבודה'!$D$14</f>
        <v>0.61319999999990338</v>
      </c>
      <c r="AE189" s="668">
        <f ca="1">'הספק קיים ותחזית יצור'!O131*VLOOKUP('התפלגות ייצור וסל דלקים'!AE$170,'הנחות עבודה'!$C$33:$D$45,2,FALSE)/'הנחות עבודה'!$D$14</f>
        <v>0.7377660400000029</v>
      </c>
      <c r="AF189" s="668">
        <v>0</v>
      </c>
      <c r="AG189" s="668">
        <v>15.96213</v>
      </c>
      <c r="AH189" s="668">
        <f ca="1">'הספק קיים ותחזית יצור'!C24-SUM(AA189:AG189,AI189:AL189)</f>
        <v>79.840972678239183</v>
      </c>
      <c r="AI189" s="668">
        <v>0</v>
      </c>
      <c r="AJ189" s="668">
        <v>0</v>
      </c>
      <c r="AK189" s="44">
        <v>0</v>
      </c>
      <c r="AL189" s="669">
        <v>0.35224999999999995</v>
      </c>
      <c r="AM189" s="670">
        <v>0</v>
      </c>
      <c r="AN189" s="671">
        <f>HLOOKUP(B189,'מטריצת ייצור מתחדשות'!$B$105:$W$127,'מטריצת ייצור מתחדשות'!$B$151-'מטריצת ייצור מתחדשות'!$B$131+3,FALSE)</f>
        <v>19.906691648385024</v>
      </c>
      <c r="AO189" s="671">
        <f t="shared" ca="1" si="326"/>
        <v>2.1998863899999876</v>
      </c>
      <c r="AP189" s="671">
        <f t="shared" ca="1" si="307"/>
        <v>0.61319999999990338</v>
      </c>
      <c r="AQ189" s="671">
        <f t="shared" ca="1" si="308"/>
        <v>0.7377660400000029</v>
      </c>
      <c r="AR189" s="671">
        <f t="shared" si="309"/>
        <v>0</v>
      </c>
      <c r="AS189" s="671">
        <f t="shared" si="310"/>
        <v>15.96213</v>
      </c>
      <c r="AT189" s="671">
        <f t="shared" ca="1" si="311"/>
        <v>79.840972678239183</v>
      </c>
      <c r="AU189" s="671">
        <f t="shared" si="312"/>
        <v>0</v>
      </c>
      <c r="AV189" s="671">
        <f t="shared" si="313"/>
        <v>0</v>
      </c>
      <c r="AW189" s="671">
        <f t="shared" si="314"/>
        <v>0</v>
      </c>
      <c r="AX189" s="671">
        <f t="shared" si="315"/>
        <v>0.35224999999999995</v>
      </c>
      <c r="AY189" s="667">
        <f>HLOOKUP(B189,'מטריצת ייצור מתחדשות'!$C$80:$W$102,'מטריצת ייצור מתחדשות'!$B$101-'מטריצת ייצור מתחדשות'!$B$81+3,FALSE)</f>
        <v>24.568904855746148</v>
      </c>
      <c r="AZ189" s="668">
        <v>0</v>
      </c>
      <c r="BA189" s="668">
        <f ca="1">'הספק קיים ותחזית יצור'!M131*VLOOKUP('התפלגות ייצור וסל דלקים'!BA$170,'הנחות עבודה'!$C$33:$D$45,2,FALSE)/'הנחות עבודה'!$D$14</f>
        <v>2.1998863899999876</v>
      </c>
      <c r="BB189" s="668">
        <f ca="1">'הספק קיים ותחזית יצור'!N130*VLOOKUP('התפלגות ייצור וסל דלקים'!BB$170,'הנחות עבודה'!$C$33:$D$45,2,FALSE)/'הנחות עבודה'!$D$14</f>
        <v>0.61319999999990338</v>
      </c>
      <c r="BC189" s="668">
        <f ca="1">'הספק קיים ותחזית יצור'!O130*VLOOKUP('התפלגות ייצור וסל דלקים'!BC$170,'הנחות עבודה'!$C$33:$D$45,2,FALSE)/'הנחות עבודה'!$D$14</f>
        <v>0.7377660400000029</v>
      </c>
      <c r="BD189" s="668">
        <v>0</v>
      </c>
      <c r="BE189" s="668">
        <v>16.283000000000001</v>
      </c>
      <c r="BF189" s="668">
        <f ca="1">'הספק קיים ותחזית יצור'!C24-SUM('התפלגות ייצור וסל דלקים'!AY189:BE189,'התפלגות ייצור וסל דלקים'!BG189:BJ189)</f>
        <v>74.864239470878047</v>
      </c>
      <c r="BG189" s="668">
        <v>0</v>
      </c>
      <c r="BH189" s="668">
        <v>0</v>
      </c>
      <c r="BI189" s="668">
        <v>0</v>
      </c>
      <c r="BJ189" s="668">
        <v>0.34590000000000004</v>
      </c>
      <c r="BK189" s="672">
        <v>0</v>
      </c>
      <c r="BL189" s="671">
        <f>HLOOKUP(B189,'מטריצת ייצור מתחדשות'!$C$80:$W$102,'מטריצת ייצור מתחדשות'!$B$101-'מטריצת ייצור מתחדשות'!$B$81+3,FALSE)</f>
        <v>24.568904855746148</v>
      </c>
      <c r="BM189" s="671">
        <f t="shared" ca="1" si="316"/>
        <v>2.1998863899999876</v>
      </c>
      <c r="BN189" s="671">
        <f t="shared" ca="1" si="317"/>
        <v>0.61319999999990338</v>
      </c>
      <c r="BO189" s="671">
        <f t="shared" ca="1" si="318"/>
        <v>0.7377660400000029</v>
      </c>
      <c r="BP189" s="671">
        <f t="shared" si="319"/>
        <v>0</v>
      </c>
      <c r="BQ189" s="671">
        <f t="shared" si="320"/>
        <v>16.283000000000001</v>
      </c>
      <c r="BR189" s="671">
        <f t="shared" ca="1" si="321"/>
        <v>74.864239470878047</v>
      </c>
      <c r="BS189" s="671">
        <f t="shared" si="322"/>
        <v>0</v>
      </c>
      <c r="BT189" s="671">
        <f t="shared" si="323"/>
        <v>0</v>
      </c>
      <c r="BU189" s="671">
        <f t="shared" si="324"/>
        <v>0</v>
      </c>
      <c r="BV189" s="673">
        <f t="shared" si="325"/>
        <v>0.34590000000000004</v>
      </c>
      <c r="BX189" s="862">
        <f t="shared" si="296"/>
        <v>2037</v>
      </c>
      <c r="BY189" s="866">
        <v>0.98994899999999997</v>
      </c>
      <c r="BZ189" s="869">
        <f>BY189/('הספק קיים ותחזית יצור'!E73-('הספק קיים ותחזית יצור'!M131*'הנחות עבודה'!$D$35+'הנחות עבודה'!$D$36*'הספק קיים ותחזית יצור'!N131+'הספק קיים ותחזית יצור'!O131*'הנחות עבודה'!$D$37)/'הנחות עבודה'!$D$14)</f>
        <v>3.8630623128907499E-2</v>
      </c>
    </row>
    <row r="190" spans="2:78" ht="15.75" hidden="1" outlineLevel="1">
      <c r="B190" s="10">
        <f t="shared" si="295"/>
        <v>2038</v>
      </c>
      <c r="C190" s="667">
        <f>HLOOKUP(B190,'מטריצת ייצור מתחדשות'!$C$130:$W$152,'מטריצת ייצור מתחדשות'!$B$151-'מטריצת ייצור מתחדשות'!$B$131+3,FALSE)</f>
        <v>12.372467613507585</v>
      </c>
      <c r="D190" s="668">
        <v>0</v>
      </c>
      <c r="E190" s="668">
        <f ca="1">'הספק קיים ותחזית יצור'!M132*VLOOKUP('התפלגות ייצור וסל דלקים'!E$170,'הנחות עבודה'!$C$33:$D$45,2,FALSE)/'הנחות עבודה'!$D$14</f>
        <v>2.1998863899999876</v>
      </c>
      <c r="F190" s="668">
        <f ca="1">'הספק קיים ותחזית יצור'!N132*VLOOKUP('התפלגות ייצור וסל דלקים'!F$170,'הנחות עבודה'!$C$33:$D$45,2,FALSE)/'הנחות עבודה'!$D$14</f>
        <v>0.61319999999990338</v>
      </c>
      <c r="G190" s="668">
        <f ca="1">'הספק קיים ותחזית יצור'!O132*VLOOKUP('התפלגות ייצור וסל דלקים'!G$170,'הנחות עבודה'!$C$33:$D$45,2,FALSE)/'הנחות עבודה'!$D$14</f>
        <v>0.7377660400000029</v>
      </c>
      <c r="H190" s="668">
        <v>0</v>
      </c>
      <c r="I190" s="668">
        <v>15.45416</v>
      </c>
      <c r="J190" s="668">
        <f ca="1">'הספק קיים ותחזית יצור'!C25-SUM('התפלגות ייצור וסל דלקים'!C190:I190,'התפלגות ייצור וסל דלקים'!K190:N190)</f>
        <v>91.481063615815344</v>
      </c>
      <c r="K190" s="668">
        <v>0</v>
      </c>
      <c r="L190" s="668">
        <v>0</v>
      </c>
      <c r="M190" s="44">
        <v>0</v>
      </c>
      <c r="N190" s="669">
        <v>0.34274000000000004</v>
      </c>
      <c r="O190" s="670">
        <v>0</v>
      </c>
      <c r="P190" s="671">
        <f>HLOOKUP(B190,'מטריצת ייצור מתחדשות'!$C$130:$W$152,'מטריצת ייצור מתחדשות'!$B$151-'מטריצת ייצור מתחדשות'!$B$131+3,FALSE)</f>
        <v>12.372467613507585</v>
      </c>
      <c r="Q190" s="671">
        <f t="shared" ca="1" si="297"/>
        <v>2.1998863899999876</v>
      </c>
      <c r="R190" s="671">
        <f t="shared" ca="1" si="298"/>
        <v>0.61319999999990338</v>
      </c>
      <c r="S190" s="671">
        <f t="shared" ca="1" si="299"/>
        <v>0.7377660400000029</v>
      </c>
      <c r="T190" s="671">
        <f t="shared" si="300"/>
        <v>0</v>
      </c>
      <c r="U190" s="671">
        <f t="shared" si="301"/>
        <v>15.45416</v>
      </c>
      <c r="V190" s="671">
        <f t="shared" ca="1" si="302"/>
        <v>91.481063615815344</v>
      </c>
      <c r="W190" s="671">
        <f t="shared" si="303"/>
        <v>0</v>
      </c>
      <c r="X190" s="671">
        <f t="shared" si="304"/>
        <v>0</v>
      </c>
      <c r="Y190" s="671">
        <f t="shared" si="305"/>
        <v>0</v>
      </c>
      <c r="Z190" s="671">
        <f t="shared" si="306"/>
        <v>0.34274000000000004</v>
      </c>
      <c r="AA190" s="667">
        <f>HLOOKUP(B190,'מטריצת ייצור מתחדשות'!$B$105:$W$127,'מטריצת ייצור מתחדשות'!$B$151-'מטריצת ייצור מתחדשות'!$B$131+3,FALSE)</f>
        <v>19.787251498494712</v>
      </c>
      <c r="AB190" s="668">
        <v>0</v>
      </c>
      <c r="AC190" s="668">
        <f ca="1">'הספק קיים ותחזית יצור'!M132*VLOOKUP('התפלגות ייצור וסל דלקים'!AC$170,'הנחות עבודה'!$C$33:$D$45,2,FALSE)/'הנחות עבודה'!$D$14</f>
        <v>2.1998863899999876</v>
      </c>
      <c r="AD190" s="668">
        <f ca="1">'הספק קיים ותחזית יצור'!N132*VLOOKUP('התפלגות ייצור וסל דלקים'!AD$170,'הנחות עבודה'!$C$33:$D$45,2,FALSE)/'הנחות עבודה'!$D$14</f>
        <v>0.61319999999990338</v>
      </c>
      <c r="AE190" s="668">
        <f ca="1">'הספק קיים ותחזית יצור'!O132*VLOOKUP('התפלגות ייצור וסל דלקים'!AE$170,'הנחות עבודה'!$C$33:$D$45,2,FALSE)/'הנחות עבודה'!$D$14</f>
        <v>0.7377660400000029</v>
      </c>
      <c r="AF190" s="668">
        <v>0</v>
      </c>
      <c r="AG190" s="668">
        <v>16.158000000000001</v>
      </c>
      <c r="AH190" s="668">
        <f ca="1">'הספק קיים ותחזית יצור'!C25-SUM(AA190:AG190,AI190:AL190)</f>
        <v>83.358539730828227</v>
      </c>
      <c r="AI190" s="668">
        <v>0</v>
      </c>
      <c r="AJ190" s="668">
        <v>0</v>
      </c>
      <c r="AK190" s="44">
        <v>0</v>
      </c>
      <c r="AL190" s="669">
        <v>0.34664000000000006</v>
      </c>
      <c r="AM190" s="670">
        <v>0</v>
      </c>
      <c r="AN190" s="671">
        <f>HLOOKUP(B190,'מטריצת ייצור מתחדשות'!$B$105:$W$127,'מטריצת ייצור מתחדשות'!$B$151-'מטריצת ייצור מתחדשות'!$B$131+3,FALSE)</f>
        <v>19.787251498494712</v>
      </c>
      <c r="AO190" s="671">
        <f t="shared" ca="1" si="326"/>
        <v>2.1998863899999876</v>
      </c>
      <c r="AP190" s="671">
        <f t="shared" ca="1" si="307"/>
        <v>0.61319999999990338</v>
      </c>
      <c r="AQ190" s="671">
        <f t="shared" ca="1" si="308"/>
        <v>0.7377660400000029</v>
      </c>
      <c r="AR190" s="671">
        <f t="shared" si="309"/>
        <v>0</v>
      </c>
      <c r="AS190" s="671">
        <f t="shared" si="310"/>
        <v>16.158000000000001</v>
      </c>
      <c r="AT190" s="671">
        <f t="shared" ca="1" si="311"/>
        <v>83.358539730828227</v>
      </c>
      <c r="AU190" s="671">
        <f t="shared" si="312"/>
        <v>0</v>
      </c>
      <c r="AV190" s="671">
        <f t="shared" si="313"/>
        <v>0</v>
      </c>
      <c r="AW190" s="671">
        <f t="shared" si="314"/>
        <v>0</v>
      </c>
      <c r="AX190" s="671">
        <f t="shared" si="315"/>
        <v>0.34664000000000006</v>
      </c>
      <c r="AY190" s="667">
        <f>HLOOKUP(B190,'מטריצת ייצור מתחדשות'!$C$80:$W$102,'מטריצת ייצור מתחדשות'!$B$101-'מטריצת ייצור מתחדשות'!$B$81+3,FALSE)</f>
        <v>24.421491426611677</v>
      </c>
      <c r="AZ190" s="668">
        <v>0</v>
      </c>
      <c r="BA190" s="668">
        <f ca="1">'הספק קיים ותחזית יצור'!M132*VLOOKUP('התפלגות ייצור וסל דלקים'!BA$170,'הנחות עבודה'!$C$33:$D$45,2,FALSE)/'הנחות עבודה'!$D$14</f>
        <v>2.1998863899999876</v>
      </c>
      <c r="BB190" s="668">
        <f ca="1">'הספק קיים ותחזית יצור'!N131*VLOOKUP('התפלגות ייצור וסל דלקים'!BB$170,'הנחות עבודה'!$C$33:$D$45,2,FALSE)/'הנחות עבודה'!$D$14</f>
        <v>0.61319999999990338</v>
      </c>
      <c r="BC190" s="668">
        <f ca="1">'הספק קיים ותחזית יצור'!O131*VLOOKUP('התפלגות ייצור וסל דלקים'!BC$170,'הנחות עבודה'!$C$33:$D$45,2,FALSE)/'הנחות עבודה'!$D$14</f>
        <v>0.7377660400000029</v>
      </c>
      <c r="BD190" s="668">
        <v>0</v>
      </c>
      <c r="BE190" s="668">
        <v>16.536000000000001</v>
      </c>
      <c r="BF190" s="668">
        <f ca="1">'הספק קיים ותחזית יצור'!C25-SUM('התפלגות ייצור וסל דלקים'!AY190:BE190,'התפלגות ייצור וסל דלקים'!BG190:BJ190)</f>
        <v>78.351739802711251</v>
      </c>
      <c r="BG190" s="668">
        <v>0</v>
      </c>
      <c r="BH190" s="668">
        <v>0</v>
      </c>
      <c r="BI190" s="668">
        <v>0</v>
      </c>
      <c r="BJ190" s="668">
        <v>0.3412</v>
      </c>
      <c r="BK190" s="672">
        <v>0</v>
      </c>
      <c r="BL190" s="671">
        <f>HLOOKUP(B190,'מטריצת ייצור מתחדשות'!$C$80:$W$102,'מטריצת ייצור מתחדשות'!$B$101-'מטריצת ייצור מתחדשות'!$B$81+3,FALSE)</f>
        <v>24.421491426611677</v>
      </c>
      <c r="BM190" s="671">
        <f t="shared" ca="1" si="316"/>
        <v>2.1998863899999876</v>
      </c>
      <c r="BN190" s="671">
        <f t="shared" ca="1" si="317"/>
        <v>0.61319999999990338</v>
      </c>
      <c r="BO190" s="671">
        <f t="shared" ca="1" si="318"/>
        <v>0.7377660400000029</v>
      </c>
      <c r="BP190" s="671">
        <f t="shared" si="319"/>
        <v>0</v>
      </c>
      <c r="BQ190" s="671">
        <f t="shared" si="320"/>
        <v>16.536000000000001</v>
      </c>
      <c r="BR190" s="671">
        <f t="shared" ca="1" si="321"/>
        <v>78.351739802711251</v>
      </c>
      <c r="BS190" s="671">
        <f t="shared" si="322"/>
        <v>0</v>
      </c>
      <c r="BT190" s="671">
        <f t="shared" si="323"/>
        <v>0</v>
      </c>
      <c r="BU190" s="671">
        <f t="shared" si="324"/>
        <v>0</v>
      </c>
      <c r="BV190" s="673">
        <f t="shared" si="325"/>
        <v>0.3412</v>
      </c>
      <c r="BX190" s="862">
        <f t="shared" si="296"/>
        <v>2038</v>
      </c>
      <c r="BY190" s="866">
        <v>1.029272</v>
      </c>
      <c r="BZ190" s="869">
        <f>BY190/('הספק קיים ותחזית יצור'!E74-('הספק קיים ותחזית יצור'!M132*'הנחות עבודה'!$D$35+'הנחות עבודה'!$D$36*'הספק קיים ותחזית יצור'!N132+'הספק קיים ותחזית יצור'!O132*'הנחות עבודה'!$D$37)/'הנחות עבודה'!$D$14)</f>
        <v>4.0165118333506958E-2</v>
      </c>
    </row>
    <row r="191" spans="2:78" ht="15.75" hidden="1" outlineLevel="1">
      <c r="B191" s="10">
        <f t="shared" si="295"/>
        <v>2039</v>
      </c>
      <c r="C191" s="667">
        <f>HLOOKUP(B191,'מטריצת ייצור מתחדשות'!$C$130:$W$152,'מטריצת ייצור מתחדשות'!$B$151-'מטריצת ייצור מתחדשות'!$B$131+3,FALSE)</f>
        <v>12.298232807826535</v>
      </c>
      <c r="D191" s="668">
        <v>0</v>
      </c>
      <c r="E191" s="668">
        <f ca="1">'הספק קיים ותחזית יצור'!M133*VLOOKUP('התפלגות ייצור וסל דלקים'!E$170,'הנחות עבודה'!$C$33:$D$45,2,FALSE)/'הנחות עבודה'!$D$14</f>
        <v>2.1998863899999876</v>
      </c>
      <c r="F191" s="668">
        <f ca="1">'הספק קיים ותחזית יצור'!N133*VLOOKUP('התפלגות ייצור וסל דלקים'!F$170,'הנחות עבודה'!$C$33:$D$45,2,FALSE)/'הנחות עבודה'!$D$14</f>
        <v>0.61319999999990338</v>
      </c>
      <c r="G191" s="668">
        <f ca="1">'הספק קיים ותחזית יצור'!O133*VLOOKUP('התפלגות ייצור וסל דלקים'!G$170,'הנחות עבודה'!$C$33:$D$45,2,FALSE)/'הנחות עבודה'!$D$14</f>
        <v>0.7377660400000029</v>
      </c>
      <c r="H191" s="668">
        <v>0</v>
      </c>
      <c r="I191" s="668">
        <v>15.598939999999999</v>
      </c>
      <c r="J191" s="668">
        <f ca="1">'הספק קיים ותחזית יצור'!C26-SUM('התפלגות ייצור וסל דלקים'!C191:I191,'התפלגות ייצור וסל דלקים'!K191:N191)</f>
        <v>95.103556931276074</v>
      </c>
      <c r="K191" s="668">
        <v>0</v>
      </c>
      <c r="L191" s="668">
        <v>0</v>
      </c>
      <c r="M191" s="44">
        <v>0</v>
      </c>
      <c r="N191" s="669">
        <v>0.34573999999999999</v>
      </c>
      <c r="O191" s="670">
        <v>0</v>
      </c>
      <c r="P191" s="671">
        <f>HLOOKUP(B191,'מטריצת ייצור מתחדשות'!$C$130:$W$152,'מטריצת ייצור מתחדשות'!$B$151-'מטריצת ייצור מתחדשות'!$B$131+3,FALSE)</f>
        <v>12.298232807826535</v>
      </c>
      <c r="Q191" s="671">
        <f t="shared" ca="1" si="297"/>
        <v>2.1998863899999876</v>
      </c>
      <c r="R191" s="671">
        <f t="shared" ca="1" si="298"/>
        <v>0.61319999999990338</v>
      </c>
      <c r="S191" s="671">
        <f t="shared" ca="1" si="299"/>
        <v>0.7377660400000029</v>
      </c>
      <c r="T191" s="671">
        <f t="shared" si="300"/>
        <v>0</v>
      </c>
      <c r="U191" s="671">
        <f t="shared" si="301"/>
        <v>15.598939999999999</v>
      </c>
      <c r="V191" s="671">
        <f t="shared" ca="1" si="302"/>
        <v>95.103556931276074</v>
      </c>
      <c r="W191" s="671">
        <f t="shared" si="303"/>
        <v>0</v>
      </c>
      <c r="X191" s="671">
        <f t="shared" si="304"/>
        <v>0</v>
      </c>
      <c r="Y191" s="671">
        <f t="shared" si="305"/>
        <v>0</v>
      </c>
      <c r="Z191" s="671">
        <f t="shared" si="306"/>
        <v>0.34573999999999999</v>
      </c>
      <c r="AA191" s="667">
        <f>HLOOKUP(B191,'מטריצת ייצור מתחדשות'!$B$105:$W$127,'מטריצת ייצור מתחדשות'!$B$151-'מטריצת ייצור מתחדשות'!$B$131+3,FALSE)</f>
        <v>19.668527989503747</v>
      </c>
      <c r="AB191" s="668">
        <v>0</v>
      </c>
      <c r="AC191" s="668">
        <f ca="1">'הספק קיים ותחזית יצור'!M133*VLOOKUP('התפלגות ייצור וסל דלקים'!AC$170,'הנחות עבודה'!$C$33:$D$45,2,FALSE)/'הנחות עבודה'!$D$14</f>
        <v>2.1998863899999876</v>
      </c>
      <c r="AD191" s="668">
        <f ca="1">'הספק קיים ותחזית יצור'!N133*VLOOKUP('התפלגות ייצור וסל דלקים'!AD$170,'הנחות עבודה'!$C$33:$D$45,2,FALSE)/'הנחות עבודה'!$D$14</f>
        <v>0.61319999999990338</v>
      </c>
      <c r="AE191" s="668">
        <f ca="1">'הספק קיים ותחזית יצור'!O133*VLOOKUP('התפלגות ייצור וסל דלקים'!AE$170,'הנחות עבודה'!$C$33:$D$45,2,FALSE)/'הנחות עבודה'!$D$14</f>
        <v>0.7377660400000029</v>
      </c>
      <c r="AF191" s="668">
        <v>0</v>
      </c>
      <c r="AG191" s="668">
        <v>16.1449</v>
      </c>
      <c r="AH191" s="668">
        <f ca="1">'הספק קיים ותחזית יצור'!C26-SUM(AA191:AG191,AI191:AL191)</f>
        <v>87.180661749598869</v>
      </c>
      <c r="AI191" s="668">
        <v>0</v>
      </c>
      <c r="AJ191" s="668">
        <v>0</v>
      </c>
      <c r="AK191" s="44">
        <v>0</v>
      </c>
      <c r="AL191" s="669">
        <v>0.35238000000000003</v>
      </c>
      <c r="AM191" s="670">
        <v>0</v>
      </c>
      <c r="AN191" s="671">
        <f>HLOOKUP(B191,'מטריצת ייצור מתחדשות'!$B$105:$W$127,'מטריצת ייצור מתחדשות'!$B$151-'מטריצת ייצור מתחדשות'!$B$131+3,FALSE)</f>
        <v>19.668527989503747</v>
      </c>
      <c r="AO191" s="671">
        <f t="shared" ca="1" si="326"/>
        <v>2.1998863899999876</v>
      </c>
      <c r="AP191" s="671">
        <f t="shared" ca="1" si="307"/>
        <v>0.61319999999990338</v>
      </c>
      <c r="AQ191" s="671">
        <f t="shared" ca="1" si="308"/>
        <v>0.7377660400000029</v>
      </c>
      <c r="AR191" s="671">
        <f t="shared" si="309"/>
        <v>0</v>
      </c>
      <c r="AS191" s="671">
        <f t="shared" si="310"/>
        <v>16.1449</v>
      </c>
      <c r="AT191" s="671">
        <f t="shared" ca="1" si="311"/>
        <v>87.180661749598869</v>
      </c>
      <c r="AU191" s="671">
        <f t="shared" si="312"/>
        <v>0</v>
      </c>
      <c r="AV191" s="671">
        <f t="shared" si="313"/>
        <v>0</v>
      </c>
      <c r="AW191" s="671">
        <f t="shared" si="314"/>
        <v>0</v>
      </c>
      <c r="AX191" s="671">
        <f t="shared" si="315"/>
        <v>0.35238000000000003</v>
      </c>
      <c r="AY191" s="667">
        <f>HLOOKUP(B191,'מטריצת ייצור מתחדשות'!$C$80:$W$102,'מטריצת ייצור מתחדשות'!$B$101-'מטריצת ייצור מתחדשות'!$B$81+3,FALSE)</f>
        <v>24.274962478052004</v>
      </c>
      <c r="AZ191" s="668">
        <v>0</v>
      </c>
      <c r="BA191" s="668">
        <f ca="1">'הספק קיים ותחזית יצור'!M133*VLOOKUP('התפלגות ייצור וסל דלקים'!BA$170,'הנחות עבודה'!$C$33:$D$45,2,FALSE)/'הנחות עבודה'!$D$14</f>
        <v>2.1998863899999876</v>
      </c>
      <c r="BB191" s="668">
        <f ca="1">'הספק קיים ותחזית יצור'!N132*VLOOKUP('התפלגות ייצור וסל דלקים'!BB$170,'הנחות עבודה'!$C$33:$D$45,2,FALSE)/'הנחות עבודה'!$D$14</f>
        <v>0.61319999999990338</v>
      </c>
      <c r="BC191" s="668">
        <f ca="1">'הספק קיים ותחזית יצור'!O132*VLOOKUP('התפלגות ייצור וסל דלקים'!BC$170,'הנחות עבודה'!$C$33:$D$45,2,FALSE)/'הנחות עבודה'!$D$14</f>
        <v>0.7377660400000029</v>
      </c>
      <c r="BD191" s="668">
        <v>0</v>
      </c>
      <c r="BE191" s="668">
        <v>16.600000000000001</v>
      </c>
      <c r="BF191" s="668">
        <f ca="1">'הספק קיים ותחזית יצור'!C26-SUM('התפלגות ייצור וסל דלקים'!AY191:BE191,'התפלגות ייצור וסל דלקים'!BG191:BJ191)</f>
        <v>82.128107261050602</v>
      </c>
      <c r="BG191" s="668">
        <v>0</v>
      </c>
      <c r="BH191" s="668">
        <v>0</v>
      </c>
      <c r="BI191" s="668">
        <v>0</v>
      </c>
      <c r="BJ191" s="668">
        <v>0.34340000000000004</v>
      </c>
      <c r="BK191" s="672">
        <v>0</v>
      </c>
      <c r="BL191" s="671">
        <f>HLOOKUP(B191,'מטריצת ייצור מתחדשות'!$C$80:$W$102,'מטריצת ייצור מתחדשות'!$B$101-'מטריצת ייצור מתחדשות'!$B$81+3,FALSE)</f>
        <v>24.274962478052004</v>
      </c>
      <c r="BM191" s="671">
        <f t="shared" ca="1" si="316"/>
        <v>2.1998863899999876</v>
      </c>
      <c r="BN191" s="671">
        <f t="shared" ca="1" si="317"/>
        <v>0.61319999999990338</v>
      </c>
      <c r="BO191" s="671">
        <f t="shared" ca="1" si="318"/>
        <v>0.7377660400000029</v>
      </c>
      <c r="BP191" s="671">
        <f t="shared" si="319"/>
        <v>0</v>
      </c>
      <c r="BQ191" s="671">
        <f t="shared" si="320"/>
        <v>16.600000000000001</v>
      </c>
      <c r="BR191" s="671">
        <f t="shared" ca="1" si="321"/>
        <v>82.128107261050602</v>
      </c>
      <c r="BS191" s="671">
        <f t="shared" si="322"/>
        <v>0</v>
      </c>
      <c r="BT191" s="671">
        <f t="shared" si="323"/>
        <v>0</v>
      </c>
      <c r="BU191" s="671">
        <f t="shared" si="324"/>
        <v>0</v>
      </c>
      <c r="BV191" s="673">
        <f t="shared" si="325"/>
        <v>0.34340000000000004</v>
      </c>
      <c r="BX191" s="862">
        <f t="shared" si="296"/>
        <v>2039</v>
      </c>
      <c r="BY191" s="866">
        <v>1.0003139999999999</v>
      </c>
      <c r="BZ191" s="869">
        <f>BY191/('הספק קיים ותחזית יצור'!E75-('הספק קיים ותחזית יצור'!M133*'הנחות עבודה'!$D$35+'הנחות עבודה'!$D$36*'הספק קיים ותחזית יצור'!N133+'הספק קיים ותחזית יצור'!O133*'הנחות עבודה'!$D$37)/'הנחות עבודה'!$D$14)</f>
        <v>3.9035094883241438E-2</v>
      </c>
    </row>
    <row r="192" spans="2:78" ht="16.5" hidden="1" outlineLevel="1" thickBot="1">
      <c r="B192" s="11">
        <f t="shared" si="295"/>
        <v>2040</v>
      </c>
      <c r="C192" s="674">
        <f>HLOOKUP(B192,'מטריצת ייצור מתחדשות'!$C$130:$W$152,'מטריצת ייצור מתחדשות'!$B$151-'מטריצת ייצור מתחדשות'!$B$131+3,FALSE)</f>
        <v>12.224443410979578</v>
      </c>
      <c r="D192" s="675">
        <v>0</v>
      </c>
      <c r="E192" s="675">
        <f ca="1">'הספק קיים ותחזית יצור'!M134*VLOOKUP('התפלגות ייצור וסל דלקים'!E$170,'הנחות עבודה'!$C$33:$D$45,2,FALSE)/'הנחות עבודה'!$D$14</f>
        <v>2.1998863899999876</v>
      </c>
      <c r="F192" s="675">
        <f ca="1">'הספק קיים ותחזית יצור'!N134*VLOOKUP('התפלגות ייצור וסל דלקים'!F$170,'הנחות עבודה'!$C$33:$D$45,2,FALSE)/'הנחות עבודה'!$D$14</f>
        <v>0.61319999999990338</v>
      </c>
      <c r="G192" s="675">
        <f ca="1">'הספק קיים ותחזית יצור'!O134*VLOOKUP('התפלגות ייצור וסל דלקים'!G$170,'הנחות עבודה'!$C$33:$D$45,2,FALSE)/'הנחות עבודה'!$D$14</f>
        <v>0.7377660400000029</v>
      </c>
      <c r="H192" s="675">
        <v>0</v>
      </c>
      <c r="I192" s="675">
        <v>15.710510000000001</v>
      </c>
      <c r="J192" s="675">
        <f ca="1">'הספק קיים ותחזית יצור'!C27-SUM('התפלגות ייצור וסל דלקים'!C192:I192,'התפלגות ייצור וסל דלקים'!K192:N192)</f>
        <v>98.870675993196102</v>
      </c>
      <c r="K192" s="675">
        <v>0</v>
      </c>
      <c r="L192" s="675">
        <v>0</v>
      </c>
      <c r="M192" s="47">
        <v>0</v>
      </c>
      <c r="N192" s="676">
        <v>0.34776000000000001</v>
      </c>
      <c r="O192" s="677">
        <v>0</v>
      </c>
      <c r="P192" s="678">
        <f>HLOOKUP(B192,'מטריצת ייצור מתחדשות'!$C$130:$W$152,'מטריצת ייצור מתחדשות'!$B$151-'מטריצת ייצור מתחדשות'!$B$131+3,FALSE)</f>
        <v>12.224443410979578</v>
      </c>
      <c r="Q192" s="678">
        <f t="shared" ca="1" si="297"/>
        <v>2.1998863899999876</v>
      </c>
      <c r="R192" s="678">
        <f t="shared" ca="1" si="298"/>
        <v>0.61319999999990338</v>
      </c>
      <c r="S192" s="678">
        <f t="shared" ca="1" si="299"/>
        <v>0.7377660400000029</v>
      </c>
      <c r="T192" s="678">
        <f t="shared" si="300"/>
        <v>0</v>
      </c>
      <c r="U192" s="678">
        <f t="shared" si="301"/>
        <v>15.710510000000001</v>
      </c>
      <c r="V192" s="678">
        <f t="shared" ca="1" si="302"/>
        <v>98.870675993196102</v>
      </c>
      <c r="W192" s="678">
        <f t="shared" si="303"/>
        <v>0</v>
      </c>
      <c r="X192" s="678">
        <f t="shared" si="304"/>
        <v>0</v>
      </c>
      <c r="Y192" s="678">
        <f t="shared" si="305"/>
        <v>0</v>
      </c>
      <c r="Z192" s="678">
        <f t="shared" si="306"/>
        <v>0.34776000000000001</v>
      </c>
      <c r="AA192" s="674">
        <f>HLOOKUP(B192,'מטריצת ייצור מתחדשות'!$B$105:$W$127,'מטריצת ייצור מתחדשות'!$B$151-'מטריצת ייצור מתחדשות'!$B$131+3,FALSE)</f>
        <v>19.550516821566724</v>
      </c>
      <c r="AB192" s="675">
        <v>0</v>
      </c>
      <c r="AC192" s="675">
        <f ca="1">'הספק קיים ותחזית יצור'!M134*VLOOKUP('התפלגות ייצור וסל דלקים'!AC$170,'הנחות עבודה'!$C$33:$D$45,2,FALSE)/'הנחות עבודה'!$D$14</f>
        <v>2.1998863899999876</v>
      </c>
      <c r="AD192" s="675">
        <f ca="1">'הספק קיים ותחזית יצור'!N134*VLOOKUP('התפלגות ייצור וסל דלקים'!AD$170,'הנחות עבודה'!$C$33:$D$45,2,FALSE)/'הנחות עבודה'!$D$14</f>
        <v>0.61319999999990338</v>
      </c>
      <c r="AE192" s="675">
        <f ca="1">'הספק קיים ותחזית יצור'!O134*VLOOKUP('התפלגות ייצור וסל דלקים'!AE$170,'הנחות עבודה'!$C$33:$D$45,2,FALSE)/'הנחות עבודה'!$D$14</f>
        <v>0.7377660400000029</v>
      </c>
      <c r="AF192" s="675">
        <v>0</v>
      </c>
      <c r="AG192" s="675">
        <v>16.313359999999999</v>
      </c>
      <c r="AH192" s="675">
        <f ca="1">'הספק קיים ותחזית יצור'!C27-SUM(AA192:AG192,AI192:AL192)</f>
        <v>90.93845258260896</v>
      </c>
      <c r="AI192" s="675">
        <v>0</v>
      </c>
      <c r="AJ192" s="675">
        <v>0</v>
      </c>
      <c r="AK192" s="47">
        <v>0</v>
      </c>
      <c r="AL192" s="676">
        <v>0.35105999999999998</v>
      </c>
      <c r="AM192" s="677">
        <v>0</v>
      </c>
      <c r="AN192" s="678">
        <f>HLOOKUP(B192,'מטריצת ייצור מתחדשות'!$B$105:$W$127,'מטריצת ייצור מתחדשות'!$B$151-'מטריצת ייצור מתחדשות'!$B$131+3,FALSE)</f>
        <v>19.550516821566724</v>
      </c>
      <c r="AO192" s="678">
        <f t="shared" ca="1" si="326"/>
        <v>2.1998863899999876</v>
      </c>
      <c r="AP192" s="678">
        <f t="shared" ca="1" si="307"/>
        <v>0.61319999999990338</v>
      </c>
      <c r="AQ192" s="678">
        <f t="shared" ca="1" si="308"/>
        <v>0.7377660400000029</v>
      </c>
      <c r="AR192" s="678">
        <f t="shared" si="309"/>
        <v>0</v>
      </c>
      <c r="AS192" s="678">
        <f t="shared" si="310"/>
        <v>16.313359999999999</v>
      </c>
      <c r="AT192" s="678">
        <f t="shared" ca="1" si="311"/>
        <v>90.93845258260896</v>
      </c>
      <c r="AU192" s="678">
        <f t="shared" si="312"/>
        <v>0</v>
      </c>
      <c r="AV192" s="678">
        <f t="shared" si="313"/>
        <v>0</v>
      </c>
      <c r="AW192" s="678">
        <f t="shared" si="314"/>
        <v>0</v>
      </c>
      <c r="AX192" s="678">
        <f t="shared" si="315"/>
        <v>0.35105999999999998</v>
      </c>
      <c r="AY192" s="674">
        <f>HLOOKUP(B192,'מטריצת ייצור מתחדשות'!$C$80:$W$102,'מטריצת ייצור מתחדשות'!$B$101-'מטריצת ייצור מתחדשות'!$B$81+3,FALSE)</f>
        <v>24.12931270318369</v>
      </c>
      <c r="AZ192" s="675">
        <v>0</v>
      </c>
      <c r="BA192" s="675">
        <f ca="1">'הספק קיים ותחזית יצור'!M134*VLOOKUP('התפלגות ייצור וסל דלקים'!BA$170,'הנחות עבודה'!$C$33:$D$45,2,FALSE)/'הנחות עבודה'!$D$14</f>
        <v>2.1998863899999876</v>
      </c>
      <c r="BB192" s="675">
        <f ca="1">'הספק קיים ותחזית יצור'!N133*VLOOKUP('התפלגות ייצור וסל דלקים'!BB$170,'הנחות עבודה'!$C$33:$D$45,2,FALSE)/'הנחות עבודה'!$D$14</f>
        <v>0.61319999999990338</v>
      </c>
      <c r="BC192" s="675">
        <f ca="1">'הספק קיים ותחזית יצור'!O133*VLOOKUP('התפלגות ייצור וסל דלקים'!BC$170,'הנחות עבודה'!$C$33:$D$45,2,FALSE)/'הנחות עבודה'!$D$14</f>
        <v>0.7377660400000029</v>
      </c>
      <c r="BD192" s="675">
        <v>0</v>
      </c>
      <c r="BE192" s="675">
        <v>16.712</v>
      </c>
      <c r="BF192" s="668">
        <f ca="1">'הספק קיים ותחזית יצור'!C27-SUM('התפלגות ייצור וסל דלקים'!AY192:BE192,'התפלגות ייצור וסל דלקים'!BG192:BJ192)</f>
        <v>85.966776700992</v>
      </c>
      <c r="BG192" s="675">
        <v>0</v>
      </c>
      <c r="BH192" s="675">
        <v>0</v>
      </c>
      <c r="BI192" s="675">
        <v>0</v>
      </c>
      <c r="BJ192" s="675">
        <v>0.3453</v>
      </c>
      <c r="BK192" s="679">
        <v>0</v>
      </c>
      <c r="BL192" s="678">
        <f>HLOOKUP(B192,'מטריצת ייצור מתחדשות'!$C$80:$W$102,'מטריצת ייצור מתחדשות'!$B$101-'מטריצת ייצור מתחדשות'!$B$81+3,FALSE)</f>
        <v>24.12931270318369</v>
      </c>
      <c r="BM192" s="678">
        <f t="shared" ca="1" si="316"/>
        <v>2.1998863899999876</v>
      </c>
      <c r="BN192" s="678">
        <f t="shared" ca="1" si="317"/>
        <v>0.61319999999990338</v>
      </c>
      <c r="BO192" s="678">
        <f t="shared" ca="1" si="318"/>
        <v>0.7377660400000029</v>
      </c>
      <c r="BP192" s="678">
        <f t="shared" si="319"/>
        <v>0</v>
      </c>
      <c r="BQ192" s="678">
        <f t="shared" si="320"/>
        <v>16.712</v>
      </c>
      <c r="BR192" s="678">
        <f t="shared" ca="1" si="321"/>
        <v>85.966776700992</v>
      </c>
      <c r="BS192" s="678">
        <f t="shared" si="322"/>
        <v>0</v>
      </c>
      <c r="BT192" s="678">
        <f t="shared" si="323"/>
        <v>0</v>
      </c>
      <c r="BU192" s="678">
        <f t="shared" si="324"/>
        <v>0</v>
      </c>
      <c r="BV192" s="680">
        <f t="shared" si="325"/>
        <v>0.3453</v>
      </c>
      <c r="BX192" s="863">
        <f t="shared" si="296"/>
        <v>2040</v>
      </c>
      <c r="BY192" s="867">
        <v>1.042449</v>
      </c>
      <c r="BZ192" s="870">
        <f>BY192/('הספק קיים ותחזית יצור'!E76-('הספק קיים ותחזית יצור'!M134*'הנחות עבודה'!$D$35+'הנחות עבודה'!$D$36*'הספק קיים ותחזית יצור'!N134+'הספק קיים ותחזית יצור'!O134*'הנחות עבודה'!$D$37)/'הנחות עבודה'!$D$14)</f>
        <v>4.0679322318732072E-2</v>
      </c>
    </row>
    <row r="193" spans="2:78" ht="15.75" hidden="1" outlineLevel="1" thickBot="1"/>
    <row r="194" spans="2:78" ht="16.5" hidden="1" outlineLevel="1" thickBot="1">
      <c r="B194" s="1186" t="s">
        <v>388</v>
      </c>
      <c r="C194" s="1303" t="s">
        <v>221</v>
      </c>
      <c r="D194" s="1304"/>
      <c r="E194" s="1304"/>
      <c r="F194" s="1304"/>
      <c r="G194" s="1304"/>
      <c r="H194" s="1304"/>
      <c r="I194" s="1304"/>
      <c r="J194" s="1304"/>
      <c r="K194" s="1304"/>
      <c r="L194" s="1304"/>
      <c r="M194" s="1304"/>
      <c r="N194" s="1304"/>
      <c r="O194" s="1304"/>
      <c r="P194" s="1304"/>
      <c r="Q194" s="1304"/>
      <c r="R194" s="1304"/>
      <c r="S194" s="1304"/>
      <c r="T194" s="1304"/>
      <c r="U194" s="1304"/>
      <c r="V194" s="1304"/>
      <c r="W194" s="1304"/>
      <c r="X194" s="1304"/>
      <c r="Y194" s="1304"/>
      <c r="Z194" s="1304"/>
      <c r="AA194" s="1304"/>
      <c r="AB194" s="1304"/>
      <c r="AC194" s="1304"/>
      <c r="AD194" s="1304"/>
      <c r="AE194" s="1304"/>
      <c r="AF194" s="1304"/>
      <c r="AG194" s="1304"/>
      <c r="AH194" s="1304"/>
      <c r="AI194" s="1304"/>
      <c r="AJ194" s="1304"/>
      <c r="AK194" s="1304"/>
      <c r="AL194" s="1304"/>
      <c r="AM194" s="1304"/>
      <c r="AN194" s="1304"/>
      <c r="AO194" s="1304"/>
      <c r="AP194" s="1304"/>
      <c r="AQ194" s="1304"/>
      <c r="AR194" s="1304"/>
      <c r="AS194" s="1304"/>
      <c r="AT194" s="1304"/>
      <c r="AU194" s="1304"/>
      <c r="AV194" s="1304"/>
      <c r="AW194" s="1304"/>
      <c r="AX194" s="1304"/>
      <c r="AY194" s="1304"/>
      <c r="AZ194" s="1304"/>
      <c r="BA194" s="1304"/>
      <c r="BB194" s="1304"/>
      <c r="BC194" s="1304"/>
      <c r="BD194" s="1304"/>
      <c r="BE194" s="1304"/>
      <c r="BF194" s="1304"/>
      <c r="BG194" s="1304"/>
      <c r="BH194" s="1304"/>
      <c r="BI194" s="1304"/>
      <c r="BJ194" s="1304"/>
      <c r="BK194" s="1304"/>
      <c r="BL194" s="1304"/>
      <c r="BM194" s="1304"/>
      <c r="BN194" s="1304"/>
      <c r="BO194" s="1304"/>
      <c r="BP194" s="1304"/>
      <c r="BQ194" s="1304"/>
      <c r="BR194" s="1304"/>
      <c r="BS194" s="1304"/>
      <c r="BT194" s="1304"/>
      <c r="BU194" s="1304"/>
      <c r="BV194" s="1305"/>
    </row>
    <row r="195" spans="2:78" ht="16.5" hidden="1" outlineLevel="1" thickBot="1">
      <c r="B195" s="1188"/>
      <c r="C195" s="1297" t="s">
        <v>46</v>
      </c>
      <c r="D195" s="1298"/>
      <c r="E195" s="1298"/>
      <c r="F195" s="1298"/>
      <c r="G195" s="1298"/>
      <c r="H195" s="1298"/>
      <c r="I195" s="1298"/>
      <c r="J195" s="1298"/>
      <c r="K195" s="1298"/>
      <c r="L195" s="1298"/>
      <c r="M195" s="1298"/>
      <c r="N195" s="1299"/>
      <c r="O195" s="1300" t="s">
        <v>47</v>
      </c>
      <c r="P195" s="1301"/>
      <c r="Q195" s="1301"/>
      <c r="R195" s="1301"/>
      <c r="S195" s="1301"/>
      <c r="T195" s="1301"/>
      <c r="U195" s="1301"/>
      <c r="V195" s="1301"/>
      <c r="W195" s="1301"/>
      <c r="X195" s="1301"/>
      <c r="Y195" s="1301"/>
      <c r="Z195" s="1302"/>
      <c r="AA195" s="1297" t="s">
        <v>342</v>
      </c>
      <c r="AB195" s="1298"/>
      <c r="AC195" s="1298"/>
      <c r="AD195" s="1298"/>
      <c r="AE195" s="1298"/>
      <c r="AF195" s="1298"/>
      <c r="AG195" s="1298"/>
      <c r="AH195" s="1298"/>
      <c r="AI195" s="1298"/>
      <c r="AJ195" s="1298"/>
      <c r="AK195" s="1298"/>
      <c r="AL195" s="1299"/>
      <c r="AM195" s="1300" t="s">
        <v>343</v>
      </c>
      <c r="AN195" s="1301"/>
      <c r="AO195" s="1301"/>
      <c r="AP195" s="1301"/>
      <c r="AQ195" s="1301"/>
      <c r="AR195" s="1301"/>
      <c r="AS195" s="1301"/>
      <c r="AT195" s="1301"/>
      <c r="AU195" s="1301"/>
      <c r="AV195" s="1301"/>
      <c r="AW195" s="1301"/>
      <c r="AX195" s="1302"/>
      <c r="AY195" s="1297" t="s">
        <v>344</v>
      </c>
      <c r="AZ195" s="1298"/>
      <c r="BA195" s="1298"/>
      <c r="BB195" s="1298"/>
      <c r="BC195" s="1298"/>
      <c r="BD195" s="1298"/>
      <c r="BE195" s="1298"/>
      <c r="BF195" s="1298"/>
      <c r="BG195" s="1298"/>
      <c r="BH195" s="1298"/>
      <c r="BI195" s="1298"/>
      <c r="BJ195" s="1299"/>
      <c r="BK195" s="1300" t="s">
        <v>345</v>
      </c>
      <c r="BL195" s="1301"/>
      <c r="BM195" s="1301"/>
      <c r="BN195" s="1301"/>
      <c r="BO195" s="1301"/>
      <c r="BP195" s="1301"/>
      <c r="BQ195" s="1301"/>
      <c r="BR195" s="1301"/>
      <c r="BS195" s="1301"/>
      <c r="BT195" s="1301"/>
      <c r="BU195" s="1301"/>
      <c r="BV195" s="1302"/>
    </row>
    <row r="196" spans="2:78" ht="63.75" hidden="1" outlineLevel="1" thickBot="1">
      <c r="B196" s="62" t="str">
        <f>B170</f>
        <v>שנה</v>
      </c>
      <c r="C196" s="38" t="str">
        <f t="shared" ref="C196:BN196" ca="1" si="327">C170</f>
        <v>מוטה קרקע PV</v>
      </c>
      <c r="D196" s="38" t="str">
        <f t="shared" ca="1" si="327"/>
        <v>מוטה דואלי PV</v>
      </c>
      <c r="E196" s="38" t="str">
        <f t="shared" ca="1" si="327"/>
        <v>רוח</v>
      </c>
      <c r="F196" s="38" t="str">
        <f t="shared" ca="1" si="327"/>
        <v>ביומסה/ביוגז</v>
      </c>
      <c r="G196" s="38" t="str">
        <f t="shared" ca="1" si="327"/>
        <v>תרמו סולארי</v>
      </c>
      <c r="H196" s="38" t="str">
        <f t="shared" si="327"/>
        <v>אחר</v>
      </c>
      <c r="I196" s="38" t="str">
        <f t="shared" ca="1" si="327"/>
        <v>גז פחמיות מוסבות</v>
      </c>
      <c r="J196" s="38" t="str">
        <f t="shared" ca="1" si="327"/>
        <v>גז חח"י מחזמים ופקירים ויח"פים</v>
      </c>
      <c r="K196" s="38" t="str">
        <f t="shared" ca="1" si="327"/>
        <v>אחר 1</v>
      </c>
      <c r="L196" s="38" t="str">
        <f t="shared" ca="1" si="327"/>
        <v>אחר 2</v>
      </c>
      <c r="M196" s="38" t="str">
        <f t="shared" si="327"/>
        <v>יחידה פחמית</v>
      </c>
      <c r="N196" s="38" t="str">
        <f t="shared" si="327"/>
        <v>סולר ופצלי שמן</v>
      </c>
      <c r="O196" s="48" t="str">
        <f t="shared" ca="1" si="327"/>
        <v>מוטה קרקע PV</v>
      </c>
      <c r="P196" s="48" t="str">
        <f t="shared" ca="1" si="327"/>
        <v>מוטה דואלי PV</v>
      </c>
      <c r="Q196" s="48" t="str">
        <f t="shared" ca="1" si="327"/>
        <v>רוח</v>
      </c>
      <c r="R196" s="48" t="str">
        <f t="shared" ca="1" si="327"/>
        <v>ביומסה/ביוגז</v>
      </c>
      <c r="S196" s="48" t="str">
        <f t="shared" ca="1" si="327"/>
        <v>תרמו סולארי</v>
      </c>
      <c r="T196" s="48" t="str">
        <f t="shared" si="327"/>
        <v>אחר</v>
      </c>
      <c r="U196" s="48" t="str">
        <f t="shared" ca="1" si="327"/>
        <v>גז פחמיות מוסבות</v>
      </c>
      <c r="V196" s="48" t="str">
        <f t="shared" ca="1" si="327"/>
        <v>גז חח"י מחזמים ופקירים ויח"פים</v>
      </c>
      <c r="W196" s="48" t="str">
        <f t="shared" ca="1" si="327"/>
        <v>אחר 1</v>
      </c>
      <c r="X196" s="48" t="str">
        <f t="shared" ca="1" si="327"/>
        <v>אחר 2</v>
      </c>
      <c r="Y196" s="48" t="str">
        <f t="shared" si="327"/>
        <v>יחידה פחמית</v>
      </c>
      <c r="Z196" s="48" t="str">
        <f t="shared" si="327"/>
        <v>סולר ופצלי שמן</v>
      </c>
      <c r="AA196" s="38" t="str">
        <f t="shared" ca="1" si="327"/>
        <v>מוטה קרקע PV</v>
      </c>
      <c r="AB196" s="38" t="str">
        <f t="shared" ca="1" si="327"/>
        <v>מוטה דואלי PV</v>
      </c>
      <c r="AC196" s="38" t="str">
        <f t="shared" ca="1" si="327"/>
        <v>רוח</v>
      </c>
      <c r="AD196" s="38" t="str">
        <f t="shared" ca="1" si="327"/>
        <v>ביומסה/ביוגז</v>
      </c>
      <c r="AE196" s="38" t="str">
        <f t="shared" ca="1" si="327"/>
        <v>תרמו סולארי</v>
      </c>
      <c r="AF196" s="38" t="str">
        <f t="shared" si="327"/>
        <v>אחר</v>
      </c>
      <c r="AG196" s="38" t="str">
        <f t="shared" ca="1" si="327"/>
        <v>גז פחמיות מוסבות</v>
      </c>
      <c r="AH196" s="38" t="str">
        <f t="shared" ca="1" si="327"/>
        <v>גז חח"י מחזמים ופקירים ויח"פים</v>
      </c>
      <c r="AI196" s="38" t="str">
        <f t="shared" ca="1" si="327"/>
        <v>אחר 1</v>
      </c>
      <c r="AJ196" s="38" t="str">
        <f t="shared" ca="1" si="327"/>
        <v>אחר 2</v>
      </c>
      <c r="AK196" s="38" t="str">
        <f t="shared" si="327"/>
        <v>יחידה פחמית</v>
      </c>
      <c r="AL196" s="38" t="str">
        <f t="shared" si="327"/>
        <v>סולר ופצלי שמן</v>
      </c>
      <c r="AM196" s="48" t="str">
        <f t="shared" ca="1" si="327"/>
        <v>מוטה קרקע PV</v>
      </c>
      <c r="AN196" s="48" t="str">
        <f t="shared" ca="1" si="327"/>
        <v>מוטה דואלי PV</v>
      </c>
      <c r="AO196" s="48" t="str">
        <f t="shared" ca="1" si="327"/>
        <v>רוח</v>
      </c>
      <c r="AP196" s="48" t="str">
        <f t="shared" ca="1" si="327"/>
        <v>ביומסה/ביוגז</v>
      </c>
      <c r="AQ196" s="48" t="str">
        <f t="shared" ca="1" si="327"/>
        <v>תרמו סולארי</v>
      </c>
      <c r="AR196" s="48" t="str">
        <f t="shared" si="327"/>
        <v>אחר</v>
      </c>
      <c r="AS196" s="48" t="str">
        <f t="shared" ca="1" si="327"/>
        <v>גז פחמיות מוסבות</v>
      </c>
      <c r="AT196" s="48" t="str">
        <f t="shared" ca="1" si="327"/>
        <v>גז חח"י מחזמים ופקירים ויח"פים</v>
      </c>
      <c r="AU196" s="48" t="str">
        <f t="shared" ca="1" si="327"/>
        <v>אחר 1</v>
      </c>
      <c r="AV196" s="48" t="str">
        <f t="shared" ca="1" si="327"/>
        <v>אחר 2</v>
      </c>
      <c r="AW196" s="48" t="str">
        <f t="shared" si="327"/>
        <v>יחידה פחמית</v>
      </c>
      <c r="AX196" s="48" t="str">
        <f t="shared" si="327"/>
        <v>סולר ופצלי שמן</v>
      </c>
      <c r="AY196" s="38" t="str">
        <f t="shared" ca="1" si="327"/>
        <v>מוטה קרקע PV</v>
      </c>
      <c r="AZ196" s="38" t="str">
        <f t="shared" ca="1" si="327"/>
        <v>מוטה דואלי PV</v>
      </c>
      <c r="BA196" s="38" t="str">
        <f t="shared" ca="1" si="327"/>
        <v>רוח</v>
      </c>
      <c r="BB196" s="38" t="str">
        <f t="shared" ca="1" si="327"/>
        <v>ביומסה/ביוגז</v>
      </c>
      <c r="BC196" s="38" t="str">
        <f t="shared" ca="1" si="327"/>
        <v>תרמו סולארי</v>
      </c>
      <c r="BD196" s="38" t="str">
        <f t="shared" si="327"/>
        <v>אחר</v>
      </c>
      <c r="BE196" s="38" t="str">
        <f t="shared" ca="1" si="327"/>
        <v>גז פחמיות מוסבות</v>
      </c>
      <c r="BF196" s="38" t="str">
        <f t="shared" ca="1" si="327"/>
        <v>גז חח"י מחזמים ופקירים ויח"פים</v>
      </c>
      <c r="BG196" s="38" t="str">
        <f t="shared" ca="1" si="327"/>
        <v>אחר 1</v>
      </c>
      <c r="BH196" s="38" t="str">
        <f t="shared" ca="1" si="327"/>
        <v>אחר 2</v>
      </c>
      <c r="BI196" s="38" t="str">
        <f t="shared" si="327"/>
        <v>יחידה פחמית</v>
      </c>
      <c r="BJ196" s="38" t="str">
        <f t="shared" si="327"/>
        <v>סולר ופצלי שמן</v>
      </c>
      <c r="BK196" s="48" t="str">
        <f t="shared" ca="1" si="327"/>
        <v>מוטה קרקע PV</v>
      </c>
      <c r="BL196" s="48" t="str">
        <f t="shared" ca="1" si="327"/>
        <v>מוטה דואלי PV</v>
      </c>
      <c r="BM196" s="48" t="str">
        <f t="shared" ca="1" si="327"/>
        <v>רוח</v>
      </c>
      <c r="BN196" s="48" t="str">
        <f t="shared" ca="1" si="327"/>
        <v>ביומסה/ביוגז</v>
      </c>
      <c r="BO196" s="48" t="str">
        <f t="shared" ref="BO196:BV196" ca="1" si="328">BO170</f>
        <v>תרמו סולארי</v>
      </c>
      <c r="BP196" s="48" t="str">
        <f t="shared" si="328"/>
        <v>אחר</v>
      </c>
      <c r="BQ196" s="48" t="str">
        <f t="shared" ca="1" si="328"/>
        <v>גז פחמיות מוסבות</v>
      </c>
      <c r="BR196" s="48" t="str">
        <f t="shared" ca="1" si="328"/>
        <v>גז חח"י מחזמים ופקירים ויח"פים</v>
      </c>
      <c r="BS196" s="48" t="str">
        <f t="shared" ca="1" si="328"/>
        <v>אחר 1</v>
      </c>
      <c r="BT196" s="48" t="str">
        <f t="shared" ca="1" si="328"/>
        <v>אחר 2</v>
      </c>
      <c r="BU196" s="48" t="str">
        <f t="shared" si="328"/>
        <v>יחידה פחמית</v>
      </c>
      <c r="BV196" s="48" t="str">
        <f t="shared" si="328"/>
        <v>סולר ופצלי שמן</v>
      </c>
      <c r="BX196" s="860" t="s">
        <v>0</v>
      </c>
      <c r="BY196" s="854" t="s">
        <v>420</v>
      </c>
      <c r="BZ196" s="858" t="s">
        <v>421</v>
      </c>
    </row>
    <row r="197" spans="2:78" ht="16.5" hidden="1" outlineLevel="1" thickBot="1">
      <c r="B197" s="62" t="str">
        <f t="shared" ref="B197:G218" si="329">B171</f>
        <v>יחידות</v>
      </c>
      <c r="C197" s="38" t="s">
        <v>33</v>
      </c>
      <c r="D197" s="38" t="s">
        <v>33</v>
      </c>
      <c r="E197" s="38" t="s">
        <v>33</v>
      </c>
      <c r="F197" s="38" t="s">
        <v>33</v>
      </c>
      <c r="G197" s="38" t="s">
        <v>33</v>
      </c>
      <c r="H197" s="38" t="s">
        <v>33</v>
      </c>
      <c r="I197" s="38" t="s">
        <v>33</v>
      </c>
      <c r="J197" s="38" t="s">
        <v>33</v>
      </c>
      <c r="K197" s="38" t="s">
        <v>33</v>
      </c>
      <c r="L197" s="38" t="s">
        <v>33</v>
      </c>
      <c r="M197" s="38" t="s">
        <v>33</v>
      </c>
      <c r="N197" s="38" t="s">
        <v>33</v>
      </c>
      <c r="O197" s="48" t="s">
        <v>33</v>
      </c>
      <c r="P197" s="48" t="s">
        <v>33</v>
      </c>
      <c r="Q197" s="48" t="s">
        <v>33</v>
      </c>
      <c r="R197" s="48" t="s">
        <v>33</v>
      </c>
      <c r="S197" s="48" t="s">
        <v>33</v>
      </c>
      <c r="T197" s="48" t="s">
        <v>33</v>
      </c>
      <c r="U197" s="48" t="s">
        <v>33</v>
      </c>
      <c r="V197" s="48" t="s">
        <v>33</v>
      </c>
      <c r="W197" s="48" t="s">
        <v>33</v>
      </c>
      <c r="X197" s="48" t="s">
        <v>33</v>
      </c>
      <c r="Y197" s="48" t="s">
        <v>33</v>
      </c>
      <c r="Z197" s="48" t="s">
        <v>33</v>
      </c>
      <c r="AA197" s="38" t="s">
        <v>33</v>
      </c>
      <c r="AB197" s="38" t="s">
        <v>33</v>
      </c>
      <c r="AC197" s="38" t="s">
        <v>33</v>
      </c>
      <c r="AD197" s="38" t="s">
        <v>33</v>
      </c>
      <c r="AE197" s="38" t="s">
        <v>33</v>
      </c>
      <c r="AF197" s="38" t="s">
        <v>33</v>
      </c>
      <c r="AG197" s="38" t="s">
        <v>33</v>
      </c>
      <c r="AH197" s="38" t="s">
        <v>33</v>
      </c>
      <c r="AI197" s="38" t="s">
        <v>33</v>
      </c>
      <c r="AJ197" s="38" t="s">
        <v>33</v>
      </c>
      <c r="AK197" s="38" t="s">
        <v>33</v>
      </c>
      <c r="AL197" s="38" t="s">
        <v>33</v>
      </c>
      <c r="AM197" s="48" t="s">
        <v>33</v>
      </c>
      <c r="AN197" s="48" t="s">
        <v>33</v>
      </c>
      <c r="AO197" s="48" t="s">
        <v>33</v>
      </c>
      <c r="AP197" s="48" t="s">
        <v>33</v>
      </c>
      <c r="AQ197" s="48" t="s">
        <v>33</v>
      </c>
      <c r="AR197" s="48" t="s">
        <v>33</v>
      </c>
      <c r="AS197" s="48" t="s">
        <v>33</v>
      </c>
      <c r="AT197" s="48" t="s">
        <v>33</v>
      </c>
      <c r="AU197" s="48" t="s">
        <v>33</v>
      </c>
      <c r="AV197" s="48" t="s">
        <v>33</v>
      </c>
      <c r="AW197" s="48" t="s">
        <v>33</v>
      </c>
      <c r="AX197" s="48" t="s">
        <v>33</v>
      </c>
      <c r="AY197" s="38" t="s">
        <v>33</v>
      </c>
      <c r="AZ197" s="38" t="s">
        <v>33</v>
      </c>
      <c r="BA197" s="38" t="s">
        <v>33</v>
      </c>
      <c r="BB197" s="38" t="s">
        <v>33</v>
      </c>
      <c r="BC197" s="38" t="s">
        <v>33</v>
      </c>
      <c r="BD197" s="38" t="s">
        <v>33</v>
      </c>
      <c r="BE197" s="38" t="s">
        <v>33</v>
      </c>
      <c r="BF197" s="38" t="s">
        <v>33</v>
      </c>
      <c r="BG197" s="38" t="s">
        <v>33</v>
      </c>
      <c r="BH197" s="38" t="s">
        <v>33</v>
      </c>
      <c r="BI197" s="38" t="s">
        <v>33</v>
      </c>
      <c r="BJ197" s="38" t="s">
        <v>33</v>
      </c>
      <c r="BK197" s="48" t="s">
        <v>33</v>
      </c>
      <c r="BL197" s="48" t="s">
        <v>33</v>
      </c>
      <c r="BM197" s="48" t="s">
        <v>33</v>
      </c>
      <c r="BN197" s="48" t="s">
        <v>33</v>
      </c>
      <c r="BO197" s="48" t="s">
        <v>33</v>
      </c>
      <c r="BP197" s="48" t="s">
        <v>33</v>
      </c>
      <c r="BQ197" s="48" t="s">
        <v>33</v>
      </c>
      <c r="BR197" s="48" t="s">
        <v>33</v>
      </c>
      <c r="BS197" s="48" t="s">
        <v>33</v>
      </c>
      <c r="BT197" s="48" t="s">
        <v>33</v>
      </c>
      <c r="BU197" s="48" t="s">
        <v>33</v>
      </c>
      <c r="BV197" s="48" t="s">
        <v>33</v>
      </c>
      <c r="BX197" s="860" t="str">
        <f t="shared" ref="BX197:BX218" si="330">B197</f>
        <v>יחידות</v>
      </c>
      <c r="BY197" s="861" t="s">
        <v>33</v>
      </c>
      <c r="BZ197" s="858" t="s">
        <v>422</v>
      </c>
    </row>
    <row r="198" spans="2:78" ht="15.75" hidden="1" outlineLevel="1">
      <c r="B198" s="24">
        <f t="shared" si="329"/>
        <v>2020</v>
      </c>
      <c r="C198" s="660">
        <f>C172</f>
        <v>6.4147628560000207</v>
      </c>
      <c r="D198" s="661">
        <f t="shared" ref="D198:G198" si="331">D172</f>
        <v>0</v>
      </c>
      <c r="E198" s="661">
        <f t="shared" ca="1" si="331"/>
        <v>8.4379203999999514E-2</v>
      </c>
      <c r="F198" s="661">
        <f t="shared" ca="1" si="331"/>
        <v>0.15329999999997584</v>
      </c>
      <c r="G198" s="661">
        <f t="shared" ca="1" si="331"/>
        <v>0.7377660400000029</v>
      </c>
      <c r="H198" s="661">
        <v>0</v>
      </c>
      <c r="I198" s="661">
        <v>0</v>
      </c>
      <c r="J198" s="661">
        <f ca="1">'הספק קיים ותחזית יצור'!C7-SUM('התפלגות ייצור וסל דלקים'!C198:I198,'התפלגות ייצור וסל דלקים'!K198:N198)</f>
        <v>48.709192899999998</v>
      </c>
      <c r="K198" s="661">
        <v>0</v>
      </c>
      <c r="L198" s="661">
        <v>0</v>
      </c>
      <c r="M198" s="41">
        <v>17.459679999999999</v>
      </c>
      <c r="N198" s="662">
        <v>0.34300000000000003</v>
      </c>
      <c r="O198" s="663">
        <f t="shared" ref="O198" si="332">O172</f>
        <v>0</v>
      </c>
      <c r="P198" s="664">
        <f t="shared" ref="P198" si="333">P172</f>
        <v>6.4147628560000207</v>
      </c>
      <c r="Q198" s="664">
        <f ca="1">E198</f>
        <v>8.4379203999999514E-2</v>
      </c>
      <c r="R198" s="664">
        <f t="shared" ref="R198:S198" ca="1" si="334">F198</f>
        <v>0.15329999999997584</v>
      </c>
      <c r="S198" s="664">
        <f t="shared" ca="1" si="334"/>
        <v>0.7377660400000029</v>
      </c>
      <c r="T198" s="664">
        <f t="shared" ref="T198:T218" si="335">H198</f>
        <v>0</v>
      </c>
      <c r="U198" s="664">
        <f t="shared" ref="U198:U218" si="336">I198</f>
        <v>0</v>
      </c>
      <c r="V198" s="664">
        <f t="shared" ref="V198:V218" ca="1" si="337">J198</f>
        <v>48.709192899999998</v>
      </c>
      <c r="W198" s="664">
        <f t="shared" ref="W198:W218" si="338">K198</f>
        <v>0</v>
      </c>
      <c r="X198" s="664">
        <f t="shared" ref="X198:X218" si="339">L198</f>
        <v>0</v>
      </c>
      <c r="Y198" s="664">
        <f t="shared" ref="Y198:Y218" si="340">M198</f>
        <v>17.459679999999999</v>
      </c>
      <c r="Z198" s="664">
        <f t="shared" ref="Z198:Z218" si="341">N198</f>
        <v>0.34300000000000003</v>
      </c>
      <c r="AA198" s="660">
        <f>AA172</f>
        <v>6.4147628560000207</v>
      </c>
      <c r="AB198" s="661">
        <f t="shared" ref="AB198:AE198" si="342">AB172</f>
        <v>0</v>
      </c>
      <c r="AC198" s="661">
        <f t="shared" ca="1" si="342"/>
        <v>8.4379203999999514E-2</v>
      </c>
      <c r="AD198" s="661">
        <f t="shared" ca="1" si="342"/>
        <v>0.15329999999997584</v>
      </c>
      <c r="AE198" s="661">
        <f t="shared" ca="1" si="342"/>
        <v>0.7377660400000029</v>
      </c>
      <c r="AF198" s="661">
        <v>0</v>
      </c>
      <c r="AG198" s="661">
        <v>0</v>
      </c>
      <c r="AH198" s="661">
        <f ca="1">'הספק קיים ותחזית יצור'!C7-SUM(AA198:AG198,AI198:AL198)</f>
        <v>48.709192899999998</v>
      </c>
      <c r="AI198" s="661">
        <v>0</v>
      </c>
      <c r="AJ198" s="661">
        <v>0</v>
      </c>
      <c r="AK198" s="41">
        <v>17.459679999999999</v>
      </c>
      <c r="AL198" s="662">
        <v>0.34300000000000003</v>
      </c>
      <c r="AM198" s="663">
        <f>AM172</f>
        <v>0</v>
      </c>
      <c r="AN198" s="664">
        <f>AN172</f>
        <v>6.4147628560000207</v>
      </c>
      <c r="AO198" s="664">
        <f ca="1">AC198</f>
        <v>8.4379203999999514E-2</v>
      </c>
      <c r="AP198" s="664">
        <f t="shared" ref="AP198:AP218" ca="1" si="343">AD198</f>
        <v>0.15329999999997584</v>
      </c>
      <c r="AQ198" s="664">
        <f t="shared" ref="AQ198:AQ218" ca="1" si="344">AE198</f>
        <v>0.7377660400000029</v>
      </c>
      <c r="AR198" s="664">
        <f t="shared" ref="AR198:AR218" si="345">AF198</f>
        <v>0</v>
      </c>
      <c r="AS198" s="664">
        <f t="shared" ref="AS198:AS218" si="346">AG198</f>
        <v>0</v>
      </c>
      <c r="AT198" s="664">
        <f t="shared" ref="AT198:AT218" ca="1" si="347">AH198</f>
        <v>48.709192899999998</v>
      </c>
      <c r="AU198" s="664">
        <f t="shared" ref="AU198:AU218" si="348">AI198</f>
        <v>0</v>
      </c>
      <c r="AV198" s="664">
        <f t="shared" ref="AV198:AV218" si="349">AJ198</f>
        <v>0</v>
      </c>
      <c r="AW198" s="664">
        <f t="shared" ref="AW198:AW218" si="350">AK198</f>
        <v>17.459679999999999</v>
      </c>
      <c r="AX198" s="664">
        <f t="shared" ref="AX198:AX218" si="351">AL198</f>
        <v>0.34300000000000003</v>
      </c>
      <c r="AY198" s="660">
        <f>AY172</f>
        <v>6.4147628560000207</v>
      </c>
      <c r="AZ198" s="661">
        <f t="shared" ref="AZ198:BC198" si="352">AZ172</f>
        <v>0</v>
      </c>
      <c r="BA198" s="661">
        <f t="shared" ca="1" si="352"/>
        <v>8.4379203999999514E-2</v>
      </c>
      <c r="BB198" s="661">
        <f t="shared" ca="1" si="352"/>
        <v>0.15329999999997584</v>
      </c>
      <c r="BC198" s="661">
        <f t="shared" ca="1" si="352"/>
        <v>0.7377660400000029</v>
      </c>
      <c r="BD198" s="661">
        <v>0</v>
      </c>
      <c r="BE198" s="661">
        <v>0</v>
      </c>
      <c r="BF198" s="661">
        <f ca="1">'הספק קיים ותחזית יצור'!C7-SUM('התפלגות ייצור וסל דלקים'!AY198:BE198,'התפלגות ייצור וסל דלקים'!BG198:BJ198)</f>
        <v>48.709192899999998</v>
      </c>
      <c r="BG198" s="661">
        <v>0</v>
      </c>
      <c r="BH198" s="661">
        <v>0</v>
      </c>
      <c r="BI198" s="661">
        <v>17.459679999999999</v>
      </c>
      <c r="BJ198" s="661">
        <v>0.34300000000000003</v>
      </c>
      <c r="BK198" s="665">
        <f>BK172</f>
        <v>0</v>
      </c>
      <c r="BL198" s="664">
        <f>BL172</f>
        <v>6.4147628560000207</v>
      </c>
      <c r="BM198" s="664">
        <f t="shared" ref="BM198:BM218" ca="1" si="353">BA198</f>
        <v>8.4379203999999514E-2</v>
      </c>
      <c r="BN198" s="664">
        <f t="shared" ref="BN198:BN218" ca="1" si="354">BB198</f>
        <v>0.15329999999997584</v>
      </c>
      <c r="BO198" s="664">
        <f t="shared" ref="BO198:BO218" ca="1" si="355">BC198</f>
        <v>0.7377660400000029</v>
      </c>
      <c r="BP198" s="664">
        <f t="shared" ref="BP198:BP218" si="356">BD198</f>
        <v>0</v>
      </c>
      <c r="BQ198" s="664">
        <f t="shared" ref="BQ198:BQ218" si="357">BE198</f>
        <v>0</v>
      </c>
      <c r="BR198" s="664">
        <f t="shared" ref="BR198:BR218" ca="1" si="358">BF198</f>
        <v>48.709192899999998</v>
      </c>
      <c r="BS198" s="664">
        <f t="shared" ref="BS198:BS218" si="359">BG198</f>
        <v>0</v>
      </c>
      <c r="BT198" s="664">
        <f t="shared" ref="BT198:BT218" si="360">BH198</f>
        <v>0</v>
      </c>
      <c r="BU198" s="664">
        <f t="shared" ref="BU198:BU218" si="361">BI198</f>
        <v>17.459679999999999</v>
      </c>
      <c r="BV198" s="666">
        <f t="shared" ref="BV198:BV218" si="362">BJ198</f>
        <v>0.34300000000000003</v>
      </c>
      <c r="BX198" s="859">
        <f t="shared" si="330"/>
        <v>2020</v>
      </c>
      <c r="BY198" s="864">
        <v>0</v>
      </c>
      <c r="BZ198" s="868">
        <f>BY198/('הספק קיים ותחזית יצור'!E56-('הספק קיים ותחזית יצור'!M114*'הנחות עבודה'!$D$35+'הנחות עבודה'!$D$36*'הספק קיים ותחזית יצור'!N114+'הספק קיים ותחזית יצור'!O114*'הנחות עבודה'!$D$37)/'הנחות עבודה'!$D$14)</f>
        <v>0</v>
      </c>
    </row>
    <row r="199" spans="2:78" ht="15.75" hidden="1" outlineLevel="1">
      <c r="B199" s="10">
        <f t="shared" si="329"/>
        <v>2021</v>
      </c>
      <c r="C199" s="667">
        <f t="shared" si="329"/>
        <v>6.9084150280000509</v>
      </c>
      <c r="D199" s="668">
        <f t="shared" si="329"/>
        <v>0</v>
      </c>
      <c r="E199" s="668">
        <f t="shared" ca="1" si="329"/>
        <v>8.4379203999999514E-2</v>
      </c>
      <c r="F199" s="668">
        <f t="shared" ca="1" si="329"/>
        <v>0.33725999999994682</v>
      </c>
      <c r="G199" s="668">
        <f t="shared" ca="1" si="329"/>
        <v>0.7377660400000029</v>
      </c>
      <c r="H199" s="668">
        <v>0</v>
      </c>
      <c r="I199" s="668">
        <v>0</v>
      </c>
      <c r="J199" s="668">
        <f ca="1">'הספק קיים ותחזית יצור'!C8-SUM('התפלגות ייצור וסל דלקים'!C199:I199,'התפלגות ייצור וסל דלקים'!K199:N199)</f>
        <v>50.241011728000004</v>
      </c>
      <c r="K199" s="668">
        <v>0</v>
      </c>
      <c r="L199" s="668">
        <v>0</v>
      </c>
      <c r="M199" s="44">
        <v>17.459679999999999</v>
      </c>
      <c r="N199" s="669">
        <v>0.34300000000000003</v>
      </c>
      <c r="O199" s="670">
        <f t="shared" ref="O199:P199" si="363">O173</f>
        <v>0</v>
      </c>
      <c r="P199" s="671">
        <f t="shared" si="363"/>
        <v>6.9084150280000509</v>
      </c>
      <c r="Q199" s="671">
        <f t="shared" ref="Q199:Q218" ca="1" si="364">E199</f>
        <v>8.4379203999999514E-2</v>
      </c>
      <c r="R199" s="671">
        <f t="shared" ref="R199:R218" ca="1" si="365">F199</f>
        <v>0.33725999999994682</v>
      </c>
      <c r="S199" s="671">
        <f t="shared" ref="S199:S218" ca="1" si="366">G199</f>
        <v>0.7377660400000029</v>
      </c>
      <c r="T199" s="671">
        <f t="shared" si="335"/>
        <v>0</v>
      </c>
      <c r="U199" s="671">
        <f t="shared" si="336"/>
        <v>0</v>
      </c>
      <c r="V199" s="671">
        <f t="shared" ca="1" si="337"/>
        <v>50.241011728000004</v>
      </c>
      <c r="W199" s="671">
        <f t="shared" si="338"/>
        <v>0</v>
      </c>
      <c r="X199" s="671">
        <f t="shared" si="339"/>
        <v>0</v>
      </c>
      <c r="Y199" s="671">
        <f t="shared" si="340"/>
        <v>17.459679999999999</v>
      </c>
      <c r="Z199" s="671">
        <f t="shared" si="341"/>
        <v>0.34300000000000003</v>
      </c>
      <c r="AA199" s="667">
        <f t="shared" ref="AA199:AE199" si="367">AA173</f>
        <v>7.5934186360000524</v>
      </c>
      <c r="AB199" s="668">
        <f t="shared" si="367"/>
        <v>0</v>
      </c>
      <c r="AC199" s="668">
        <f t="shared" ca="1" si="367"/>
        <v>8.4379203999999514E-2</v>
      </c>
      <c r="AD199" s="668">
        <f t="shared" ca="1" si="367"/>
        <v>0.33725999999994682</v>
      </c>
      <c r="AE199" s="668">
        <f t="shared" ca="1" si="367"/>
        <v>0.7377660400000029</v>
      </c>
      <c r="AF199" s="668">
        <v>0</v>
      </c>
      <c r="AG199" s="668">
        <v>0</v>
      </c>
      <c r="AH199" s="668">
        <f ca="1">'הספק קיים ותחזית יצור'!C8-SUM(AA199:AG199,AI199:AL199)</f>
        <v>49.556008120000001</v>
      </c>
      <c r="AI199" s="668">
        <v>0</v>
      </c>
      <c r="AJ199" s="668">
        <v>0</v>
      </c>
      <c r="AK199" s="44">
        <v>17.459679999999999</v>
      </c>
      <c r="AL199" s="669">
        <v>0.34300000000000003</v>
      </c>
      <c r="AM199" s="670">
        <f t="shared" ref="AM199:AN218" si="368">AM173</f>
        <v>0</v>
      </c>
      <c r="AN199" s="671">
        <f t="shared" si="368"/>
        <v>7.5934186360000524</v>
      </c>
      <c r="AO199" s="671">
        <f t="shared" ref="AO199:AO218" ca="1" si="369">AC199</f>
        <v>8.4379203999999514E-2</v>
      </c>
      <c r="AP199" s="671">
        <f t="shared" ca="1" si="343"/>
        <v>0.33725999999994682</v>
      </c>
      <c r="AQ199" s="671">
        <f t="shared" ca="1" si="344"/>
        <v>0.7377660400000029</v>
      </c>
      <c r="AR199" s="671">
        <f t="shared" si="345"/>
        <v>0</v>
      </c>
      <c r="AS199" s="671">
        <f t="shared" si="346"/>
        <v>0</v>
      </c>
      <c r="AT199" s="671">
        <f t="shared" ca="1" si="347"/>
        <v>49.556008120000001</v>
      </c>
      <c r="AU199" s="671">
        <f t="shared" si="348"/>
        <v>0</v>
      </c>
      <c r="AV199" s="671">
        <f t="shared" si="349"/>
        <v>0</v>
      </c>
      <c r="AW199" s="671">
        <f t="shared" si="350"/>
        <v>17.459679999999999</v>
      </c>
      <c r="AX199" s="671">
        <f t="shared" si="351"/>
        <v>0.34300000000000003</v>
      </c>
      <c r="AY199" s="667">
        <f t="shared" ref="AY199:BC199" si="370">AY173</f>
        <v>7.973976196000053</v>
      </c>
      <c r="AZ199" s="668">
        <f t="shared" si="370"/>
        <v>0</v>
      </c>
      <c r="BA199" s="668">
        <f t="shared" ca="1" si="370"/>
        <v>8.4379203999999514E-2</v>
      </c>
      <c r="BB199" s="668">
        <f t="shared" ca="1" si="370"/>
        <v>0.15329999999997584</v>
      </c>
      <c r="BC199" s="668">
        <f t="shared" ca="1" si="370"/>
        <v>0.7377660400000029</v>
      </c>
      <c r="BD199" s="668">
        <v>0</v>
      </c>
      <c r="BE199" s="668">
        <v>0</v>
      </c>
      <c r="BF199" s="668">
        <f ca="1">'הספק קיים ותחזית יצור'!C8-SUM('התפלגות ייצור וסל דלקים'!AY199:BE199,'התפלגות ייצור וסל דלקים'!BG199:BJ199)</f>
        <v>49.359410559999972</v>
      </c>
      <c r="BG199" s="668">
        <v>0</v>
      </c>
      <c r="BH199" s="668">
        <v>0</v>
      </c>
      <c r="BI199" s="668">
        <f>BI200+BE200</f>
        <v>17.459679999999999</v>
      </c>
      <c r="BJ199" s="668">
        <v>0.34300000000000003</v>
      </c>
      <c r="BK199" s="672">
        <f t="shared" ref="BK199:BL218" si="371">BK173</f>
        <v>0</v>
      </c>
      <c r="BL199" s="671">
        <f t="shared" si="371"/>
        <v>7.973976196000053</v>
      </c>
      <c r="BM199" s="671">
        <f t="shared" ca="1" si="353"/>
        <v>8.4379203999999514E-2</v>
      </c>
      <c r="BN199" s="671">
        <f t="shared" ca="1" si="354"/>
        <v>0.15329999999997584</v>
      </c>
      <c r="BO199" s="671">
        <f t="shared" ca="1" si="355"/>
        <v>0.7377660400000029</v>
      </c>
      <c r="BP199" s="671">
        <f t="shared" si="356"/>
        <v>0</v>
      </c>
      <c r="BQ199" s="671">
        <f t="shared" si="357"/>
        <v>0</v>
      </c>
      <c r="BR199" s="671">
        <f t="shared" ca="1" si="358"/>
        <v>49.359410559999972</v>
      </c>
      <c r="BS199" s="671">
        <f t="shared" si="359"/>
        <v>0</v>
      </c>
      <c r="BT199" s="671">
        <f t="shared" si="360"/>
        <v>0</v>
      </c>
      <c r="BU199" s="671">
        <f t="shared" si="361"/>
        <v>17.459679999999999</v>
      </c>
      <c r="BV199" s="673">
        <f t="shared" si="362"/>
        <v>0.34300000000000003</v>
      </c>
      <c r="BX199" s="855">
        <f t="shared" si="330"/>
        <v>2021</v>
      </c>
      <c r="BY199" s="865">
        <v>0</v>
      </c>
      <c r="BZ199" s="869">
        <f>BY199/('הספק קיים ותחזית יצור'!E57-('הספק קיים ותחזית יצור'!M115*'הנחות עבודה'!$D$35+'הנחות עבודה'!$D$36*'הספק קיים ותחזית יצור'!N115+'הספק קיים ותחזית יצור'!O115*'הנחות עבודה'!$D$37)/'הנחות עבודה'!$D$14)</f>
        <v>0</v>
      </c>
    </row>
    <row r="200" spans="2:78" ht="15.75" hidden="1" outlineLevel="1">
      <c r="B200" s="10">
        <f t="shared" si="329"/>
        <v>2022</v>
      </c>
      <c r="C200" s="667">
        <f t="shared" si="329"/>
        <v>7.0555605900000593</v>
      </c>
      <c r="D200" s="668">
        <f t="shared" si="329"/>
        <v>0</v>
      </c>
      <c r="E200" s="668">
        <f t="shared" ca="1" si="329"/>
        <v>0.59668151399999658</v>
      </c>
      <c r="F200" s="668">
        <f t="shared" ca="1" si="329"/>
        <v>0.36791999999994196</v>
      </c>
      <c r="G200" s="668">
        <f t="shared" ca="1" si="329"/>
        <v>0.7377660400000029</v>
      </c>
      <c r="H200" s="668">
        <v>0</v>
      </c>
      <c r="I200" s="668">
        <v>1.30576</v>
      </c>
      <c r="J200" s="668">
        <f ca="1">'הספק קיים ותחזית יצור'!C9-SUM('התפלגות ייצור וסל דלקים'!C200:I200,'התפלגות ייצור וסל דלקים'!K200:N200)</f>
        <v>51.585658855999995</v>
      </c>
      <c r="K200" s="668">
        <v>0</v>
      </c>
      <c r="L200" s="668">
        <v>0</v>
      </c>
      <c r="M200" s="44">
        <v>16.202909999999999</v>
      </c>
      <c r="N200" s="669">
        <v>0.34353</v>
      </c>
      <c r="O200" s="670">
        <f t="shared" ref="O200:P200" si="372">O174</f>
        <v>0</v>
      </c>
      <c r="P200" s="671">
        <f t="shared" si="372"/>
        <v>7.0555605900000593</v>
      </c>
      <c r="Q200" s="671">
        <f t="shared" ca="1" si="364"/>
        <v>0.59668151399999658</v>
      </c>
      <c r="R200" s="671">
        <f t="shared" ca="1" si="365"/>
        <v>0.36791999999994196</v>
      </c>
      <c r="S200" s="671">
        <f t="shared" ca="1" si="366"/>
        <v>0.7377660400000029</v>
      </c>
      <c r="T200" s="671">
        <f t="shared" si="335"/>
        <v>0</v>
      </c>
      <c r="U200" s="671">
        <f t="shared" si="336"/>
        <v>1.30576</v>
      </c>
      <c r="V200" s="671">
        <f t="shared" ca="1" si="337"/>
        <v>51.585658855999995</v>
      </c>
      <c r="W200" s="671">
        <f t="shared" si="338"/>
        <v>0</v>
      </c>
      <c r="X200" s="671">
        <f t="shared" si="339"/>
        <v>0</v>
      </c>
      <c r="Y200" s="671">
        <f t="shared" si="340"/>
        <v>16.202909999999999</v>
      </c>
      <c r="Z200" s="671">
        <f t="shared" si="341"/>
        <v>0.34353</v>
      </c>
      <c r="AA200" s="667">
        <f t="shared" ref="AA200:AE200" si="373">AA174</f>
        <v>8.4630847560000575</v>
      </c>
      <c r="AB200" s="668">
        <f t="shared" si="373"/>
        <v>0</v>
      </c>
      <c r="AC200" s="668">
        <f t="shared" ca="1" si="373"/>
        <v>0.59668151399999658</v>
      </c>
      <c r="AD200" s="668">
        <f t="shared" ca="1" si="373"/>
        <v>0.36791999999994196</v>
      </c>
      <c r="AE200" s="668">
        <f t="shared" ca="1" si="373"/>
        <v>0.7377660400000029</v>
      </c>
      <c r="AF200" s="668">
        <v>0</v>
      </c>
      <c r="AG200" s="668">
        <v>1.26959</v>
      </c>
      <c r="AH200" s="668">
        <f ca="1">'הספק קיים ותחזית יצור'!C9-SUM(AA200:AG200,AI200:AL200)</f>
        <v>50.214274689999996</v>
      </c>
      <c r="AI200" s="668">
        <v>0</v>
      </c>
      <c r="AJ200" s="668">
        <v>0</v>
      </c>
      <c r="AK200" s="44">
        <v>16.203489999999999</v>
      </c>
      <c r="AL200" s="669">
        <v>0.34298000000000001</v>
      </c>
      <c r="AM200" s="670">
        <f t="shared" si="368"/>
        <v>0</v>
      </c>
      <c r="AN200" s="671">
        <f t="shared" si="368"/>
        <v>8.4630847560000575</v>
      </c>
      <c r="AO200" s="671">
        <f t="shared" ca="1" si="369"/>
        <v>0.59668151399999658</v>
      </c>
      <c r="AP200" s="671">
        <f t="shared" ca="1" si="343"/>
        <v>0.36791999999994196</v>
      </c>
      <c r="AQ200" s="671">
        <f t="shared" ca="1" si="344"/>
        <v>0.7377660400000029</v>
      </c>
      <c r="AR200" s="671">
        <f t="shared" si="345"/>
        <v>0</v>
      </c>
      <c r="AS200" s="671">
        <f t="shared" si="346"/>
        <v>1.26959</v>
      </c>
      <c r="AT200" s="671">
        <f t="shared" ca="1" si="347"/>
        <v>50.214274689999996</v>
      </c>
      <c r="AU200" s="671">
        <f t="shared" si="348"/>
        <v>0</v>
      </c>
      <c r="AV200" s="671">
        <f t="shared" si="349"/>
        <v>0</v>
      </c>
      <c r="AW200" s="671">
        <f t="shared" si="350"/>
        <v>16.203489999999999</v>
      </c>
      <c r="AX200" s="671">
        <f t="shared" si="351"/>
        <v>0.34298000000000001</v>
      </c>
      <c r="AY200" s="667">
        <f t="shared" ref="AY200:BC200" si="374">AY174</f>
        <v>9.2450426260000551</v>
      </c>
      <c r="AZ200" s="668">
        <f t="shared" si="374"/>
        <v>0</v>
      </c>
      <c r="BA200" s="668">
        <f t="shared" ca="1" si="374"/>
        <v>0.59668151399999658</v>
      </c>
      <c r="BB200" s="668">
        <f t="shared" ca="1" si="374"/>
        <v>0.33725999999994682</v>
      </c>
      <c r="BC200" s="668">
        <f t="shared" ca="1" si="374"/>
        <v>0.7377660400000029</v>
      </c>
      <c r="BD200" s="668">
        <v>0</v>
      </c>
      <c r="BE200" s="668">
        <v>1.2567900000000001</v>
      </c>
      <c r="BF200" s="668">
        <f ca="1">'הספק קיים ותחזית יצור'!C9-SUM('התפלגות ייצור וסל דלקים'!AY200:BE200,'התפלגות ייצור וסל דלקים'!BG200:BJ200)</f>
        <v>49.476356819999992</v>
      </c>
      <c r="BG200" s="668">
        <v>0</v>
      </c>
      <c r="BH200" s="668">
        <v>0</v>
      </c>
      <c r="BI200" s="668">
        <v>16.20289</v>
      </c>
      <c r="BJ200" s="668">
        <v>0.34300000000000003</v>
      </c>
      <c r="BK200" s="672">
        <f t="shared" si="371"/>
        <v>0</v>
      </c>
      <c r="BL200" s="671">
        <f t="shared" si="371"/>
        <v>9.2450426260000551</v>
      </c>
      <c r="BM200" s="671">
        <f t="shared" ca="1" si="353"/>
        <v>0.59668151399999658</v>
      </c>
      <c r="BN200" s="671">
        <f t="shared" ca="1" si="354"/>
        <v>0.33725999999994682</v>
      </c>
      <c r="BO200" s="671">
        <f t="shared" ca="1" si="355"/>
        <v>0.7377660400000029</v>
      </c>
      <c r="BP200" s="671">
        <f t="shared" si="356"/>
        <v>0</v>
      </c>
      <c r="BQ200" s="671">
        <f t="shared" si="357"/>
        <v>1.2567900000000001</v>
      </c>
      <c r="BR200" s="671">
        <f t="shared" ca="1" si="358"/>
        <v>49.476356819999992</v>
      </c>
      <c r="BS200" s="671">
        <f t="shared" si="359"/>
        <v>0</v>
      </c>
      <c r="BT200" s="671">
        <f t="shared" si="360"/>
        <v>0</v>
      </c>
      <c r="BU200" s="671">
        <f t="shared" si="361"/>
        <v>16.20289</v>
      </c>
      <c r="BV200" s="673">
        <f t="shared" si="362"/>
        <v>0.34300000000000003</v>
      </c>
      <c r="BX200" s="855">
        <f t="shared" si="330"/>
        <v>2022</v>
      </c>
      <c r="BY200" s="865">
        <v>0</v>
      </c>
      <c r="BZ200" s="869">
        <f>BY200/('הספק קיים ותחזית יצור'!E58-('הספק קיים ותחזית יצור'!M116*'הנחות עבודה'!$D$35+'הנחות עבודה'!$D$36*'הספק קיים ותחזית יצור'!N116+'הספק קיים ותחזית יצור'!O116*'הנחות עבודה'!$D$37)/'הנחות עבודה'!$D$14)</f>
        <v>0</v>
      </c>
    </row>
    <row r="201" spans="2:78" ht="15.75" hidden="1" outlineLevel="1">
      <c r="B201" s="10">
        <f t="shared" si="329"/>
        <v>2023</v>
      </c>
      <c r="C201" s="667">
        <f t="shared" si="329"/>
        <v>7.2139161130000691</v>
      </c>
      <c r="D201" s="668">
        <f t="shared" si="329"/>
        <v>0</v>
      </c>
      <c r="E201" s="668">
        <f t="shared" ca="1" si="329"/>
        <v>1.1300786249999935</v>
      </c>
      <c r="F201" s="668">
        <f t="shared" ca="1" si="329"/>
        <v>0.39857999999993715</v>
      </c>
      <c r="G201" s="668">
        <f t="shared" ca="1" si="329"/>
        <v>0.7377660400000029</v>
      </c>
      <c r="H201" s="668">
        <v>0</v>
      </c>
      <c r="I201" s="668">
        <v>2.0048499999999998</v>
      </c>
      <c r="J201" s="668">
        <f ca="1">'הספק קיים ותחזית יצור'!C10-SUM('התפלגות ייצור וסל דלקים'!C201:I201,'התפלגות ייצור וסל דלקים'!K201:N201)</f>
        <v>57.255080221999997</v>
      </c>
      <c r="K201" s="668">
        <v>0</v>
      </c>
      <c r="L201" s="668">
        <v>0</v>
      </c>
      <c r="M201" s="44">
        <v>11.26074</v>
      </c>
      <c r="N201" s="669">
        <v>0.34086</v>
      </c>
      <c r="O201" s="670">
        <f t="shared" ref="O201:P201" si="375">O175</f>
        <v>0</v>
      </c>
      <c r="P201" s="671">
        <f t="shared" si="375"/>
        <v>7.2139161130000691</v>
      </c>
      <c r="Q201" s="671">
        <f t="shared" ca="1" si="364"/>
        <v>1.1300786249999935</v>
      </c>
      <c r="R201" s="671">
        <f t="shared" ca="1" si="365"/>
        <v>0.39857999999993715</v>
      </c>
      <c r="S201" s="671">
        <f t="shared" ca="1" si="366"/>
        <v>0.7377660400000029</v>
      </c>
      <c r="T201" s="671">
        <f t="shared" si="335"/>
        <v>0</v>
      </c>
      <c r="U201" s="671">
        <f t="shared" si="336"/>
        <v>2.0048499999999998</v>
      </c>
      <c r="V201" s="671">
        <f t="shared" ca="1" si="337"/>
        <v>57.255080221999997</v>
      </c>
      <c r="W201" s="671">
        <f t="shared" si="338"/>
        <v>0</v>
      </c>
      <c r="X201" s="671">
        <f t="shared" si="339"/>
        <v>0</v>
      </c>
      <c r="Y201" s="671">
        <f t="shared" si="340"/>
        <v>11.26074</v>
      </c>
      <c r="Z201" s="671">
        <f t="shared" si="341"/>
        <v>0.34086</v>
      </c>
      <c r="AA201" s="667">
        <f t="shared" ref="AA201:AE201" si="376">AA175</f>
        <v>9.3831466300000663</v>
      </c>
      <c r="AB201" s="668">
        <f t="shared" si="376"/>
        <v>0</v>
      </c>
      <c r="AC201" s="668">
        <f t="shared" ca="1" si="376"/>
        <v>1.1300786249999935</v>
      </c>
      <c r="AD201" s="668">
        <f t="shared" ca="1" si="376"/>
        <v>0.39857999999993715</v>
      </c>
      <c r="AE201" s="668">
        <f t="shared" ca="1" si="376"/>
        <v>0.7377660400000029</v>
      </c>
      <c r="AF201" s="668">
        <v>0</v>
      </c>
      <c r="AG201" s="668">
        <v>1.95722</v>
      </c>
      <c r="AH201" s="668">
        <f ca="1">'הספק קיים ותחזית יצור'!C10-SUM(AA201:AG201,AI201:AL201)</f>
        <v>55.136999704999994</v>
      </c>
      <c r="AI201" s="668">
        <v>0</v>
      </c>
      <c r="AJ201" s="668">
        <v>0</v>
      </c>
      <c r="AK201" s="44">
        <v>11.256959999999999</v>
      </c>
      <c r="AL201" s="669">
        <v>0.34111999999999998</v>
      </c>
      <c r="AM201" s="670">
        <f t="shared" si="368"/>
        <v>0</v>
      </c>
      <c r="AN201" s="671">
        <f t="shared" si="368"/>
        <v>9.3831466300000663</v>
      </c>
      <c r="AO201" s="671">
        <f t="shared" ca="1" si="369"/>
        <v>1.1300786249999935</v>
      </c>
      <c r="AP201" s="671">
        <f t="shared" ca="1" si="343"/>
        <v>0.39857999999993715</v>
      </c>
      <c r="AQ201" s="671">
        <f t="shared" ca="1" si="344"/>
        <v>0.7377660400000029</v>
      </c>
      <c r="AR201" s="671">
        <f t="shared" si="345"/>
        <v>0</v>
      </c>
      <c r="AS201" s="671">
        <f t="shared" si="346"/>
        <v>1.95722</v>
      </c>
      <c r="AT201" s="671">
        <f t="shared" ca="1" si="347"/>
        <v>55.136999704999994</v>
      </c>
      <c r="AU201" s="671">
        <f t="shared" si="348"/>
        <v>0</v>
      </c>
      <c r="AV201" s="671">
        <f t="shared" si="349"/>
        <v>0</v>
      </c>
      <c r="AW201" s="671">
        <f t="shared" si="350"/>
        <v>11.256959999999999</v>
      </c>
      <c r="AX201" s="671">
        <f t="shared" si="351"/>
        <v>0.34111999999999998</v>
      </c>
      <c r="AY201" s="667">
        <f t="shared" ref="AY201:BC201" si="377">AY175</f>
        <v>10.588274695000063</v>
      </c>
      <c r="AZ201" s="668">
        <f t="shared" si="377"/>
        <v>0</v>
      </c>
      <c r="BA201" s="668">
        <f t="shared" ca="1" si="377"/>
        <v>1.1300786249999935</v>
      </c>
      <c r="BB201" s="668">
        <f t="shared" ca="1" si="377"/>
        <v>0.36791999999994196</v>
      </c>
      <c r="BC201" s="668">
        <f t="shared" ca="1" si="377"/>
        <v>0.7377660400000029</v>
      </c>
      <c r="BD201" s="668">
        <v>0</v>
      </c>
      <c r="BE201" s="668">
        <v>1.9442300000000001</v>
      </c>
      <c r="BF201" s="668">
        <f ca="1">'הספק קיים ותחזית יצור'!C10-SUM('התפלגות ייצור וסל דלקים'!AY201:BE201,'התפלגות ייצור וסל דלקים'!BG201:BJ201)</f>
        <v>53.975601639999994</v>
      </c>
      <c r="BG201" s="668">
        <v>0</v>
      </c>
      <c r="BH201" s="668">
        <v>0</v>
      </c>
      <c r="BI201" s="668">
        <v>11.257200000000001</v>
      </c>
      <c r="BJ201" s="668">
        <v>0.34079999999999999</v>
      </c>
      <c r="BK201" s="672">
        <f t="shared" si="371"/>
        <v>0</v>
      </c>
      <c r="BL201" s="671">
        <f t="shared" si="371"/>
        <v>10.588274695000063</v>
      </c>
      <c r="BM201" s="671">
        <f t="shared" ca="1" si="353"/>
        <v>1.1300786249999935</v>
      </c>
      <c r="BN201" s="671">
        <f t="shared" ca="1" si="354"/>
        <v>0.36791999999994196</v>
      </c>
      <c r="BO201" s="671">
        <f t="shared" ca="1" si="355"/>
        <v>0.7377660400000029</v>
      </c>
      <c r="BP201" s="671">
        <f t="shared" si="356"/>
        <v>0</v>
      </c>
      <c r="BQ201" s="671">
        <f t="shared" si="357"/>
        <v>1.9442300000000001</v>
      </c>
      <c r="BR201" s="671">
        <f t="shared" ca="1" si="358"/>
        <v>53.975601639999994</v>
      </c>
      <c r="BS201" s="671">
        <f t="shared" si="359"/>
        <v>0</v>
      </c>
      <c r="BT201" s="671">
        <f t="shared" si="360"/>
        <v>0</v>
      </c>
      <c r="BU201" s="671">
        <f t="shared" si="361"/>
        <v>11.257200000000001</v>
      </c>
      <c r="BV201" s="673">
        <f t="shared" si="362"/>
        <v>0.34079999999999999</v>
      </c>
      <c r="BX201" s="855">
        <f t="shared" si="330"/>
        <v>2023</v>
      </c>
      <c r="BY201" s="865">
        <v>0</v>
      </c>
      <c r="BZ201" s="869">
        <f>BY201/('הספק קיים ותחזית יצור'!E59-('הספק קיים ותחזית יצור'!M117*'הנחות עבודה'!$D$35+'הנחות עבודה'!$D$36*'הספק קיים ותחזית יצור'!N117+'הספק קיים ותחזית יצור'!O117*'הנחות עבודה'!$D$37)/'הנחות עבודה'!$D$14)</f>
        <v>0</v>
      </c>
    </row>
    <row r="202" spans="2:78" ht="15.75" hidden="1" outlineLevel="1">
      <c r="B202" s="10">
        <f t="shared" si="329"/>
        <v>2024</v>
      </c>
      <c r="C202" s="667">
        <f t="shared" si="329"/>
        <v>7.3761071770000788</v>
      </c>
      <c r="D202" s="668">
        <f t="shared" si="329"/>
        <v>0</v>
      </c>
      <c r="E202" s="668">
        <f t="shared" ca="1" si="329"/>
        <v>1.6664892789999906</v>
      </c>
      <c r="F202" s="668">
        <f t="shared" ca="1" si="329"/>
        <v>0.42923999999993229</v>
      </c>
      <c r="G202" s="668">
        <f t="shared" ca="1" si="329"/>
        <v>0.7377660400000029</v>
      </c>
      <c r="H202" s="668">
        <v>0</v>
      </c>
      <c r="I202" s="668">
        <v>2.64059</v>
      </c>
      <c r="J202" s="668">
        <f ca="1">'הספק קיים ותחזית יצור'!C11-SUM('התפלגות ייצור וסל דלקים'!C202:I202,'התפלגות ייצור וסל דלקים'!K202:N202)</f>
        <v>59.578921503999993</v>
      </c>
      <c r="K202" s="668">
        <v>0</v>
      </c>
      <c r="L202" s="668">
        <v>0</v>
      </c>
      <c r="M202" s="44">
        <v>9.5552499999999991</v>
      </c>
      <c r="N202" s="669">
        <v>0.35113999999999995</v>
      </c>
      <c r="O202" s="670">
        <f t="shared" ref="O202:P202" si="378">O176</f>
        <v>0</v>
      </c>
      <c r="P202" s="671">
        <f t="shared" si="378"/>
        <v>7.3761071770000788</v>
      </c>
      <c r="Q202" s="671">
        <f t="shared" ca="1" si="364"/>
        <v>1.6664892789999906</v>
      </c>
      <c r="R202" s="671">
        <f t="shared" ca="1" si="365"/>
        <v>0.42923999999993229</v>
      </c>
      <c r="S202" s="671">
        <f t="shared" ca="1" si="366"/>
        <v>0.7377660400000029</v>
      </c>
      <c r="T202" s="671">
        <f t="shared" si="335"/>
        <v>0</v>
      </c>
      <c r="U202" s="671">
        <f t="shared" si="336"/>
        <v>2.64059</v>
      </c>
      <c r="V202" s="671">
        <f t="shared" ca="1" si="337"/>
        <v>59.578921503999993</v>
      </c>
      <c r="W202" s="671">
        <f t="shared" si="338"/>
        <v>0</v>
      </c>
      <c r="X202" s="671">
        <f t="shared" si="339"/>
        <v>0</v>
      </c>
      <c r="Y202" s="671">
        <f t="shared" si="340"/>
        <v>9.5552499999999991</v>
      </c>
      <c r="Z202" s="671">
        <f t="shared" si="341"/>
        <v>0.35113999999999995</v>
      </c>
      <c r="AA202" s="667">
        <f t="shared" ref="AA202:AE202" si="379">AA176</f>
        <v>10.340185321000073</v>
      </c>
      <c r="AB202" s="668">
        <f t="shared" si="379"/>
        <v>0</v>
      </c>
      <c r="AC202" s="668">
        <f t="shared" ca="1" si="379"/>
        <v>1.6664892789999906</v>
      </c>
      <c r="AD202" s="668">
        <f t="shared" ca="1" si="379"/>
        <v>0.42923999999993229</v>
      </c>
      <c r="AE202" s="668">
        <f t="shared" ca="1" si="379"/>
        <v>0.7377660400000029</v>
      </c>
      <c r="AF202" s="668">
        <v>0</v>
      </c>
      <c r="AG202" s="668">
        <v>2.57762</v>
      </c>
      <c r="AH202" s="668">
        <f ca="1">'הספק קיים ותחזית יצור'!C11-SUM(AA202:AG202,AI202:AL202)</f>
        <v>56.700923360000004</v>
      </c>
      <c r="AI202" s="668">
        <v>0</v>
      </c>
      <c r="AJ202" s="668">
        <v>0</v>
      </c>
      <c r="AK202" s="44">
        <v>9.5328900000000001</v>
      </c>
      <c r="AL202" s="669">
        <v>0.35038999999999998</v>
      </c>
      <c r="AM202" s="670">
        <f t="shared" si="368"/>
        <v>0</v>
      </c>
      <c r="AN202" s="671">
        <f t="shared" si="368"/>
        <v>10.340185321000073</v>
      </c>
      <c r="AO202" s="671">
        <f t="shared" ca="1" si="369"/>
        <v>1.6664892789999906</v>
      </c>
      <c r="AP202" s="671">
        <f t="shared" ca="1" si="343"/>
        <v>0.42923999999993229</v>
      </c>
      <c r="AQ202" s="671">
        <f t="shared" ca="1" si="344"/>
        <v>0.7377660400000029</v>
      </c>
      <c r="AR202" s="671">
        <f t="shared" si="345"/>
        <v>0</v>
      </c>
      <c r="AS202" s="671">
        <f t="shared" si="346"/>
        <v>2.57762</v>
      </c>
      <c r="AT202" s="671">
        <f t="shared" ca="1" si="347"/>
        <v>56.700923360000004</v>
      </c>
      <c r="AU202" s="671">
        <f t="shared" si="348"/>
        <v>0</v>
      </c>
      <c r="AV202" s="671">
        <f t="shared" si="349"/>
        <v>0</v>
      </c>
      <c r="AW202" s="671">
        <f t="shared" si="350"/>
        <v>9.5328900000000001</v>
      </c>
      <c r="AX202" s="671">
        <f t="shared" si="351"/>
        <v>0.35038999999999998</v>
      </c>
      <c r="AY202" s="667">
        <f t="shared" ref="AY202:BC202" si="380">AY176</f>
        <v>11.986895401000073</v>
      </c>
      <c r="AZ202" s="668">
        <f t="shared" si="380"/>
        <v>0</v>
      </c>
      <c r="BA202" s="668">
        <f t="shared" ca="1" si="380"/>
        <v>1.6664892789999906</v>
      </c>
      <c r="BB202" s="668">
        <f t="shared" ca="1" si="380"/>
        <v>0.39857999999993715</v>
      </c>
      <c r="BC202" s="668">
        <f t="shared" ca="1" si="380"/>
        <v>0.7377660400000029</v>
      </c>
      <c r="BD202" s="668">
        <v>0</v>
      </c>
      <c r="BE202" s="668">
        <v>2.5639499999999997</v>
      </c>
      <c r="BF202" s="668">
        <f ca="1">'הספק קיים ותחזית יצור'!C11-SUM('התפלגות ייצור וסל דלקים'!AY202:BE202,'התפלגות ייצור וסל דלקים'!BG202:BJ202)</f>
        <v>55.103853280000003</v>
      </c>
      <c r="BG202" s="668">
        <v>0</v>
      </c>
      <c r="BH202" s="668">
        <v>0</v>
      </c>
      <c r="BI202" s="668">
        <v>9.5279799999999994</v>
      </c>
      <c r="BJ202" s="668">
        <v>0.34998999999999997</v>
      </c>
      <c r="BK202" s="672">
        <f t="shared" si="371"/>
        <v>0</v>
      </c>
      <c r="BL202" s="671">
        <f t="shared" si="371"/>
        <v>11.986895401000073</v>
      </c>
      <c r="BM202" s="671">
        <f t="shared" ca="1" si="353"/>
        <v>1.6664892789999906</v>
      </c>
      <c r="BN202" s="671">
        <f t="shared" ca="1" si="354"/>
        <v>0.39857999999993715</v>
      </c>
      <c r="BO202" s="671">
        <f t="shared" ca="1" si="355"/>
        <v>0.7377660400000029</v>
      </c>
      <c r="BP202" s="671">
        <f t="shared" si="356"/>
        <v>0</v>
      </c>
      <c r="BQ202" s="671">
        <f t="shared" si="357"/>
        <v>2.5639499999999997</v>
      </c>
      <c r="BR202" s="671">
        <f t="shared" ca="1" si="358"/>
        <v>55.103853280000003</v>
      </c>
      <c r="BS202" s="671">
        <f t="shared" si="359"/>
        <v>0</v>
      </c>
      <c r="BT202" s="671">
        <f t="shared" si="360"/>
        <v>0</v>
      </c>
      <c r="BU202" s="671">
        <f t="shared" si="361"/>
        <v>9.5279799999999994</v>
      </c>
      <c r="BV202" s="673">
        <f t="shared" si="362"/>
        <v>0.34998999999999997</v>
      </c>
      <c r="BX202" s="855">
        <f t="shared" si="330"/>
        <v>2024</v>
      </c>
      <c r="BY202" s="865">
        <v>0</v>
      </c>
      <c r="BZ202" s="869">
        <f>BY202/('הספק קיים ותחזית יצור'!E60-('הספק קיים ותחזית יצור'!M118*'הנחות עבודה'!$D$35+'הנחות עבודה'!$D$36*'הספק קיים ותחזית יצור'!N118+'הספק קיים ותחזית יצור'!O118*'הנחות עבודה'!$D$37)/'הנחות עבודה'!$D$14)</f>
        <v>0</v>
      </c>
    </row>
    <row r="203" spans="2:78" ht="15.75" hidden="1" outlineLevel="1">
      <c r="B203" s="10">
        <f t="shared" si="329"/>
        <v>2025</v>
      </c>
      <c r="C203" s="667">
        <f t="shared" si="329"/>
        <v>7.6295322100000806</v>
      </c>
      <c r="D203" s="668">
        <f t="shared" si="329"/>
        <v>0</v>
      </c>
      <c r="E203" s="668">
        <f t="shared" ca="1" si="329"/>
        <v>2.1998863899999876</v>
      </c>
      <c r="F203" s="668">
        <f t="shared" ca="1" si="329"/>
        <v>0.45989999999992748</v>
      </c>
      <c r="G203" s="668">
        <f t="shared" ca="1" si="329"/>
        <v>0.7377660400000029</v>
      </c>
      <c r="H203" s="668">
        <v>0</v>
      </c>
      <c r="I203" s="668">
        <v>9.2489899999999992</v>
      </c>
      <c r="J203" s="668">
        <f ca="1">'הספק קיים ותחזית יצור'!C12-SUM('התפלגות ייצור וסל דלקים'!C203:I203,'התפלגות ייצור וסל דלקים'!K203:N203)</f>
        <v>61.419493360000004</v>
      </c>
      <c r="K203" s="668">
        <v>0</v>
      </c>
      <c r="L203" s="668">
        <v>0</v>
      </c>
      <c r="M203" s="44">
        <v>2.7700200000000001</v>
      </c>
      <c r="N203" s="669">
        <v>0.35813999999999996</v>
      </c>
      <c r="O203" s="670">
        <f t="shared" ref="O203:P203" si="381">O177</f>
        <v>0</v>
      </c>
      <c r="P203" s="671">
        <f t="shared" si="381"/>
        <v>7.6295322100000806</v>
      </c>
      <c r="Q203" s="671">
        <f t="shared" ca="1" si="364"/>
        <v>2.1998863899999876</v>
      </c>
      <c r="R203" s="671">
        <f t="shared" ca="1" si="365"/>
        <v>0.45989999999992748</v>
      </c>
      <c r="S203" s="671">
        <f t="shared" ca="1" si="366"/>
        <v>0.7377660400000029</v>
      </c>
      <c r="T203" s="671">
        <f t="shared" si="335"/>
        <v>0</v>
      </c>
      <c r="U203" s="671">
        <f t="shared" si="336"/>
        <v>9.2489899999999992</v>
      </c>
      <c r="V203" s="671">
        <f t="shared" ca="1" si="337"/>
        <v>61.419493360000004</v>
      </c>
      <c r="W203" s="671">
        <f t="shared" si="338"/>
        <v>0</v>
      </c>
      <c r="X203" s="671">
        <f t="shared" si="339"/>
        <v>0</v>
      </c>
      <c r="Y203" s="671">
        <f t="shared" si="340"/>
        <v>2.7700200000000001</v>
      </c>
      <c r="Z203" s="671">
        <f t="shared" si="341"/>
        <v>0.35813999999999996</v>
      </c>
      <c r="AA203" s="667">
        <f t="shared" ref="AA203:AE203" si="382">AA177</f>
        <v>11.446599970000078</v>
      </c>
      <c r="AB203" s="668">
        <f t="shared" si="382"/>
        <v>0</v>
      </c>
      <c r="AC203" s="668">
        <f t="shared" ca="1" si="382"/>
        <v>2.1998863899999876</v>
      </c>
      <c r="AD203" s="668">
        <f t="shared" ca="1" si="382"/>
        <v>0.45989999999992748</v>
      </c>
      <c r="AE203" s="668">
        <f t="shared" ca="1" si="382"/>
        <v>0.7377660400000029</v>
      </c>
      <c r="AF203" s="668">
        <v>0</v>
      </c>
      <c r="AG203" s="668">
        <v>8.9133699999999987</v>
      </c>
      <c r="AH203" s="668">
        <f ca="1">'הספק קיים ותחזית יצור'!C12-SUM(AA203:AG203,AI203:AL203)</f>
        <v>57.945445600000014</v>
      </c>
      <c r="AI203" s="668">
        <v>0</v>
      </c>
      <c r="AJ203" s="668">
        <v>0</v>
      </c>
      <c r="AK203" s="44">
        <v>2.7658299999999998</v>
      </c>
      <c r="AL203" s="669">
        <v>0.35492999999999997</v>
      </c>
      <c r="AM203" s="670">
        <f t="shared" si="368"/>
        <v>0</v>
      </c>
      <c r="AN203" s="671">
        <f t="shared" si="368"/>
        <v>11.446599970000078</v>
      </c>
      <c r="AO203" s="671">
        <f t="shared" ca="1" si="369"/>
        <v>2.1998863899999876</v>
      </c>
      <c r="AP203" s="671">
        <f t="shared" ca="1" si="343"/>
        <v>0.45989999999992748</v>
      </c>
      <c r="AQ203" s="671">
        <f t="shared" ca="1" si="344"/>
        <v>0.7377660400000029</v>
      </c>
      <c r="AR203" s="671">
        <f t="shared" si="345"/>
        <v>0</v>
      </c>
      <c r="AS203" s="671">
        <f t="shared" si="346"/>
        <v>8.9133699999999987</v>
      </c>
      <c r="AT203" s="671">
        <f t="shared" ca="1" si="347"/>
        <v>57.945445600000014</v>
      </c>
      <c r="AU203" s="671">
        <f t="shared" si="348"/>
        <v>0</v>
      </c>
      <c r="AV203" s="671">
        <f t="shared" si="349"/>
        <v>0</v>
      </c>
      <c r="AW203" s="671">
        <f t="shared" si="350"/>
        <v>2.7658299999999998</v>
      </c>
      <c r="AX203" s="671">
        <f t="shared" si="351"/>
        <v>0.35492999999999997</v>
      </c>
      <c r="AY203" s="667">
        <f t="shared" ref="AY203:BC203" si="383">AY177</f>
        <v>13.567193170000079</v>
      </c>
      <c r="AZ203" s="668">
        <f t="shared" si="383"/>
        <v>0</v>
      </c>
      <c r="BA203" s="668">
        <f t="shared" ca="1" si="383"/>
        <v>2.1998863899999876</v>
      </c>
      <c r="BB203" s="668">
        <f t="shared" ca="1" si="383"/>
        <v>0.42923999999993229</v>
      </c>
      <c r="BC203" s="668">
        <f t="shared" ca="1" si="383"/>
        <v>0.7377660400000029</v>
      </c>
      <c r="BD203" s="668">
        <v>0</v>
      </c>
      <c r="BE203" s="668">
        <v>8.9430299999999985</v>
      </c>
      <c r="BF203" s="668">
        <f ca="1">'הספק קיים ותחזית יצור'!C12-SUM('התפלגות ייצור וסל דלקים'!AY203:BE203,'התפלגות ייצור וסל דלקים'!BG203:BJ203)</f>
        <v>55.831652399999996</v>
      </c>
      <c r="BG203" s="668">
        <v>0</v>
      </c>
      <c r="BH203" s="668">
        <v>0</v>
      </c>
      <c r="BI203" s="668">
        <v>2.7609299999999997</v>
      </c>
      <c r="BJ203" s="668">
        <v>0.35403000000000001</v>
      </c>
      <c r="BK203" s="672">
        <f t="shared" si="371"/>
        <v>0</v>
      </c>
      <c r="BL203" s="671">
        <f t="shared" si="371"/>
        <v>13.567193170000079</v>
      </c>
      <c r="BM203" s="671">
        <f t="shared" ca="1" si="353"/>
        <v>2.1998863899999876</v>
      </c>
      <c r="BN203" s="671">
        <f t="shared" ca="1" si="354"/>
        <v>0.42923999999993229</v>
      </c>
      <c r="BO203" s="671">
        <f t="shared" ca="1" si="355"/>
        <v>0.7377660400000029</v>
      </c>
      <c r="BP203" s="671">
        <f t="shared" si="356"/>
        <v>0</v>
      </c>
      <c r="BQ203" s="671">
        <f t="shared" si="357"/>
        <v>8.9430299999999985</v>
      </c>
      <c r="BR203" s="671">
        <f t="shared" ca="1" si="358"/>
        <v>55.831652399999996</v>
      </c>
      <c r="BS203" s="671">
        <f t="shared" si="359"/>
        <v>0</v>
      </c>
      <c r="BT203" s="671">
        <f t="shared" si="360"/>
        <v>0</v>
      </c>
      <c r="BU203" s="671">
        <f t="shared" si="361"/>
        <v>2.7609299999999997</v>
      </c>
      <c r="BV203" s="673">
        <f t="shared" si="362"/>
        <v>0.35403000000000001</v>
      </c>
      <c r="BX203" s="855">
        <f t="shared" si="330"/>
        <v>2025</v>
      </c>
      <c r="BY203" s="865">
        <v>0</v>
      </c>
      <c r="BZ203" s="869">
        <f>BY203/('הספק קיים ותחזית יצור'!E61-('הספק קיים ותחזית יצור'!M119*'הנחות עבודה'!$D$35+'הנחות עבודה'!$D$36*'הספק קיים ותחזית יצור'!N119+'הספק קיים ותחזית יצור'!O119*'הנחות עבודה'!$D$37)/'הנחות עבודה'!$D$14)</f>
        <v>0</v>
      </c>
    </row>
    <row r="204" spans="2:78" ht="15.75" hidden="1" outlineLevel="1">
      <c r="B204" s="10">
        <f t="shared" si="329"/>
        <v>2026</v>
      </c>
      <c r="C204" s="667">
        <f t="shared" si="329"/>
        <v>8.6007286900000874</v>
      </c>
      <c r="D204" s="668">
        <f t="shared" si="329"/>
        <v>0</v>
      </c>
      <c r="E204" s="668">
        <f t="shared" ca="1" si="329"/>
        <v>2.1998863899999876</v>
      </c>
      <c r="F204" s="668">
        <f t="shared" ca="1" si="329"/>
        <v>0.49055999999992267</v>
      </c>
      <c r="G204" s="668">
        <f t="shared" ca="1" si="329"/>
        <v>0.7377660400000029</v>
      </c>
      <c r="H204" s="668">
        <v>0</v>
      </c>
      <c r="I204" s="668">
        <v>15.301380000000002</v>
      </c>
      <c r="J204" s="668">
        <f ca="1">'הספק קיים ותחזית יצור'!C13-SUM('התפלגות ייצור וסל דלקים'!C204:I204,'התפלגות ייצור וסל דלקים'!K204:N204)</f>
        <v>59.476838880000003</v>
      </c>
      <c r="K204" s="668">
        <v>0</v>
      </c>
      <c r="L204" s="668">
        <v>0</v>
      </c>
      <c r="M204" s="44">
        <v>0</v>
      </c>
      <c r="N204" s="669">
        <v>0.35907999999999995</v>
      </c>
      <c r="O204" s="670">
        <f t="shared" ref="O204:P204" si="384">O178</f>
        <v>0</v>
      </c>
      <c r="P204" s="671">
        <f t="shared" si="384"/>
        <v>8.6007286900000874</v>
      </c>
      <c r="Q204" s="671">
        <f t="shared" ca="1" si="364"/>
        <v>2.1998863899999876</v>
      </c>
      <c r="R204" s="671">
        <f t="shared" ca="1" si="365"/>
        <v>0.49055999999992267</v>
      </c>
      <c r="S204" s="671">
        <f t="shared" ca="1" si="366"/>
        <v>0.7377660400000029</v>
      </c>
      <c r="T204" s="671">
        <f t="shared" si="335"/>
        <v>0</v>
      </c>
      <c r="U204" s="671">
        <f t="shared" si="336"/>
        <v>15.301380000000002</v>
      </c>
      <c r="V204" s="671">
        <f t="shared" ca="1" si="337"/>
        <v>59.476838880000003</v>
      </c>
      <c r="W204" s="671">
        <f t="shared" si="338"/>
        <v>0</v>
      </c>
      <c r="X204" s="671">
        <f t="shared" si="339"/>
        <v>0</v>
      </c>
      <c r="Y204" s="671">
        <f t="shared" si="340"/>
        <v>0</v>
      </c>
      <c r="Z204" s="671">
        <f t="shared" si="341"/>
        <v>0.35907999999999995</v>
      </c>
      <c r="AA204" s="667">
        <f t="shared" ref="AA204:AE204" si="385">AA178</f>
        <v>13.133373170000084</v>
      </c>
      <c r="AB204" s="668">
        <f t="shared" si="385"/>
        <v>0</v>
      </c>
      <c r="AC204" s="668">
        <f t="shared" ca="1" si="385"/>
        <v>2.1998863899999876</v>
      </c>
      <c r="AD204" s="668">
        <f t="shared" ca="1" si="385"/>
        <v>0.49055999999992267</v>
      </c>
      <c r="AE204" s="668">
        <f t="shared" ca="1" si="385"/>
        <v>0.7377660400000029</v>
      </c>
      <c r="AF204" s="668">
        <v>0</v>
      </c>
      <c r="AG204" s="668">
        <v>14.962330000000001</v>
      </c>
      <c r="AH204" s="668">
        <f ca="1">'הספק קיים ותחזית יצור'!C13-SUM(AA204:AG204,AI204:AL204)</f>
        <v>55.286324399999998</v>
      </c>
      <c r="AI204" s="668">
        <v>0</v>
      </c>
      <c r="AJ204" s="668">
        <v>0</v>
      </c>
      <c r="AK204" s="44">
        <v>0</v>
      </c>
      <c r="AL204" s="669">
        <v>0.35600000000000004</v>
      </c>
      <c r="AM204" s="670">
        <f t="shared" si="368"/>
        <v>0</v>
      </c>
      <c r="AN204" s="671">
        <f t="shared" si="368"/>
        <v>13.133373170000084</v>
      </c>
      <c r="AO204" s="671">
        <f t="shared" ca="1" si="369"/>
        <v>2.1998863899999876</v>
      </c>
      <c r="AP204" s="671">
        <f t="shared" ca="1" si="343"/>
        <v>0.49055999999992267</v>
      </c>
      <c r="AQ204" s="671">
        <f t="shared" ca="1" si="344"/>
        <v>0.7377660400000029</v>
      </c>
      <c r="AR204" s="671">
        <f t="shared" si="345"/>
        <v>0</v>
      </c>
      <c r="AS204" s="671">
        <f t="shared" si="346"/>
        <v>14.962330000000001</v>
      </c>
      <c r="AT204" s="671">
        <f t="shared" ca="1" si="347"/>
        <v>55.286324399999998</v>
      </c>
      <c r="AU204" s="671">
        <f t="shared" si="348"/>
        <v>0</v>
      </c>
      <c r="AV204" s="671">
        <f t="shared" si="349"/>
        <v>0</v>
      </c>
      <c r="AW204" s="671">
        <f t="shared" si="350"/>
        <v>0</v>
      </c>
      <c r="AX204" s="671">
        <f t="shared" si="351"/>
        <v>0.35600000000000004</v>
      </c>
      <c r="AY204" s="667">
        <f t="shared" ref="AY204:BC204" si="386">AY178</f>
        <v>15.748360370000082</v>
      </c>
      <c r="AZ204" s="668">
        <f t="shared" si="386"/>
        <v>0</v>
      </c>
      <c r="BA204" s="668">
        <f t="shared" ca="1" si="386"/>
        <v>2.1998863899999876</v>
      </c>
      <c r="BB204" s="668">
        <f t="shared" ca="1" si="386"/>
        <v>0.45989999999992748</v>
      </c>
      <c r="BC204" s="668">
        <f t="shared" ca="1" si="386"/>
        <v>0.7377660400000029</v>
      </c>
      <c r="BD204" s="668">
        <v>0</v>
      </c>
      <c r="BE204" s="668">
        <v>15.08</v>
      </c>
      <c r="BF204" s="668">
        <f ca="1">'הספק קיים ותחזית יצור'!C13-SUM('התפלגות ייצור וסל דלקים'!AY204:BE204,'התפלגות ייצור וסל דלקים'!BG204:BJ204)</f>
        <v>52.585327200000002</v>
      </c>
      <c r="BG204" s="668">
        <v>0</v>
      </c>
      <c r="BH204" s="668">
        <v>0</v>
      </c>
      <c r="BI204" s="668">
        <v>0</v>
      </c>
      <c r="BJ204" s="668">
        <v>0.35499999999999998</v>
      </c>
      <c r="BK204" s="672">
        <f t="shared" si="371"/>
        <v>0</v>
      </c>
      <c r="BL204" s="671">
        <f t="shared" si="371"/>
        <v>15.748360370000082</v>
      </c>
      <c r="BM204" s="671">
        <f t="shared" ca="1" si="353"/>
        <v>2.1998863899999876</v>
      </c>
      <c r="BN204" s="671">
        <f t="shared" ca="1" si="354"/>
        <v>0.45989999999992748</v>
      </c>
      <c r="BO204" s="671">
        <f t="shared" ca="1" si="355"/>
        <v>0.7377660400000029</v>
      </c>
      <c r="BP204" s="671">
        <f t="shared" si="356"/>
        <v>0</v>
      </c>
      <c r="BQ204" s="671">
        <f t="shared" si="357"/>
        <v>15.08</v>
      </c>
      <c r="BR204" s="671">
        <f t="shared" ca="1" si="358"/>
        <v>52.585327200000002</v>
      </c>
      <c r="BS204" s="671">
        <f t="shared" si="359"/>
        <v>0</v>
      </c>
      <c r="BT204" s="671">
        <f t="shared" si="360"/>
        <v>0</v>
      </c>
      <c r="BU204" s="671">
        <f t="shared" si="361"/>
        <v>0</v>
      </c>
      <c r="BV204" s="673">
        <f t="shared" si="362"/>
        <v>0.35499999999999998</v>
      </c>
      <c r="BX204" s="855">
        <f t="shared" si="330"/>
        <v>2026</v>
      </c>
      <c r="BY204" s="866">
        <v>9.6570000000000007E-3</v>
      </c>
      <c r="BZ204" s="869">
        <f>BY204/('הספק קיים ותחזית יצור'!E62-('הספק קיים ותחזית יצור'!M120*'הנחות עבודה'!$D$35+'הנחות עבודה'!$D$36*'הספק קיים ותחזית יצור'!N120+'הספק קיים ותחזית יצור'!O120*'הנחות עבודה'!$D$37)/'הנחות עבודה'!$D$14)</f>
        <v>6.1320669410106659E-4</v>
      </c>
    </row>
    <row r="205" spans="2:78" ht="15.75" hidden="1" outlineLevel="1">
      <c r="B205" s="10">
        <f t="shared" si="329"/>
        <v>2027</v>
      </c>
      <c r="C205" s="667">
        <f t="shared" si="329"/>
        <v>9.6195384920000926</v>
      </c>
      <c r="D205" s="668">
        <f t="shared" si="329"/>
        <v>0</v>
      </c>
      <c r="E205" s="668">
        <f t="shared" ca="1" si="329"/>
        <v>2.1998863899999876</v>
      </c>
      <c r="F205" s="668">
        <f t="shared" ca="1" si="329"/>
        <v>0.52121999999991786</v>
      </c>
      <c r="G205" s="668">
        <f t="shared" ca="1" si="329"/>
        <v>0.7377660400000029</v>
      </c>
      <c r="H205" s="668">
        <v>0</v>
      </c>
      <c r="I205" s="668">
        <v>14.945649999999999</v>
      </c>
      <c r="J205" s="668">
        <f ca="1">'הספק קיים ותחזית יצור'!C14-SUM('התפלגות ייצור וסל דלקים'!C205:I205,'התפלגות ייצור וסל דלקים'!K205:N205)</f>
        <v>61.202026078000003</v>
      </c>
      <c r="K205" s="668">
        <v>0</v>
      </c>
      <c r="L205" s="668">
        <v>0</v>
      </c>
      <c r="M205" s="44">
        <v>0</v>
      </c>
      <c r="N205" s="669">
        <v>0.35207000000000005</v>
      </c>
      <c r="O205" s="670">
        <f t="shared" ref="O205:P205" si="387">O179</f>
        <v>0</v>
      </c>
      <c r="P205" s="671">
        <f t="shared" si="387"/>
        <v>9.6195384920000926</v>
      </c>
      <c r="Q205" s="671">
        <f t="shared" ca="1" si="364"/>
        <v>2.1998863899999876</v>
      </c>
      <c r="R205" s="671">
        <f t="shared" ca="1" si="365"/>
        <v>0.52121999999991786</v>
      </c>
      <c r="S205" s="671">
        <f t="shared" ca="1" si="366"/>
        <v>0.7377660400000029</v>
      </c>
      <c r="T205" s="671">
        <f t="shared" si="335"/>
        <v>0</v>
      </c>
      <c r="U205" s="671">
        <f t="shared" si="336"/>
        <v>14.945649999999999</v>
      </c>
      <c r="V205" s="671">
        <f t="shared" ca="1" si="337"/>
        <v>61.202026078000003</v>
      </c>
      <c r="W205" s="671">
        <f t="shared" si="338"/>
        <v>0</v>
      </c>
      <c r="X205" s="671">
        <f t="shared" si="339"/>
        <v>0</v>
      </c>
      <c r="Y205" s="671">
        <f t="shared" si="340"/>
        <v>0</v>
      </c>
      <c r="Z205" s="671">
        <f t="shared" si="341"/>
        <v>0.35207000000000005</v>
      </c>
      <c r="AA205" s="667">
        <f t="shared" ref="AA205:AE205" si="388">AA179</f>
        <v>14.904649755000092</v>
      </c>
      <c r="AB205" s="668">
        <f t="shared" si="388"/>
        <v>0</v>
      </c>
      <c r="AC205" s="668">
        <f t="shared" ca="1" si="388"/>
        <v>2.1998863899999876</v>
      </c>
      <c r="AD205" s="668">
        <f t="shared" ca="1" si="388"/>
        <v>0.52121999999991786</v>
      </c>
      <c r="AE205" s="668">
        <f t="shared" ca="1" si="388"/>
        <v>0.7377660400000029</v>
      </c>
      <c r="AF205" s="668">
        <v>0</v>
      </c>
      <c r="AG205" s="668">
        <v>14.828890000000001</v>
      </c>
      <c r="AH205" s="668">
        <f ca="1">'הספק קיים ותחזית יצור'!C14-SUM(AA205:AG205,AI205:AL205)</f>
        <v>56.035124815000003</v>
      </c>
      <c r="AI205" s="668">
        <v>0</v>
      </c>
      <c r="AJ205" s="668">
        <v>0</v>
      </c>
      <c r="AK205" s="44">
        <v>0</v>
      </c>
      <c r="AL205" s="669">
        <v>0.35062000000000004</v>
      </c>
      <c r="AM205" s="670">
        <f t="shared" si="368"/>
        <v>0</v>
      </c>
      <c r="AN205" s="671">
        <f t="shared" si="368"/>
        <v>14.904649755000092</v>
      </c>
      <c r="AO205" s="671">
        <f t="shared" ca="1" si="369"/>
        <v>2.1998863899999876</v>
      </c>
      <c r="AP205" s="671">
        <f t="shared" ca="1" si="343"/>
        <v>0.52121999999991786</v>
      </c>
      <c r="AQ205" s="671">
        <f t="shared" ca="1" si="344"/>
        <v>0.7377660400000029</v>
      </c>
      <c r="AR205" s="671">
        <f t="shared" si="345"/>
        <v>0</v>
      </c>
      <c r="AS205" s="671">
        <f t="shared" si="346"/>
        <v>14.828890000000001</v>
      </c>
      <c r="AT205" s="671">
        <f t="shared" ca="1" si="347"/>
        <v>56.035124815000003</v>
      </c>
      <c r="AU205" s="671">
        <f t="shared" si="348"/>
        <v>0</v>
      </c>
      <c r="AV205" s="671">
        <f t="shared" si="349"/>
        <v>0</v>
      </c>
      <c r="AW205" s="671">
        <f t="shared" si="350"/>
        <v>0</v>
      </c>
      <c r="AX205" s="671">
        <f t="shared" si="351"/>
        <v>0.35062000000000004</v>
      </c>
      <c r="AY205" s="667">
        <f t="shared" ref="AY205:BC205" si="389">AY179</f>
        <v>18.039885250000083</v>
      </c>
      <c r="AZ205" s="668">
        <f t="shared" si="389"/>
        <v>0</v>
      </c>
      <c r="BA205" s="668">
        <f t="shared" ca="1" si="389"/>
        <v>2.1998863899999876</v>
      </c>
      <c r="BB205" s="668">
        <f t="shared" ca="1" si="389"/>
        <v>0.49055999999992267</v>
      </c>
      <c r="BC205" s="668">
        <f t="shared" ca="1" si="389"/>
        <v>0.7377660400000029</v>
      </c>
      <c r="BD205" s="668">
        <v>0</v>
      </c>
      <c r="BE205" s="668">
        <v>15.035</v>
      </c>
      <c r="BF205" s="668">
        <f ca="1">'הספק קיים ותחזית יצור'!C14-SUM('התפלגות ייצור וסל דלקים'!AY205:BE205,'התפלגות ייצור וסל דלקים'!BG205:BJ205)</f>
        <v>52.725059320000007</v>
      </c>
      <c r="BG205" s="668">
        <v>0</v>
      </c>
      <c r="BH205" s="668">
        <v>0</v>
      </c>
      <c r="BI205" s="668">
        <v>0</v>
      </c>
      <c r="BJ205" s="668">
        <v>0.35</v>
      </c>
      <c r="BK205" s="672">
        <f t="shared" si="371"/>
        <v>0</v>
      </c>
      <c r="BL205" s="671">
        <f t="shared" si="371"/>
        <v>18.039885250000083</v>
      </c>
      <c r="BM205" s="671">
        <f t="shared" ca="1" si="353"/>
        <v>2.1998863899999876</v>
      </c>
      <c r="BN205" s="671">
        <f t="shared" ca="1" si="354"/>
        <v>0.49055999999992267</v>
      </c>
      <c r="BO205" s="671">
        <f t="shared" ca="1" si="355"/>
        <v>0.7377660400000029</v>
      </c>
      <c r="BP205" s="671">
        <f t="shared" si="356"/>
        <v>0</v>
      </c>
      <c r="BQ205" s="671">
        <f t="shared" si="357"/>
        <v>15.035</v>
      </c>
      <c r="BR205" s="671">
        <f t="shared" ca="1" si="358"/>
        <v>52.725059320000007</v>
      </c>
      <c r="BS205" s="671">
        <f t="shared" si="359"/>
        <v>0</v>
      </c>
      <c r="BT205" s="671">
        <f t="shared" si="360"/>
        <v>0</v>
      </c>
      <c r="BU205" s="671">
        <f t="shared" si="361"/>
        <v>0</v>
      </c>
      <c r="BV205" s="673">
        <f t="shared" si="362"/>
        <v>0.35</v>
      </c>
      <c r="BX205" s="855">
        <f t="shared" si="330"/>
        <v>2027</v>
      </c>
      <c r="BY205" s="866">
        <v>4.9354999999999996E-2</v>
      </c>
      <c r="BZ205" s="869">
        <f>BY205/('הספק קיים ותחזית יצור'!E63-('הספק קיים ותחזית יצור'!M121*'הנחות עבודה'!$D$35+'הנחות עבודה'!$D$36*'הספק קיים ותחזית יצור'!N121+'הספק קיים ותחזית יצור'!O121*'הנחות עבודה'!$D$37)/'הנחות עבודה'!$D$14)</f>
        <v>2.7358821475873723E-3</v>
      </c>
    </row>
    <row r="206" spans="2:78" ht="15.75" hidden="1" outlineLevel="1">
      <c r="B206" s="10">
        <f t="shared" si="329"/>
        <v>2028</v>
      </c>
      <c r="C206" s="667">
        <f t="shared" si="329"/>
        <v>10.650187164000101</v>
      </c>
      <c r="D206" s="668">
        <f t="shared" si="329"/>
        <v>0</v>
      </c>
      <c r="E206" s="668">
        <f t="shared" ca="1" si="329"/>
        <v>2.1998863899999876</v>
      </c>
      <c r="F206" s="668">
        <f t="shared" ca="1" si="329"/>
        <v>0.551879999999913</v>
      </c>
      <c r="G206" s="668">
        <f t="shared" ca="1" si="329"/>
        <v>0.7377660400000029</v>
      </c>
      <c r="H206" s="668">
        <v>0</v>
      </c>
      <c r="I206" s="668">
        <v>14.63696</v>
      </c>
      <c r="J206" s="668">
        <f ca="1">'הספק קיים ותחזית יצור'!C15-SUM('התפלגות ייצור וסל דלקים'!C206:I206,'התפלגות ייצור וסל דלקים'!K206:N206)</f>
        <v>62.683791405999997</v>
      </c>
      <c r="K206" s="668">
        <v>0</v>
      </c>
      <c r="L206" s="668">
        <v>0</v>
      </c>
      <c r="M206" s="44">
        <v>0</v>
      </c>
      <c r="N206" s="669">
        <v>0.35589000000000004</v>
      </c>
      <c r="O206" s="670">
        <f t="shared" ref="O206:P206" si="390">O180</f>
        <v>0</v>
      </c>
      <c r="P206" s="671">
        <f t="shared" si="390"/>
        <v>10.650187164000101</v>
      </c>
      <c r="Q206" s="671">
        <f t="shared" ca="1" si="364"/>
        <v>2.1998863899999876</v>
      </c>
      <c r="R206" s="671">
        <f t="shared" ca="1" si="365"/>
        <v>0.551879999999913</v>
      </c>
      <c r="S206" s="671">
        <f t="shared" ca="1" si="366"/>
        <v>0.7377660400000029</v>
      </c>
      <c r="T206" s="671">
        <f t="shared" si="335"/>
        <v>0</v>
      </c>
      <c r="U206" s="671">
        <f t="shared" si="336"/>
        <v>14.63696</v>
      </c>
      <c r="V206" s="671">
        <f t="shared" ca="1" si="337"/>
        <v>62.683791405999997</v>
      </c>
      <c r="W206" s="671">
        <f t="shared" si="338"/>
        <v>0</v>
      </c>
      <c r="X206" s="671">
        <f t="shared" si="339"/>
        <v>0</v>
      </c>
      <c r="Y206" s="671">
        <f t="shared" si="340"/>
        <v>0</v>
      </c>
      <c r="Z206" s="671">
        <f t="shared" si="341"/>
        <v>0.35589000000000004</v>
      </c>
      <c r="AA206" s="667">
        <f t="shared" ref="AA206:AE206" si="391">AA180</f>
        <v>16.710066990000101</v>
      </c>
      <c r="AB206" s="668">
        <f t="shared" si="391"/>
        <v>0</v>
      </c>
      <c r="AC206" s="668">
        <f t="shared" ca="1" si="391"/>
        <v>2.1998863899999876</v>
      </c>
      <c r="AD206" s="668">
        <f t="shared" ca="1" si="391"/>
        <v>0.551879999999913</v>
      </c>
      <c r="AE206" s="668">
        <f t="shared" ca="1" si="391"/>
        <v>0.7377660400000029</v>
      </c>
      <c r="AF206" s="668">
        <v>0</v>
      </c>
      <c r="AG206" s="668">
        <v>14.951639999999999</v>
      </c>
      <c r="AH206" s="668">
        <f ca="1">'הספק קיים ותחזית יצור'!C15-SUM(AA206:AG206,AI206:AL206)</f>
        <v>56.307621579999996</v>
      </c>
      <c r="AI206" s="668">
        <v>0</v>
      </c>
      <c r="AJ206" s="668">
        <v>0</v>
      </c>
      <c r="AK206" s="44">
        <v>0</v>
      </c>
      <c r="AL206" s="669">
        <v>0.35749999999999998</v>
      </c>
      <c r="AM206" s="670">
        <f t="shared" si="368"/>
        <v>0</v>
      </c>
      <c r="AN206" s="671">
        <f t="shared" si="368"/>
        <v>16.710066990000101</v>
      </c>
      <c r="AO206" s="671">
        <f t="shared" ca="1" si="369"/>
        <v>2.1998863899999876</v>
      </c>
      <c r="AP206" s="671">
        <f t="shared" ca="1" si="343"/>
        <v>0.551879999999913</v>
      </c>
      <c r="AQ206" s="671">
        <f t="shared" ca="1" si="344"/>
        <v>0.7377660400000029</v>
      </c>
      <c r="AR206" s="671">
        <f t="shared" si="345"/>
        <v>0</v>
      </c>
      <c r="AS206" s="671">
        <f t="shared" si="346"/>
        <v>14.951639999999999</v>
      </c>
      <c r="AT206" s="671">
        <f t="shared" ca="1" si="347"/>
        <v>56.307621579999996</v>
      </c>
      <c r="AU206" s="671">
        <f t="shared" si="348"/>
        <v>0</v>
      </c>
      <c r="AV206" s="671">
        <f t="shared" si="349"/>
        <v>0</v>
      </c>
      <c r="AW206" s="671">
        <f t="shared" si="350"/>
        <v>0</v>
      </c>
      <c r="AX206" s="671">
        <f t="shared" si="351"/>
        <v>0.35749999999999998</v>
      </c>
      <c r="AY206" s="667">
        <f t="shared" ref="AY206:BC206" si="392">AY180</f>
        <v>20.382721430000093</v>
      </c>
      <c r="AZ206" s="668">
        <f t="shared" si="392"/>
        <v>0</v>
      </c>
      <c r="BA206" s="668">
        <f t="shared" ca="1" si="392"/>
        <v>2.1998863899999876</v>
      </c>
      <c r="BB206" s="668">
        <f t="shared" ca="1" si="392"/>
        <v>0.52121999999991786</v>
      </c>
      <c r="BC206" s="668">
        <f t="shared" ca="1" si="392"/>
        <v>0.7377660400000029</v>
      </c>
      <c r="BD206" s="668">
        <v>0</v>
      </c>
      <c r="BE206" s="668">
        <v>15.287000000000001</v>
      </c>
      <c r="BF206" s="668">
        <f ca="1">'הספק קיים ותחזית יצור'!C15-SUM('התפלגות ייצור וסל דלקים'!AY206:BE206,'התפלגות ייצור וסל דלקים'!BG206:BJ206)</f>
        <v>52.329767140000001</v>
      </c>
      <c r="BG206" s="668">
        <v>0</v>
      </c>
      <c r="BH206" s="668">
        <v>0</v>
      </c>
      <c r="BI206" s="668">
        <v>0</v>
      </c>
      <c r="BJ206" s="668">
        <v>0.35799999999999998</v>
      </c>
      <c r="BK206" s="672">
        <f t="shared" si="371"/>
        <v>0</v>
      </c>
      <c r="BL206" s="671">
        <f t="shared" si="371"/>
        <v>20.382721430000093</v>
      </c>
      <c r="BM206" s="671">
        <f t="shared" ca="1" si="353"/>
        <v>2.1998863899999876</v>
      </c>
      <c r="BN206" s="671">
        <f t="shared" ca="1" si="354"/>
        <v>0.52121999999991786</v>
      </c>
      <c r="BO206" s="671">
        <f t="shared" ca="1" si="355"/>
        <v>0.7377660400000029</v>
      </c>
      <c r="BP206" s="671">
        <f t="shared" si="356"/>
        <v>0</v>
      </c>
      <c r="BQ206" s="671">
        <f t="shared" si="357"/>
        <v>15.287000000000001</v>
      </c>
      <c r="BR206" s="671">
        <f t="shared" ca="1" si="358"/>
        <v>52.329767140000001</v>
      </c>
      <c r="BS206" s="671">
        <f t="shared" si="359"/>
        <v>0</v>
      </c>
      <c r="BT206" s="671">
        <f t="shared" si="360"/>
        <v>0</v>
      </c>
      <c r="BU206" s="671">
        <f t="shared" si="361"/>
        <v>0</v>
      </c>
      <c r="BV206" s="673">
        <f t="shared" si="362"/>
        <v>0.35799999999999998</v>
      </c>
      <c r="BX206" s="855">
        <f t="shared" si="330"/>
        <v>2028</v>
      </c>
      <c r="BY206" s="866">
        <v>0.16739999999999999</v>
      </c>
      <c r="BZ206" s="869">
        <f>BY206/('הספק קיים ותחזית יצור'!E64-('הספק קיים ותחזית יצור'!M122*'הנחות עבודה'!$D$35+'הנחות עבודה'!$D$36*'הספק קיים ותחזית יצור'!N122+'הספק קיים ותחזית יצור'!O122*'הנחות עבודה'!$D$37)/'הנחות עבודה'!$D$14)</f>
        <v>8.2128385345842034E-3</v>
      </c>
    </row>
    <row r="207" spans="2:78" ht="15.75" hidden="1" outlineLevel="1">
      <c r="B207" s="10">
        <f t="shared" si="329"/>
        <v>2029</v>
      </c>
      <c r="C207" s="667">
        <f t="shared" si="329"/>
        <v>11.808267010000106</v>
      </c>
      <c r="D207" s="668">
        <f t="shared" si="329"/>
        <v>0</v>
      </c>
      <c r="E207" s="668">
        <f t="shared" ca="1" si="329"/>
        <v>2.1998863899999876</v>
      </c>
      <c r="F207" s="668">
        <f t="shared" ca="1" si="329"/>
        <v>0.58253999999990813</v>
      </c>
      <c r="G207" s="668">
        <f t="shared" ca="1" si="329"/>
        <v>0.7377660400000029</v>
      </c>
      <c r="H207" s="668">
        <v>0</v>
      </c>
      <c r="I207" s="668">
        <v>14.69609</v>
      </c>
      <c r="J207" s="668">
        <f ca="1">'הספק קיים ותחזית יצור'!C16-SUM('התפלגות ייצור וסל דלקים'!C207:I207,'התפלגות ייצור וסל דלקים'!K207:N207)</f>
        <v>64.23705056</v>
      </c>
      <c r="K207" s="668">
        <v>0</v>
      </c>
      <c r="L207" s="668">
        <v>0</v>
      </c>
      <c r="M207" s="44">
        <v>0</v>
      </c>
      <c r="N207" s="669">
        <v>0.35852000000000001</v>
      </c>
      <c r="O207" s="670">
        <f t="shared" ref="O207:P207" si="393">O181</f>
        <v>0</v>
      </c>
      <c r="P207" s="671">
        <f t="shared" si="393"/>
        <v>11.808267010000106</v>
      </c>
      <c r="Q207" s="671">
        <f t="shared" ca="1" si="364"/>
        <v>2.1998863899999876</v>
      </c>
      <c r="R207" s="671">
        <f t="shared" ca="1" si="365"/>
        <v>0.58253999999990813</v>
      </c>
      <c r="S207" s="671">
        <f t="shared" ca="1" si="366"/>
        <v>0.7377660400000029</v>
      </c>
      <c r="T207" s="671">
        <f t="shared" si="335"/>
        <v>0</v>
      </c>
      <c r="U207" s="671">
        <f t="shared" si="336"/>
        <v>14.69609</v>
      </c>
      <c r="V207" s="671">
        <f t="shared" ca="1" si="337"/>
        <v>64.23705056</v>
      </c>
      <c r="W207" s="671">
        <f t="shared" si="338"/>
        <v>0</v>
      </c>
      <c r="X207" s="671">
        <f t="shared" si="339"/>
        <v>0</v>
      </c>
      <c r="Y207" s="671">
        <f t="shared" si="340"/>
        <v>0</v>
      </c>
      <c r="Z207" s="671">
        <f t="shared" si="341"/>
        <v>0.35852000000000001</v>
      </c>
      <c r="AA207" s="667">
        <f t="shared" ref="AA207:AE207" si="394">AA181</f>
        <v>18.715535770000102</v>
      </c>
      <c r="AB207" s="668">
        <f t="shared" si="394"/>
        <v>0</v>
      </c>
      <c r="AC207" s="668">
        <f t="shared" ca="1" si="394"/>
        <v>2.1998863899999876</v>
      </c>
      <c r="AD207" s="668">
        <f t="shared" ca="1" si="394"/>
        <v>0.58253999999990813</v>
      </c>
      <c r="AE207" s="668">
        <f t="shared" ca="1" si="394"/>
        <v>0.7377660400000029</v>
      </c>
      <c r="AF207" s="668">
        <v>0</v>
      </c>
      <c r="AG207" s="668">
        <v>15.215110000000001</v>
      </c>
      <c r="AH207" s="668">
        <f ca="1">'הספק קיים ותחזית יצור'!C16-SUM(AA207:AG207,AI207:AL207)</f>
        <v>56.809641799999994</v>
      </c>
      <c r="AI207" s="668">
        <v>0</v>
      </c>
      <c r="AJ207" s="668">
        <v>0</v>
      </c>
      <c r="AK207" s="44">
        <v>0</v>
      </c>
      <c r="AL207" s="669">
        <v>0.35964000000000002</v>
      </c>
      <c r="AM207" s="670">
        <f t="shared" si="368"/>
        <v>0</v>
      </c>
      <c r="AN207" s="671">
        <f t="shared" si="368"/>
        <v>18.715535770000102</v>
      </c>
      <c r="AO207" s="671">
        <f t="shared" ca="1" si="369"/>
        <v>2.1998863899999876</v>
      </c>
      <c r="AP207" s="671">
        <f t="shared" ca="1" si="343"/>
        <v>0.58253999999990813</v>
      </c>
      <c r="AQ207" s="671">
        <f t="shared" ca="1" si="344"/>
        <v>0.7377660400000029</v>
      </c>
      <c r="AR207" s="671">
        <f t="shared" si="345"/>
        <v>0</v>
      </c>
      <c r="AS207" s="671">
        <f t="shared" si="346"/>
        <v>15.215110000000001</v>
      </c>
      <c r="AT207" s="671">
        <f t="shared" ca="1" si="347"/>
        <v>56.809641799999994</v>
      </c>
      <c r="AU207" s="671">
        <f t="shared" si="348"/>
        <v>0</v>
      </c>
      <c r="AV207" s="671">
        <f t="shared" si="349"/>
        <v>0</v>
      </c>
      <c r="AW207" s="671">
        <f t="shared" si="350"/>
        <v>0</v>
      </c>
      <c r="AX207" s="671">
        <f t="shared" si="351"/>
        <v>0.35964000000000002</v>
      </c>
      <c r="AY207" s="667">
        <f t="shared" ref="AY207:BC207" si="395">AY181</f>
        <v>22.973441170000097</v>
      </c>
      <c r="AZ207" s="668">
        <f t="shared" si="395"/>
        <v>0</v>
      </c>
      <c r="BA207" s="668">
        <f t="shared" ca="1" si="395"/>
        <v>2.1998863899999876</v>
      </c>
      <c r="BB207" s="668">
        <f t="shared" ca="1" si="395"/>
        <v>0.551879999999913</v>
      </c>
      <c r="BC207" s="668">
        <f t="shared" ca="1" si="395"/>
        <v>0.7377660400000029</v>
      </c>
      <c r="BD207" s="668">
        <v>0</v>
      </c>
      <c r="BE207" s="668">
        <v>15.603</v>
      </c>
      <c r="BF207" s="668">
        <f ca="1">'הספק קיים ותחזית יצור'!C16-SUM('התפלגות ייצור וסל דלקים'!AY207:BE207,'התפלגות ייצור וסל דלקים'!BG207:BJ207)</f>
        <v>52.190146400000003</v>
      </c>
      <c r="BG207" s="668">
        <v>0</v>
      </c>
      <c r="BH207" s="668">
        <v>0</v>
      </c>
      <c r="BI207" s="668">
        <v>0</v>
      </c>
      <c r="BJ207" s="668">
        <v>0.36399999999999999</v>
      </c>
      <c r="BK207" s="672">
        <f t="shared" si="371"/>
        <v>0</v>
      </c>
      <c r="BL207" s="671">
        <f t="shared" si="371"/>
        <v>22.973441170000097</v>
      </c>
      <c r="BM207" s="671">
        <f t="shared" ca="1" si="353"/>
        <v>2.1998863899999876</v>
      </c>
      <c r="BN207" s="671">
        <f t="shared" ca="1" si="354"/>
        <v>0.551879999999913</v>
      </c>
      <c r="BO207" s="671">
        <f t="shared" ca="1" si="355"/>
        <v>0.7377660400000029</v>
      </c>
      <c r="BP207" s="671">
        <f t="shared" si="356"/>
        <v>0</v>
      </c>
      <c r="BQ207" s="671">
        <f t="shared" si="357"/>
        <v>15.603</v>
      </c>
      <c r="BR207" s="671">
        <f t="shared" ca="1" si="358"/>
        <v>52.190146400000003</v>
      </c>
      <c r="BS207" s="671">
        <f t="shared" si="359"/>
        <v>0</v>
      </c>
      <c r="BT207" s="671">
        <f t="shared" si="360"/>
        <v>0</v>
      </c>
      <c r="BU207" s="671">
        <f t="shared" si="361"/>
        <v>0</v>
      </c>
      <c r="BV207" s="673">
        <f t="shared" si="362"/>
        <v>0.36399999999999999</v>
      </c>
      <c r="BX207" s="855">
        <f t="shared" si="330"/>
        <v>2029</v>
      </c>
      <c r="BY207" s="866">
        <v>0.39121699999999998</v>
      </c>
      <c r="BZ207" s="869">
        <f>BY207/('הספק קיים ותחזית יצור'!E65-('הספק קיים ותחזית יצור'!M123*'הנחות עבודה'!$D$35+'הנחות עבודה'!$D$36*'הספק קיים ותחזית יצור'!N123+'הספק קיים ותחזית יצור'!O123*'הנחות עבודה'!$D$37)/'הנחות עבודה'!$D$14)</f>
        <v>1.7029098823508913E-2</v>
      </c>
    </row>
    <row r="208" spans="2:78" ht="15.75" hidden="1" outlineLevel="1">
      <c r="B208" s="10">
        <f t="shared" si="329"/>
        <v>2030</v>
      </c>
      <c r="C208" s="667">
        <f t="shared" si="329"/>
        <v>12.982706840000105</v>
      </c>
      <c r="D208" s="668">
        <f t="shared" si="329"/>
        <v>0</v>
      </c>
      <c r="E208" s="668">
        <f t="shared" ca="1" si="329"/>
        <v>2.1998863899999876</v>
      </c>
      <c r="F208" s="668">
        <f t="shared" ca="1" si="329"/>
        <v>0.61319999999990338</v>
      </c>
      <c r="G208" s="668">
        <f t="shared" ca="1" si="329"/>
        <v>0.7377660400000029</v>
      </c>
      <c r="H208" s="668">
        <v>0</v>
      </c>
      <c r="I208" s="668">
        <v>14.550709999999999</v>
      </c>
      <c r="J208" s="668">
        <f ca="1">'הספק קיים ותחזית יצור'!C17-SUM('התפלגות ייצור וסל דלקים'!C208:I208,'התפלגות ייצור וסל דלקים'!K208:N208)</f>
        <v>65.818201729999998</v>
      </c>
      <c r="K208" s="668">
        <v>0</v>
      </c>
      <c r="L208" s="668">
        <v>0</v>
      </c>
      <c r="M208" s="44">
        <v>0</v>
      </c>
      <c r="N208" s="669">
        <v>0.35375999999999996</v>
      </c>
      <c r="O208" s="670">
        <f t="shared" ref="O208:P208" si="396">O182</f>
        <v>0</v>
      </c>
      <c r="P208" s="671">
        <f t="shared" si="396"/>
        <v>12.982706840000105</v>
      </c>
      <c r="Q208" s="671">
        <f t="shared" ca="1" si="364"/>
        <v>2.1998863899999876</v>
      </c>
      <c r="R208" s="671">
        <f t="shared" ca="1" si="365"/>
        <v>0.61319999999990338</v>
      </c>
      <c r="S208" s="671">
        <f t="shared" ca="1" si="366"/>
        <v>0.7377660400000029</v>
      </c>
      <c r="T208" s="671">
        <f t="shared" si="335"/>
        <v>0</v>
      </c>
      <c r="U208" s="671">
        <f t="shared" si="336"/>
        <v>14.550709999999999</v>
      </c>
      <c r="V208" s="671">
        <f t="shared" ca="1" si="337"/>
        <v>65.818201729999998</v>
      </c>
      <c r="W208" s="671">
        <f t="shared" si="338"/>
        <v>0</v>
      </c>
      <c r="X208" s="671">
        <f t="shared" si="339"/>
        <v>0</v>
      </c>
      <c r="Y208" s="671">
        <f t="shared" si="340"/>
        <v>0</v>
      </c>
      <c r="Z208" s="671">
        <f t="shared" si="341"/>
        <v>0.35375999999999996</v>
      </c>
      <c r="AA208" s="667">
        <f t="shared" ref="AA208:AE208" si="397">AA182</f>
        <v>20.763205320000111</v>
      </c>
      <c r="AB208" s="668">
        <f t="shared" si="397"/>
        <v>0</v>
      </c>
      <c r="AC208" s="668">
        <f t="shared" ca="1" si="397"/>
        <v>2.1998863899999876</v>
      </c>
      <c r="AD208" s="668">
        <f t="shared" ca="1" si="397"/>
        <v>0.61319999999990338</v>
      </c>
      <c r="AE208" s="668">
        <f t="shared" ca="1" si="397"/>
        <v>0.7377660400000029</v>
      </c>
      <c r="AF208" s="668">
        <v>0</v>
      </c>
      <c r="AG208" s="668">
        <v>15.414509999999998</v>
      </c>
      <c r="AH208" s="668">
        <f ca="1">'הספק קיים ותחזית יצור'!C17-SUM(AA208:AG208,AI208:AL208)</f>
        <v>57.169833249999996</v>
      </c>
      <c r="AI208" s="668">
        <v>0</v>
      </c>
      <c r="AJ208" s="668">
        <v>0</v>
      </c>
      <c r="AK208" s="44">
        <v>0</v>
      </c>
      <c r="AL208" s="669">
        <v>0.35783000000000004</v>
      </c>
      <c r="AM208" s="670">
        <f t="shared" si="368"/>
        <v>0</v>
      </c>
      <c r="AN208" s="671">
        <f t="shared" si="368"/>
        <v>20.763205320000111</v>
      </c>
      <c r="AO208" s="671">
        <f t="shared" ca="1" si="369"/>
        <v>2.1998863899999876</v>
      </c>
      <c r="AP208" s="671">
        <f t="shared" ca="1" si="343"/>
        <v>0.61319999999990338</v>
      </c>
      <c r="AQ208" s="671">
        <f t="shared" ca="1" si="344"/>
        <v>0.7377660400000029</v>
      </c>
      <c r="AR208" s="671">
        <f t="shared" si="345"/>
        <v>0</v>
      </c>
      <c r="AS208" s="671">
        <f t="shared" si="346"/>
        <v>15.414509999999998</v>
      </c>
      <c r="AT208" s="671">
        <f t="shared" ca="1" si="347"/>
        <v>57.169833249999996</v>
      </c>
      <c r="AU208" s="671">
        <f t="shared" si="348"/>
        <v>0</v>
      </c>
      <c r="AV208" s="671">
        <f t="shared" si="349"/>
        <v>0</v>
      </c>
      <c r="AW208" s="671">
        <f t="shared" si="350"/>
        <v>0</v>
      </c>
      <c r="AX208" s="671">
        <f t="shared" si="351"/>
        <v>0.35783000000000004</v>
      </c>
      <c r="AY208" s="667">
        <f t="shared" ref="AY208:BC208" si="398">AY182</f>
        <v>25.626016870000111</v>
      </c>
      <c r="AZ208" s="668">
        <f t="shared" si="398"/>
        <v>0</v>
      </c>
      <c r="BA208" s="668">
        <f t="shared" ca="1" si="398"/>
        <v>2.1998863899999876</v>
      </c>
      <c r="BB208" s="668">
        <f t="shared" ca="1" si="398"/>
        <v>0.58253999999990813</v>
      </c>
      <c r="BC208" s="668">
        <f t="shared" ca="1" si="398"/>
        <v>0.7377660400000029</v>
      </c>
      <c r="BD208" s="668">
        <v>0</v>
      </c>
      <c r="BE208" s="668">
        <v>15.819000000000001</v>
      </c>
      <c r="BF208" s="668">
        <f ca="1">'הספק קיים ותחזית יצור'!C17-SUM('התפלגות ייצור וסל דלקים'!AY208:BE208,'התפלגות ייצור וסל דלקים'!BG208:BJ208)</f>
        <v>51.934021699999988</v>
      </c>
      <c r="BG208" s="668">
        <v>0</v>
      </c>
      <c r="BH208" s="668">
        <v>0</v>
      </c>
      <c r="BI208" s="668">
        <v>0</v>
      </c>
      <c r="BJ208" s="668">
        <v>0.35700000000000004</v>
      </c>
      <c r="BK208" s="672">
        <f t="shared" si="371"/>
        <v>0</v>
      </c>
      <c r="BL208" s="671">
        <f t="shared" si="371"/>
        <v>25.626016870000111</v>
      </c>
      <c r="BM208" s="671">
        <f t="shared" ca="1" si="353"/>
        <v>2.1998863899999876</v>
      </c>
      <c r="BN208" s="671">
        <f t="shared" ca="1" si="354"/>
        <v>0.58253999999990813</v>
      </c>
      <c r="BO208" s="671">
        <f t="shared" ca="1" si="355"/>
        <v>0.7377660400000029</v>
      </c>
      <c r="BP208" s="671">
        <f t="shared" si="356"/>
        <v>0</v>
      </c>
      <c r="BQ208" s="671">
        <f t="shared" si="357"/>
        <v>15.819000000000001</v>
      </c>
      <c r="BR208" s="671">
        <f t="shared" ca="1" si="358"/>
        <v>51.934021699999988</v>
      </c>
      <c r="BS208" s="671">
        <f t="shared" si="359"/>
        <v>0</v>
      </c>
      <c r="BT208" s="671">
        <f t="shared" si="360"/>
        <v>0</v>
      </c>
      <c r="BU208" s="671">
        <f t="shared" si="361"/>
        <v>0</v>
      </c>
      <c r="BV208" s="673">
        <f t="shared" si="362"/>
        <v>0.35700000000000004</v>
      </c>
      <c r="BX208" s="855">
        <f t="shared" si="330"/>
        <v>2030</v>
      </c>
      <c r="BY208" s="866">
        <v>0.77829700000000002</v>
      </c>
      <c r="BZ208" s="869">
        <f>BY208/('הספק קיים ותחזית יצור'!E66-('הספק קיים ותחזית יצור'!M124*'הנחות עבודה'!$D$35+'הנחות עבודה'!$D$36*'הספק קיים ותחזית יצור'!N124+'הספק קיים ותחזית יצור'!O124*'הנחות עבודה'!$D$37)/'הנחות עבודה'!$D$14)</f>
        <v>3.0371360635102741E-2</v>
      </c>
    </row>
    <row r="209" spans="2:78" ht="15.75" hidden="1" outlineLevel="1">
      <c r="B209" s="10">
        <f t="shared" si="329"/>
        <v>2031</v>
      </c>
      <c r="C209" s="667">
        <f t="shared" si="329"/>
        <v>12.904810598960104</v>
      </c>
      <c r="D209" s="668">
        <f t="shared" si="329"/>
        <v>0</v>
      </c>
      <c r="E209" s="668">
        <f t="shared" ca="1" si="329"/>
        <v>2.1998863899999876</v>
      </c>
      <c r="F209" s="668">
        <f t="shared" ca="1" si="329"/>
        <v>0.61319999999990338</v>
      </c>
      <c r="G209" s="668">
        <f t="shared" ca="1" si="329"/>
        <v>0.7377660400000029</v>
      </c>
      <c r="H209" s="668">
        <v>0</v>
      </c>
      <c r="I209" s="668">
        <v>14.496930000000001</v>
      </c>
      <c r="J209" s="668">
        <f ca="1">'הספק קיים ותחזית יצור'!C18-SUM('התפלגות ייצור וסל דלקים'!C209:I209,'התפלגות ייצור וסל דלקים'!K209:N209)</f>
        <v>68.872114901040007</v>
      </c>
      <c r="K209" s="668">
        <v>0</v>
      </c>
      <c r="L209" s="668">
        <v>0</v>
      </c>
      <c r="M209" s="44">
        <v>0</v>
      </c>
      <c r="N209" s="669">
        <v>0.34921000000000002</v>
      </c>
      <c r="O209" s="670">
        <f t="shared" ref="O209:P209" si="399">O183</f>
        <v>0</v>
      </c>
      <c r="P209" s="671">
        <f t="shared" si="399"/>
        <v>12.904810598960104</v>
      </c>
      <c r="Q209" s="671">
        <f t="shared" ca="1" si="364"/>
        <v>2.1998863899999876</v>
      </c>
      <c r="R209" s="671">
        <f t="shared" ca="1" si="365"/>
        <v>0.61319999999990338</v>
      </c>
      <c r="S209" s="671">
        <f t="shared" ca="1" si="366"/>
        <v>0.7377660400000029</v>
      </c>
      <c r="T209" s="671">
        <f t="shared" si="335"/>
        <v>0</v>
      </c>
      <c r="U209" s="671">
        <f t="shared" si="336"/>
        <v>14.496930000000001</v>
      </c>
      <c r="V209" s="671">
        <f t="shared" ca="1" si="337"/>
        <v>68.872114901040007</v>
      </c>
      <c r="W209" s="671">
        <f t="shared" si="338"/>
        <v>0</v>
      </c>
      <c r="X209" s="671">
        <f t="shared" si="339"/>
        <v>0</v>
      </c>
      <c r="Y209" s="671">
        <f t="shared" si="340"/>
        <v>0</v>
      </c>
      <c r="Z209" s="671">
        <f t="shared" si="341"/>
        <v>0.34921000000000002</v>
      </c>
      <c r="AA209" s="667">
        <f t="shared" ref="AA209:AE209" si="400">AA183</f>
        <v>20.638626088080109</v>
      </c>
      <c r="AB209" s="668">
        <f t="shared" si="400"/>
        <v>0</v>
      </c>
      <c r="AC209" s="668">
        <f t="shared" ca="1" si="400"/>
        <v>2.1998863899999876</v>
      </c>
      <c r="AD209" s="668">
        <f t="shared" ca="1" si="400"/>
        <v>0.61319999999990338</v>
      </c>
      <c r="AE209" s="668">
        <f t="shared" ca="1" si="400"/>
        <v>0.7377660400000029</v>
      </c>
      <c r="AF209" s="668">
        <v>0</v>
      </c>
      <c r="AG209" s="668">
        <v>15.3995</v>
      </c>
      <c r="AH209" s="668">
        <f ca="1">'הספק קיים ותחזית יצור'!C18-SUM(AA209:AG209,AI209:AL209)</f>
        <v>60.235999411919998</v>
      </c>
      <c r="AI209" s="668">
        <v>0</v>
      </c>
      <c r="AJ209" s="668">
        <v>0</v>
      </c>
      <c r="AK209" s="44">
        <v>0</v>
      </c>
      <c r="AL209" s="669">
        <v>0.34894000000000003</v>
      </c>
      <c r="AM209" s="670">
        <f t="shared" si="368"/>
        <v>0</v>
      </c>
      <c r="AN209" s="671">
        <f t="shared" si="368"/>
        <v>20.638626088080109</v>
      </c>
      <c r="AO209" s="671">
        <f t="shared" ca="1" si="369"/>
        <v>2.1998863899999876</v>
      </c>
      <c r="AP209" s="671">
        <f t="shared" ca="1" si="343"/>
        <v>0.61319999999990338</v>
      </c>
      <c r="AQ209" s="671">
        <f t="shared" ca="1" si="344"/>
        <v>0.7377660400000029</v>
      </c>
      <c r="AR209" s="671">
        <f t="shared" si="345"/>
        <v>0</v>
      </c>
      <c r="AS209" s="671">
        <f t="shared" si="346"/>
        <v>15.3995</v>
      </c>
      <c r="AT209" s="671">
        <f t="shared" ca="1" si="347"/>
        <v>60.235999411919998</v>
      </c>
      <c r="AU209" s="671">
        <f t="shared" si="348"/>
        <v>0</v>
      </c>
      <c r="AV209" s="671">
        <f t="shared" si="349"/>
        <v>0</v>
      </c>
      <c r="AW209" s="671">
        <f t="shared" si="350"/>
        <v>0</v>
      </c>
      <c r="AX209" s="671">
        <f t="shared" si="351"/>
        <v>0.34894000000000003</v>
      </c>
      <c r="AY209" s="667">
        <f t="shared" ref="AY209:BC209" si="401">AY183</f>
        <v>25.47226076878011</v>
      </c>
      <c r="AZ209" s="668">
        <f t="shared" si="401"/>
        <v>0</v>
      </c>
      <c r="BA209" s="668">
        <f t="shared" ca="1" si="401"/>
        <v>2.1998863899999876</v>
      </c>
      <c r="BB209" s="668">
        <f t="shared" ca="1" si="401"/>
        <v>0.61319999999990338</v>
      </c>
      <c r="BC209" s="668">
        <f t="shared" ca="1" si="401"/>
        <v>0.7377660400000029</v>
      </c>
      <c r="BD209" s="668">
        <v>0</v>
      </c>
      <c r="BE209" s="668">
        <v>16.032</v>
      </c>
      <c r="BF209" s="668">
        <f ca="1">'הספק קיים ותחזית יצור'!C18-SUM('התפלגות ייצור וסל דלקים'!AY209:BE209,'התפלגות ייצור וסל דלקים'!BG209:BJ209)</f>
        <v>54.768804731219994</v>
      </c>
      <c r="BG209" s="668">
        <v>0</v>
      </c>
      <c r="BH209" s="668">
        <v>0</v>
      </c>
      <c r="BI209" s="668">
        <v>0</v>
      </c>
      <c r="BJ209" s="668">
        <v>0.35000000000000003</v>
      </c>
      <c r="BK209" s="672">
        <f t="shared" si="371"/>
        <v>0</v>
      </c>
      <c r="BL209" s="671">
        <f t="shared" si="371"/>
        <v>25.47226076878011</v>
      </c>
      <c r="BM209" s="671">
        <f t="shared" ca="1" si="353"/>
        <v>2.1998863899999876</v>
      </c>
      <c r="BN209" s="671">
        <f t="shared" ca="1" si="354"/>
        <v>0.61319999999990338</v>
      </c>
      <c r="BO209" s="671">
        <f t="shared" ca="1" si="355"/>
        <v>0.7377660400000029</v>
      </c>
      <c r="BP209" s="671">
        <f t="shared" si="356"/>
        <v>0</v>
      </c>
      <c r="BQ209" s="671">
        <f t="shared" si="357"/>
        <v>16.032</v>
      </c>
      <c r="BR209" s="671">
        <f t="shared" ca="1" si="358"/>
        <v>54.768804731219994</v>
      </c>
      <c r="BS209" s="671">
        <f t="shared" si="359"/>
        <v>0</v>
      </c>
      <c r="BT209" s="671">
        <f t="shared" si="360"/>
        <v>0</v>
      </c>
      <c r="BU209" s="671">
        <f t="shared" si="361"/>
        <v>0</v>
      </c>
      <c r="BV209" s="673">
        <f t="shared" si="362"/>
        <v>0.35000000000000003</v>
      </c>
      <c r="BX209" s="855">
        <f t="shared" si="330"/>
        <v>2031</v>
      </c>
      <c r="BY209" s="866">
        <v>0.65419799999999995</v>
      </c>
      <c r="BZ209" s="869">
        <f>BY209/('הספק קיים ותחזית יצור'!E67-('הספק קיים ותחזית יצור'!M125*'הנחות עבודה'!$D$35+'הנחות עבודה'!$D$36*'הספק קיים ותחזית יצור'!N125+'הספק קיים ותחזית יצור'!O125*'הנחות עבודה'!$D$37)/'הנחות עבודה'!$D$14)</f>
        <v>2.5528665001616272E-2</v>
      </c>
    </row>
    <row r="210" spans="2:78" ht="15.75" hidden="1" outlineLevel="1">
      <c r="B210" s="10">
        <f t="shared" si="329"/>
        <v>2032</v>
      </c>
      <c r="C210" s="667">
        <f t="shared" si="329"/>
        <v>12.82738173536635</v>
      </c>
      <c r="D210" s="668">
        <f t="shared" si="329"/>
        <v>0</v>
      </c>
      <c r="E210" s="668">
        <f t="shared" ca="1" si="329"/>
        <v>2.1998863899999876</v>
      </c>
      <c r="F210" s="668">
        <f t="shared" ca="1" si="329"/>
        <v>0.61319999999990338</v>
      </c>
      <c r="G210" s="668">
        <f t="shared" ca="1" si="329"/>
        <v>0.7377660400000029</v>
      </c>
      <c r="H210" s="668">
        <v>0</v>
      </c>
      <c r="I210" s="668">
        <v>14.490209999999999</v>
      </c>
      <c r="J210" s="668">
        <f ca="1">'הספק קיים ותחזית יצור'!C19-SUM('התפלגות ייצור וסל דלקים'!C210:I210,'התפלגות ייצור וסל דלקים'!K210:N210)</f>
        <v>71.965581302533764</v>
      </c>
      <c r="K210" s="668">
        <v>0</v>
      </c>
      <c r="L210" s="668">
        <v>0</v>
      </c>
      <c r="M210" s="44">
        <v>0</v>
      </c>
      <c r="N210" s="669">
        <v>0.34510999999999997</v>
      </c>
      <c r="O210" s="670">
        <f t="shared" ref="O210:P210" si="402">O184</f>
        <v>0</v>
      </c>
      <c r="P210" s="671">
        <f t="shared" si="402"/>
        <v>12.82738173536635</v>
      </c>
      <c r="Q210" s="671">
        <f t="shared" ca="1" si="364"/>
        <v>2.1998863899999876</v>
      </c>
      <c r="R210" s="671">
        <f t="shared" ca="1" si="365"/>
        <v>0.61319999999990338</v>
      </c>
      <c r="S210" s="671">
        <f t="shared" ca="1" si="366"/>
        <v>0.7377660400000029</v>
      </c>
      <c r="T210" s="671">
        <f t="shared" si="335"/>
        <v>0</v>
      </c>
      <c r="U210" s="671">
        <f t="shared" si="336"/>
        <v>14.490209999999999</v>
      </c>
      <c r="V210" s="671">
        <f t="shared" ca="1" si="337"/>
        <v>71.965581302533764</v>
      </c>
      <c r="W210" s="671">
        <f t="shared" si="338"/>
        <v>0</v>
      </c>
      <c r="X210" s="671">
        <f t="shared" si="339"/>
        <v>0</v>
      </c>
      <c r="Y210" s="671">
        <f t="shared" si="340"/>
        <v>0</v>
      </c>
      <c r="Z210" s="671">
        <f t="shared" si="341"/>
        <v>0.34510999999999997</v>
      </c>
      <c r="AA210" s="667">
        <f t="shared" ref="AA210:AE210" si="403">AA184</f>
        <v>20.514794331551624</v>
      </c>
      <c r="AB210" s="668">
        <f t="shared" si="403"/>
        <v>0</v>
      </c>
      <c r="AC210" s="668">
        <f t="shared" ca="1" si="403"/>
        <v>2.1998863899999876</v>
      </c>
      <c r="AD210" s="668">
        <f t="shared" ca="1" si="403"/>
        <v>0.61319999999990338</v>
      </c>
      <c r="AE210" s="668">
        <f t="shared" ca="1" si="403"/>
        <v>0.7377660400000029</v>
      </c>
      <c r="AF210" s="668">
        <v>0</v>
      </c>
      <c r="AG210" s="668">
        <v>15.459100000000001</v>
      </c>
      <c r="AH210" s="668">
        <f ca="1">'הספק קיים ותחזית יצור'!C19-SUM(AA210:AG210,AI210:AL210)</f>
        <v>63.308568706348488</v>
      </c>
      <c r="AI210" s="668">
        <v>0</v>
      </c>
      <c r="AJ210" s="668">
        <v>0</v>
      </c>
      <c r="AK210" s="44">
        <v>0</v>
      </c>
      <c r="AL210" s="669">
        <v>0.34581999999999996</v>
      </c>
      <c r="AM210" s="670">
        <f t="shared" si="368"/>
        <v>0</v>
      </c>
      <c r="AN210" s="671">
        <f t="shared" si="368"/>
        <v>20.514794331551624</v>
      </c>
      <c r="AO210" s="671">
        <f t="shared" ca="1" si="369"/>
        <v>2.1998863899999876</v>
      </c>
      <c r="AP210" s="671">
        <f t="shared" ca="1" si="343"/>
        <v>0.61319999999990338</v>
      </c>
      <c r="AQ210" s="671">
        <f t="shared" ca="1" si="344"/>
        <v>0.7377660400000029</v>
      </c>
      <c r="AR210" s="671">
        <f t="shared" si="345"/>
        <v>0</v>
      </c>
      <c r="AS210" s="671">
        <f t="shared" si="346"/>
        <v>15.459100000000001</v>
      </c>
      <c r="AT210" s="671">
        <f t="shared" ca="1" si="347"/>
        <v>63.308568706348488</v>
      </c>
      <c r="AU210" s="671">
        <f t="shared" si="348"/>
        <v>0</v>
      </c>
      <c r="AV210" s="671">
        <f t="shared" si="349"/>
        <v>0</v>
      </c>
      <c r="AW210" s="671">
        <f t="shared" si="350"/>
        <v>0</v>
      </c>
      <c r="AX210" s="671">
        <f t="shared" si="351"/>
        <v>0.34581999999999996</v>
      </c>
      <c r="AY210" s="667">
        <f t="shared" ref="AY210:BC210" si="404">AY184</f>
        <v>25.319427204167425</v>
      </c>
      <c r="AZ210" s="668">
        <f t="shared" si="404"/>
        <v>0</v>
      </c>
      <c r="BA210" s="668">
        <f t="shared" ca="1" si="404"/>
        <v>2.1998863899999876</v>
      </c>
      <c r="BB210" s="668">
        <f t="shared" ca="1" si="404"/>
        <v>0.61319999999990338</v>
      </c>
      <c r="BC210" s="668">
        <f t="shared" ca="1" si="404"/>
        <v>0.7377660400000029</v>
      </c>
      <c r="BD210" s="668">
        <v>0</v>
      </c>
      <c r="BE210" s="668">
        <v>16.539000000000001</v>
      </c>
      <c r="BF210" s="668">
        <f ca="1">'הספק קיים ותחזית יצור'!C19-SUM('התפלגות ייצור וסל דלקים'!AY210:BE210,'התפלגות ייצור וסל דלקים'!BG210:BJ210)</f>
        <v>57.42585583373269</v>
      </c>
      <c r="BG210" s="668">
        <v>0</v>
      </c>
      <c r="BH210" s="668">
        <v>0</v>
      </c>
      <c r="BI210" s="668">
        <v>0</v>
      </c>
      <c r="BJ210" s="668">
        <v>0.34400000000000003</v>
      </c>
      <c r="BK210" s="672">
        <f t="shared" si="371"/>
        <v>0</v>
      </c>
      <c r="BL210" s="671">
        <f t="shared" si="371"/>
        <v>25.319427204167425</v>
      </c>
      <c r="BM210" s="671">
        <f t="shared" ca="1" si="353"/>
        <v>2.1998863899999876</v>
      </c>
      <c r="BN210" s="671">
        <f t="shared" ca="1" si="354"/>
        <v>0.61319999999990338</v>
      </c>
      <c r="BO210" s="671">
        <f t="shared" ca="1" si="355"/>
        <v>0.7377660400000029</v>
      </c>
      <c r="BP210" s="671">
        <f t="shared" si="356"/>
        <v>0</v>
      </c>
      <c r="BQ210" s="671">
        <f t="shared" si="357"/>
        <v>16.539000000000001</v>
      </c>
      <c r="BR210" s="671">
        <f t="shared" ca="1" si="358"/>
        <v>57.42585583373269</v>
      </c>
      <c r="BS210" s="671">
        <f t="shared" si="359"/>
        <v>0</v>
      </c>
      <c r="BT210" s="671">
        <f t="shared" si="360"/>
        <v>0</v>
      </c>
      <c r="BU210" s="671">
        <f t="shared" si="361"/>
        <v>0</v>
      </c>
      <c r="BV210" s="673">
        <f t="shared" si="362"/>
        <v>0.34400000000000003</v>
      </c>
      <c r="BX210" s="855">
        <f t="shared" si="330"/>
        <v>2032</v>
      </c>
      <c r="BY210" s="866">
        <v>0.400451</v>
      </c>
      <c r="BZ210" s="869">
        <f>BY210/('הספק קיים ותחזית יצור'!E68-('הספק קיים ותחזית יצור'!M126*'הנחות עבודה'!$D$35+'הנחות עבודה'!$D$36*'הספק קיים ותחזית יצור'!N126+'הספק קיים ותחזית יצור'!O126*'הנחות עבודה'!$D$37)/'הנחות עבודה'!$D$14)</f>
        <v>1.5626735985989317E-2</v>
      </c>
    </row>
    <row r="211" spans="2:78" ht="15.75" hidden="1" outlineLevel="1">
      <c r="B211" s="10">
        <f t="shared" si="329"/>
        <v>2033</v>
      </c>
      <c r="C211" s="667">
        <f t="shared" si="329"/>
        <v>12.750417444954151</v>
      </c>
      <c r="D211" s="668">
        <f t="shared" si="329"/>
        <v>0</v>
      </c>
      <c r="E211" s="668">
        <f t="shared" ca="1" si="329"/>
        <v>2.1998863899999876</v>
      </c>
      <c r="F211" s="668">
        <f t="shared" ca="1" si="329"/>
        <v>0.61319999999990338</v>
      </c>
      <c r="G211" s="668">
        <f t="shared" ca="1" si="329"/>
        <v>0.7377660400000029</v>
      </c>
      <c r="H211" s="668">
        <v>0</v>
      </c>
      <c r="I211" s="668">
        <v>14.790119999999998</v>
      </c>
      <c r="J211" s="668">
        <f ca="1">'הספק קיים ותחזית יצור'!C20-SUM('התפלגות ייצור וסל דלקים'!C211:I211,'התפלגות ייצור וסל דלקים'!K211:N211)</f>
        <v>74.831239656982973</v>
      </c>
      <c r="K211" s="668">
        <v>0</v>
      </c>
      <c r="L211" s="668">
        <v>0</v>
      </c>
      <c r="M211" s="44">
        <v>0</v>
      </c>
      <c r="N211" s="669">
        <v>0.35187999999999997</v>
      </c>
      <c r="O211" s="670">
        <f t="shared" ref="O211:P211" si="405">O185</f>
        <v>0</v>
      </c>
      <c r="P211" s="671">
        <f t="shared" si="405"/>
        <v>12.750417444954151</v>
      </c>
      <c r="Q211" s="671">
        <f t="shared" ca="1" si="364"/>
        <v>2.1998863899999876</v>
      </c>
      <c r="R211" s="671">
        <f t="shared" ca="1" si="365"/>
        <v>0.61319999999990338</v>
      </c>
      <c r="S211" s="671">
        <f t="shared" ca="1" si="366"/>
        <v>0.7377660400000029</v>
      </c>
      <c r="T211" s="671">
        <f t="shared" si="335"/>
        <v>0</v>
      </c>
      <c r="U211" s="671">
        <f t="shared" si="336"/>
        <v>14.790119999999998</v>
      </c>
      <c r="V211" s="671">
        <f t="shared" ca="1" si="337"/>
        <v>74.831239656982973</v>
      </c>
      <c r="W211" s="671">
        <f t="shared" si="338"/>
        <v>0</v>
      </c>
      <c r="X211" s="671">
        <f t="shared" si="339"/>
        <v>0</v>
      </c>
      <c r="Y211" s="671">
        <f t="shared" si="340"/>
        <v>0</v>
      </c>
      <c r="Z211" s="671">
        <f t="shared" si="341"/>
        <v>0.35187999999999997</v>
      </c>
      <c r="AA211" s="667">
        <f t="shared" ref="AA211:AE211" si="406">AA185</f>
        <v>20.391705565562319</v>
      </c>
      <c r="AB211" s="668">
        <f t="shared" si="406"/>
        <v>0</v>
      </c>
      <c r="AC211" s="668">
        <f t="shared" ca="1" si="406"/>
        <v>2.1998863899999876</v>
      </c>
      <c r="AD211" s="668">
        <f t="shared" ca="1" si="406"/>
        <v>0.61319999999990338</v>
      </c>
      <c r="AE211" s="668">
        <f t="shared" ca="1" si="406"/>
        <v>0.7377660400000029</v>
      </c>
      <c r="AF211" s="668">
        <v>0</v>
      </c>
      <c r="AG211" s="668">
        <v>15.75886</v>
      </c>
      <c r="AH211" s="668">
        <f ca="1">'הספק קיים ותחזית יצור'!C20-SUM(AA211:AG211,AI211:AL211)</f>
        <v>66.217181536374795</v>
      </c>
      <c r="AI211" s="668">
        <v>0</v>
      </c>
      <c r="AJ211" s="668">
        <v>0</v>
      </c>
      <c r="AK211" s="44">
        <v>0</v>
      </c>
      <c r="AL211" s="669">
        <v>0.35591</v>
      </c>
      <c r="AM211" s="670">
        <f t="shared" si="368"/>
        <v>0</v>
      </c>
      <c r="AN211" s="671">
        <f t="shared" si="368"/>
        <v>20.391705565562319</v>
      </c>
      <c r="AO211" s="671">
        <f t="shared" ca="1" si="369"/>
        <v>2.1998863899999876</v>
      </c>
      <c r="AP211" s="671">
        <f t="shared" ca="1" si="343"/>
        <v>0.61319999999990338</v>
      </c>
      <c r="AQ211" s="671">
        <f t="shared" ca="1" si="344"/>
        <v>0.7377660400000029</v>
      </c>
      <c r="AR211" s="671">
        <f t="shared" si="345"/>
        <v>0</v>
      </c>
      <c r="AS211" s="671">
        <f t="shared" si="346"/>
        <v>15.75886</v>
      </c>
      <c r="AT211" s="671">
        <f t="shared" ca="1" si="347"/>
        <v>66.217181536374795</v>
      </c>
      <c r="AU211" s="671">
        <f t="shared" si="348"/>
        <v>0</v>
      </c>
      <c r="AV211" s="671">
        <f t="shared" si="349"/>
        <v>0</v>
      </c>
      <c r="AW211" s="671">
        <f t="shared" si="350"/>
        <v>0</v>
      </c>
      <c r="AX211" s="671">
        <f t="shared" si="351"/>
        <v>0.35591</v>
      </c>
      <c r="AY211" s="667">
        <f t="shared" ref="AY211:BC211" si="407">AY185</f>
        <v>25.167510640942421</v>
      </c>
      <c r="AZ211" s="668">
        <f t="shared" si="407"/>
        <v>0</v>
      </c>
      <c r="BA211" s="668">
        <f t="shared" ca="1" si="407"/>
        <v>2.1998863899999876</v>
      </c>
      <c r="BB211" s="668">
        <f t="shared" ca="1" si="407"/>
        <v>0.61319999999990338</v>
      </c>
      <c r="BC211" s="668">
        <f t="shared" ca="1" si="407"/>
        <v>0.7377660400000029</v>
      </c>
      <c r="BD211" s="668">
        <v>0</v>
      </c>
      <c r="BE211" s="668">
        <v>17.448</v>
      </c>
      <c r="BF211" s="668">
        <f ca="1">'הספק קיים ותחזית יצור'!C20-SUM('התפלגות ייצור וסל דלקים'!AY211:BE211,'התפלגות ייצור וסל דלקים'!BG211:BJ211)</f>
        <v>59.755146460994695</v>
      </c>
      <c r="BG211" s="668">
        <v>0</v>
      </c>
      <c r="BH211" s="668">
        <v>0</v>
      </c>
      <c r="BI211" s="668">
        <v>0</v>
      </c>
      <c r="BJ211" s="668">
        <v>0.35300000000000004</v>
      </c>
      <c r="BK211" s="672">
        <f t="shared" si="371"/>
        <v>0</v>
      </c>
      <c r="BL211" s="671">
        <f t="shared" si="371"/>
        <v>25.167510640942421</v>
      </c>
      <c r="BM211" s="671">
        <f t="shared" ca="1" si="353"/>
        <v>2.1998863899999876</v>
      </c>
      <c r="BN211" s="671">
        <f t="shared" ca="1" si="354"/>
        <v>0.61319999999990338</v>
      </c>
      <c r="BO211" s="671">
        <f t="shared" ca="1" si="355"/>
        <v>0.7377660400000029</v>
      </c>
      <c r="BP211" s="671">
        <f t="shared" si="356"/>
        <v>0</v>
      </c>
      <c r="BQ211" s="671">
        <f t="shared" si="357"/>
        <v>17.448</v>
      </c>
      <c r="BR211" s="671">
        <f t="shared" ca="1" si="358"/>
        <v>59.755146460994695</v>
      </c>
      <c r="BS211" s="671">
        <f t="shared" si="359"/>
        <v>0</v>
      </c>
      <c r="BT211" s="671">
        <f t="shared" si="360"/>
        <v>0</v>
      </c>
      <c r="BU211" s="671">
        <f t="shared" si="361"/>
        <v>0</v>
      </c>
      <c r="BV211" s="673">
        <f t="shared" si="362"/>
        <v>0.35300000000000004</v>
      </c>
      <c r="BX211" s="855">
        <f t="shared" si="330"/>
        <v>2033</v>
      </c>
      <c r="BY211" s="866">
        <v>0.16353899999999999</v>
      </c>
      <c r="BZ211" s="869">
        <f>BY211/('הספק קיים ותחזית יצור'!E69-('הספק קיים ותחזית יצור'!M127*'הנחות עבודה'!$D$35+'הנחות עבודה'!$D$36*'הספק קיים ותחזית יצור'!N127+'הספק קיים ותחזית יצור'!O127*'הנחות עבודה'!$D$37)/'הנחות עבודה'!$D$14)</f>
        <v>6.3817565105661039E-3</v>
      </c>
    </row>
    <row r="212" spans="2:78" ht="15.75" hidden="1" outlineLevel="1">
      <c r="B212" s="10">
        <f t="shared" si="329"/>
        <v>2034</v>
      </c>
      <c r="C212" s="667">
        <f t="shared" si="329"/>
        <v>12.673914940284423</v>
      </c>
      <c r="D212" s="668">
        <f t="shared" si="329"/>
        <v>0</v>
      </c>
      <c r="E212" s="668">
        <f t="shared" ca="1" si="329"/>
        <v>2.1998863899999876</v>
      </c>
      <c r="F212" s="668">
        <f t="shared" ca="1" si="329"/>
        <v>0.61319999999990338</v>
      </c>
      <c r="G212" s="668">
        <f t="shared" ca="1" si="329"/>
        <v>0.7377660400000029</v>
      </c>
      <c r="H212" s="668">
        <v>0</v>
      </c>
      <c r="I212" s="668">
        <v>14.716479999999999</v>
      </c>
      <c r="J212" s="668">
        <f ca="1">'הספק קיים ותחזית יצור'!C21-SUM('התפלגות ייצור וסל דלקים'!C212:I212,'התפלגות ייצור וסל דלקים'!K212:N212)</f>
        <v>78.175137447610808</v>
      </c>
      <c r="K212" s="668">
        <v>0</v>
      </c>
      <c r="L212" s="668">
        <v>0</v>
      </c>
      <c r="M212" s="44">
        <v>0</v>
      </c>
      <c r="N212" s="669">
        <v>0.34636</v>
      </c>
      <c r="O212" s="670">
        <f t="shared" ref="O212:P212" si="408">O186</f>
        <v>0</v>
      </c>
      <c r="P212" s="671">
        <f t="shared" si="408"/>
        <v>12.673914940284423</v>
      </c>
      <c r="Q212" s="671">
        <f t="shared" ca="1" si="364"/>
        <v>2.1998863899999876</v>
      </c>
      <c r="R212" s="671">
        <f t="shared" ca="1" si="365"/>
        <v>0.61319999999990338</v>
      </c>
      <c r="S212" s="671">
        <f t="shared" ca="1" si="366"/>
        <v>0.7377660400000029</v>
      </c>
      <c r="T212" s="671">
        <f t="shared" si="335"/>
        <v>0</v>
      </c>
      <c r="U212" s="671">
        <f t="shared" si="336"/>
        <v>14.716479999999999</v>
      </c>
      <c r="V212" s="671">
        <f t="shared" ca="1" si="337"/>
        <v>78.175137447610808</v>
      </c>
      <c r="W212" s="671">
        <f t="shared" si="338"/>
        <v>0</v>
      </c>
      <c r="X212" s="671">
        <f t="shared" si="339"/>
        <v>0</v>
      </c>
      <c r="Y212" s="671">
        <f t="shared" si="340"/>
        <v>0</v>
      </c>
      <c r="Z212" s="671">
        <f t="shared" si="341"/>
        <v>0.34636</v>
      </c>
      <c r="AA212" s="667">
        <f t="shared" ref="AA212:AE212" si="409">AA186</f>
        <v>20.269355332168946</v>
      </c>
      <c r="AB212" s="668">
        <f t="shared" si="409"/>
        <v>0</v>
      </c>
      <c r="AC212" s="668">
        <f t="shared" ca="1" si="409"/>
        <v>2.1998863899999876</v>
      </c>
      <c r="AD212" s="668">
        <f t="shared" ca="1" si="409"/>
        <v>0.61319999999990338</v>
      </c>
      <c r="AE212" s="668">
        <f t="shared" ca="1" si="409"/>
        <v>0.7377660400000029</v>
      </c>
      <c r="AF212" s="668">
        <v>0</v>
      </c>
      <c r="AG212" s="668">
        <v>15.69491</v>
      </c>
      <c r="AH212" s="668">
        <f ca="1">'הספק קיים ותחזית יצור'!C21-SUM(AA212:AG212,AI212:AL212)</f>
        <v>69.596227055726288</v>
      </c>
      <c r="AI212" s="668">
        <v>0</v>
      </c>
      <c r="AJ212" s="668">
        <v>0</v>
      </c>
      <c r="AK212" s="44">
        <v>0</v>
      </c>
      <c r="AL212" s="669">
        <v>0.35139999999999999</v>
      </c>
      <c r="AM212" s="670">
        <f t="shared" si="368"/>
        <v>0</v>
      </c>
      <c r="AN212" s="671">
        <f t="shared" si="368"/>
        <v>20.269355332168946</v>
      </c>
      <c r="AO212" s="671">
        <f t="shared" ca="1" si="369"/>
        <v>2.1998863899999876</v>
      </c>
      <c r="AP212" s="671">
        <f t="shared" ca="1" si="343"/>
        <v>0.61319999999990338</v>
      </c>
      <c r="AQ212" s="671">
        <f t="shared" ca="1" si="344"/>
        <v>0.7377660400000029</v>
      </c>
      <c r="AR212" s="671">
        <f t="shared" si="345"/>
        <v>0</v>
      </c>
      <c r="AS212" s="671">
        <f t="shared" si="346"/>
        <v>15.69491</v>
      </c>
      <c r="AT212" s="671">
        <f t="shared" ca="1" si="347"/>
        <v>69.596227055726288</v>
      </c>
      <c r="AU212" s="671">
        <f t="shared" si="348"/>
        <v>0</v>
      </c>
      <c r="AV212" s="671">
        <f t="shared" si="349"/>
        <v>0</v>
      </c>
      <c r="AW212" s="671">
        <f t="shared" si="350"/>
        <v>0</v>
      </c>
      <c r="AX212" s="671">
        <f t="shared" si="351"/>
        <v>0.35139999999999999</v>
      </c>
      <c r="AY212" s="667">
        <f t="shared" ref="AY212:BC212" si="410">AY186</f>
        <v>25.016505577096769</v>
      </c>
      <c r="AZ212" s="668">
        <f t="shared" si="410"/>
        <v>0</v>
      </c>
      <c r="BA212" s="668">
        <f t="shared" ca="1" si="410"/>
        <v>2.1998863899999876</v>
      </c>
      <c r="BB212" s="668">
        <f t="shared" ca="1" si="410"/>
        <v>0.61319999999990338</v>
      </c>
      <c r="BC212" s="668">
        <f t="shared" ca="1" si="410"/>
        <v>0.7377660400000029</v>
      </c>
      <c r="BD212" s="668">
        <v>0</v>
      </c>
      <c r="BE212" s="668">
        <v>17.306000000000001</v>
      </c>
      <c r="BF212" s="668">
        <f ca="1">'הספק קיים ותחזית יצור'!C21-SUM('התפלגות ייצור וסל דלקים'!AY212:BE212,'התפלגות ייצור וסל דלקים'!BG212:BJ212)</f>
        <v>63.242386810798457</v>
      </c>
      <c r="BG212" s="668">
        <v>0</v>
      </c>
      <c r="BH212" s="668">
        <v>0</v>
      </c>
      <c r="BI212" s="668">
        <v>0</v>
      </c>
      <c r="BJ212" s="668">
        <v>0.34700000000000003</v>
      </c>
      <c r="BK212" s="672">
        <f t="shared" si="371"/>
        <v>0</v>
      </c>
      <c r="BL212" s="671">
        <f t="shared" si="371"/>
        <v>25.016505577096769</v>
      </c>
      <c r="BM212" s="671">
        <f t="shared" ca="1" si="353"/>
        <v>2.1998863899999876</v>
      </c>
      <c r="BN212" s="671">
        <f t="shared" ca="1" si="354"/>
        <v>0.61319999999990338</v>
      </c>
      <c r="BO212" s="671">
        <f t="shared" ca="1" si="355"/>
        <v>0.7377660400000029</v>
      </c>
      <c r="BP212" s="671">
        <f t="shared" si="356"/>
        <v>0</v>
      </c>
      <c r="BQ212" s="671">
        <f t="shared" si="357"/>
        <v>17.306000000000001</v>
      </c>
      <c r="BR212" s="671">
        <f t="shared" ca="1" si="358"/>
        <v>63.242386810798457</v>
      </c>
      <c r="BS212" s="671">
        <f t="shared" si="359"/>
        <v>0</v>
      </c>
      <c r="BT212" s="671">
        <f t="shared" si="360"/>
        <v>0</v>
      </c>
      <c r="BU212" s="671">
        <f t="shared" si="361"/>
        <v>0</v>
      </c>
      <c r="BV212" s="673">
        <f t="shared" si="362"/>
        <v>0.34700000000000003</v>
      </c>
      <c r="BX212" s="855">
        <f t="shared" si="330"/>
        <v>2034</v>
      </c>
      <c r="BY212" s="866">
        <v>0.191688</v>
      </c>
      <c r="BZ212" s="869">
        <f>BY212/('הספק קיים ותחזית יצור'!E70-('הספק קיים ותחזית יצור'!M128*'הנחות עבודה'!$D$35+'הנחות עבודה'!$D$36*'הספק קיים ותחזית יצור'!N128+'הספק קיים ותחזית יצור'!O128*'הנחות עבודה'!$D$37)/'הנחות עבודה'!$D$14)</f>
        <v>7.4802104818874719E-3</v>
      </c>
    </row>
    <row r="213" spans="2:78" ht="15.75" hidden="1" outlineLevel="1">
      <c r="B213" s="10">
        <f t="shared" si="329"/>
        <v>2035</v>
      </c>
      <c r="C213" s="667">
        <f t="shared" si="329"/>
        <v>12.597871450642717</v>
      </c>
      <c r="D213" s="668">
        <f t="shared" si="329"/>
        <v>0</v>
      </c>
      <c r="E213" s="668">
        <f t="shared" ca="1" si="329"/>
        <v>2.1998863899999876</v>
      </c>
      <c r="F213" s="668">
        <f t="shared" ca="1" si="329"/>
        <v>0.61319999999990338</v>
      </c>
      <c r="G213" s="668">
        <f t="shared" ca="1" si="329"/>
        <v>0.7377660400000029</v>
      </c>
      <c r="H213" s="668">
        <v>0</v>
      </c>
      <c r="I213" s="668">
        <v>14.811360000000001</v>
      </c>
      <c r="J213" s="668">
        <f ca="1">'הספק קיים ותחזית יצור'!C22-SUM('התפלגות ייצור וסל דלקים'!C213:I213,'התפלגות ייצור וסל דלקים'!K213:N213)</f>
        <v>81.441213281789373</v>
      </c>
      <c r="K213" s="668">
        <v>0</v>
      </c>
      <c r="L213" s="668">
        <v>0</v>
      </c>
      <c r="M213" s="44">
        <v>0</v>
      </c>
      <c r="N213" s="669">
        <v>0.34532999999999997</v>
      </c>
      <c r="O213" s="670">
        <f t="shared" ref="O213:P213" si="411">O187</f>
        <v>0</v>
      </c>
      <c r="P213" s="671">
        <f t="shared" si="411"/>
        <v>12.597871450642717</v>
      </c>
      <c r="Q213" s="671">
        <f t="shared" ca="1" si="364"/>
        <v>2.1998863899999876</v>
      </c>
      <c r="R213" s="671">
        <f t="shared" ca="1" si="365"/>
        <v>0.61319999999990338</v>
      </c>
      <c r="S213" s="671">
        <f t="shared" ca="1" si="366"/>
        <v>0.7377660400000029</v>
      </c>
      <c r="T213" s="671">
        <f t="shared" si="335"/>
        <v>0</v>
      </c>
      <c r="U213" s="671">
        <f t="shared" si="336"/>
        <v>14.811360000000001</v>
      </c>
      <c r="V213" s="671">
        <f t="shared" ca="1" si="337"/>
        <v>81.441213281789373</v>
      </c>
      <c r="W213" s="671">
        <f t="shared" si="338"/>
        <v>0</v>
      </c>
      <c r="X213" s="671">
        <f t="shared" si="339"/>
        <v>0</v>
      </c>
      <c r="Y213" s="671">
        <f t="shared" si="340"/>
        <v>0</v>
      </c>
      <c r="Z213" s="671">
        <f t="shared" si="341"/>
        <v>0.34532999999999997</v>
      </c>
      <c r="AA213" s="667">
        <f t="shared" ref="AA213:AE213" si="412">AA187</f>
        <v>20.147739200175927</v>
      </c>
      <c r="AB213" s="668">
        <f t="shared" si="412"/>
        <v>0</v>
      </c>
      <c r="AC213" s="668">
        <f t="shared" ca="1" si="412"/>
        <v>2.1998863899999876</v>
      </c>
      <c r="AD213" s="668">
        <f t="shared" ca="1" si="412"/>
        <v>0.61319999999990338</v>
      </c>
      <c r="AE213" s="668">
        <f t="shared" ca="1" si="412"/>
        <v>0.7377660400000029</v>
      </c>
      <c r="AF213" s="668">
        <v>0</v>
      </c>
      <c r="AG213" s="668">
        <v>15.831440000000001</v>
      </c>
      <c r="AH213" s="668">
        <f ca="1">'הספק קיים ותחזית יצור'!C22-SUM(AA213:AG213,AI213:AL213)</f>
        <v>72.869845532256164</v>
      </c>
      <c r="AI213" s="668">
        <v>0</v>
      </c>
      <c r="AJ213" s="668">
        <v>0</v>
      </c>
      <c r="AK213" s="44">
        <v>0</v>
      </c>
      <c r="AL213" s="669">
        <v>0.34675</v>
      </c>
      <c r="AM213" s="670">
        <f t="shared" si="368"/>
        <v>0</v>
      </c>
      <c r="AN213" s="671">
        <f t="shared" si="368"/>
        <v>20.147739200175927</v>
      </c>
      <c r="AO213" s="671">
        <f t="shared" ca="1" si="369"/>
        <v>2.1998863899999876</v>
      </c>
      <c r="AP213" s="671">
        <f t="shared" ca="1" si="343"/>
        <v>0.61319999999990338</v>
      </c>
      <c r="AQ213" s="671">
        <f t="shared" ca="1" si="344"/>
        <v>0.7377660400000029</v>
      </c>
      <c r="AR213" s="671">
        <f t="shared" si="345"/>
        <v>0</v>
      </c>
      <c r="AS213" s="671">
        <f t="shared" si="346"/>
        <v>15.831440000000001</v>
      </c>
      <c r="AT213" s="671">
        <f t="shared" ca="1" si="347"/>
        <v>72.869845532256164</v>
      </c>
      <c r="AU213" s="671">
        <f t="shared" si="348"/>
        <v>0</v>
      </c>
      <c r="AV213" s="671">
        <f t="shared" si="349"/>
        <v>0</v>
      </c>
      <c r="AW213" s="671">
        <f t="shared" si="350"/>
        <v>0</v>
      </c>
      <c r="AX213" s="671">
        <f t="shared" si="351"/>
        <v>0.34675</v>
      </c>
      <c r="AY213" s="667">
        <f t="shared" ref="AY213:BC213" si="413">AY187</f>
        <v>24.866406543634188</v>
      </c>
      <c r="AZ213" s="668">
        <f t="shared" si="413"/>
        <v>0</v>
      </c>
      <c r="BA213" s="668">
        <f t="shared" ca="1" si="413"/>
        <v>2.1998863899999876</v>
      </c>
      <c r="BB213" s="668">
        <f t="shared" ca="1" si="413"/>
        <v>0.61319999999990338</v>
      </c>
      <c r="BC213" s="668">
        <f t="shared" ca="1" si="413"/>
        <v>0.7377660400000029</v>
      </c>
      <c r="BD213" s="668">
        <v>0</v>
      </c>
      <c r="BE213" s="668">
        <v>17.795999999999999</v>
      </c>
      <c r="BF213" s="668">
        <f ca="1">'הספק קיים ותחזית יצור'!C22-SUM('התפלגות ייצור וסל דלקים'!AY213:BE213,'התפלגות ייצור וסל דלקים'!BG213:BJ213)</f>
        <v>66.1863681887979</v>
      </c>
      <c r="BG213" s="668">
        <v>0</v>
      </c>
      <c r="BH213" s="668">
        <v>0</v>
      </c>
      <c r="BI213" s="668">
        <v>0</v>
      </c>
      <c r="BJ213" s="668">
        <v>0.34700000000000003</v>
      </c>
      <c r="BK213" s="672">
        <f t="shared" si="371"/>
        <v>0</v>
      </c>
      <c r="BL213" s="671">
        <f t="shared" si="371"/>
        <v>24.866406543634188</v>
      </c>
      <c r="BM213" s="671">
        <f t="shared" ca="1" si="353"/>
        <v>2.1998863899999876</v>
      </c>
      <c r="BN213" s="671">
        <f t="shared" ca="1" si="354"/>
        <v>0.61319999999990338</v>
      </c>
      <c r="BO213" s="671">
        <f t="shared" ca="1" si="355"/>
        <v>0.7377660400000029</v>
      </c>
      <c r="BP213" s="671">
        <f t="shared" si="356"/>
        <v>0</v>
      </c>
      <c r="BQ213" s="671">
        <f t="shared" si="357"/>
        <v>17.795999999999999</v>
      </c>
      <c r="BR213" s="671">
        <f t="shared" ca="1" si="358"/>
        <v>66.1863681887979</v>
      </c>
      <c r="BS213" s="671">
        <f t="shared" si="359"/>
        <v>0</v>
      </c>
      <c r="BT213" s="671">
        <f t="shared" si="360"/>
        <v>0</v>
      </c>
      <c r="BU213" s="671">
        <f t="shared" si="361"/>
        <v>0</v>
      </c>
      <c r="BV213" s="673">
        <f t="shared" si="362"/>
        <v>0.34700000000000003</v>
      </c>
      <c r="BX213" s="855">
        <f t="shared" si="330"/>
        <v>2035</v>
      </c>
      <c r="BY213" s="866">
        <v>9.2212999999999989E-2</v>
      </c>
      <c r="BZ213" s="869">
        <f>BY213/('הספק קיים ותחזית יצור'!E71-('הספק קיים ותחזית יצור'!M129*'הנחות עבודה'!$D$35+'הנחות עבודה'!$D$36*'הספק קיים ותחזית יצור'!N129+'הספק קיים ותחזית יצור'!O129*'הנחות עבודה'!$D$37)/'הנחות עבודה'!$D$14)</f>
        <v>3.5984133026912973E-3</v>
      </c>
    </row>
    <row r="214" spans="2:78" ht="15.75" hidden="1" outlineLevel="1">
      <c r="B214" s="10">
        <f t="shared" si="329"/>
        <v>2036</v>
      </c>
      <c r="C214" s="667">
        <f t="shared" si="329"/>
        <v>12.522284221938861</v>
      </c>
      <c r="D214" s="668">
        <f t="shared" si="329"/>
        <v>0</v>
      </c>
      <c r="E214" s="668">
        <f t="shared" ca="1" si="329"/>
        <v>2.1998863899999876</v>
      </c>
      <c r="F214" s="668">
        <f t="shared" ca="1" si="329"/>
        <v>0.61319999999990338</v>
      </c>
      <c r="G214" s="668">
        <f t="shared" ca="1" si="329"/>
        <v>0.7377660400000029</v>
      </c>
      <c r="H214" s="668">
        <v>0</v>
      </c>
      <c r="I214" s="668">
        <v>15.116680000000001</v>
      </c>
      <c r="J214" s="668">
        <f ca="1">'הספק קיים ותחזית יצור'!C23-SUM('התפלגות ייצור וסל דלקים'!C214:I214,'התפלגות ייצור וסל דלקים'!K214:N214)</f>
        <v>84.59119932536619</v>
      </c>
      <c r="K214" s="668">
        <v>0</v>
      </c>
      <c r="L214" s="668">
        <v>0</v>
      </c>
      <c r="M214" s="44">
        <v>0</v>
      </c>
      <c r="N214" s="669">
        <v>0.34800999999999999</v>
      </c>
      <c r="O214" s="670">
        <f t="shared" ref="O214:P214" si="414">O188</f>
        <v>0</v>
      </c>
      <c r="P214" s="671">
        <f t="shared" si="414"/>
        <v>12.522284221938861</v>
      </c>
      <c r="Q214" s="671">
        <f t="shared" ca="1" si="364"/>
        <v>2.1998863899999876</v>
      </c>
      <c r="R214" s="671">
        <f t="shared" ca="1" si="365"/>
        <v>0.61319999999990338</v>
      </c>
      <c r="S214" s="671">
        <f t="shared" ca="1" si="366"/>
        <v>0.7377660400000029</v>
      </c>
      <c r="T214" s="671">
        <f t="shared" si="335"/>
        <v>0</v>
      </c>
      <c r="U214" s="671">
        <f t="shared" si="336"/>
        <v>15.116680000000001</v>
      </c>
      <c r="V214" s="671">
        <f t="shared" ca="1" si="337"/>
        <v>84.59119932536619</v>
      </c>
      <c r="W214" s="671">
        <f t="shared" si="338"/>
        <v>0</v>
      </c>
      <c r="X214" s="671">
        <f t="shared" si="339"/>
        <v>0</v>
      </c>
      <c r="Y214" s="671">
        <f t="shared" si="340"/>
        <v>0</v>
      </c>
      <c r="Z214" s="671">
        <f t="shared" si="341"/>
        <v>0.34800999999999999</v>
      </c>
      <c r="AA214" s="667">
        <f t="shared" ref="AA214:AE214" si="415">AA188</f>
        <v>20.026852764974876</v>
      </c>
      <c r="AB214" s="668">
        <f t="shared" si="415"/>
        <v>0</v>
      </c>
      <c r="AC214" s="668">
        <f t="shared" ca="1" si="415"/>
        <v>2.1998863899999876</v>
      </c>
      <c r="AD214" s="668">
        <f t="shared" ca="1" si="415"/>
        <v>0.61319999999990338</v>
      </c>
      <c r="AE214" s="668">
        <f t="shared" ca="1" si="415"/>
        <v>0.7377660400000029</v>
      </c>
      <c r="AF214" s="668">
        <v>0</v>
      </c>
      <c r="AG214" s="668">
        <v>15.992709999999999</v>
      </c>
      <c r="AH214" s="668">
        <f ca="1">'הספק קיים ותחזית יצור'!C23-SUM(AA214:AG214,AI214:AL214)</f>
        <v>76.209020782330185</v>
      </c>
      <c r="AI214" s="668">
        <v>0</v>
      </c>
      <c r="AJ214" s="668">
        <v>0</v>
      </c>
      <c r="AK214" s="44">
        <v>0</v>
      </c>
      <c r="AL214" s="669">
        <v>0.34959000000000001</v>
      </c>
      <c r="AM214" s="670">
        <f t="shared" si="368"/>
        <v>0</v>
      </c>
      <c r="AN214" s="671">
        <f t="shared" si="368"/>
        <v>20.026852764974876</v>
      </c>
      <c r="AO214" s="671">
        <f t="shared" ca="1" si="369"/>
        <v>2.1998863899999876</v>
      </c>
      <c r="AP214" s="671">
        <f t="shared" ca="1" si="343"/>
        <v>0.61319999999990338</v>
      </c>
      <c r="AQ214" s="671">
        <f t="shared" ca="1" si="344"/>
        <v>0.7377660400000029</v>
      </c>
      <c r="AR214" s="671">
        <f t="shared" si="345"/>
        <v>0</v>
      </c>
      <c r="AS214" s="671">
        <f t="shared" si="346"/>
        <v>15.992709999999999</v>
      </c>
      <c r="AT214" s="671">
        <f t="shared" ca="1" si="347"/>
        <v>76.209020782330185</v>
      </c>
      <c r="AU214" s="671">
        <f t="shared" si="348"/>
        <v>0</v>
      </c>
      <c r="AV214" s="671">
        <f t="shared" si="349"/>
        <v>0</v>
      </c>
      <c r="AW214" s="671">
        <f t="shared" si="350"/>
        <v>0</v>
      </c>
      <c r="AX214" s="671">
        <f t="shared" si="351"/>
        <v>0.34959000000000001</v>
      </c>
      <c r="AY214" s="667">
        <f t="shared" ref="AY214:BC214" si="416">AY188</f>
        <v>24.717208104372386</v>
      </c>
      <c r="AZ214" s="668">
        <f t="shared" si="416"/>
        <v>0</v>
      </c>
      <c r="BA214" s="668">
        <f t="shared" ca="1" si="416"/>
        <v>2.1998863899999876</v>
      </c>
      <c r="BB214" s="668">
        <f t="shared" ca="1" si="416"/>
        <v>0.61319999999990338</v>
      </c>
      <c r="BC214" s="668">
        <f t="shared" ca="1" si="416"/>
        <v>0.7377660400000029</v>
      </c>
      <c r="BD214" s="668">
        <v>0</v>
      </c>
      <c r="BE214" s="668">
        <v>18.353999999999999</v>
      </c>
      <c r="BF214" s="668">
        <f ca="1">'הספק קיים ותחזית יצור'!C23-SUM('התפלגות ייצור וסל דלקים'!AY214:BE214,'התפלגות ייצור וסל דלקים'!BG214:BJ214)</f>
        <v>69.154965442932678</v>
      </c>
      <c r="BG214" s="668">
        <v>0</v>
      </c>
      <c r="BH214" s="668">
        <v>0</v>
      </c>
      <c r="BI214" s="668">
        <v>0</v>
      </c>
      <c r="BJ214" s="668">
        <v>0.35199999999999998</v>
      </c>
      <c r="BK214" s="672">
        <f t="shared" si="371"/>
        <v>0</v>
      </c>
      <c r="BL214" s="671">
        <f t="shared" si="371"/>
        <v>24.717208104372386</v>
      </c>
      <c r="BM214" s="671">
        <f t="shared" ca="1" si="353"/>
        <v>2.1998863899999876</v>
      </c>
      <c r="BN214" s="671">
        <f t="shared" ca="1" si="354"/>
        <v>0.61319999999990338</v>
      </c>
      <c r="BO214" s="671">
        <f t="shared" ca="1" si="355"/>
        <v>0.7377660400000029</v>
      </c>
      <c r="BP214" s="671">
        <f t="shared" si="356"/>
        <v>0</v>
      </c>
      <c r="BQ214" s="671">
        <f t="shared" si="357"/>
        <v>18.353999999999999</v>
      </c>
      <c r="BR214" s="671">
        <f t="shared" ca="1" si="358"/>
        <v>69.154965442932678</v>
      </c>
      <c r="BS214" s="671">
        <f t="shared" si="359"/>
        <v>0</v>
      </c>
      <c r="BT214" s="671">
        <f t="shared" si="360"/>
        <v>0</v>
      </c>
      <c r="BU214" s="671">
        <f t="shared" si="361"/>
        <v>0</v>
      </c>
      <c r="BV214" s="673">
        <f t="shared" si="362"/>
        <v>0.35199999999999998</v>
      </c>
      <c r="BX214" s="855">
        <f t="shared" si="330"/>
        <v>2036</v>
      </c>
      <c r="BY214" s="866">
        <v>4.3351000000000001E-2</v>
      </c>
      <c r="BZ214" s="869">
        <f>BY214/('הספק קיים ותחזית יצור'!E72-('הספק קיים ותחזית יצור'!M130*'הנחות עבודה'!$D$35+'הנחות עבודה'!$D$36*'הספק קיים ותחזית יצור'!N130+'הספק קיים ותחזית יצור'!O130*'הנחות עבודה'!$D$37)/'הנחות עבודה'!$D$14)</f>
        <v>1.6916792110111421E-3</v>
      </c>
    </row>
    <row r="215" spans="2:78" ht="15.75" hidden="1" outlineLevel="1">
      <c r="B215" s="10">
        <f t="shared" si="329"/>
        <v>2037</v>
      </c>
      <c r="C215" s="667">
        <f t="shared" si="329"/>
        <v>12.44715051660723</v>
      </c>
      <c r="D215" s="668">
        <f t="shared" si="329"/>
        <v>0</v>
      </c>
      <c r="E215" s="668">
        <f t="shared" ca="1" si="329"/>
        <v>2.1998863899999876</v>
      </c>
      <c r="F215" s="668">
        <f t="shared" ca="1" si="329"/>
        <v>0.61319999999990338</v>
      </c>
      <c r="G215" s="668">
        <f t="shared" ca="1" si="329"/>
        <v>0.7377660400000029</v>
      </c>
      <c r="H215" s="668">
        <v>0</v>
      </c>
      <c r="I215" s="668">
        <v>15.286460000000002</v>
      </c>
      <c r="J215" s="668">
        <f ca="1">'הספק קיים ותחזית יצור'!C24-SUM('התפלגות ייצור וסל דלקים'!C215:I215,'התפלגות ייצור וסל דלקים'!K215:N215)</f>
        <v>87.980223810016966</v>
      </c>
      <c r="K215" s="668">
        <v>0</v>
      </c>
      <c r="L215" s="668">
        <v>0</v>
      </c>
      <c r="M215" s="44">
        <v>0</v>
      </c>
      <c r="N215" s="669">
        <v>0.34821000000000002</v>
      </c>
      <c r="O215" s="670">
        <f t="shared" ref="O215:P215" si="417">O189</f>
        <v>0</v>
      </c>
      <c r="P215" s="671">
        <f t="shared" si="417"/>
        <v>12.44715051660723</v>
      </c>
      <c r="Q215" s="671">
        <f t="shared" ca="1" si="364"/>
        <v>2.1998863899999876</v>
      </c>
      <c r="R215" s="671">
        <f t="shared" ca="1" si="365"/>
        <v>0.61319999999990338</v>
      </c>
      <c r="S215" s="671">
        <f t="shared" ca="1" si="366"/>
        <v>0.7377660400000029</v>
      </c>
      <c r="T215" s="671">
        <f t="shared" si="335"/>
        <v>0</v>
      </c>
      <c r="U215" s="671">
        <f t="shared" si="336"/>
        <v>15.286460000000002</v>
      </c>
      <c r="V215" s="671">
        <f t="shared" ca="1" si="337"/>
        <v>87.980223810016966</v>
      </c>
      <c r="W215" s="671">
        <f t="shared" si="338"/>
        <v>0</v>
      </c>
      <c r="X215" s="671">
        <f t="shared" si="339"/>
        <v>0</v>
      </c>
      <c r="Y215" s="671">
        <f t="shared" si="340"/>
        <v>0</v>
      </c>
      <c r="Z215" s="671">
        <f t="shared" si="341"/>
        <v>0.34821000000000002</v>
      </c>
      <c r="AA215" s="667">
        <f t="shared" ref="AA215:AE215" si="418">AA189</f>
        <v>19.906691648385024</v>
      </c>
      <c r="AB215" s="668">
        <f t="shared" si="418"/>
        <v>0</v>
      </c>
      <c r="AC215" s="668">
        <f t="shared" ca="1" si="418"/>
        <v>2.1998863899999876</v>
      </c>
      <c r="AD215" s="668">
        <f t="shared" ca="1" si="418"/>
        <v>0.61319999999990338</v>
      </c>
      <c r="AE215" s="668">
        <f t="shared" ca="1" si="418"/>
        <v>0.7377660400000029</v>
      </c>
      <c r="AF215" s="668">
        <v>0</v>
      </c>
      <c r="AG215" s="668">
        <v>15.96213</v>
      </c>
      <c r="AH215" s="668">
        <f ca="1">'הספק קיים ותחזית יצור'!C24-SUM(AA215:AG215,AI215:AL215)</f>
        <v>79.840972678239183</v>
      </c>
      <c r="AI215" s="668">
        <v>0</v>
      </c>
      <c r="AJ215" s="668">
        <v>0</v>
      </c>
      <c r="AK215" s="44">
        <v>0</v>
      </c>
      <c r="AL215" s="669">
        <v>0.35224999999999995</v>
      </c>
      <c r="AM215" s="670">
        <f t="shared" si="368"/>
        <v>0</v>
      </c>
      <c r="AN215" s="671">
        <f t="shared" si="368"/>
        <v>19.906691648385024</v>
      </c>
      <c r="AO215" s="671">
        <f t="shared" ca="1" si="369"/>
        <v>2.1998863899999876</v>
      </c>
      <c r="AP215" s="671">
        <f t="shared" ca="1" si="343"/>
        <v>0.61319999999990338</v>
      </c>
      <c r="AQ215" s="671">
        <f t="shared" ca="1" si="344"/>
        <v>0.7377660400000029</v>
      </c>
      <c r="AR215" s="671">
        <f t="shared" si="345"/>
        <v>0</v>
      </c>
      <c r="AS215" s="671">
        <f t="shared" si="346"/>
        <v>15.96213</v>
      </c>
      <c r="AT215" s="671">
        <f t="shared" ca="1" si="347"/>
        <v>79.840972678239183</v>
      </c>
      <c r="AU215" s="671">
        <f t="shared" si="348"/>
        <v>0</v>
      </c>
      <c r="AV215" s="671">
        <f t="shared" si="349"/>
        <v>0</v>
      </c>
      <c r="AW215" s="671">
        <f t="shared" si="350"/>
        <v>0</v>
      </c>
      <c r="AX215" s="671">
        <f t="shared" si="351"/>
        <v>0.35224999999999995</v>
      </c>
      <c r="AY215" s="667">
        <f t="shared" ref="AY215:BC215" si="419">AY189</f>
        <v>24.568904855746148</v>
      </c>
      <c r="AZ215" s="668">
        <f t="shared" si="419"/>
        <v>0</v>
      </c>
      <c r="BA215" s="668">
        <f t="shared" ca="1" si="419"/>
        <v>2.1998863899999876</v>
      </c>
      <c r="BB215" s="668">
        <f t="shared" ca="1" si="419"/>
        <v>0.61319999999990338</v>
      </c>
      <c r="BC215" s="668">
        <f t="shared" ca="1" si="419"/>
        <v>0.7377660400000029</v>
      </c>
      <c r="BD215" s="668">
        <v>0</v>
      </c>
      <c r="BE215" s="668">
        <v>18.407</v>
      </c>
      <c r="BF215" s="668">
        <f ca="1">'הספק קיים ותחזית יצור'!C24-SUM('התפלגות ייצור וסל דלקים'!AY215:BE215,'התפלגות ייצור וסל דלקים'!BG215:BJ215)</f>
        <v>72.732139470878053</v>
      </c>
      <c r="BG215" s="668">
        <v>0</v>
      </c>
      <c r="BH215" s="668">
        <v>0</v>
      </c>
      <c r="BI215" s="668">
        <v>0</v>
      </c>
      <c r="BJ215" s="668">
        <v>0.35400000000000004</v>
      </c>
      <c r="BK215" s="672">
        <f t="shared" si="371"/>
        <v>0</v>
      </c>
      <c r="BL215" s="671">
        <f t="shared" si="371"/>
        <v>24.568904855746148</v>
      </c>
      <c r="BM215" s="671">
        <f t="shared" ca="1" si="353"/>
        <v>2.1998863899999876</v>
      </c>
      <c r="BN215" s="671">
        <f t="shared" ca="1" si="354"/>
        <v>0.61319999999990338</v>
      </c>
      <c r="BO215" s="671">
        <f t="shared" ca="1" si="355"/>
        <v>0.7377660400000029</v>
      </c>
      <c r="BP215" s="671">
        <f t="shared" si="356"/>
        <v>0</v>
      </c>
      <c r="BQ215" s="671">
        <f t="shared" si="357"/>
        <v>18.407</v>
      </c>
      <c r="BR215" s="671">
        <f t="shared" ca="1" si="358"/>
        <v>72.732139470878053</v>
      </c>
      <c r="BS215" s="671">
        <f t="shared" si="359"/>
        <v>0</v>
      </c>
      <c r="BT215" s="671">
        <f t="shared" si="360"/>
        <v>0</v>
      </c>
      <c r="BU215" s="671">
        <f t="shared" si="361"/>
        <v>0</v>
      </c>
      <c r="BV215" s="673">
        <f t="shared" si="362"/>
        <v>0.35400000000000004</v>
      </c>
      <c r="BX215" s="855">
        <f t="shared" si="330"/>
        <v>2037</v>
      </c>
      <c r="BY215" s="866">
        <v>4.2798000000000003E-2</v>
      </c>
      <c r="BZ215" s="869">
        <f>BY215/('הספק קיים ותחזית יצור'!E73-('הספק קיים ותחזית יצור'!M131*'הנחות עבודה'!$D$35+'הנחות עבודה'!$D$36*'הספק קיים ותחזית יצור'!N131+'הספק קיים ותחזית יצור'!O131*'הנחות עבודה'!$D$37)/'הנחות עבודה'!$D$14)</f>
        <v>1.6700995795449901E-3</v>
      </c>
    </row>
    <row r="216" spans="2:78" ht="15.75" hidden="1" outlineLevel="1">
      <c r="B216" s="10">
        <f t="shared" si="329"/>
        <v>2038</v>
      </c>
      <c r="C216" s="667">
        <f t="shared" si="329"/>
        <v>12.372467613507585</v>
      </c>
      <c r="D216" s="668">
        <f t="shared" si="329"/>
        <v>0</v>
      </c>
      <c r="E216" s="668">
        <f t="shared" ca="1" si="329"/>
        <v>2.1998863899999876</v>
      </c>
      <c r="F216" s="668">
        <f t="shared" ca="1" si="329"/>
        <v>0.61319999999990338</v>
      </c>
      <c r="G216" s="668">
        <f t="shared" ca="1" si="329"/>
        <v>0.7377660400000029</v>
      </c>
      <c r="H216" s="668">
        <v>0</v>
      </c>
      <c r="I216" s="668">
        <v>15.45416</v>
      </c>
      <c r="J216" s="668">
        <f ca="1">'הספק קיים ותחזית יצור'!C25-SUM('התפלגות ייצור וסל דלקים'!C216:I216,'התפלגות ייצור וסל דלקים'!K216:N216)</f>
        <v>91.481063615815344</v>
      </c>
      <c r="K216" s="668">
        <v>0</v>
      </c>
      <c r="L216" s="668">
        <v>0</v>
      </c>
      <c r="M216" s="44">
        <v>0</v>
      </c>
      <c r="N216" s="669">
        <v>0.34274000000000004</v>
      </c>
      <c r="O216" s="670">
        <f t="shared" ref="O216:P216" si="420">O190</f>
        <v>0</v>
      </c>
      <c r="P216" s="671">
        <f t="shared" si="420"/>
        <v>12.372467613507585</v>
      </c>
      <c r="Q216" s="671">
        <f t="shared" ca="1" si="364"/>
        <v>2.1998863899999876</v>
      </c>
      <c r="R216" s="671">
        <f t="shared" ca="1" si="365"/>
        <v>0.61319999999990338</v>
      </c>
      <c r="S216" s="671">
        <f t="shared" ca="1" si="366"/>
        <v>0.7377660400000029</v>
      </c>
      <c r="T216" s="671">
        <f t="shared" si="335"/>
        <v>0</v>
      </c>
      <c r="U216" s="671">
        <f t="shared" si="336"/>
        <v>15.45416</v>
      </c>
      <c r="V216" s="671">
        <f t="shared" ca="1" si="337"/>
        <v>91.481063615815344</v>
      </c>
      <c r="W216" s="671">
        <f t="shared" si="338"/>
        <v>0</v>
      </c>
      <c r="X216" s="671">
        <f t="shared" si="339"/>
        <v>0</v>
      </c>
      <c r="Y216" s="671">
        <f t="shared" si="340"/>
        <v>0</v>
      </c>
      <c r="Z216" s="671">
        <f t="shared" si="341"/>
        <v>0.34274000000000004</v>
      </c>
      <c r="AA216" s="667">
        <f t="shared" ref="AA216:AE216" si="421">AA190</f>
        <v>19.787251498494712</v>
      </c>
      <c r="AB216" s="668">
        <f t="shared" si="421"/>
        <v>0</v>
      </c>
      <c r="AC216" s="668">
        <f t="shared" ca="1" si="421"/>
        <v>2.1998863899999876</v>
      </c>
      <c r="AD216" s="668">
        <f t="shared" ca="1" si="421"/>
        <v>0.61319999999990338</v>
      </c>
      <c r="AE216" s="668">
        <f t="shared" ca="1" si="421"/>
        <v>0.7377660400000029</v>
      </c>
      <c r="AF216" s="668">
        <v>0</v>
      </c>
      <c r="AG216" s="668">
        <v>16.158000000000001</v>
      </c>
      <c r="AH216" s="668">
        <f ca="1">'הספק קיים ותחזית יצור'!C25-SUM(AA216:AG216,AI216:AL216)</f>
        <v>83.358539730828227</v>
      </c>
      <c r="AI216" s="668">
        <v>0</v>
      </c>
      <c r="AJ216" s="668">
        <v>0</v>
      </c>
      <c r="AK216" s="44">
        <v>0</v>
      </c>
      <c r="AL216" s="669">
        <v>0.34664000000000006</v>
      </c>
      <c r="AM216" s="670">
        <f t="shared" si="368"/>
        <v>0</v>
      </c>
      <c r="AN216" s="671">
        <f t="shared" si="368"/>
        <v>19.787251498494712</v>
      </c>
      <c r="AO216" s="671">
        <f t="shared" ca="1" si="369"/>
        <v>2.1998863899999876</v>
      </c>
      <c r="AP216" s="671">
        <f t="shared" ca="1" si="343"/>
        <v>0.61319999999990338</v>
      </c>
      <c r="AQ216" s="671">
        <f t="shared" ca="1" si="344"/>
        <v>0.7377660400000029</v>
      </c>
      <c r="AR216" s="671">
        <f t="shared" si="345"/>
        <v>0</v>
      </c>
      <c r="AS216" s="671">
        <f t="shared" si="346"/>
        <v>16.158000000000001</v>
      </c>
      <c r="AT216" s="671">
        <f t="shared" ca="1" si="347"/>
        <v>83.358539730828227</v>
      </c>
      <c r="AU216" s="671">
        <f t="shared" si="348"/>
        <v>0</v>
      </c>
      <c r="AV216" s="671">
        <f t="shared" si="349"/>
        <v>0</v>
      </c>
      <c r="AW216" s="671">
        <f t="shared" si="350"/>
        <v>0</v>
      </c>
      <c r="AX216" s="671">
        <f t="shared" si="351"/>
        <v>0.34664000000000006</v>
      </c>
      <c r="AY216" s="667">
        <f t="shared" ref="AY216:BC216" si="422">AY190</f>
        <v>24.421491426611677</v>
      </c>
      <c r="AZ216" s="668">
        <f t="shared" si="422"/>
        <v>0</v>
      </c>
      <c r="BA216" s="668">
        <f t="shared" ca="1" si="422"/>
        <v>2.1998863899999876</v>
      </c>
      <c r="BB216" s="668">
        <f t="shared" ca="1" si="422"/>
        <v>0.61319999999990338</v>
      </c>
      <c r="BC216" s="668">
        <f t="shared" ca="1" si="422"/>
        <v>0.7377660400000029</v>
      </c>
      <c r="BD216" s="668">
        <v>0</v>
      </c>
      <c r="BE216" s="668">
        <v>18.684999999999999</v>
      </c>
      <c r="BF216" s="668">
        <f ca="1">'הספק קיים ותחזית יצור'!C25-SUM('התפלגות ייצור וסל דלקים'!AY216:BE216,'התפלגות ייצור וסל דלקים'!BG216:BJ216)</f>
        <v>76.193939802711242</v>
      </c>
      <c r="BG216" s="668">
        <v>0</v>
      </c>
      <c r="BH216" s="668">
        <v>0</v>
      </c>
      <c r="BI216" s="668">
        <v>0</v>
      </c>
      <c r="BJ216" s="668">
        <v>0.35000000000000003</v>
      </c>
      <c r="BK216" s="672">
        <f t="shared" si="371"/>
        <v>0</v>
      </c>
      <c r="BL216" s="671">
        <f t="shared" si="371"/>
        <v>24.421491426611677</v>
      </c>
      <c r="BM216" s="671">
        <f t="shared" ca="1" si="353"/>
        <v>2.1998863899999876</v>
      </c>
      <c r="BN216" s="671">
        <f t="shared" ca="1" si="354"/>
        <v>0.61319999999990338</v>
      </c>
      <c r="BO216" s="671">
        <f t="shared" ca="1" si="355"/>
        <v>0.7377660400000029</v>
      </c>
      <c r="BP216" s="671">
        <f t="shared" si="356"/>
        <v>0</v>
      </c>
      <c r="BQ216" s="671">
        <f t="shared" si="357"/>
        <v>18.684999999999999</v>
      </c>
      <c r="BR216" s="671">
        <f t="shared" ca="1" si="358"/>
        <v>76.193939802711242</v>
      </c>
      <c r="BS216" s="671">
        <f t="shared" si="359"/>
        <v>0</v>
      </c>
      <c r="BT216" s="671">
        <f t="shared" si="360"/>
        <v>0</v>
      </c>
      <c r="BU216" s="671">
        <f t="shared" si="361"/>
        <v>0</v>
      </c>
      <c r="BV216" s="673">
        <f t="shared" si="362"/>
        <v>0.35000000000000003</v>
      </c>
      <c r="BX216" s="855">
        <f t="shared" si="330"/>
        <v>2038</v>
      </c>
      <c r="BY216" s="866">
        <v>3.3988999999999998E-2</v>
      </c>
      <c r="BZ216" s="869">
        <f>BY216/('הספק קיים ותחזית יצור'!E74-('הספק קיים ותחזית יצור'!M132*'הנחות עבודה'!$D$35+'הנחות עבודה'!$D$36*'הספק קיים ותחזית יצור'!N132+'הספק קיים ותחזית יצור'!O132*'הנחות עבודה'!$D$37)/'הנחות עבודה'!$D$14)</f>
        <v>1.3263473669132824E-3</v>
      </c>
    </row>
    <row r="217" spans="2:78" ht="15.75" hidden="1" outlineLevel="1">
      <c r="B217" s="10">
        <f t="shared" si="329"/>
        <v>2039</v>
      </c>
      <c r="C217" s="667">
        <f t="shared" si="329"/>
        <v>12.298232807826535</v>
      </c>
      <c r="D217" s="668">
        <f t="shared" si="329"/>
        <v>0</v>
      </c>
      <c r="E217" s="668">
        <f t="shared" ca="1" si="329"/>
        <v>2.1998863899999876</v>
      </c>
      <c r="F217" s="668">
        <f t="shared" ca="1" si="329"/>
        <v>0.61319999999990338</v>
      </c>
      <c r="G217" s="668">
        <f t="shared" ca="1" si="329"/>
        <v>0.7377660400000029</v>
      </c>
      <c r="H217" s="668">
        <v>0</v>
      </c>
      <c r="I217" s="668">
        <v>15.598939999999999</v>
      </c>
      <c r="J217" s="668">
        <f ca="1">'הספק קיים ותחזית יצור'!C26-SUM('התפלגות ייצור וסל דלקים'!C217:I217,'התפלגות ייצור וסל דלקים'!K217:N217)</f>
        <v>95.103556931276074</v>
      </c>
      <c r="K217" s="668">
        <v>0</v>
      </c>
      <c r="L217" s="668">
        <v>0</v>
      </c>
      <c r="M217" s="44">
        <v>0</v>
      </c>
      <c r="N217" s="669">
        <v>0.34573999999999999</v>
      </c>
      <c r="O217" s="670">
        <f t="shared" ref="O217:P217" si="423">O191</f>
        <v>0</v>
      </c>
      <c r="P217" s="671">
        <f t="shared" si="423"/>
        <v>12.298232807826535</v>
      </c>
      <c r="Q217" s="671">
        <f t="shared" ca="1" si="364"/>
        <v>2.1998863899999876</v>
      </c>
      <c r="R217" s="671">
        <f t="shared" ca="1" si="365"/>
        <v>0.61319999999990338</v>
      </c>
      <c r="S217" s="671">
        <f t="shared" ca="1" si="366"/>
        <v>0.7377660400000029</v>
      </c>
      <c r="T217" s="671">
        <f t="shared" si="335"/>
        <v>0</v>
      </c>
      <c r="U217" s="671">
        <f t="shared" si="336"/>
        <v>15.598939999999999</v>
      </c>
      <c r="V217" s="671">
        <f t="shared" ca="1" si="337"/>
        <v>95.103556931276074</v>
      </c>
      <c r="W217" s="671">
        <f t="shared" si="338"/>
        <v>0</v>
      </c>
      <c r="X217" s="671">
        <f t="shared" si="339"/>
        <v>0</v>
      </c>
      <c r="Y217" s="671">
        <f t="shared" si="340"/>
        <v>0</v>
      </c>
      <c r="Z217" s="671">
        <f t="shared" si="341"/>
        <v>0.34573999999999999</v>
      </c>
      <c r="AA217" s="667">
        <f t="shared" ref="AA217:AE217" si="424">AA191</f>
        <v>19.668527989503747</v>
      </c>
      <c r="AB217" s="668">
        <f t="shared" si="424"/>
        <v>0</v>
      </c>
      <c r="AC217" s="668">
        <f t="shared" ca="1" si="424"/>
        <v>2.1998863899999876</v>
      </c>
      <c r="AD217" s="668">
        <f t="shared" ca="1" si="424"/>
        <v>0.61319999999990338</v>
      </c>
      <c r="AE217" s="668">
        <f t="shared" ca="1" si="424"/>
        <v>0.7377660400000029</v>
      </c>
      <c r="AF217" s="668">
        <v>0</v>
      </c>
      <c r="AG217" s="668">
        <v>16.1449</v>
      </c>
      <c r="AH217" s="668">
        <f ca="1">'הספק קיים ותחזית יצור'!C26-SUM(AA217:AG217,AI217:AL217)</f>
        <v>87.180661749598869</v>
      </c>
      <c r="AI217" s="668">
        <v>0</v>
      </c>
      <c r="AJ217" s="668">
        <v>0</v>
      </c>
      <c r="AK217" s="44">
        <v>0</v>
      </c>
      <c r="AL217" s="669">
        <v>0.35238000000000003</v>
      </c>
      <c r="AM217" s="670">
        <f t="shared" si="368"/>
        <v>0</v>
      </c>
      <c r="AN217" s="671">
        <f t="shared" si="368"/>
        <v>19.668527989503747</v>
      </c>
      <c r="AO217" s="671">
        <f t="shared" ca="1" si="369"/>
        <v>2.1998863899999876</v>
      </c>
      <c r="AP217" s="671">
        <f t="shared" ca="1" si="343"/>
        <v>0.61319999999990338</v>
      </c>
      <c r="AQ217" s="671">
        <f t="shared" ca="1" si="344"/>
        <v>0.7377660400000029</v>
      </c>
      <c r="AR217" s="671">
        <f t="shared" si="345"/>
        <v>0</v>
      </c>
      <c r="AS217" s="671">
        <f t="shared" si="346"/>
        <v>16.1449</v>
      </c>
      <c r="AT217" s="671">
        <f t="shared" ca="1" si="347"/>
        <v>87.180661749598869</v>
      </c>
      <c r="AU217" s="671">
        <f t="shared" si="348"/>
        <v>0</v>
      </c>
      <c r="AV217" s="671">
        <f t="shared" si="349"/>
        <v>0</v>
      </c>
      <c r="AW217" s="671">
        <f t="shared" si="350"/>
        <v>0</v>
      </c>
      <c r="AX217" s="671">
        <f t="shared" si="351"/>
        <v>0.35238000000000003</v>
      </c>
      <c r="AY217" s="667">
        <f t="shared" ref="AY217:BC217" si="425">AY191</f>
        <v>24.274962478052004</v>
      </c>
      <c r="AZ217" s="668">
        <f t="shared" si="425"/>
        <v>0</v>
      </c>
      <c r="BA217" s="668">
        <f t="shared" ca="1" si="425"/>
        <v>2.1998863899999876</v>
      </c>
      <c r="BB217" s="668">
        <f t="shared" ca="1" si="425"/>
        <v>0.61319999999990338</v>
      </c>
      <c r="BC217" s="668">
        <f t="shared" ca="1" si="425"/>
        <v>0.7377660400000029</v>
      </c>
      <c r="BD217" s="668">
        <v>0</v>
      </c>
      <c r="BE217" s="668">
        <v>18.896999999999998</v>
      </c>
      <c r="BF217" s="668">
        <f ca="1">'הספק קיים ותחזית יצור'!C26-SUM('התפלגות ייצור וסל דלקים'!AY217:BE217,'התפלגות ייצור וסל דלקים'!BG217:BJ217)</f>
        <v>79.822507261050617</v>
      </c>
      <c r="BG217" s="668">
        <v>0</v>
      </c>
      <c r="BH217" s="668">
        <v>0</v>
      </c>
      <c r="BI217" s="668">
        <v>0</v>
      </c>
      <c r="BJ217" s="668">
        <v>0.35200000000000004</v>
      </c>
      <c r="BK217" s="672">
        <f t="shared" si="371"/>
        <v>0</v>
      </c>
      <c r="BL217" s="671">
        <f t="shared" si="371"/>
        <v>24.274962478052004</v>
      </c>
      <c r="BM217" s="671">
        <f t="shared" ca="1" si="353"/>
        <v>2.1998863899999876</v>
      </c>
      <c r="BN217" s="671">
        <f t="shared" ca="1" si="354"/>
        <v>0.61319999999990338</v>
      </c>
      <c r="BO217" s="671">
        <f t="shared" ca="1" si="355"/>
        <v>0.7377660400000029</v>
      </c>
      <c r="BP217" s="671">
        <f t="shared" si="356"/>
        <v>0</v>
      </c>
      <c r="BQ217" s="671">
        <f t="shared" si="357"/>
        <v>18.896999999999998</v>
      </c>
      <c r="BR217" s="671">
        <f t="shared" ca="1" si="358"/>
        <v>79.822507261050617</v>
      </c>
      <c r="BS217" s="671">
        <f t="shared" si="359"/>
        <v>0</v>
      </c>
      <c r="BT217" s="671">
        <f t="shared" si="360"/>
        <v>0</v>
      </c>
      <c r="BU217" s="671">
        <f t="shared" si="361"/>
        <v>0</v>
      </c>
      <c r="BV217" s="673">
        <f t="shared" si="362"/>
        <v>0.35200000000000004</v>
      </c>
      <c r="BX217" s="855">
        <f t="shared" si="330"/>
        <v>2039</v>
      </c>
      <c r="BY217" s="866">
        <v>2.0102000000000002E-2</v>
      </c>
      <c r="BZ217" s="869">
        <f>BY217/('הספק קיים ותחזית יצור'!E75-('הספק קיים ותחזית יצור'!M133*'הנחות עבודה'!$D$35+'הנחות עבודה'!$D$36*'הספק קיים ותחזית יצור'!N133+'הספק קיים ותחזית יצור'!O133*'הנחות עבודה'!$D$37)/'הנחות עבודה'!$D$14)</f>
        <v>7.844371640734004E-4</v>
      </c>
    </row>
    <row r="218" spans="2:78" ht="16.5" hidden="1" outlineLevel="1" thickBot="1">
      <c r="B218" s="11">
        <f t="shared" si="329"/>
        <v>2040</v>
      </c>
      <c r="C218" s="674">
        <f t="shared" si="329"/>
        <v>12.224443410979578</v>
      </c>
      <c r="D218" s="675">
        <f t="shared" si="329"/>
        <v>0</v>
      </c>
      <c r="E218" s="675">
        <f t="shared" ca="1" si="329"/>
        <v>2.1998863899999876</v>
      </c>
      <c r="F218" s="675">
        <f t="shared" ca="1" si="329"/>
        <v>0.61319999999990338</v>
      </c>
      <c r="G218" s="675">
        <f t="shared" ca="1" si="329"/>
        <v>0.7377660400000029</v>
      </c>
      <c r="H218" s="675">
        <v>0</v>
      </c>
      <c r="I218" s="675">
        <v>15.710510000000001</v>
      </c>
      <c r="J218" s="675">
        <f ca="1">'הספק קיים ותחזית יצור'!C27-SUM('התפלגות ייצור וסל דלקים'!C218:I218,'התפלגות ייצור וסל דלקים'!K218:N218)</f>
        <v>98.870675993196102</v>
      </c>
      <c r="K218" s="675">
        <v>0</v>
      </c>
      <c r="L218" s="675">
        <v>0</v>
      </c>
      <c r="M218" s="47">
        <v>0</v>
      </c>
      <c r="N218" s="676">
        <v>0.34776000000000001</v>
      </c>
      <c r="O218" s="677">
        <f t="shared" ref="O218:P218" si="426">O192</f>
        <v>0</v>
      </c>
      <c r="P218" s="678">
        <f t="shared" si="426"/>
        <v>12.224443410979578</v>
      </c>
      <c r="Q218" s="678">
        <f t="shared" ca="1" si="364"/>
        <v>2.1998863899999876</v>
      </c>
      <c r="R218" s="678">
        <f t="shared" ca="1" si="365"/>
        <v>0.61319999999990338</v>
      </c>
      <c r="S218" s="678">
        <f t="shared" ca="1" si="366"/>
        <v>0.7377660400000029</v>
      </c>
      <c r="T218" s="678">
        <f t="shared" si="335"/>
        <v>0</v>
      </c>
      <c r="U218" s="678">
        <f t="shared" si="336"/>
        <v>15.710510000000001</v>
      </c>
      <c r="V218" s="678">
        <f t="shared" ca="1" si="337"/>
        <v>98.870675993196102</v>
      </c>
      <c r="W218" s="678">
        <f t="shared" si="338"/>
        <v>0</v>
      </c>
      <c r="X218" s="678">
        <f t="shared" si="339"/>
        <v>0</v>
      </c>
      <c r="Y218" s="678">
        <f t="shared" si="340"/>
        <v>0</v>
      </c>
      <c r="Z218" s="678">
        <f t="shared" si="341"/>
        <v>0.34776000000000001</v>
      </c>
      <c r="AA218" s="674">
        <f t="shared" ref="AA218:AE218" si="427">AA192</f>
        <v>19.550516821566724</v>
      </c>
      <c r="AB218" s="675">
        <f t="shared" si="427"/>
        <v>0</v>
      </c>
      <c r="AC218" s="675">
        <f t="shared" ca="1" si="427"/>
        <v>2.1998863899999876</v>
      </c>
      <c r="AD218" s="675">
        <f t="shared" ca="1" si="427"/>
        <v>0.61319999999990338</v>
      </c>
      <c r="AE218" s="675">
        <f t="shared" ca="1" si="427"/>
        <v>0.7377660400000029</v>
      </c>
      <c r="AF218" s="675">
        <v>0</v>
      </c>
      <c r="AG218" s="675">
        <v>16.313359999999999</v>
      </c>
      <c r="AH218" s="675">
        <f ca="1">'הספק קיים ותחזית יצור'!C27-SUM(AA218:AG218,AI218:AL218)</f>
        <v>90.93845258260896</v>
      </c>
      <c r="AI218" s="675">
        <v>0</v>
      </c>
      <c r="AJ218" s="675">
        <v>0</v>
      </c>
      <c r="AK218" s="47">
        <v>0</v>
      </c>
      <c r="AL218" s="676">
        <v>0.35105999999999998</v>
      </c>
      <c r="AM218" s="677">
        <f t="shared" si="368"/>
        <v>0</v>
      </c>
      <c r="AN218" s="678">
        <f t="shared" si="368"/>
        <v>19.550516821566724</v>
      </c>
      <c r="AO218" s="678">
        <f t="shared" ca="1" si="369"/>
        <v>2.1998863899999876</v>
      </c>
      <c r="AP218" s="678">
        <f t="shared" ca="1" si="343"/>
        <v>0.61319999999990338</v>
      </c>
      <c r="AQ218" s="678">
        <f t="shared" ca="1" si="344"/>
        <v>0.7377660400000029</v>
      </c>
      <c r="AR218" s="678">
        <f t="shared" si="345"/>
        <v>0</v>
      </c>
      <c r="AS218" s="678">
        <f t="shared" si="346"/>
        <v>16.313359999999999</v>
      </c>
      <c r="AT218" s="678">
        <f t="shared" ca="1" si="347"/>
        <v>90.93845258260896</v>
      </c>
      <c r="AU218" s="678">
        <f t="shared" si="348"/>
        <v>0</v>
      </c>
      <c r="AV218" s="678">
        <f t="shared" si="349"/>
        <v>0</v>
      </c>
      <c r="AW218" s="678">
        <f t="shared" si="350"/>
        <v>0</v>
      </c>
      <c r="AX218" s="678">
        <f t="shared" si="351"/>
        <v>0.35105999999999998</v>
      </c>
      <c r="AY218" s="674">
        <f t="shared" ref="AY218:BC218" si="428">AY192</f>
        <v>24.12931270318369</v>
      </c>
      <c r="AZ218" s="675">
        <f t="shared" si="428"/>
        <v>0</v>
      </c>
      <c r="BA218" s="675">
        <f t="shared" ca="1" si="428"/>
        <v>2.1998863899999876</v>
      </c>
      <c r="BB218" s="675">
        <f t="shared" ca="1" si="428"/>
        <v>0.61319999999990338</v>
      </c>
      <c r="BC218" s="675">
        <f t="shared" ca="1" si="428"/>
        <v>0.7377660400000029</v>
      </c>
      <c r="BD218" s="675">
        <v>0</v>
      </c>
      <c r="BE218" s="675">
        <v>19.254000000000001</v>
      </c>
      <c r="BF218" s="668">
        <f ca="1">'הספק קיים ותחזית יצור'!C27-SUM('התפלגות ייצור וסל דלקים'!AY218:BE218,'התפלגות ייצור וסל דלקים'!BG218:BJ218)</f>
        <v>83.418076700992003</v>
      </c>
      <c r="BG218" s="675">
        <v>0</v>
      </c>
      <c r="BH218" s="675">
        <v>0</v>
      </c>
      <c r="BI218" s="675">
        <v>0</v>
      </c>
      <c r="BJ218" s="675">
        <v>0.35199999999999998</v>
      </c>
      <c r="BK218" s="679">
        <f t="shared" si="371"/>
        <v>0</v>
      </c>
      <c r="BL218" s="678">
        <f t="shared" si="371"/>
        <v>24.12931270318369</v>
      </c>
      <c r="BM218" s="678">
        <f t="shared" ca="1" si="353"/>
        <v>2.1998863899999876</v>
      </c>
      <c r="BN218" s="678">
        <f t="shared" ca="1" si="354"/>
        <v>0.61319999999990338</v>
      </c>
      <c r="BO218" s="678">
        <f t="shared" ca="1" si="355"/>
        <v>0.7377660400000029</v>
      </c>
      <c r="BP218" s="678">
        <f t="shared" si="356"/>
        <v>0</v>
      </c>
      <c r="BQ218" s="678">
        <f t="shared" si="357"/>
        <v>19.254000000000001</v>
      </c>
      <c r="BR218" s="678">
        <f t="shared" ca="1" si="358"/>
        <v>83.418076700992003</v>
      </c>
      <c r="BS218" s="678">
        <f t="shared" si="359"/>
        <v>0</v>
      </c>
      <c r="BT218" s="678">
        <f t="shared" si="360"/>
        <v>0</v>
      </c>
      <c r="BU218" s="678">
        <f t="shared" si="361"/>
        <v>0</v>
      </c>
      <c r="BV218" s="680">
        <f t="shared" si="362"/>
        <v>0.35199999999999998</v>
      </c>
      <c r="BX218" s="856">
        <f t="shared" si="330"/>
        <v>2040</v>
      </c>
      <c r="BY218" s="867">
        <v>7.1719999999999996E-3</v>
      </c>
      <c r="BZ218" s="870">
        <f>BY218/('הספק קיים ותחזית יצור'!E76-('הספק קיים ותחזית יצור'!M134*'הנחות עבודה'!$D$35+'הנחות עבודה'!$D$36*'הספק קיים ותחזית יצור'!N134+'הספק קיים ותחזית יצור'!O134*'הנחות עבודה'!$D$37)/'הנחות עבודה'!$D$14)</f>
        <v>2.7987182075089179E-4</v>
      </c>
    </row>
    <row r="219" spans="2:78" ht="15.75" hidden="1" outlineLevel="1" thickBot="1"/>
    <row r="220" spans="2:78" ht="16.5" hidden="1" outlineLevel="1" thickBot="1">
      <c r="B220" s="1186" t="s">
        <v>389</v>
      </c>
      <c r="C220" s="1303" t="s">
        <v>221</v>
      </c>
      <c r="D220" s="1304"/>
      <c r="E220" s="1304"/>
      <c r="F220" s="1304"/>
      <c r="G220" s="1304"/>
      <c r="H220" s="1304"/>
      <c r="I220" s="1304"/>
      <c r="J220" s="1304"/>
      <c r="K220" s="1304"/>
      <c r="L220" s="1304"/>
      <c r="M220" s="1304"/>
      <c r="N220" s="1304"/>
      <c r="O220" s="1304"/>
      <c r="P220" s="1304"/>
      <c r="Q220" s="1304"/>
      <c r="R220" s="1304"/>
      <c r="S220" s="1304"/>
      <c r="T220" s="1304"/>
      <c r="U220" s="1304"/>
      <c r="V220" s="1304"/>
      <c r="W220" s="1304"/>
      <c r="X220" s="1304"/>
      <c r="Y220" s="1304"/>
      <c r="Z220" s="1304"/>
      <c r="AA220" s="1304"/>
      <c r="AB220" s="1304"/>
      <c r="AC220" s="1304"/>
      <c r="AD220" s="1304"/>
      <c r="AE220" s="1304"/>
      <c r="AF220" s="1304"/>
      <c r="AG220" s="1304"/>
      <c r="AH220" s="1304"/>
      <c r="AI220" s="1304"/>
      <c r="AJ220" s="1304"/>
      <c r="AK220" s="1304"/>
      <c r="AL220" s="1304"/>
      <c r="AM220" s="1304"/>
      <c r="AN220" s="1304"/>
      <c r="AO220" s="1304"/>
      <c r="AP220" s="1304"/>
      <c r="AQ220" s="1304"/>
      <c r="AR220" s="1304"/>
      <c r="AS220" s="1304"/>
      <c r="AT220" s="1304"/>
      <c r="AU220" s="1304"/>
      <c r="AV220" s="1304"/>
      <c r="AW220" s="1304"/>
      <c r="AX220" s="1304"/>
      <c r="AY220" s="1304"/>
      <c r="AZ220" s="1304"/>
      <c r="BA220" s="1304"/>
      <c r="BB220" s="1304"/>
      <c r="BC220" s="1304"/>
      <c r="BD220" s="1304"/>
      <c r="BE220" s="1304"/>
      <c r="BF220" s="1304"/>
      <c r="BG220" s="1304"/>
      <c r="BH220" s="1304"/>
      <c r="BI220" s="1304"/>
      <c r="BJ220" s="1304"/>
      <c r="BK220" s="1304"/>
      <c r="BL220" s="1304"/>
      <c r="BM220" s="1304"/>
      <c r="BN220" s="1304"/>
      <c r="BO220" s="1304"/>
      <c r="BP220" s="1304"/>
      <c r="BQ220" s="1304"/>
      <c r="BR220" s="1304"/>
      <c r="BS220" s="1304"/>
      <c r="BT220" s="1304"/>
      <c r="BU220" s="1304"/>
      <c r="BV220" s="1305"/>
    </row>
    <row r="221" spans="2:78" ht="16.5" hidden="1" outlineLevel="1" thickBot="1">
      <c r="B221" s="1188"/>
      <c r="C221" s="1297" t="s">
        <v>46</v>
      </c>
      <c r="D221" s="1298"/>
      <c r="E221" s="1298"/>
      <c r="F221" s="1298"/>
      <c r="G221" s="1298"/>
      <c r="H221" s="1298"/>
      <c r="I221" s="1298"/>
      <c r="J221" s="1298"/>
      <c r="K221" s="1298"/>
      <c r="L221" s="1298"/>
      <c r="M221" s="1298"/>
      <c r="N221" s="1299"/>
      <c r="O221" s="1300" t="s">
        <v>47</v>
      </c>
      <c r="P221" s="1301"/>
      <c r="Q221" s="1301"/>
      <c r="R221" s="1301"/>
      <c r="S221" s="1301"/>
      <c r="T221" s="1301"/>
      <c r="U221" s="1301"/>
      <c r="V221" s="1301"/>
      <c r="W221" s="1301"/>
      <c r="X221" s="1301"/>
      <c r="Y221" s="1301"/>
      <c r="Z221" s="1302"/>
      <c r="AA221" s="1297" t="s">
        <v>342</v>
      </c>
      <c r="AB221" s="1298"/>
      <c r="AC221" s="1298"/>
      <c r="AD221" s="1298"/>
      <c r="AE221" s="1298"/>
      <c r="AF221" s="1298"/>
      <c r="AG221" s="1298"/>
      <c r="AH221" s="1298"/>
      <c r="AI221" s="1298"/>
      <c r="AJ221" s="1298"/>
      <c r="AK221" s="1298"/>
      <c r="AL221" s="1299"/>
      <c r="AM221" s="1300" t="s">
        <v>343</v>
      </c>
      <c r="AN221" s="1301"/>
      <c r="AO221" s="1301"/>
      <c r="AP221" s="1301"/>
      <c r="AQ221" s="1301"/>
      <c r="AR221" s="1301"/>
      <c r="AS221" s="1301"/>
      <c r="AT221" s="1301"/>
      <c r="AU221" s="1301"/>
      <c r="AV221" s="1301"/>
      <c r="AW221" s="1301"/>
      <c r="AX221" s="1302"/>
      <c r="AY221" s="1297" t="s">
        <v>344</v>
      </c>
      <c r="AZ221" s="1298"/>
      <c r="BA221" s="1298"/>
      <c r="BB221" s="1298"/>
      <c r="BC221" s="1298"/>
      <c r="BD221" s="1298"/>
      <c r="BE221" s="1298"/>
      <c r="BF221" s="1298"/>
      <c r="BG221" s="1298"/>
      <c r="BH221" s="1298"/>
      <c r="BI221" s="1298"/>
      <c r="BJ221" s="1299"/>
      <c r="BK221" s="1300" t="s">
        <v>345</v>
      </c>
      <c r="BL221" s="1301"/>
      <c r="BM221" s="1301"/>
      <c r="BN221" s="1301"/>
      <c r="BO221" s="1301"/>
      <c r="BP221" s="1301"/>
      <c r="BQ221" s="1301"/>
      <c r="BR221" s="1301"/>
      <c r="BS221" s="1301"/>
      <c r="BT221" s="1301"/>
      <c r="BU221" s="1301"/>
      <c r="BV221" s="1302"/>
    </row>
    <row r="222" spans="2:78" ht="63.75" hidden="1" outlineLevel="1" thickBot="1">
      <c r="B222" s="62" t="str">
        <f>B196</f>
        <v>שנה</v>
      </c>
      <c r="C222" s="38" t="str">
        <f t="shared" ref="C222:BN222" ca="1" si="429">C196</f>
        <v>מוטה קרקע PV</v>
      </c>
      <c r="D222" s="38" t="str">
        <f t="shared" ca="1" si="429"/>
        <v>מוטה דואלי PV</v>
      </c>
      <c r="E222" s="38" t="str">
        <f t="shared" ca="1" si="429"/>
        <v>רוח</v>
      </c>
      <c r="F222" s="38" t="str">
        <f t="shared" ca="1" si="429"/>
        <v>ביומסה/ביוגז</v>
      </c>
      <c r="G222" s="38" t="str">
        <f t="shared" ca="1" si="429"/>
        <v>תרמו סולארי</v>
      </c>
      <c r="H222" s="38" t="str">
        <f t="shared" si="429"/>
        <v>אחר</v>
      </c>
      <c r="I222" s="38" t="str">
        <f t="shared" ca="1" si="429"/>
        <v>גז פחמיות מוסבות</v>
      </c>
      <c r="J222" s="38" t="str">
        <f t="shared" ca="1" si="429"/>
        <v>גז חח"י מחזמים ופקירים ויח"פים</v>
      </c>
      <c r="K222" s="38" t="str">
        <f t="shared" ca="1" si="429"/>
        <v>אחר 1</v>
      </c>
      <c r="L222" s="38" t="str">
        <f t="shared" ca="1" si="429"/>
        <v>אחר 2</v>
      </c>
      <c r="M222" s="38" t="str">
        <f t="shared" si="429"/>
        <v>יחידה פחמית</v>
      </c>
      <c r="N222" s="38" t="str">
        <f t="shared" si="429"/>
        <v>סולר ופצלי שמן</v>
      </c>
      <c r="O222" s="48" t="str">
        <f t="shared" ca="1" si="429"/>
        <v>מוטה קרקע PV</v>
      </c>
      <c r="P222" s="48" t="str">
        <f t="shared" ca="1" si="429"/>
        <v>מוטה דואלי PV</v>
      </c>
      <c r="Q222" s="48" t="str">
        <f t="shared" ca="1" si="429"/>
        <v>רוח</v>
      </c>
      <c r="R222" s="48" t="str">
        <f t="shared" ca="1" si="429"/>
        <v>ביומסה/ביוגז</v>
      </c>
      <c r="S222" s="48" t="str">
        <f t="shared" ca="1" si="429"/>
        <v>תרמו סולארי</v>
      </c>
      <c r="T222" s="48" t="str">
        <f t="shared" si="429"/>
        <v>אחר</v>
      </c>
      <c r="U222" s="48" t="str">
        <f t="shared" ca="1" si="429"/>
        <v>גז פחמיות מוסבות</v>
      </c>
      <c r="V222" s="48" t="str">
        <f t="shared" ca="1" si="429"/>
        <v>גז חח"י מחזמים ופקירים ויח"פים</v>
      </c>
      <c r="W222" s="48" t="str">
        <f t="shared" ca="1" si="429"/>
        <v>אחר 1</v>
      </c>
      <c r="X222" s="48" t="str">
        <f t="shared" ca="1" si="429"/>
        <v>אחר 2</v>
      </c>
      <c r="Y222" s="48" t="str">
        <f t="shared" si="429"/>
        <v>יחידה פחמית</v>
      </c>
      <c r="Z222" s="48" t="str">
        <f t="shared" si="429"/>
        <v>סולר ופצלי שמן</v>
      </c>
      <c r="AA222" s="38" t="str">
        <f t="shared" ca="1" si="429"/>
        <v>מוטה קרקע PV</v>
      </c>
      <c r="AB222" s="38" t="str">
        <f t="shared" ca="1" si="429"/>
        <v>מוטה דואלי PV</v>
      </c>
      <c r="AC222" s="38" t="str">
        <f t="shared" ca="1" si="429"/>
        <v>רוח</v>
      </c>
      <c r="AD222" s="38" t="str">
        <f t="shared" ca="1" si="429"/>
        <v>ביומסה/ביוגז</v>
      </c>
      <c r="AE222" s="38" t="str">
        <f t="shared" ca="1" si="429"/>
        <v>תרמו סולארי</v>
      </c>
      <c r="AF222" s="38" t="str">
        <f t="shared" si="429"/>
        <v>אחר</v>
      </c>
      <c r="AG222" s="38" t="str">
        <f t="shared" ca="1" si="429"/>
        <v>גז פחמיות מוסבות</v>
      </c>
      <c r="AH222" s="38" t="str">
        <f t="shared" ca="1" si="429"/>
        <v>גז חח"י מחזמים ופקירים ויח"פים</v>
      </c>
      <c r="AI222" s="38" t="str">
        <f t="shared" ca="1" si="429"/>
        <v>אחר 1</v>
      </c>
      <c r="AJ222" s="38" t="str">
        <f t="shared" ca="1" si="429"/>
        <v>אחר 2</v>
      </c>
      <c r="AK222" s="38" t="str">
        <f t="shared" si="429"/>
        <v>יחידה פחמית</v>
      </c>
      <c r="AL222" s="38" t="str">
        <f t="shared" si="429"/>
        <v>סולר ופצלי שמן</v>
      </c>
      <c r="AM222" s="48" t="str">
        <f t="shared" ca="1" si="429"/>
        <v>מוטה קרקע PV</v>
      </c>
      <c r="AN222" s="48" t="str">
        <f t="shared" ca="1" si="429"/>
        <v>מוטה דואלי PV</v>
      </c>
      <c r="AO222" s="48" t="str">
        <f t="shared" ca="1" si="429"/>
        <v>רוח</v>
      </c>
      <c r="AP222" s="48" t="str">
        <f t="shared" ca="1" si="429"/>
        <v>ביומסה/ביוגז</v>
      </c>
      <c r="AQ222" s="48" t="str">
        <f t="shared" ca="1" si="429"/>
        <v>תרמו סולארי</v>
      </c>
      <c r="AR222" s="48" t="str">
        <f t="shared" si="429"/>
        <v>אחר</v>
      </c>
      <c r="AS222" s="48" t="str">
        <f t="shared" ca="1" si="429"/>
        <v>גז פחמיות מוסבות</v>
      </c>
      <c r="AT222" s="48" t="str">
        <f t="shared" ca="1" si="429"/>
        <v>גז חח"י מחזמים ופקירים ויח"פים</v>
      </c>
      <c r="AU222" s="48" t="str">
        <f t="shared" ca="1" si="429"/>
        <v>אחר 1</v>
      </c>
      <c r="AV222" s="48" t="str">
        <f t="shared" ca="1" si="429"/>
        <v>אחר 2</v>
      </c>
      <c r="AW222" s="48" t="str">
        <f t="shared" si="429"/>
        <v>יחידה פחמית</v>
      </c>
      <c r="AX222" s="48" t="str">
        <f t="shared" si="429"/>
        <v>סולר ופצלי שמן</v>
      </c>
      <c r="AY222" s="38" t="str">
        <f t="shared" ca="1" si="429"/>
        <v>מוטה קרקע PV</v>
      </c>
      <c r="AZ222" s="38" t="str">
        <f t="shared" ca="1" si="429"/>
        <v>מוטה דואלי PV</v>
      </c>
      <c r="BA222" s="38" t="str">
        <f t="shared" ca="1" si="429"/>
        <v>רוח</v>
      </c>
      <c r="BB222" s="38" t="str">
        <f t="shared" ca="1" si="429"/>
        <v>ביומסה/ביוגז</v>
      </c>
      <c r="BC222" s="38" t="str">
        <f t="shared" ca="1" si="429"/>
        <v>תרמו סולארי</v>
      </c>
      <c r="BD222" s="38" t="str">
        <f t="shared" si="429"/>
        <v>אחר</v>
      </c>
      <c r="BE222" s="38" t="str">
        <f t="shared" ca="1" si="429"/>
        <v>גז פחמיות מוסבות</v>
      </c>
      <c r="BF222" s="38" t="str">
        <f t="shared" ca="1" si="429"/>
        <v>גז חח"י מחזמים ופקירים ויח"פים</v>
      </c>
      <c r="BG222" s="38" t="str">
        <f t="shared" ca="1" si="429"/>
        <v>אחר 1</v>
      </c>
      <c r="BH222" s="38" t="str">
        <f t="shared" ca="1" si="429"/>
        <v>אחר 2</v>
      </c>
      <c r="BI222" s="38" t="str">
        <f t="shared" si="429"/>
        <v>יחידה פחמית</v>
      </c>
      <c r="BJ222" s="38" t="str">
        <f t="shared" si="429"/>
        <v>סולר ופצלי שמן</v>
      </c>
      <c r="BK222" s="48" t="str">
        <f t="shared" ca="1" si="429"/>
        <v>מוטה קרקע PV</v>
      </c>
      <c r="BL222" s="48" t="str">
        <f t="shared" ca="1" si="429"/>
        <v>מוטה דואלי PV</v>
      </c>
      <c r="BM222" s="48" t="str">
        <f t="shared" ca="1" si="429"/>
        <v>רוח</v>
      </c>
      <c r="BN222" s="48" t="str">
        <f t="shared" ca="1" si="429"/>
        <v>ביומסה/ביוגז</v>
      </c>
      <c r="BO222" s="48" t="str">
        <f t="shared" ref="BO222:BV222" ca="1" si="430">BO196</f>
        <v>תרמו סולארי</v>
      </c>
      <c r="BP222" s="48" t="str">
        <f t="shared" si="430"/>
        <v>אחר</v>
      </c>
      <c r="BQ222" s="48" t="str">
        <f t="shared" ca="1" si="430"/>
        <v>גז פחמיות מוסבות</v>
      </c>
      <c r="BR222" s="48" t="str">
        <f t="shared" ca="1" si="430"/>
        <v>גז חח"י מחזמים ופקירים ויח"פים</v>
      </c>
      <c r="BS222" s="48" t="str">
        <f t="shared" ca="1" si="430"/>
        <v>אחר 1</v>
      </c>
      <c r="BT222" s="48" t="str">
        <f t="shared" ca="1" si="430"/>
        <v>אחר 2</v>
      </c>
      <c r="BU222" s="48" t="str">
        <f t="shared" si="430"/>
        <v>יחידה פחמית</v>
      </c>
      <c r="BV222" s="48" t="str">
        <f t="shared" si="430"/>
        <v>סולר ופצלי שמן</v>
      </c>
      <c r="BX222" s="860" t="s">
        <v>0</v>
      </c>
      <c r="BY222" s="854" t="s">
        <v>420</v>
      </c>
      <c r="BZ222" s="858" t="s">
        <v>421</v>
      </c>
    </row>
    <row r="223" spans="2:78" ht="16.5" hidden="1" outlineLevel="1" thickBot="1">
      <c r="B223" s="62" t="str">
        <f t="shared" ref="B223" si="431">B197</f>
        <v>יחידות</v>
      </c>
      <c r="C223" s="38" t="s">
        <v>33</v>
      </c>
      <c r="D223" s="38" t="s">
        <v>33</v>
      </c>
      <c r="E223" s="38" t="s">
        <v>33</v>
      </c>
      <c r="F223" s="38" t="s">
        <v>33</v>
      </c>
      <c r="G223" s="38" t="s">
        <v>33</v>
      </c>
      <c r="H223" s="38" t="s">
        <v>33</v>
      </c>
      <c r="I223" s="38" t="s">
        <v>33</v>
      </c>
      <c r="J223" s="38" t="s">
        <v>33</v>
      </c>
      <c r="K223" s="38" t="s">
        <v>33</v>
      </c>
      <c r="L223" s="38" t="s">
        <v>33</v>
      </c>
      <c r="M223" s="38" t="s">
        <v>33</v>
      </c>
      <c r="N223" s="38" t="s">
        <v>33</v>
      </c>
      <c r="O223" s="48" t="s">
        <v>33</v>
      </c>
      <c r="P223" s="48" t="s">
        <v>33</v>
      </c>
      <c r="Q223" s="48" t="s">
        <v>33</v>
      </c>
      <c r="R223" s="48" t="s">
        <v>33</v>
      </c>
      <c r="S223" s="48" t="s">
        <v>33</v>
      </c>
      <c r="T223" s="48" t="s">
        <v>33</v>
      </c>
      <c r="U223" s="48" t="s">
        <v>33</v>
      </c>
      <c r="V223" s="48" t="s">
        <v>33</v>
      </c>
      <c r="W223" s="48" t="s">
        <v>33</v>
      </c>
      <c r="X223" s="48" t="s">
        <v>33</v>
      </c>
      <c r="Y223" s="48" t="s">
        <v>33</v>
      </c>
      <c r="Z223" s="48" t="s">
        <v>33</v>
      </c>
      <c r="AA223" s="38" t="s">
        <v>33</v>
      </c>
      <c r="AB223" s="38" t="s">
        <v>33</v>
      </c>
      <c r="AC223" s="38" t="s">
        <v>33</v>
      </c>
      <c r="AD223" s="38" t="s">
        <v>33</v>
      </c>
      <c r="AE223" s="38" t="s">
        <v>33</v>
      </c>
      <c r="AF223" s="38" t="s">
        <v>33</v>
      </c>
      <c r="AG223" s="38" t="s">
        <v>33</v>
      </c>
      <c r="AH223" s="38" t="s">
        <v>33</v>
      </c>
      <c r="AI223" s="38" t="s">
        <v>33</v>
      </c>
      <c r="AJ223" s="38" t="s">
        <v>33</v>
      </c>
      <c r="AK223" s="38" t="s">
        <v>33</v>
      </c>
      <c r="AL223" s="38" t="s">
        <v>33</v>
      </c>
      <c r="AM223" s="48" t="s">
        <v>33</v>
      </c>
      <c r="AN223" s="48" t="s">
        <v>33</v>
      </c>
      <c r="AO223" s="48" t="s">
        <v>33</v>
      </c>
      <c r="AP223" s="48" t="s">
        <v>33</v>
      </c>
      <c r="AQ223" s="48" t="s">
        <v>33</v>
      </c>
      <c r="AR223" s="48" t="s">
        <v>33</v>
      </c>
      <c r="AS223" s="48" t="s">
        <v>33</v>
      </c>
      <c r="AT223" s="48" t="s">
        <v>33</v>
      </c>
      <c r="AU223" s="48" t="s">
        <v>33</v>
      </c>
      <c r="AV223" s="48" t="s">
        <v>33</v>
      </c>
      <c r="AW223" s="48" t="s">
        <v>33</v>
      </c>
      <c r="AX223" s="48" t="s">
        <v>33</v>
      </c>
      <c r="AY223" s="38" t="s">
        <v>33</v>
      </c>
      <c r="AZ223" s="38" t="s">
        <v>33</v>
      </c>
      <c r="BA223" s="38" t="s">
        <v>33</v>
      </c>
      <c r="BB223" s="38" t="s">
        <v>33</v>
      </c>
      <c r="BC223" s="38" t="s">
        <v>33</v>
      </c>
      <c r="BD223" s="38" t="s">
        <v>33</v>
      </c>
      <c r="BE223" s="38" t="s">
        <v>33</v>
      </c>
      <c r="BF223" s="38" t="s">
        <v>33</v>
      </c>
      <c r="BG223" s="38" t="s">
        <v>33</v>
      </c>
      <c r="BH223" s="38" t="s">
        <v>33</v>
      </c>
      <c r="BI223" s="38" t="s">
        <v>33</v>
      </c>
      <c r="BJ223" s="38" t="s">
        <v>33</v>
      </c>
      <c r="BK223" s="48" t="s">
        <v>33</v>
      </c>
      <c r="BL223" s="48" t="s">
        <v>33</v>
      </c>
      <c r="BM223" s="48" t="s">
        <v>33</v>
      </c>
      <c r="BN223" s="48" t="s">
        <v>33</v>
      </c>
      <c r="BO223" s="48" t="s">
        <v>33</v>
      </c>
      <c r="BP223" s="48" t="s">
        <v>33</v>
      </c>
      <c r="BQ223" s="48" t="s">
        <v>33</v>
      </c>
      <c r="BR223" s="48" t="s">
        <v>33</v>
      </c>
      <c r="BS223" s="48" t="s">
        <v>33</v>
      </c>
      <c r="BT223" s="48" t="s">
        <v>33</v>
      </c>
      <c r="BU223" s="48" t="s">
        <v>33</v>
      </c>
      <c r="BV223" s="48" t="s">
        <v>33</v>
      </c>
      <c r="BX223" s="860" t="str">
        <f t="shared" ref="BX223:BX244" si="432">B223</f>
        <v>יחידות</v>
      </c>
      <c r="BY223" s="861" t="s">
        <v>33</v>
      </c>
      <c r="BZ223" s="858" t="s">
        <v>422</v>
      </c>
    </row>
    <row r="224" spans="2:78" ht="15.75" hidden="1" outlineLevel="1">
      <c r="B224" s="24">
        <f t="shared" ref="B224" si="433">B198</f>
        <v>2020</v>
      </c>
      <c r="C224" s="660">
        <f>C198</f>
        <v>6.4147628560000207</v>
      </c>
      <c r="D224" s="661">
        <f t="shared" ref="D224:G224" si="434">D198</f>
        <v>0</v>
      </c>
      <c r="E224" s="661">
        <f t="shared" ca="1" si="434"/>
        <v>8.4379203999999514E-2</v>
      </c>
      <c r="F224" s="661">
        <f t="shared" ca="1" si="434"/>
        <v>0.15329999999997584</v>
      </c>
      <c r="G224" s="661">
        <f t="shared" ca="1" si="434"/>
        <v>0.7377660400000029</v>
      </c>
      <c r="H224" s="661">
        <v>0</v>
      </c>
      <c r="I224" s="661">
        <v>0</v>
      </c>
      <c r="J224" s="661">
        <f ca="1">'הספק קיים ותחזית יצור'!C7-SUM('התפלגות ייצור וסל דלקים'!C224:I224,'התפלגות ייצור וסל דלקים'!K224:N224)</f>
        <v>48.709192899999998</v>
      </c>
      <c r="K224" s="661">
        <v>0</v>
      </c>
      <c r="L224" s="661">
        <v>0</v>
      </c>
      <c r="M224" s="41">
        <v>17.459679999999999</v>
      </c>
      <c r="N224" s="662">
        <v>0.34300000000000003</v>
      </c>
      <c r="O224" s="663">
        <f>O198</f>
        <v>0</v>
      </c>
      <c r="P224" s="664">
        <f t="shared" ref="P224" si="435">P198</f>
        <v>6.4147628560000207</v>
      </c>
      <c r="Q224" s="664">
        <f ca="1">E224</f>
        <v>8.4379203999999514E-2</v>
      </c>
      <c r="R224" s="664">
        <f t="shared" ref="R224:R244" ca="1" si="436">F224</f>
        <v>0.15329999999997584</v>
      </c>
      <c r="S224" s="664">
        <f t="shared" ref="S224:S244" ca="1" si="437">G224</f>
        <v>0.7377660400000029</v>
      </c>
      <c r="T224" s="664">
        <f t="shared" ref="T224:T244" si="438">H224</f>
        <v>0</v>
      </c>
      <c r="U224" s="664">
        <f t="shared" ref="U224:U244" si="439">I224</f>
        <v>0</v>
      </c>
      <c r="V224" s="664">
        <f t="shared" ref="V224:V244" ca="1" si="440">J224</f>
        <v>48.709192899999998</v>
      </c>
      <c r="W224" s="664">
        <f t="shared" ref="W224:W244" si="441">K224</f>
        <v>0</v>
      </c>
      <c r="X224" s="664">
        <f t="shared" ref="X224:X244" si="442">L224</f>
        <v>0</v>
      </c>
      <c r="Y224" s="664">
        <f t="shared" ref="Y224:Y244" si="443">M224</f>
        <v>17.459679999999999</v>
      </c>
      <c r="Z224" s="664">
        <f t="shared" ref="Z224:Z244" si="444">N224</f>
        <v>0.34300000000000003</v>
      </c>
      <c r="AA224" s="660">
        <f>AA198</f>
        <v>6.4147628560000207</v>
      </c>
      <c r="AB224" s="661">
        <f t="shared" ref="AB224:AE224" si="445">AB198</f>
        <v>0</v>
      </c>
      <c r="AC224" s="661">
        <f t="shared" ca="1" si="445"/>
        <v>8.4379203999999514E-2</v>
      </c>
      <c r="AD224" s="661">
        <f t="shared" ca="1" si="445"/>
        <v>0.15329999999997584</v>
      </c>
      <c r="AE224" s="661">
        <f t="shared" ca="1" si="445"/>
        <v>0.7377660400000029</v>
      </c>
      <c r="AF224" s="661">
        <v>0</v>
      </c>
      <c r="AG224" s="661">
        <v>0</v>
      </c>
      <c r="AH224" s="661">
        <f ca="1">'הספק קיים ותחזית יצור'!C7-SUM(AA224:AG224,AI224:AL224)</f>
        <v>48.709192899999998</v>
      </c>
      <c r="AI224" s="661">
        <v>0</v>
      </c>
      <c r="AJ224" s="661">
        <v>0</v>
      </c>
      <c r="AK224" s="41">
        <v>17.459679999999999</v>
      </c>
      <c r="AL224" s="662">
        <v>0.34300000000000003</v>
      </c>
      <c r="AM224" s="663">
        <f>AM198</f>
        <v>0</v>
      </c>
      <c r="AN224" s="664">
        <f>AN198</f>
        <v>6.4147628560000207</v>
      </c>
      <c r="AO224" s="664">
        <f ca="1">AC224</f>
        <v>8.4379203999999514E-2</v>
      </c>
      <c r="AP224" s="664">
        <f t="shared" ref="AP224:AP244" ca="1" si="446">AD224</f>
        <v>0.15329999999997584</v>
      </c>
      <c r="AQ224" s="664">
        <f t="shared" ref="AQ224:AQ244" ca="1" si="447">AE224</f>
        <v>0.7377660400000029</v>
      </c>
      <c r="AR224" s="664">
        <f t="shared" ref="AR224:AR244" si="448">AF224</f>
        <v>0</v>
      </c>
      <c r="AS224" s="664">
        <f t="shared" ref="AS224:AS244" si="449">AG224</f>
        <v>0</v>
      </c>
      <c r="AT224" s="664">
        <f t="shared" ref="AT224:AT244" ca="1" si="450">AH224</f>
        <v>48.709192899999998</v>
      </c>
      <c r="AU224" s="664">
        <f t="shared" ref="AU224:AU244" si="451">AI224</f>
        <v>0</v>
      </c>
      <c r="AV224" s="664">
        <f t="shared" ref="AV224:AV244" si="452">AJ224</f>
        <v>0</v>
      </c>
      <c r="AW224" s="664">
        <f t="shared" ref="AW224:AW244" si="453">AK224</f>
        <v>17.459679999999999</v>
      </c>
      <c r="AX224" s="664">
        <f t="shared" ref="AX224:AX244" si="454">AL224</f>
        <v>0.34300000000000003</v>
      </c>
      <c r="AY224" s="660">
        <f>AY198</f>
        <v>6.4147628560000207</v>
      </c>
      <c r="AZ224" s="661">
        <f t="shared" ref="AZ224:BC224" si="455">AZ198</f>
        <v>0</v>
      </c>
      <c r="BA224" s="661">
        <f t="shared" ca="1" si="455"/>
        <v>8.4379203999999514E-2</v>
      </c>
      <c r="BB224" s="661">
        <f t="shared" ca="1" si="455"/>
        <v>0.15329999999997584</v>
      </c>
      <c r="BC224" s="661">
        <f t="shared" ca="1" si="455"/>
        <v>0.7377660400000029</v>
      </c>
      <c r="BD224" s="661">
        <v>0</v>
      </c>
      <c r="BE224" s="661">
        <v>0</v>
      </c>
      <c r="BF224" s="661">
        <f ca="1">'הספק קיים ותחזית יצור'!C7-SUM('התפלגות ייצור וסל דלקים'!AY224:BE224,'התפלגות ייצור וסל דלקים'!BG224:BJ224)</f>
        <v>48.709192899999998</v>
      </c>
      <c r="BG224" s="661">
        <v>0</v>
      </c>
      <c r="BH224" s="661">
        <v>0</v>
      </c>
      <c r="BI224" s="661">
        <v>17.459679999999999</v>
      </c>
      <c r="BJ224" s="661">
        <v>0.34300000000000003</v>
      </c>
      <c r="BK224" s="665">
        <v>0</v>
      </c>
      <c r="BL224" s="664">
        <f>BL198</f>
        <v>6.4147628560000207</v>
      </c>
      <c r="BM224" s="664">
        <f t="shared" ref="BM224:BM244" ca="1" si="456">BA224</f>
        <v>8.4379203999999514E-2</v>
      </c>
      <c r="BN224" s="664">
        <f t="shared" ref="BN224:BN244" ca="1" si="457">BB224</f>
        <v>0.15329999999997584</v>
      </c>
      <c r="BO224" s="664">
        <f t="shared" ref="BO224:BO244" ca="1" si="458">BC224</f>
        <v>0.7377660400000029</v>
      </c>
      <c r="BP224" s="664">
        <f t="shared" ref="BP224:BP244" si="459">BD224</f>
        <v>0</v>
      </c>
      <c r="BQ224" s="664">
        <f t="shared" ref="BQ224:BQ244" si="460">BE224</f>
        <v>0</v>
      </c>
      <c r="BR224" s="664">
        <f t="shared" ref="BR224:BR244" ca="1" si="461">BF224</f>
        <v>48.709192899999998</v>
      </c>
      <c r="BS224" s="664">
        <f t="shared" ref="BS224:BS244" si="462">BG224</f>
        <v>0</v>
      </c>
      <c r="BT224" s="664">
        <f t="shared" ref="BT224:BT244" si="463">BH224</f>
        <v>0</v>
      </c>
      <c r="BU224" s="664">
        <f t="shared" ref="BU224:BU244" si="464">BI224</f>
        <v>17.459679999999999</v>
      </c>
      <c r="BV224" s="666">
        <f t="shared" ref="BV224:BV244" si="465">BJ224</f>
        <v>0.34300000000000003</v>
      </c>
      <c r="BX224" s="859">
        <f t="shared" si="432"/>
        <v>2020</v>
      </c>
      <c r="BY224" s="864">
        <v>0</v>
      </c>
      <c r="BZ224" s="868">
        <f>BY224/('הספק קיים ותחזית יצור'!E56-('הספק קיים ותחזית יצור'!M114*'הנחות עבודה'!$D$35+'הנחות עבודה'!$D$36*'הספק קיים ותחזית יצור'!N114+'הספק קיים ותחזית יצור'!O114*'הנחות עבודה'!$D$37)/'הנחות עבודה'!$D$14)</f>
        <v>0</v>
      </c>
    </row>
    <row r="225" spans="2:79" ht="15.75" hidden="1" outlineLevel="1">
      <c r="B225" s="10">
        <f t="shared" ref="B225:G225" si="466">B199</f>
        <v>2021</v>
      </c>
      <c r="C225" s="667">
        <f t="shared" si="466"/>
        <v>6.9084150280000509</v>
      </c>
      <c r="D225" s="668">
        <f t="shared" si="466"/>
        <v>0</v>
      </c>
      <c r="E225" s="668">
        <f t="shared" ca="1" si="466"/>
        <v>8.4379203999999514E-2</v>
      </c>
      <c r="F225" s="668">
        <f t="shared" ca="1" si="466"/>
        <v>0.33725999999994682</v>
      </c>
      <c r="G225" s="668">
        <f t="shared" ca="1" si="466"/>
        <v>0.7377660400000029</v>
      </c>
      <c r="H225" s="668">
        <v>0</v>
      </c>
      <c r="I225" s="668">
        <v>0</v>
      </c>
      <c r="J225" s="668">
        <f ca="1">'הספק קיים ותחזית יצור'!C8-SUM('התפלגות ייצור וסל דלקים'!C225:I225,'התפלגות ייצור וסל דלקים'!K225:N225)</f>
        <v>50.241011728000004</v>
      </c>
      <c r="K225" s="668">
        <v>0</v>
      </c>
      <c r="L225" s="668">
        <v>0</v>
      </c>
      <c r="M225" s="44">
        <v>17.459679999999999</v>
      </c>
      <c r="N225" s="669">
        <v>0.34300000000000003</v>
      </c>
      <c r="O225" s="670">
        <v>0</v>
      </c>
      <c r="P225" s="671">
        <f>HLOOKUP(B225,'מטריצת ייצור מתחדשות'!$C$130:$W$152,'מטריצת ייצור מתחדשות'!$B$151-'מטריצת ייצור מתחדשות'!$B$131+3,FALSE)</f>
        <v>6.9084150280000509</v>
      </c>
      <c r="Q225" s="671">
        <f t="shared" ref="Q225:Q244" ca="1" si="467">E225</f>
        <v>8.4379203999999514E-2</v>
      </c>
      <c r="R225" s="671">
        <f t="shared" ca="1" si="436"/>
        <v>0.33725999999994682</v>
      </c>
      <c r="S225" s="671">
        <f t="shared" ca="1" si="437"/>
        <v>0.7377660400000029</v>
      </c>
      <c r="T225" s="671">
        <f t="shared" si="438"/>
        <v>0</v>
      </c>
      <c r="U225" s="671">
        <f t="shared" si="439"/>
        <v>0</v>
      </c>
      <c r="V225" s="671">
        <f t="shared" ca="1" si="440"/>
        <v>50.241011728000004</v>
      </c>
      <c r="W225" s="671">
        <f t="shared" si="441"/>
        <v>0</v>
      </c>
      <c r="X225" s="671">
        <f t="shared" si="442"/>
        <v>0</v>
      </c>
      <c r="Y225" s="671">
        <f t="shared" si="443"/>
        <v>17.459679999999999</v>
      </c>
      <c r="Z225" s="671">
        <f t="shared" si="444"/>
        <v>0.34300000000000003</v>
      </c>
      <c r="AA225" s="667">
        <f t="shared" ref="AA225:AE225" si="468">AA199</f>
        <v>7.5934186360000524</v>
      </c>
      <c r="AB225" s="668">
        <f t="shared" si="468"/>
        <v>0</v>
      </c>
      <c r="AC225" s="668">
        <f t="shared" ca="1" si="468"/>
        <v>8.4379203999999514E-2</v>
      </c>
      <c r="AD225" s="668">
        <f t="shared" ca="1" si="468"/>
        <v>0.33725999999994682</v>
      </c>
      <c r="AE225" s="668">
        <f t="shared" ca="1" si="468"/>
        <v>0.7377660400000029</v>
      </c>
      <c r="AF225" s="668">
        <v>0</v>
      </c>
      <c r="AG225" s="668">
        <v>0</v>
      </c>
      <c r="AH225" s="668">
        <f ca="1">'הספק קיים ותחזית יצור'!C8-SUM(AA225:AG225,AI225:AL225)</f>
        <v>49.556008120000001</v>
      </c>
      <c r="AI225" s="668">
        <v>0</v>
      </c>
      <c r="AJ225" s="668">
        <v>0</v>
      </c>
      <c r="AK225" s="44">
        <v>17.459679999999999</v>
      </c>
      <c r="AL225" s="669">
        <v>0.34300000000000003</v>
      </c>
      <c r="AM225" s="670">
        <f t="shared" ref="AM225:AN244" si="469">AM199</f>
        <v>0</v>
      </c>
      <c r="AN225" s="671">
        <f t="shared" si="469"/>
        <v>7.5934186360000524</v>
      </c>
      <c r="AO225" s="671">
        <f t="shared" ref="AO225:AO244" ca="1" si="470">AC225</f>
        <v>8.4379203999999514E-2</v>
      </c>
      <c r="AP225" s="671">
        <f t="shared" ca="1" si="446"/>
        <v>0.33725999999994682</v>
      </c>
      <c r="AQ225" s="671">
        <f t="shared" ca="1" si="447"/>
        <v>0.7377660400000029</v>
      </c>
      <c r="AR225" s="671">
        <f t="shared" si="448"/>
        <v>0</v>
      </c>
      <c r="AS225" s="671">
        <f t="shared" si="449"/>
        <v>0</v>
      </c>
      <c r="AT225" s="671">
        <f t="shared" ca="1" si="450"/>
        <v>49.556008120000001</v>
      </c>
      <c r="AU225" s="671">
        <f t="shared" si="451"/>
        <v>0</v>
      </c>
      <c r="AV225" s="671">
        <f t="shared" si="452"/>
        <v>0</v>
      </c>
      <c r="AW225" s="671">
        <f t="shared" si="453"/>
        <v>17.459679999999999</v>
      </c>
      <c r="AX225" s="671">
        <f t="shared" si="454"/>
        <v>0.34300000000000003</v>
      </c>
      <c r="AY225" s="667">
        <f t="shared" ref="AY225:BC225" si="471">AY199</f>
        <v>7.973976196000053</v>
      </c>
      <c r="AZ225" s="668">
        <f t="shared" si="471"/>
        <v>0</v>
      </c>
      <c r="BA225" s="668">
        <f t="shared" ca="1" si="471"/>
        <v>8.4379203999999514E-2</v>
      </c>
      <c r="BB225" s="668">
        <f t="shared" ca="1" si="471"/>
        <v>0.15329999999997584</v>
      </c>
      <c r="BC225" s="668">
        <f t="shared" ca="1" si="471"/>
        <v>0.7377660400000029</v>
      </c>
      <c r="BD225" s="668">
        <v>0</v>
      </c>
      <c r="BE225" s="668">
        <v>0</v>
      </c>
      <c r="BF225" s="668">
        <f ca="1">'הספק קיים ותחזית יצור'!C8-SUM('התפלגות ייצור וסל דלקים'!AY225:BE225,'התפלגות ייצור וסל דלקים'!BG225:BJ225)</f>
        <v>49.359410559999972</v>
      </c>
      <c r="BG225" s="668">
        <v>0</v>
      </c>
      <c r="BH225" s="668">
        <v>0</v>
      </c>
      <c r="BI225" s="668">
        <f>BI226+BE226</f>
        <v>17.459679999999999</v>
      </c>
      <c r="BJ225" s="668">
        <v>0.34300000000000003</v>
      </c>
      <c r="BK225" s="672">
        <v>0</v>
      </c>
      <c r="BL225" s="671">
        <f t="shared" ref="BL225:BL244" si="472">BL199</f>
        <v>7.973976196000053</v>
      </c>
      <c r="BM225" s="671">
        <f t="shared" ca="1" si="456"/>
        <v>8.4379203999999514E-2</v>
      </c>
      <c r="BN225" s="671">
        <f t="shared" ca="1" si="457"/>
        <v>0.15329999999997584</v>
      </c>
      <c r="BO225" s="671">
        <f t="shared" ca="1" si="458"/>
        <v>0.7377660400000029</v>
      </c>
      <c r="BP225" s="671">
        <f t="shared" si="459"/>
        <v>0</v>
      </c>
      <c r="BQ225" s="671">
        <f t="shared" si="460"/>
        <v>0</v>
      </c>
      <c r="BR225" s="671">
        <f t="shared" ca="1" si="461"/>
        <v>49.359410559999972</v>
      </c>
      <c r="BS225" s="671">
        <f t="shared" si="462"/>
        <v>0</v>
      </c>
      <c r="BT225" s="671">
        <f t="shared" si="463"/>
        <v>0</v>
      </c>
      <c r="BU225" s="671">
        <f t="shared" si="464"/>
        <v>17.459679999999999</v>
      </c>
      <c r="BV225" s="673">
        <f t="shared" si="465"/>
        <v>0.34300000000000003</v>
      </c>
      <c r="BX225" s="855">
        <f t="shared" si="432"/>
        <v>2021</v>
      </c>
      <c r="BY225" s="865">
        <v>0</v>
      </c>
      <c r="BZ225" s="869">
        <f>BY225/('הספק קיים ותחזית יצור'!E57-('הספק קיים ותחזית יצור'!M115*'הנחות עבודה'!$D$35+'הנחות עבודה'!$D$36*'הספק קיים ותחזית יצור'!N115+'הספק קיים ותחזית יצור'!O115*'הנחות עבודה'!$D$37)/'הנחות עבודה'!$D$14)</f>
        <v>0</v>
      </c>
    </row>
    <row r="226" spans="2:79" ht="15.75" hidden="1" outlineLevel="1">
      <c r="B226" s="10">
        <f t="shared" ref="B226:G226" si="473">B200</f>
        <v>2022</v>
      </c>
      <c r="C226" s="667">
        <f t="shared" si="473"/>
        <v>7.0555605900000593</v>
      </c>
      <c r="D226" s="668">
        <f t="shared" si="473"/>
        <v>0</v>
      </c>
      <c r="E226" s="668">
        <f t="shared" ca="1" si="473"/>
        <v>0.59668151399999658</v>
      </c>
      <c r="F226" s="668">
        <f t="shared" ca="1" si="473"/>
        <v>0.36791999999994196</v>
      </c>
      <c r="G226" s="668">
        <f t="shared" ca="1" si="473"/>
        <v>0.7377660400000029</v>
      </c>
      <c r="H226" s="668">
        <v>0</v>
      </c>
      <c r="I226" s="668">
        <v>1.30576</v>
      </c>
      <c r="J226" s="668">
        <f ca="1">'הספק קיים ותחזית יצור'!C9-SUM('התפלגות ייצור וסל דלקים'!C226:I226,'התפלגות ייצור וסל דלקים'!K226:N226)</f>
        <v>51.585658855999995</v>
      </c>
      <c r="K226" s="668">
        <v>0</v>
      </c>
      <c r="L226" s="668">
        <v>0</v>
      </c>
      <c r="M226" s="44">
        <v>16.202909999999999</v>
      </c>
      <c r="N226" s="669">
        <v>0.34353</v>
      </c>
      <c r="O226" s="670">
        <v>0</v>
      </c>
      <c r="P226" s="671">
        <f>HLOOKUP(B226,'מטריצת ייצור מתחדשות'!$C$130:$W$152,'מטריצת ייצור מתחדשות'!$B$151-'מטריצת ייצור מתחדשות'!$B$131+3,FALSE)</f>
        <v>7.0555605900000593</v>
      </c>
      <c r="Q226" s="671">
        <f t="shared" ca="1" si="467"/>
        <v>0.59668151399999658</v>
      </c>
      <c r="R226" s="671">
        <f t="shared" ca="1" si="436"/>
        <v>0.36791999999994196</v>
      </c>
      <c r="S226" s="671">
        <f t="shared" ca="1" si="437"/>
        <v>0.7377660400000029</v>
      </c>
      <c r="T226" s="671">
        <f t="shared" si="438"/>
        <v>0</v>
      </c>
      <c r="U226" s="671">
        <f t="shared" si="439"/>
        <v>1.30576</v>
      </c>
      <c r="V226" s="671">
        <f t="shared" ca="1" si="440"/>
        <v>51.585658855999995</v>
      </c>
      <c r="W226" s="671">
        <f t="shared" si="441"/>
        <v>0</v>
      </c>
      <c r="X226" s="671">
        <f t="shared" si="442"/>
        <v>0</v>
      </c>
      <c r="Y226" s="671">
        <f t="shared" si="443"/>
        <v>16.202909999999999</v>
      </c>
      <c r="Z226" s="671">
        <f t="shared" si="444"/>
        <v>0.34353</v>
      </c>
      <c r="AA226" s="667">
        <f t="shared" ref="AA226:AE226" si="474">AA200</f>
        <v>8.4630847560000575</v>
      </c>
      <c r="AB226" s="668">
        <f t="shared" si="474"/>
        <v>0</v>
      </c>
      <c r="AC226" s="668">
        <f t="shared" ca="1" si="474"/>
        <v>0.59668151399999658</v>
      </c>
      <c r="AD226" s="668">
        <f t="shared" ca="1" si="474"/>
        <v>0.36791999999994196</v>
      </c>
      <c r="AE226" s="668">
        <f t="shared" ca="1" si="474"/>
        <v>0.7377660400000029</v>
      </c>
      <c r="AF226" s="668">
        <v>0</v>
      </c>
      <c r="AG226" s="668">
        <v>1.26959</v>
      </c>
      <c r="AH226" s="668">
        <f ca="1">'הספק קיים ותחזית יצור'!C9-SUM(AA226:AG226,AI226:AL226)</f>
        <v>50.214274689999996</v>
      </c>
      <c r="AI226" s="668">
        <v>0</v>
      </c>
      <c r="AJ226" s="668">
        <v>0</v>
      </c>
      <c r="AK226" s="44">
        <v>16.203489999999999</v>
      </c>
      <c r="AL226" s="669">
        <v>0.34298000000000001</v>
      </c>
      <c r="AM226" s="670">
        <f t="shared" si="469"/>
        <v>0</v>
      </c>
      <c r="AN226" s="671">
        <f t="shared" si="469"/>
        <v>8.4630847560000575</v>
      </c>
      <c r="AO226" s="671">
        <f t="shared" ca="1" si="470"/>
        <v>0.59668151399999658</v>
      </c>
      <c r="AP226" s="671">
        <f t="shared" ca="1" si="446"/>
        <v>0.36791999999994196</v>
      </c>
      <c r="AQ226" s="671">
        <f t="shared" ca="1" si="447"/>
        <v>0.7377660400000029</v>
      </c>
      <c r="AR226" s="671">
        <f t="shared" si="448"/>
        <v>0</v>
      </c>
      <c r="AS226" s="671">
        <f t="shared" si="449"/>
        <v>1.26959</v>
      </c>
      <c r="AT226" s="671">
        <f t="shared" ca="1" si="450"/>
        <v>50.214274689999996</v>
      </c>
      <c r="AU226" s="671">
        <f t="shared" si="451"/>
        <v>0</v>
      </c>
      <c r="AV226" s="671">
        <f t="shared" si="452"/>
        <v>0</v>
      </c>
      <c r="AW226" s="671">
        <f t="shared" si="453"/>
        <v>16.203489999999999</v>
      </c>
      <c r="AX226" s="671">
        <f t="shared" si="454"/>
        <v>0.34298000000000001</v>
      </c>
      <c r="AY226" s="667">
        <f t="shared" ref="AY226:BC226" si="475">AY200</f>
        <v>9.2450426260000551</v>
      </c>
      <c r="AZ226" s="668">
        <f t="shared" si="475"/>
        <v>0</v>
      </c>
      <c r="BA226" s="668">
        <f t="shared" ca="1" si="475"/>
        <v>0.59668151399999658</v>
      </c>
      <c r="BB226" s="668">
        <f t="shared" ca="1" si="475"/>
        <v>0.33725999999994682</v>
      </c>
      <c r="BC226" s="668">
        <f t="shared" ca="1" si="475"/>
        <v>0.7377660400000029</v>
      </c>
      <c r="BD226" s="668">
        <v>0</v>
      </c>
      <c r="BE226" s="668">
        <v>1.2567900000000001</v>
      </c>
      <c r="BF226" s="668">
        <f ca="1">'הספק קיים ותחזית יצור'!C9-SUM('התפלגות ייצור וסל דלקים'!AY226:BE226,'התפלגות ייצור וסל דלקים'!BG226:BJ226)</f>
        <v>49.476356819999992</v>
      </c>
      <c r="BG226" s="668">
        <v>0</v>
      </c>
      <c r="BH226" s="668">
        <v>0</v>
      </c>
      <c r="BI226" s="668">
        <v>16.20289</v>
      </c>
      <c r="BJ226" s="668">
        <v>0.34300000000000003</v>
      </c>
      <c r="BK226" s="672">
        <v>0</v>
      </c>
      <c r="BL226" s="671">
        <f t="shared" si="472"/>
        <v>9.2450426260000551</v>
      </c>
      <c r="BM226" s="671">
        <f t="shared" ca="1" si="456"/>
        <v>0.59668151399999658</v>
      </c>
      <c r="BN226" s="671">
        <f t="shared" ca="1" si="457"/>
        <v>0.33725999999994682</v>
      </c>
      <c r="BO226" s="671">
        <f t="shared" ca="1" si="458"/>
        <v>0.7377660400000029</v>
      </c>
      <c r="BP226" s="671">
        <f t="shared" si="459"/>
        <v>0</v>
      </c>
      <c r="BQ226" s="671">
        <f t="shared" si="460"/>
        <v>1.2567900000000001</v>
      </c>
      <c r="BR226" s="671">
        <f t="shared" ca="1" si="461"/>
        <v>49.476356819999992</v>
      </c>
      <c r="BS226" s="671">
        <f t="shared" si="462"/>
        <v>0</v>
      </c>
      <c r="BT226" s="671">
        <f t="shared" si="463"/>
        <v>0</v>
      </c>
      <c r="BU226" s="671">
        <f t="shared" si="464"/>
        <v>16.20289</v>
      </c>
      <c r="BV226" s="673">
        <f t="shared" si="465"/>
        <v>0.34300000000000003</v>
      </c>
      <c r="BX226" s="855">
        <f t="shared" si="432"/>
        <v>2022</v>
      </c>
      <c r="BY226" s="865">
        <v>0</v>
      </c>
      <c r="BZ226" s="869">
        <f>BY226/('הספק קיים ותחזית יצור'!E58-('הספק קיים ותחזית יצור'!M116*'הנחות עבודה'!$D$35+'הנחות עבודה'!$D$36*'הספק קיים ותחזית יצור'!N116+'הספק קיים ותחזית יצור'!O116*'הנחות עבודה'!$D$37)/'הנחות עבודה'!$D$14)</f>
        <v>0</v>
      </c>
    </row>
    <row r="227" spans="2:79" ht="15.75" hidden="1" outlineLevel="1">
      <c r="B227" s="10">
        <f t="shared" ref="B227:G227" si="476">B201</f>
        <v>2023</v>
      </c>
      <c r="C227" s="667">
        <f t="shared" si="476"/>
        <v>7.2139161130000691</v>
      </c>
      <c r="D227" s="668">
        <f t="shared" si="476"/>
        <v>0</v>
      </c>
      <c r="E227" s="668">
        <f t="shared" ca="1" si="476"/>
        <v>1.1300786249999935</v>
      </c>
      <c r="F227" s="668">
        <f t="shared" ca="1" si="476"/>
        <v>0.39857999999993715</v>
      </c>
      <c r="G227" s="668">
        <f t="shared" ca="1" si="476"/>
        <v>0.7377660400000029</v>
      </c>
      <c r="H227" s="668">
        <v>0</v>
      </c>
      <c r="I227" s="668">
        <v>2.0048499999999998</v>
      </c>
      <c r="J227" s="668">
        <f ca="1">'הספק קיים ותחזית יצור'!C10-SUM('התפלגות ייצור וסל דלקים'!C227:I227,'התפלגות ייצור וסל דלקים'!K227:N227)</f>
        <v>57.255080221999997</v>
      </c>
      <c r="K227" s="668">
        <v>0</v>
      </c>
      <c r="L227" s="668">
        <v>0</v>
      </c>
      <c r="M227" s="44">
        <v>11.26074</v>
      </c>
      <c r="N227" s="669">
        <v>0.34086</v>
      </c>
      <c r="O227" s="670">
        <v>0</v>
      </c>
      <c r="P227" s="671">
        <f>HLOOKUP(B227,'מטריצת ייצור מתחדשות'!$C$130:$W$152,'מטריצת ייצור מתחדשות'!$B$151-'מטריצת ייצור מתחדשות'!$B$131+3,FALSE)</f>
        <v>7.2139161130000691</v>
      </c>
      <c r="Q227" s="671">
        <f t="shared" ca="1" si="467"/>
        <v>1.1300786249999935</v>
      </c>
      <c r="R227" s="671">
        <f t="shared" ca="1" si="436"/>
        <v>0.39857999999993715</v>
      </c>
      <c r="S227" s="671">
        <f t="shared" ca="1" si="437"/>
        <v>0.7377660400000029</v>
      </c>
      <c r="T227" s="671">
        <f t="shared" si="438"/>
        <v>0</v>
      </c>
      <c r="U227" s="671">
        <f t="shared" si="439"/>
        <v>2.0048499999999998</v>
      </c>
      <c r="V227" s="671">
        <f t="shared" ca="1" si="440"/>
        <v>57.255080221999997</v>
      </c>
      <c r="W227" s="671">
        <f t="shared" si="441"/>
        <v>0</v>
      </c>
      <c r="X227" s="671">
        <f t="shared" si="442"/>
        <v>0</v>
      </c>
      <c r="Y227" s="671">
        <f t="shared" si="443"/>
        <v>11.26074</v>
      </c>
      <c r="Z227" s="671">
        <f t="shared" si="444"/>
        <v>0.34086</v>
      </c>
      <c r="AA227" s="667">
        <f t="shared" ref="AA227:AE227" si="477">AA201</f>
        <v>9.3831466300000663</v>
      </c>
      <c r="AB227" s="668">
        <f t="shared" si="477"/>
        <v>0</v>
      </c>
      <c r="AC227" s="668">
        <f t="shared" ca="1" si="477"/>
        <v>1.1300786249999935</v>
      </c>
      <c r="AD227" s="668">
        <f t="shared" ca="1" si="477"/>
        <v>0.39857999999993715</v>
      </c>
      <c r="AE227" s="668">
        <f t="shared" ca="1" si="477"/>
        <v>0.7377660400000029</v>
      </c>
      <c r="AF227" s="668">
        <v>0</v>
      </c>
      <c r="AG227" s="668">
        <v>1.95722</v>
      </c>
      <c r="AH227" s="668">
        <f ca="1">'הספק קיים ותחזית יצור'!C10-SUM(AA227:AG227,AI227:AL227)</f>
        <v>55.136999704999994</v>
      </c>
      <c r="AI227" s="668">
        <v>0</v>
      </c>
      <c r="AJ227" s="668">
        <v>0</v>
      </c>
      <c r="AK227" s="44">
        <v>11.256959999999999</v>
      </c>
      <c r="AL227" s="669">
        <v>0.34111999999999998</v>
      </c>
      <c r="AM227" s="670">
        <f t="shared" si="469"/>
        <v>0</v>
      </c>
      <c r="AN227" s="671">
        <f t="shared" si="469"/>
        <v>9.3831466300000663</v>
      </c>
      <c r="AO227" s="671">
        <f t="shared" ca="1" si="470"/>
        <v>1.1300786249999935</v>
      </c>
      <c r="AP227" s="671">
        <f t="shared" ca="1" si="446"/>
        <v>0.39857999999993715</v>
      </c>
      <c r="AQ227" s="671">
        <f t="shared" ca="1" si="447"/>
        <v>0.7377660400000029</v>
      </c>
      <c r="AR227" s="671">
        <f t="shared" si="448"/>
        <v>0</v>
      </c>
      <c r="AS227" s="671">
        <f t="shared" si="449"/>
        <v>1.95722</v>
      </c>
      <c r="AT227" s="671">
        <f t="shared" ca="1" si="450"/>
        <v>55.136999704999994</v>
      </c>
      <c r="AU227" s="671">
        <f t="shared" si="451"/>
        <v>0</v>
      </c>
      <c r="AV227" s="671">
        <f t="shared" si="452"/>
        <v>0</v>
      </c>
      <c r="AW227" s="671">
        <f t="shared" si="453"/>
        <v>11.256959999999999</v>
      </c>
      <c r="AX227" s="671">
        <f t="shared" si="454"/>
        <v>0.34111999999999998</v>
      </c>
      <c r="AY227" s="667">
        <f t="shared" ref="AY227:BC227" si="478">AY201</f>
        <v>10.588274695000063</v>
      </c>
      <c r="AZ227" s="668">
        <f t="shared" si="478"/>
        <v>0</v>
      </c>
      <c r="BA227" s="668">
        <f t="shared" ca="1" si="478"/>
        <v>1.1300786249999935</v>
      </c>
      <c r="BB227" s="668">
        <f t="shared" ca="1" si="478"/>
        <v>0.36791999999994196</v>
      </c>
      <c r="BC227" s="668">
        <f t="shared" ca="1" si="478"/>
        <v>0.7377660400000029</v>
      </c>
      <c r="BD227" s="668">
        <v>0</v>
      </c>
      <c r="BE227" s="668">
        <v>1.9442300000000001</v>
      </c>
      <c r="BF227" s="668">
        <f ca="1">'הספק קיים ותחזית יצור'!C10-SUM('התפלגות ייצור וסל דלקים'!AY227:BE227,'התפלגות ייצור וסל דלקים'!BG227:BJ227)</f>
        <v>53.975601639999994</v>
      </c>
      <c r="BG227" s="668">
        <v>0</v>
      </c>
      <c r="BH227" s="668">
        <v>0</v>
      </c>
      <c r="BI227" s="668">
        <v>11.257200000000001</v>
      </c>
      <c r="BJ227" s="668">
        <v>0.34079999999999999</v>
      </c>
      <c r="BK227" s="672">
        <v>0</v>
      </c>
      <c r="BL227" s="671">
        <f t="shared" si="472"/>
        <v>10.588274695000063</v>
      </c>
      <c r="BM227" s="671">
        <f t="shared" ca="1" si="456"/>
        <v>1.1300786249999935</v>
      </c>
      <c r="BN227" s="671">
        <f t="shared" ca="1" si="457"/>
        <v>0.36791999999994196</v>
      </c>
      <c r="BO227" s="671">
        <f t="shared" ca="1" si="458"/>
        <v>0.7377660400000029</v>
      </c>
      <c r="BP227" s="671">
        <f t="shared" si="459"/>
        <v>0</v>
      </c>
      <c r="BQ227" s="671">
        <f t="shared" si="460"/>
        <v>1.9442300000000001</v>
      </c>
      <c r="BR227" s="671">
        <f t="shared" ca="1" si="461"/>
        <v>53.975601639999994</v>
      </c>
      <c r="BS227" s="671">
        <f t="shared" si="462"/>
        <v>0</v>
      </c>
      <c r="BT227" s="671">
        <f t="shared" si="463"/>
        <v>0</v>
      </c>
      <c r="BU227" s="671">
        <f t="shared" si="464"/>
        <v>11.257200000000001</v>
      </c>
      <c r="BV227" s="673">
        <f t="shared" si="465"/>
        <v>0.34079999999999999</v>
      </c>
      <c r="BX227" s="855">
        <f t="shared" si="432"/>
        <v>2023</v>
      </c>
      <c r="BY227" s="865">
        <v>0</v>
      </c>
      <c r="BZ227" s="869">
        <f>BY227/('הספק קיים ותחזית יצור'!E59-('הספק קיים ותחזית יצור'!M117*'הנחות עבודה'!$D$35+'הנחות עבודה'!$D$36*'הספק קיים ותחזית יצור'!N117+'הספק קיים ותחזית יצור'!O117*'הנחות עבודה'!$D$37)/'הנחות עבודה'!$D$14)</f>
        <v>0</v>
      </c>
    </row>
    <row r="228" spans="2:79" ht="15.75" hidden="1" outlineLevel="1">
      <c r="B228" s="10">
        <f t="shared" ref="B228:G228" si="479">B202</f>
        <v>2024</v>
      </c>
      <c r="C228" s="667">
        <f t="shared" si="479"/>
        <v>7.3761071770000788</v>
      </c>
      <c r="D228" s="668">
        <f t="shared" si="479"/>
        <v>0</v>
      </c>
      <c r="E228" s="668">
        <f t="shared" ca="1" si="479"/>
        <v>1.6664892789999906</v>
      </c>
      <c r="F228" s="668">
        <f t="shared" ca="1" si="479"/>
        <v>0.42923999999993229</v>
      </c>
      <c r="G228" s="668">
        <f t="shared" ca="1" si="479"/>
        <v>0.7377660400000029</v>
      </c>
      <c r="H228" s="668">
        <v>0</v>
      </c>
      <c r="I228" s="668">
        <v>2.64059</v>
      </c>
      <c r="J228" s="668">
        <f ca="1">'הספק קיים ותחזית יצור'!C11-SUM('התפלגות ייצור וסל דלקים'!C228:I228,'התפלגות ייצור וסל דלקים'!K228:N228)</f>
        <v>59.578921503999993</v>
      </c>
      <c r="K228" s="668">
        <v>0</v>
      </c>
      <c r="L228" s="668">
        <v>0</v>
      </c>
      <c r="M228" s="44">
        <v>9.5552499999999991</v>
      </c>
      <c r="N228" s="669">
        <v>0.35113999999999995</v>
      </c>
      <c r="O228" s="670">
        <v>0</v>
      </c>
      <c r="P228" s="671">
        <f>HLOOKUP(B228,'מטריצת ייצור מתחדשות'!$C$130:$W$152,'מטריצת ייצור מתחדשות'!$B$151-'מטריצת ייצור מתחדשות'!$B$131+3,FALSE)</f>
        <v>7.3761071770000788</v>
      </c>
      <c r="Q228" s="671">
        <f t="shared" ca="1" si="467"/>
        <v>1.6664892789999906</v>
      </c>
      <c r="R228" s="671">
        <f t="shared" ca="1" si="436"/>
        <v>0.42923999999993229</v>
      </c>
      <c r="S228" s="671">
        <f t="shared" ca="1" si="437"/>
        <v>0.7377660400000029</v>
      </c>
      <c r="T228" s="671">
        <f t="shared" si="438"/>
        <v>0</v>
      </c>
      <c r="U228" s="671">
        <f t="shared" si="439"/>
        <v>2.64059</v>
      </c>
      <c r="V228" s="671">
        <f t="shared" ca="1" si="440"/>
        <v>59.578921503999993</v>
      </c>
      <c r="W228" s="671">
        <f t="shared" si="441"/>
        <v>0</v>
      </c>
      <c r="X228" s="671">
        <f t="shared" si="442"/>
        <v>0</v>
      </c>
      <c r="Y228" s="671">
        <f t="shared" si="443"/>
        <v>9.5552499999999991</v>
      </c>
      <c r="Z228" s="671">
        <f t="shared" si="444"/>
        <v>0.35113999999999995</v>
      </c>
      <c r="AA228" s="667">
        <f t="shared" ref="AA228:AE228" si="480">AA202</f>
        <v>10.340185321000073</v>
      </c>
      <c r="AB228" s="668">
        <f t="shared" si="480"/>
        <v>0</v>
      </c>
      <c r="AC228" s="668">
        <f t="shared" ca="1" si="480"/>
        <v>1.6664892789999906</v>
      </c>
      <c r="AD228" s="668">
        <f t="shared" ca="1" si="480"/>
        <v>0.42923999999993229</v>
      </c>
      <c r="AE228" s="668">
        <f t="shared" ca="1" si="480"/>
        <v>0.7377660400000029</v>
      </c>
      <c r="AF228" s="668">
        <v>0</v>
      </c>
      <c r="AG228" s="668">
        <v>2.57762</v>
      </c>
      <c r="AH228" s="668">
        <f ca="1">'הספק קיים ותחזית יצור'!C11-SUM(AA228:AG228,AI228:AL228)</f>
        <v>56.700923360000004</v>
      </c>
      <c r="AI228" s="668">
        <v>0</v>
      </c>
      <c r="AJ228" s="668">
        <v>0</v>
      </c>
      <c r="AK228" s="44">
        <v>9.5328900000000001</v>
      </c>
      <c r="AL228" s="669">
        <v>0.35038999999999998</v>
      </c>
      <c r="AM228" s="670">
        <f t="shared" si="469"/>
        <v>0</v>
      </c>
      <c r="AN228" s="671">
        <f t="shared" si="469"/>
        <v>10.340185321000073</v>
      </c>
      <c r="AO228" s="671">
        <f t="shared" ca="1" si="470"/>
        <v>1.6664892789999906</v>
      </c>
      <c r="AP228" s="671">
        <f t="shared" ca="1" si="446"/>
        <v>0.42923999999993229</v>
      </c>
      <c r="AQ228" s="671">
        <f t="shared" ca="1" si="447"/>
        <v>0.7377660400000029</v>
      </c>
      <c r="AR228" s="671">
        <f t="shared" si="448"/>
        <v>0</v>
      </c>
      <c r="AS228" s="671">
        <f t="shared" si="449"/>
        <v>2.57762</v>
      </c>
      <c r="AT228" s="671">
        <f t="shared" ca="1" si="450"/>
        <v>56.700923360000004</v>
      </c>
      <c r="AU228" s="671">
        <f t="shared" si="451"/>
        <v>0</v>
      </c>
      <c r="AV228" s="671">
        <f t="shared" si="452"/>
        <v>0</v>
      </c>
      <c r="AW228" s="671">
        <f t="shared" si="453"/>
        <v>9.5328900000000001</v>
      </c>
      <c r="AX228" s="671">
        <f t="shared" si="454"/>
        <v>0.35038999999999998</v>
      </c>
      <c r="AY228" s="667">
        <f t="shared" ref="AY228:BC228" si="481">AY202</f>
        <v>11.986895401000073</v>
      </c>
      <c r="AZ228" s="668">
        <f t="shared" si="481"/>
        <v>0</v>
      </c>
      <c r="BA228" s="668">
        <f t="shared" ca="1" si="481"/>
        <v>1.6664892789999906</v>
      </c>
      <c r="BB228" s="668">
        <f t="shared" ca="1" si="481"/>
        <v>0.39857999999993715</v>
      </c>
      <c r="BC228" s="668">
        <f t="shared" ca="1" si="481"/>
        <v>0.7377660400000029</v>
      </c>
      <c r="BD228" s="668">
        <v>0</v>
      </c>
      <c r="BE228" s="668">
        <v>2.5639499999999997</v>
      </c>
      <c r="BF228" s="668">
        <f ca="1">'הספק קיים ותחזית יצור'!C11-SUM('התפלגות ייצור וסל דלקים'!AY228:BE228,'התפלגות ייצור וסל דלקים'!BG228:BJ228)</f>
        <v>55.103853280000003</v>
      </c>
      <c r="BG228" s="668">
        <v>0</v>
      </c>
      <c r="BH228" s="668">
        <v>0</v>
      </c>
      <c r="BI228" s="668">
        <v>9.5279799999999994</v>
      </c>
      <c r="BJ228" s="668">
        <v>0.34998999999999997</v>
      </c>
      <c r="BK228" s="672">
        <v>0</v>
      </c>
      <c r="BL228" s="671">
        <f t="shared" si="472"/>
        <v>11.986895401000073</v>
      </c>
      <c r="BM228" s="671">
        <f t="shared" ca="1" si="456"/>
        <v>1.6664892789999906</v>
      </c>
      <c r="BN228" s="671">
        <f t="shared" ca="1" si="457"/>
        <v>0.39857999999993715</v>
      </c>
      <c r="BO228" s="671">
        <f t="shared" ca="1" si="458"/>
        <v>0.7377660400000029</v>
      </c>
      <c r="BP228" s="671">
        <f t="shared" si="459"/>
        <v>0</v>
      </c>
      <c r="BQ228" s="671">
        <f t="shared" si="460"/>
        <v>2.5639499999999997</v>
      </c>
      <c r="BR228" s="671">
        <f t="shared" ca="1" si="461"/>
        <v>55.103853280000003</v>
      </c>
      <c r="BS228" s="671">
        <f t="shared" si="462"/>
        <v>0</v>
      </c>
      <c r="BT228" s="671">
        <f t="shared" si="463"/>
        <v>0</v>
      </c>
      <c r="BU228" s="671">
        <f t="shared" si="464"/>
        <v>9.5279799999999994</v>
      </c>
      <c r="BV228" s="673">
        <f t="shared" si="465"/>
        <v>0.34998999999999997</v>
      </c>
      <c r="BX228" s="855">
        <f t="shared" si="432"/>
        <v>2024</v>
      </c>
      <c r="BY228" s="865">
        <v>0</v>
      </c>
      <c r="BZ228" s="869">
        <f>BY228/('הספק קיים ותחזית יצור'!E60-('הספק קיים ותחזית יצור'!M118*'הנחות עבודה'!$D$35+'הנחות עבודה'!$D$36*'הספק קיים ותחזית יצור'!N118+'הספק קיים ותחזית יצור'!O118*'הנחות עבודה'!$D$37)/'הנחות עבודה'!$D$14)</f>
        <v>0</v>
      </c>
    </row>
    <row r="229" spans="2:79" ht="15.75" hidden="1" outlineLevel="1">
      <c r="B229" s="10">
        <f t="shared" ref="B229:G229" si="482">B203</f>
        <v>2025</v>
      </c>
      <c r="C229" s="667">
        <f t="shared" si="482"/>
        <v>7.6295322100000806</v>
      </c>
      <c r="D229" s="668">
        <f t="shared" si="482"/>
        <v>0</v>
      </c>
      <c r="E229" s="668">
        <f t="shared" ca="1" si="482"/>
        <v>2.1998863899999876</v>
      </c>
      <c r="F229" s="668">
        <f t="shared" ca="1" si="482"/>
        <v>0.45989999999992748</v>
      </c>
      <c r="G229" s="668">
        <f t="shared" ca="1" si="482"/>
        <v>0.7377660400000029</v>
      </c>
      <c r="H229" s="668">
        <v>0</v>
      </c>
      <c r="I229" s="668">
        <v>9.248940000000001</v>
      </c>
      <c r="J229" s="668">
        <f ca="1">'הספק קיים ותחזית יצור'!C12-SUM('התפלגות ייצור וסל דלקים'!C229:I229,'התפלגות ייצור וסל דלקים'!K229:N229)</f>
        <v>61.419543360000006</v>
      </c>
      <c r="K229" s="668">
        <v>0</v>
      </c>
      <c r="L229" s="668">
        <v>0</v>
      </c>
      <c r="M229" s="44">
        <v>2.7700200000000001</v>
      </c>
      <c r="N229" s="669">
        <v>0.35813999999999996</v>
      </c>
      <c r="O229" s="670">
        <v>0</v>
      </c>
      <c r="P229" s="671">
        <f>HLOOKUP(B229,'מטריצת ייצור מתחדשות'!$C$130:$W$152,'מטריצת ייצור מתחדשות'!$B$151-'מטריצת ייצור מתחדשות'!$B$131+3,FALSE)</f>
        <v>7.6295322100000806</v>
      </c>
      <c r="Q229" s="671">
        <f t="shared" ca="1" si="467"/>
        <v>2.1998863899999876</v>
      </c>
      <c r="R229" s="671">
        <f t="shared" ca="1" si="436"/>
        <v>0.45989999999992748</v>
      </c>
      <c r="S229" s="671">
        <f t="shared" ca="1" si="437"/>
        <v>0.7377660400000029</v>
      </c>
      <c r="T229" s="671">
        <f t="shared" si="438"/>
        <v>0</v>
      </c>
      <c r="U229" s="671">
        <f t="shared" si="439"/>
        <v>9.248940000000001</v>
      </c>
      <c r="V229" s="671">
        <f t="shared" ca="1" si="440"/>
        <v>61.419543360000006</v>
      </c>
      <c r="W229" s="671">
        <f t="shared" si="441"/>
        <v>0</v>
      </c>
      <c r="X229" s="671">
        <f t="shared" si="442"/>
        <v>0</v>
      </c>
      <c r="Y229" s="671">
        <f t="shared" si="443"/>
        <v>2.7700200000000001</v>
      </c>
      <c r="Z229" s="671">
        <f t="shared" si="444"/>
        <v>0.35813999999999996</v>
      </c>
      <c r="AA229" s="667">
        <f t="shared" ref="AA229:AE229" si="483">AA203</f>
        <v>11.446599970000078</v>
      </c>
      <c r="AB229" s="668">
        <f t="shared" si="483"/>
        <v>0</v>
      </c>
      <c r="AC229" s="668">
        <f t="shared" ca="1" si="483"/>
        <v>2.1998863899999876</v>
      </c>
      <c r="AD229" s="668">
        <f t="shared" ca="1" si="483"/>
        <v>0.45989999999992748</v>
      </c>
      <c r="AE229" s="668">
        <f t="shared" ca="1" si="483"/>
        <v>0.7377660400000029</v>
      </c>
      <c r="AF229" s="668">
        <v>0</v>
      </c>
      <c r="AG229" s="668">
        <v>8.9133699999999987</v>
      </c>
      <c r="AH229" s="668">
        <f ca="1">'הספק קיים ותחזית יצור'!C12-SUM(AA229:AG229,AI229:AL229)</f>
        <v>57.945445600000014</v>
      </c>
      <c r="AI229" s="668">
        <v>0</v>
      </c>
      <c r="AJ229" s="668">
        <v>0</v>
      </c>
      <c r="AK229" s="44">
        <v>2.7658299999999998</v>
      </c>
      <c r="AL229" s="669">
        <v>0.35492999999999997</v>
      </c>
      <c r="AM229" s="670">
        <f t="shared" si="469"/>
        <v>0</v>
      </c>
      <c r="AN229" s="671">
        <f t="shared" si="469"/>
        <v>11.446599970000078</v>
      </c>
      <c r="AO229" s="671">
        <f t="shared" ca="1" si="470"/>
        <v>2.1998863899999876</v>
      </c>
      <c r="AP229" s="671">
        <f t="shared" ca="1" si="446"/>
        <v>0.45989999999992748</v>
      </c>
      <c r="AQ229" s="671">
        <f t="shared" ca="1" si="447"/>
        <v>0.7377660400000029</v>
      </c>
      <c r="AR229" s="671">
        <f t="shared" si="448"/>
        <v>0</v>
      </c>
      <c r="AS229" s="671">
        <f t="shared" si="449"/>
        <v>8.9133699999999987</v>
      </c>
      <c r="AT229" s="671">
        <f t="shared" ca="1" si="450"/>
        <v>57.945445600000014</v>
      </c>
      <c r="AU229" s="671">
        <f t="shared" si="451"/>
        <v>0</v>
      </c>
      <c r="AV229" s="671">
        <f t="shared" si="452"/>
        <v>0</v>
      </c>
      <c r="AW229" s="671">
        <f t="shared" si="453"/>
        <v>2.7658299999999998</v>
      </c>
      <c r="AX229" s="671">
        <f t="shared" si="454"/>
        <v>0.35492999999999997</v>
      </c>
      <c r="AY229" s="667">
        <f t="shared" ref="AY229:BC229" si="484">AY203</f>
        <v>13.567193170000079</v>
      </c>
      <c r="AZ229" s="668">
        <f t="shared" si="484"/>
        <v>0</v>
      </c>
      <c r="BA229" s="668">
        <f t="shared" ca="1" si="484"/>
        <v>2.1998863899999876</v>
      </c>
      <c r="BB229" s="668">
        <f t="shared" ca="1" si="484"/>
        <v>0.42923999999993229</v>
      </c>
      <c r="BC229" s="668">
        <f t="shared" ca="1" si="484"/>
        <v>0.7377660400000029</v>
      </c>
      <c r="BD229" s="668">
        <v>0</v>
      </c>
      <c r="BE229" s="668">
        <v>8.9426999999999985</v>
      </c>
      <c r="BF229" s="668">
        <f ca="1">'הספק קיים ותחזית יצור'!C12-SUM('התפלגות ייצור וסל דלקים'!AY229:BE229,'התפלגות ייצור וסל דלקים'!BG229:BJ229)</f>
        <v>55.832052400000002</v>
      </c>
      <c r="BG229" s="668">
        <v>0</v>
      </c>
      <c r="BH229" s="668">
        <v>0</v>
      </c>
      <c r="BI229" s="668">
        <v>2.7608800000000002</v>
      </c>
      <c r="BJ229" s="668">
        <v>0.35401000000000005</v>
      </c>
      <c r="BK229" s="672">
        <v>0</v>
      </c>
      <c r="BL229" s="671">
        <f t="shared" si="472"/>
        <v>13.567193170000079</v>
      </c>
      <c r="BM229" s="671">
        <f t="shared" ca="1" si="456"/>
        <v>2.1998863899999876</v>
      </c>
      <c r="BN229" s="671">
        <f t="shared" ca="1" si="457"/>
        <v>0.42923999999993229</v>
      </c>
      <c r="BO229" s="671">
        <f t="shared" ca="1" si="458"/>
        <v>0.7377660400000029</v>
      </c>
      <c r="BP229" s="671">
        <f t="shared" si="459"/>
        <v>0</v>
      </c>
      <c r="BQ229" s="671">
        <f t="shared" si="460"/>
        <v>8.9426999999999985</v>
      </c>
      <c r="BR229" s="671">
        <f t="shared" ca="1" si="461"/>
        <v>55.832052400000002</v>
      </c>
      <c r="BS229" s="671">
        <f t="shared" si="462"/>
        <v>0</v>
      </c>
      <c r="BT229" s="671">
        <f t="shared" si="463"/>
        <v>0</v>
      </c>
      <c r="BU229" s="671">
        <f t="shared" si="464"/>
        <v>2.7608800000000002</v>
      </c>
      <c r="BV229" s="673">
        <f t="shared" si="465"/>
        <v>0.35401000000000005</v>
      </c>
      <c r="BX229" s="855">
        <f t="shared" si="432"/>
        <v>2025</v>
      </c>
      <c r="BY229" s="865">
        <v>0</v>
      </c>
      <c r="BZ229" s="869">
        <f>BY229/('הספק קיים ותחזית יצור'!E61-('הספק קיים ותחזית יצור'!M119*'הנחות עבודה'!$D$35+'הנחות עבודה'!$D$36*'הספק קיים ותחזית יצור'!N119+'הספק קיים ותחזית יצור'!O119*'הנחות עבודה'!$D$37)/'הנחות עבודה'!$D$14)</f>
        <v>0</v>
      </c>
    </row>
    <row r="230" spans="2:79" ht="15.75" hidden="1" outlineLevel="1">
      <c r="B230" s="10">
        <f t="shared" ref="B230:G230" si="485">B204</f>
        <v>2026</v>
      </c>
      <c r="C230" s="667">
        <f t="shared" si="485"/>
        <v>8.6007286900000874</v>
      </c>
      <c r="D230" s="668">
        <f t="shared" si="485"/>
        <v>0</v>
      </c>
      <c r="E230" s="668">
        <f t="shared" ca="1" si="485"/>
        <v>2.1998863899999876</v>
      </c>
      <c r="F230" s="668">
        <f t="shared" ca="1" si="485"/>
        <v>0.49055999999992267</v>
      </c>
      <c r="G230" s="668">
        <f t="shared" ca="1" si="485"/>
        <v>0.7377660400000029</v>
      </c>
      <c r="H230" s="668">
        <v>0</v>
      </c>
      <c r="I230" s="668">
        <v>15.30132</v>
      </c>
      <c r="J230" s="668">
        <f ca="1">'הספק קיים ותחזית יצור'!C13-SUM('התפלגות ייצור וסל דלקים'!C230:I230,'התפלגות ייצור וסל דלקים'!K230:N230)</f>
        <v>59.476898880000007</v>
      </c>
      <c r="K230" s="668">
        <v>0</v>
      </c>
      <c r="L230" s="668">
        <v>0</v>
      </c>
      <c r="M230" s="44">
        <v>0</v>
      </c>
      <c r="N230" s="669">
        <v>0.35907999999999995</v>
      </c>
      <c r="O230" s="670">
        <v>0</v>
      </c>
      <c r="P230" s="671">
        <f>HLOOKUP(B230,'מטריצת ייצור מתחדשות'!$C$130:$W$152,'מטריצת ייצור מתחדשות'!$B$151-'מטריצת ייצור מתחדשות'!$B$131+3,FALSE)</f>
        <v>8.6007286900000874</v>
      </c>
      <c r="Q230" s="671">
        <f t="shared" ca="1" si="467"/>
        <v>2.1998863899999876</v>
      </c>
      <c r="R230" s="671">
        <f t="shared" ca="1" si="436"/>
        <v>0.49055999999992267</v>
      </c>
      <c r="S230" s="671">
        <f t="shared" ca="1" si="437"/>
        <v>0.7377660400000029</v>
      </c>
      <c r="T230" s="671">
        <f t="shared" si="438"/>
        <v>0</v>
      </c>
      <c r="U230" s="671">
        <f t="shared" si="439"/>
        <v>15.30132</v>
      </c>
      <c r="V230" s="671">
        <f t="shared" ca="1" si="440"/>
        <v>59.476898880000007</v>
      </c>
      <c r="W230" s="671">
        <f t="shared" si="441"/>
        <v>0</v>
      </c>
      <c r="X230" s="671">
        <f t="shared" si="442"/>
        <v>0</v>
      </c>
      <c r="Y230" s="671">
        <f t="shared" si="443"/>
        <v>0</v>
      </c>
      <c r="Z230" s="671">
        <f t="shared" si="444"/>
        <v>0.35907999999999995</v>
      </c>
      <c r="AA230" s="667">
        <f t="shared" ref="AA230:AE230" si="486">AA204</f>
        <v>13.133373170000084</v>
      </c>
      <c r="AB230" s="668">
        <f t="shared" si="486"/>
        <v>0</v>
      </c>
      <c r="AC230" s="668">
        <f t="shared" ca="1" si="486"/>
        <v>2.1998863899999876</v>
      </c>
      <c r="AD230" s="668">
        <f t="shared" ca="1" si="486"/>
        <v>0.49055999999992267</v>
      </c>
      <c r="AE230" s="668">
        <f t="shared" ca="1" si="486"/>
        <v>0.7377660400000029</v>
      </c>
      <c r="AF230" s="668">
        <v>0</v>
      </c>
      <c r="AG230" s="668">
        <v>14.962330000000001</v>
      </c>
      <c r="AH230" s="668">
        <f ca="1">'הספק קיים ותחזית יצור'!C13-SUM(AA230:AG230,AI230:AL230)</f>
        <v>55.286324399999998</v>
      </c>
      <c r="AI230" s="668">
        <v>0</v>
      </c>
      <c r="AJ230" s="668">
        <v>0</v>
      </c>
      <c r="AK230" s="44">
        <v>0</v>
      </c>
      <c r="AL230" s="669">
        <v>0.35600000000000004</v>
      </c>
      <c r="AM230" s="670">
        <f t="shared" si="469"/>
        <v>0</v>
      </c>
      <c r="AN230" s="671">
        <f t="shared" si="469"/>
        <v>13.133373170000084</v>
      </c>
      <c r="AO230" s="671">
        <f t="shared" ca="1" si="470"/>
        <v>2.1998863899999876</v>
      </c>
      <c r="AP230" s="671">
        <f t="shared" ca="1" si="446"/>
        <v>0.49055999999992267</v>
      </c>
      <c r="AQ230" s="671">
        <f t="shared" ca="1" si="447"/>
        <v>0.7377660400000029</v>
      </c>
      <c r="AR230" s="671">
        <f t="shared" si="448"/>
        <v>0</v>
      </c>
      <c r="AS230" s="671">
        <f t="shared" si="449"/>
        <v>14.962330000000001</v>
      </c>
      <c r="AT230" s="671">
        <f t="shared" ca="1" si="450"/>
        <v>55.286324399999998</v>
      </c>
      <c r="AU230" s="671">
        <f t="shared" si="451"/>
        <v>0</v>
      </c>
      <c r="AV230" s="671">
        <f t="shared" si="452"/>
        <v>0</v>
      </c>
      <c r="AW230" s="671">
        <f t="shared" si="453"/>
        <v>0</v>
      </c>
      <c r="AX230" s="671">
        <f t="shared" si="454"/>
        <v>0.35600000000000004</v>
      </c>
      <c r="AY230" s="667">
        <f t="shared" ref="AY230:BC230" si="487">AY204</f>
        <v>15.748360370000082</v>
      </c>
      <c r="AZ230" s="668">
        <f t="shared" si="487"/>
        <v>0</v>
      </c>
      <c r="BA230" s="668">
        <f t="shared" ca="1" si="487"/>
        <v>2.1998863899999876</v>
      </c>
      <c r="BB230" s="668">
        <f t="shared" ca="1" si="487"/>
        <v>0.45989999999992748</v>
      </c>
      <c r="BC230" s="668">
        <f t="shared" ca="1" si="487"/>
        <v>0.7377660400000029</v>
      </c>
      <c r="BD230" s="668">
        <v>0</v>
      </c>
      <c r="BE230" s="668">
        <v>15.084</v>
      </c>
      <c r="BF230" s="668">
        <f ca="1">'הספק קיים ותחזית יצור'!C13-SUM('התפלגות ייצור וסל דלקים'!AY230:BE230,'התפלגות ייצור וסל דלקים'!BG230:BJ230)</f>
        <v>52.581327200000004</v>
      </c>
      <c r="BG230" s="668">
        <v>0</v>
      </c>
      <c r="BH230" s="668">
        <v>0</v>
      </c>
      <c r="BI230" s="668">
        <v>0</v>
      </c>
      <c r="BJ230" s="668">
        <v>0.35499999999999998</v>
      </c>
      <c r="BK230" s="672">
        <v>0</v>
      </c>
      <c r="BL230" s="671">
        <f t="shared" si="472"/>
        <v>15.748360370000082</v>
      </c>
      <c r="BM230" s="671">
        <f t="shared" ca="1" si="456"/>
        <v>2.1998863899999876</v>
      </c>
      <c r="BN230" s="671">
        <f t="shared" ca="1" si="457"/>
        <v>0.45989999999992748</v>
      </c>
      <c r="BO230" s="671">
        <f t="shared" ca="1" si="458"/>
        <v>0.7377660400000029</v>
      </c>
      <c r="BP230" s="671">
        <f t="shared" si="459"/>
        <v>0</v>
      </c>
      <c r="BQ230" s="671">
        <f t="shared" si="460"/>
        <v>15.084</v>
      </c>
      <c r="BR230" s="671">
        <f t="shared" ca="1" si="461"/>
        <v>52.581327200000004</v>
      </c>
      <c r="BS230" s="671">
        <f t="shared" si="462"/>
        <v>0</v>
      </c>
      <c r="BT230" s="671">
        <f t="shared" si="463"/>
        <v>0</v>
      </c>
      <c r="BU230" s="671">
        <f t="shared" si="464"/>
        <v>0</v>
      </c>
      <c r="BV230" s="673">
        <f t="shared" si="465"/>
        <v>0.35499999999999998</v>
      </c>
      <c r="BX230" s="855">
        <f t="shared" si="432"/>
        <v>2026</v>
      </c>
      <c r="BY230" s="866">
        <v>9.5109999999999986E-3</v>
      </c>
      <c r="BZ230" s="869">
        <f>BY230/('הספק קיים ותחזית יצור'!E62-('הספק קיים ותחזית יצור'!M120*'הנחות עבודה'!$D$35+'הנחות עבודה'!$D$36*'הספק קיים ותחזית יצור'!N120+'הספק קיים ותחזית יצור'!O120*'הנחות עבודה'!$D$37)/'הנחות עבודה'!$D$14)</f>
        <v>6.0393588770790544E-4</v>
      </c>
      <c r="CA230" s="301"/>
    </row>
    <row r="231" spans="2:79" ht="15.75" hidden="1" outlineLevel="1">
      <c r="B231" s="10">
        <f t="shared" ref="B231:G231" si="488">B205</f>
        <v>2027</v>
      </c>
      <c r="C231" s="667">
        <f t="shared" si="488"/>
        <v>9.6195384920000926</v>
      </c>
      <c r="D231" s="668">
        <f t="shared" si="488"/>
        <v>0</v>
      </c>
      <c r="E231" s="668">
        <f t="shared" ca="1" si="488"/>
        <v>2.1998863899999876</v>
      </c>
      <c r="F231" s="668">
        <f t="shared" ca="1" si="488"/>
        <v>0.52121999999991786</v>
      </c>
      <c r="G231" s="668">
        <f t="shared" ca="1" si="488"/>
        <v>0.7377660400000029</v>
      </c>
      <c r="H231" s="668">
        <v>0</v>
      </c>
      <c r="I231" s="668">
        <v>14.94561</v>
      </c>
      <c r="J231" s="668">
        <f ca="1">'הספק קיים ותחזית יצור'!C14-SUM('התפלגות ייצור וסל דלקים'!C231:I231,'התפלגות ייצור וסל דלקים'!K231:N231)</f>
        <v>61.202066078000001</v>
      </c>
      <c r="K231" s="668">
        <v>0</v>
      </c>
      <c r="L231" s="668">
        <v>0</v>
      </c>
      <c r="M231" s="44">
        <v>0</v>
      </c>
      <c r="N231" s="669">
        <v>0.35207000000000005</v>
      </c>
      <c r="O231" s="670">
        <v>0</v>
      </c>
      <c r="P231" s="671">
        <f>HLOOKUP(B231,'מטריצת ייצור מתחדשות'!$C$130:$W$152,'מטריצת ייצור מתחדשות'!$B$151-'מטריצת ייצור מתחדשות'!$B$131+3,FALSE)</f>
        <v>9.6195384920000926</v>
      </c>
      <c r="Q231" s="671">
        <f t="shared" ca="1" si="467"/>
        <v>2.1998863899999876</v>
      </c>
      <c r="R231" s="671">
        <f t="shared" ca="1" si="436"/>
        <v>0.52121999999991786</v>
      </c>
      <c r="S231" s="671">
        <f t="shared" ca="1" si="437"/>
        <v>0.7377660400000029</v>
      </c>
      <c r="T231" s="671">
        <f t="shared" si="438"/>
        <v>0</v>
      </c>
      <c r="U231" s="671">
        <f t="shared" si="439"/>
        <v>14.94561</v>
      </c>
      <c r="V231" s="671">
        <f t="shared" ca="1" si="440"/>
        <v>61.202066078000001</v>
      </c>
      <c r="W231" s="671">
        <f t="shared" si="441"/>
        <v>0</v>
      </c>
      <c r="X231" s="671">
        <f t="shared" si="442"/>
        <v>0</v>
      </c>
      <c r="Y231" s="671">
        <f t="shared" si="443"/>
        <v>0</v>
      </c>
      <c r="Z231" s="671">
        <f t="shared" si="444"/>
        <v>0.35207000000000005</v>
      </c>
      <c r="AA231" s="667">
        <f t="shared" ref="AA231:AE231" si="489">AA205</f>
        <v>14.904649755000092</v>
      </c>
      <c r="AB231" s="668">
        <f t="shared" si="489"/>
        <v>0</v>
      </c>
      <c r="AC231" s="668">
        <f t="shared" ca="1" si="489"/>
        <v>2.1998863899999876</v>
      </c>
      <c r="AD231" s="668">
        <f t="shared" ca="1" si="489"/>
        <v>0.52121999999991786</v>
      </c>
      <c r="AE231" s="668">
        <f t="shared" ca="1" si="489"/>
        <v>0.7377660400000029</v>
      </c>
      <c r="AF231" s="668">
        <v>0</v>
      </c>
      <c r="AG231" s="668">
        <v>14.833549999999999</v>
      </c>
      <c r="AH231" s="668">
        <f ca="1">'הספק קיים ותחזית יצור'!C14-SUM(AA231:AG231,AI231:AL231)</f>
        <v>56.031244815000008</v>
      </c>
      <c r="AI231" s="668">
        <v>0</v>
      </c>
      <c r="AJ231" s="668">
        <v>0</v>
      </c>
      <c r="AK231" s="44">
        <v>0</v>
      </c>
      <c r="AL231" s="669">
        <v>0.34983999999999998</v>
      </c>
      <c r="AM231" s="670">
        <f t="shared" si="469"/>
        <v>0</v>
      </c>
      <c r="AN231" s="671">
        <f t="shared" si="469"/>
        <v>14.904649755000092</v>
      </c>
      <c r="AO231" s="671">
        <f t="shared" ca="1" si="470"/>
        <v>2.1998863899999876</v>
      </c>
      <c r="AP231" s="671">
        <f t="shared" ca="1" si="446"/>
        <v>0.52121999999991786</v>
      </c>
      <c r="AQ231" s="671">
        <f t="shared" ca="1" si="447"/>
        <v>0.7377660400000029</v>
      </c>
      <c r="AR231" s="671">
        <f t="shared" si="448"/>
        <v>0</v>
      </c>
      <c r="AS231" s="671">
        <f t="shared" si="449"/>
        <v>14.833549999999999</v>
      </c>
      <c r="AT231" s="671">
        <f t="shared" ca="1" si="450"/>
        <v>56.031244815000008</v>
      </c>
      <c r="AU231" s="671">
        <f t="shared" si="451"/>
        <v>0</v>
      </c>
      <c r="AV231" s="671">
        <f t="shared" si="452"/>
        <v>0</v>
      </c>
      <c r="AW231" s="671">
        <f t="shared" si="453"/>
        <v>0</v>
      </c>
      <c r="AX231" s="671">
        <f t="shared" si="454"/>
        <v>0.34983999999999998</v>
      </c>
      <c r="AY231" s="667">
        <f t="shared" ref="AY231:BC231" si="490">AY205</f>
        <v>18.039885250000083</v>
      </c>
      <c r="AZ231" s="668">
        <f t="shared" si="490"/>
        <v>0</v>
      </c>
      <c r="BA231" s="668">
        <f t="shared" ca="1" si="490"/>
        <v>2.1998863899999876</v>
      </c>
      <c r="BB231" s="668">
        <f t="shared" ca="1" si="490"/>
        <v>0.49055999999992267</v>
      </c>
      <c r="BC231" s="668">
        <f t="shared" ca="1" si="490"/>
        <v>0.7377660400000029</v>
      </c>
      <c r="BD231" s="668">
        <v>0</v>
      </c>
      <c r="BE231" s="668">
        <v>15.035</v>
      </c>
      <c r="BF231" s="668">
        <f ca="1">'הספק קיים ותחזית יצור'!C14-SUM('התפלגות ייצור וסל דלקים'!AY231:BE231,'התפלגות ייצור וסל דלקים'!BG231:BJ231)</f>
        <v>52.725059320000007</v>
      </c>
      <c r="BG231" s="668">
        <v>0</v>
      </c>
      <c r="BH231" s="668">
        <v>0</v>
      </c>
      <c r="BI231" s="668">
        <v>0</v>
      </c>
      <c r="BJ231" s="668">
        <v>0.35</v>
      </c>
      <c r="BK231" s="672">
        <v>0</v>
      </c>
      <c r="BL231" s="671">
        <f t="shared" si="472"/>
        <v>18.039885250000083</v>
      </c>
      <c r="BM231" s="671">
        <f t="shared" ca="1" si="456"/>
        <v>2.1998863899999876</v>
      </c>
      <c r="BN231" s="671">
        <f t="shared" ca="1" si="457"/>
        <v>0.49055999999992267</v>
      </c>
      <c r="BO231" s="671">
        <f t="shared" ca="1" si="458"/>
        <v>0.7377660400000029</v>
      </c>
      <c r="BP231" s="671">
        <f t="shared" si="459"/>
        <v>0</v>
      </c>
      <c r="BQ231" s="671">
        <f t="shared" si="460"/>
        <v>15.035</v>
      </c>
      <c r="BR231" s="671">
        <f t="shared" ca="1" si="461"/>
        <v>52.725059320000007</v>
      </c>
      <c r="BS231" s="671">
        <f t="shared" si="462"/>
        <v>0</v>
      </c>
      <c r="BT231" s="671">
        <f t="shared" si="463"/>
        <v>0</v>
      </c>
      <c r="BU231" s="671">
        <f t="shared" si="464"/>
        <v>0</v>
      </c>
      <c r="BV231" s="673">
        <f t="shared" si="465"/>
        <v>0.35</v>
      </c>
      <c r="BX231" s="855">
        <f t="shared" si="432"/>
        <v>2027</v>
      </c>
      <c r="BY231" s="866">
        <v>4.8015999999999996E-2</v>
      </c>
      <c r="BZ231" s="869">
        <f>BY231/('הספק קיים ותחזית יצור'!E63-('הספק קיים ותחזית יצור'!M121*'הנחות עבודה'!$D$35+'הנחות עבודה'!$D$36*'הספק קיים ותחזית יצור'!N121+'הספק קיים ותחזית יצור'!O121*'הנחות עבודה'!$D$37)/'הנחות עבודה'!$D$14)</f>
        <v>2.6616577286709608E-3</v>
      </c>
      <c r="CA231" s="301"/>
    </row>
    <row r="232" spans="2:79" ht="15.75" hidden="1" outlineLevel="1">
      <c r="B232" s="10">
        <f t="shared" ref="B232:G232" si="491">B206</f>
        <v>2028</v>
      </c>
      <c r="C232" s="667">
        <f t="shared" si="491"/>
        <v>10.650187164000101</v>
      </c>
      <c r="D232" s="668">
        <f t="shared" si="491"/>
        <v>0</v>
      </c>
      <c r="E232" s="668">
        <f t="shared" ca="1" si="491"/>
        <v>2.1998863899999876</v>
      </c>
      <c r="F232" s="668">
        <f t="shared" ca="1" si="491"/>
        <v>0.551879999999913</v>
      </c>
      <c r="G232" s="668">
        <f t="shared" ca="1" si="491"/>
        <v>0.7377660400000029</v>
      </c>
      <c r="H232" s="668">
        <v>0</v>
      </c>
      <c r="I232" s="668">
        <v>14.636880000000001</v>
      </c>
      <c r="J232" s="668">
        <f ca="1">'הספק קיים ותחזית יצור'!C15-SUM('התפלגות ייצור וסל דלקים'!C232:I232,'התפלגות ייצור וסל דלקים'!K232:N232)</f>
        <v>62.683871405999994</v>
      </c>
      <c r="K232" s="668">
        <v>0</v>
      </c>
      <c r="L232" s="668">
        <v>0</v>
      </c>
      <c r="M232" s="44">
        <v>0</v>
      </c>
      <c r="N232" s="669">
        <v>0.35589000000000004</v>
      </c>
      <c r="O232" s="670">
        <v>0</v>
      </c>
      <c r="P232" s="671">
        <f>HLOOKUP(B232,'מטריצת ייצור מתחדשות'!$C$130:$W$152,'מטריצת ייצור מתחדשות'!$B$151-'מטריצת ייצור מתחדשות'!$B$131+3,FALSE)</f>
        <v>10.650187164000101</v>
      </c>
      <c r="Q232" s="671">
        <f t="shared" ca="1" si="467"/>
        <v>2.1998863899999876</v>
      </c>
      <c r="R232" s="671">
        <f t="shared" ca="1" si="436"/>
        <v>0.551879999999913</v>
      </c>
      <c r="S232" s="671">
        <f t="shared" ca="1" si="437"/>
        <v>0.7377660400000029</v>
      </c>
      <c r="T232" s="671">
        <f t="shared" si="438"/>
        <v>0</v>
      </c>
      <c r="U232" s="671">
        <f t="shared" si="439"/>
        <v>14.636880000000001</v>
      </c>
      <c r="V232" s="671">
        <f t="shared" ca="1" si="440"/>
        <v>62.683871405999994</v>
      </c>
      <c r="W232" s="671">
        <f t="shared" si="441"/>
        <v>0</v>
      </c>
      <c r="X232" s="671">
        <f t="shared" si="442"/>
        <v>0</v>
      </c>
      <c r="Y232" s="671">
        <f t="shared" si="443"/>
        <v>0</v>
      </c>
      <c r="Z232" s="671">
        <f t="shared" si="444"/>
        <v>0.35589000000000004</v>
      </c>
      <c r="AA232" s="667">
        <f t="shared" ref="AA232:AE232" si="492">AA206</f>
        <v>16.710066990000101</v>
      </c>
      <c r="AB232" s="668">
        <f t="shared" si="492"/>
        <v>0</v>
      </c>
      <c r="AC232" s="668">
        <f t="shared" ca="1" si="492"/>
        <v>2.1998863899999876</v>
      </c>
      <c r="AD232" s="668">
        <f t="shared" ca="1" si="492"/>
        <v>0.551879999999913</v>
      </c>
      <c r="AE232" s="668">
        <f t="shared" ca="1" si="492"/>
        <v>0.7377660400000029</v>
      </c>
      <c r="AF232" s="668">
        <v>0</v>
      </c>
      <c r="AG232" s="668">
        <v>15.254520000000001</v>
      </c>
      <c r="AH232" s="668">
        <f ca="1">'הספק קיים ותחזית יצור'!C15-SUM(AA232:AG232,AI232:AL232)</f>
        <v>56.003321579999998</v>
      </c>
      <c r="AI232" s="668">
        <v>0</v>
      </c>
      <c r="AJ232" s="668">
        <v>0</v>
      </c>
      <c r="AK232" s="44">
        <v>0</v>
      </c>
      <c r="AL232" s="669">
        <v>0.35891999999999996</v>
      </c>
      <c r="AM232" s="670">
        <f t="shared" si="469"/>
        <v>0</v>
      </c>
      <c r="AN232" s="671">
        <f t="shared" si="469"/>
        <v>16.710066990000101</v>
      </c>
      <c r="AO232" s="671">
        <f t="shared" ca="1" si="470"/>
        <v>2.1998863899999876</v>
      </c>
      <c r="AP232" s="671">
        <f t="shared" ca="1" si="446"/>
        <v>0.551879999999913</v>
      </c>
      <c r="AQ232" s="671">
        <f t="shared" ca="1" si="447"/>
        <v>0.7377660400000029</v>
      </c>
      <c r="AR232" s="671">
        <f t="shared" si="448"/>
        <v>0</v>
      </c>
      <c r="AS232" s="671">
        <f t="shared" si="449"/>
        <v>15.254520000000001</v>
      </c>
      <c r="AT232" s="671">
        <f t="shared" ca="1" si="450"/>
        <v>56.003321579999998</v>
      </c>
      <c r="AU232" s="671">
        <f t="shared" si="451"/>
        <v>0</v>
      </c>
      <c r="AV232" s="671">
        <f t="shared" si="452"/>
        <v>0</v>
      </c>
      <c r="AW232" s="671">
        <f t="shared" si="453"/>
        <v>0</v>
      </c>
      <c r="AX232" s="671">
        <f t="shared" si="454"/>
        <v>0.35891999999999996</v>
      </c>
      <c r="AY232" s="667">
        <f t="shared" ref="AY232:BC232" si="493">AY206</f>
        <v>20.382721430000093</v>
      </c>
      <c r="AZ232" s="668">
        <f t="shared" si="493"/>
        <v>0</v>
      </c>
      <c r="BA232" s="668">
        <f t="shared" ca="1" si="493"/>
        <v>2.1998863899999876</v>
      </c>
      <c r="BB232" s="668">
        <f t="shared" ca="1" si="493"/>
        <v>0.52121999999991786</v>
      </c>
      <c r="BC232" s="668">
        <f t="shared" ca="1" si="493"/>
        <v>0.7377660400000029</v>
      </c>
      <c r="BD232" s="668">
        <v>0</v>
      </c>
      <c r="BE232" s="668">
        <v>16.300999999999998</v>
      </c>
      <c r="BF232" s="668">
        <f ca="1">'הספק קיים ותחזית יצור'!C15-SUM('התפלגות ייצור וסל דלקים'!AY232:BE232,'התפלגות ייצור וסל דלקים'!BG232:BJ232)</f>
        <v>51.325767139999996</v>
      </c>
      <c r="BG232" s="668">
        <v>0</v>
      </c>
      <c r="BH232" s="668">
        <v>0</v>
      </c>
      <c r="BI232" s="668">
        <v>0</v>
      </c>
      <c r="BJ232" s="668">
        <v>0.34799999999999998</v>
      </c>
      <c r="BK232" s="672">
        <v>0</v>
      </c>
      <c r="BL232" s="671">
        <f t="shared" si="472"/>
        <v>20.382721430000093</v>
      </c>
      <c r="BM232" s="671">
        <f t="shared" ca="1" si="456"/>
        <v>2.1998863899999876</v>
      </c>
      <c r="BN232" s="671">
        <f t="shared" ca="1" si="457"/>
        <v>0.52121999999991786</v>
      </c>
      <c r="BO232" s="671">
        <f t="shared" ca="1" si="458"/>
        <v>0.7377660400000029</v>
      </c>
      <c r="BP232" s="671">
        <f t="shared" si="459"/>
        <v>0</v>
      </c>
      <c r="BQ232" s="671">
        <f t="shared" si="460"/>
        <v>16.300999999999998</v>
      </c>
      <c r="BR232" s="671">
        <f t="shared" ca="1" si="461"/>
        <v>51.325767139999996</v>
      </c>
      <c r="BS232" s="671">
        <f t="shared" si="462"/>
        <v>0</v>
      </c>
      <c r="BT232" s="671">
        <f t="shared" si="463"/>
        <v>0</v>
      </c>
      <c r="BU232" s="671">
        <f t="shared" si="464"/>
        <v>0</v>
      </c>
      <c r="BV232" s="673">
        <f t="shared" si="465"/>
        <v>0.34799999999999998</v>
      </c>
      <c r="BX232" s="855">
        <f t="shared" si="432"/>
        <v>2028</v>
      </c>
      <c r="BY232" s="866">
        <v>3.0699999999999998E-2</v>
      </c>
      <c r="BZ232" s="869">
        <f>BY232/('הספק קיים ותחזית יצור'!E64-('הספק קיים ותחזית יצור'!M122*'הנחות עבודה'!$D$35+'הנחות עבודה'!$D$36*'הספק קיים ותחזית יצור'!N122+'הספק קיים ותחזית יצור'!O122*'הנחות עבודה'!$D$37)/'הנחות עבודה'!$D$14)</f>
        <v>1.5061776762947134E-3</v>
      </c>
      <c r="CA232" s="301"/>
    </row>
    <row r="233" spans="2:79" ht="15.75" hidden="1" outlineLevel="1">
      <c r="B233" s="10">
        <f t="shared" ref="B233:G233" si="494">B207</f>
        <v>2029</v>
      </c>
      <c r="C233" s="667">
        <f t="shared" si="494"/>
        <v>11.808267010000106</v>
      </c>
      <c r="D233" s="668">
        <f t="shared" si="494"/>
        <v>0</v>
      </c>
      <c r="E233" s="668">
        <f t="shared" ca="1" si="494"/>
        <v>2.1998863899999876</v>
      </c>
      <c r="F233" s="668">
        <f t="shared" ca="1" si="494"/>
        <v>0.58253999999990813</v>
      </c>
      <c r="G233" s="668">
        <f t="shared" ca="1" si="494"/>
        <v>0.7377660400000029</v>
      </c>
      <c r="H233" s="668">
        <v>0</v>
      </c>
      <c r="I233" s="668">
        <v>14.708209999999999</v>
      </c>
      <c r="J233" s="668">
        <f ca="1">'הספק קיים ותחזית יצור'!C16-SUM('התפלגות ייצור וסל דלקים'!C233:I233,'התפלגות ייצור וסל דלקים'!K233:N233)</f>
        <v>64.22493055999999</v>
      </c>
      <c r="K233" s="668">
        <v>0</v>
      </c>
      <c r="L233" s="668">
        <v>0</v>
      </c>
      <c r="M233" s="44">
        <v>0</v>
      </c>
      <c r="N233" s="669">
        <v>0.35852000000000001</v>
      </c>
      <c r="O233" s="670">
        <v>0</v>
      </c>
      <c r="P233" s="671">
        <f>HLOOKUP(B233,'מטריצת ייצור מתחדשות'!$C$130:$W$152,'מטריצת ייצור מתחדשות'!$B$151-'מטריצת ייצור מתחדשות'!$B$131+3,FALSE)</f>
        <v>11.808267010000106</v>
      </c>
      <c r="Q233" s="671">
        <f t="shared" ca="1" si="467"/>
        <v>2.1998863899999876</v>
      </c>
      <c r="R233" s="671">
        <f t="shared" ca="1" si="436"/>
        <v>0.58253999999990813</v>
      </c>
      <c r="S233" s="671">
        <f t="shared" ca="1" si="437"/>
        <v>0.7377660400000029</v>
      </c>
      <c r="T233" s="671">
        <f t="shared" si="438"/>
        <v>0</v>
      </c>
      <c r="U233" s="671">
        <f t="shared" si="439"/>
        <v>14.708209999999999</v>
      </c>
      <c r="V233" s="671">
        <f t="shared" ca="1" si="440"/>
        <v>64.22493055999999</v>
      </c>
      <c r="W233" s="671">
        <f t="shared" si="441"/>
        <v>0</v>
      </c>
      <c r="X233" s="671">
        <f t="shared" si="442"/>
        <v>0</v>
      </c>
      <c r="Y233" s="671">
        <f t="shared" si="443"/>
        <v>0</v>
      </c>
      <c r="Z233" s="671">
        <f t="shared" si="444"/>
        <v>0.35852000000000001</v>
      </c>
      <c r="AA233" s="667">
        <f t="shared" ref="AA233:AE233" si="495">AA207</f>
        <v>18.715535770000102</v>
      </c>
      <c r="AB233" s="668">
        <f t="shared" si="495"/>
        <v>0</v>
      </c>
      <c r="AC233" s="668">
        <f t="shared" ca="1" si="495"/>
        <v>2.1998863899999876</v>
      </c>
      <c r="AD233" s="668">
        <f t="shared" ca="1" si="495"/>
        <v>0.58253999999990813</v>
      </c>
      <c r="AE233" s="668">
        <f t="shared" ca="1" si="495"/>
        <v>0.7377660400000029</v>
      </c>
      <c r="AF233" s="668">
        <v>0</v>
      </c>
      <c r="AG233" s="668">
        <v>15.82043</v>
      </c>
      <c r="AH233" s="668">
        <f ca="1">'הספק קיים ותחזית יצור'!C16-SUM(AA233:AG233,AI233:AL233)</f>
        <v>56.204071799999994</v>
      </c>
      <c r="AI233" s="668">
        <v>0</v>
      </c>
      <c r="AJ233" s="668">
        <v>0</v>
      </c>
      <c r="AK233" s="44">
        <v>0</v>
      </c>
      <c r="AL233" s="669">
        <v>0.35988999999999999</v>
      </c>
      <c r="AM233" s="670">
        <f t="shared" si="469"/>
        <v>0</v>
      </c>
      <c r="AN233" s="671">
        <f t="shared" si="469"/>
        <v>18.715535770000102</v>
      </c>
      <c r="AO233" s="671">
        <f t="shared" ca="1" si="470"/>
        <v>2.1998863899999876</v>
      </c>
      <c r="AP233" s="671">
        <f t="shared" ca="1" si="446"/>
        <v>0.58253999999990813</v>
      </c>
      <c r="AQ233" s="671">
        <f t="shared" ca="1" si="447"/>
        <v>0.7377660400000029</v>
      </c>
      <c r="AR233" s="671">
        <f t="shared" si="448"/>
        <v>0</v>
      </c>
      <c r="AS233" s="671">
        <f t="shared" si="449"/>
        <v>15.82043</v>
      </c>
      <c r="AT233" s="671">
        <f t="shared" ca="1" si="450"/>
        <v>56.204071799999994</v>
      </c>
      <c r="AU233" s="671">
        <f t="shared" si="451"/>
        <v>0</v>
      </c>
      <c r="AV233" s="671">
        <f t="shared" si="452"/>
        <v>0</v>
      </c>
      <c r="AW233" s="671">
        <f t="shared" si="453"/>
        <v>0</v>
      </c>
      <c r="AX233" s="671">
        <f t="shared" si="454"/>
        <v>0.35988999999999999</v>
      </c>
      <c r="AY233" s="667">
        <f t="shared" ref="AY233:BC233" si="496">AY207</f>
        <v>22.973441170000097</v>
      </c>
      <c r="AZ233" s="668">
        <f t="shared" si="496"/>
        <v>0</v>
      </c>
      <c r="BA233" s="668">
        <f t="shared" ca="1" si="496"/>
        <v>2.1998863899999876</v>
      </c>
      <c r="BB233" s="668">
        <f t="shared" ca="1" si="496"/>
        <v>0.551879999999913</v>
      </c>
      <c r="BC233" s="668">
        <f t="shared" ca="1" si="496"/>
        <v>0.7377660400000029</v>
      </c>
      <c r="BD233" s="668">
        <v>0</v>
      </c>
      <c r="BE233" s="668">
        <v>16.536000000000001</v>
      </c>
      <c r="BF233" s="668">
        <f ca="1">'הספק קיים ותחזית יצור'!C16-SUM('התפלגות ייצור וסל דלקים'!AY233:BE233,'התפלגות ייצור וסל דלקים'!BG233:BJ233)</f>
        <v>51.268146399999999</v>
      </c>
      <c r="BG233" s="668">
        <v>0</v>
      </c>
      <c r="BH233" s="668">
        <v>0</v>
      </c>
      <c r="BI233" s="668">
        <v>0</v>
      </c>
      <c r="BJ233" s="668">
        <v>0.35299999999999998</v>
      </c>
      <c r="BK233" s="672">
        <v>0</v>
      </c>
      <c r="BL233" s="671">
        <f t="shared" si="472"/>
        <v>22.973441170000097</v>
      </c>
      <c r="BM233" s="671">
        <f t="shared" ca="1" si="456"/>
        <v>2.1998863899999876</v>
      </c>
      <c r="BN233" s="671">
        <f t="shared" ca="1" si="457"/>
        <v>0.551879999999913</v>
      </c>
      <c r="BO233" s="671">
        <f t="shared" ca="1" si="458"/>
        <v>0.7377660400000029</v>
      </c>
      <c r="BP233" s="671">
        <f t="shared" si="459"/>
        <v>0</v>
      </c>
      <c r="BQ233" s="671">
        <f t="shared" si="460"/>
        <v>16.536000000000001</v>
      </c>
      <c r="BR233" s="671">
        <f t="shared" ca="1" si="461"/>
        <v>51.268146399999999</v>
      </c>
      <c r="BS233" s="671">
        <f t="shared" si="462"/>
        <v>0</v>
      </c>
      <c r="BT233" s="671">
        <f t="shared" si="463"/>
        <v>0</v>
      </c>
      <c r="BU233" s="671">
        <f t="shared" si="464"/>
        <v>0</v>
      </c>
      <c r="BV233" s="673">
        <f t="shared" si="465"/>
        <v>0.35299999999999998</v>
      </c>
      <c r="BX233" s="855">
        <f t="shared" si="432"/>
        <v>2029</v>
      </c>
      <c r="BY233" s="866">
        <v>7.8927000000000011E-2</v>
      </c>
      <c r="BZ233" s="869">
        <f>BY233/('הספק קיים ותחזית יצור'!E65-('הספק קיים ותחזית יצור'!M123*'הנחות עבודה'!$D$35+'הנחות עבודה'!$D$36*'הספק קיים ותחזית יצור'!N123+'הספק קיים ותחזית יצור'!O123*'הנחות עבודה'!$D$37)/'הנחות עבודה'!$D$14)</f>
        <v>3.4355758641446779E-3</v>
      </c>
      <c r="CA233" s="301"/>
    </row>
    <row r="234" spans="2:79" ht="15.75" hidden="1" outlineLevel="1">
      <c r="B234" s="10">
        <f t="shared" ref="B234:G234" si="497">B208</f>
        <v>2030</v>
      </c>
      <c r="C234" s="667">
        <f t="shared" si="497"/>
        <v>12.982706840000105</v>
      </c>
      <c r="D234" s="668">
        <f t="shared" si="497"/>
        <v>0</v>
      </c>
      <c r="E234" s="668">
        <f t="shared" ca="1" si="497"/>
        <v>2.1998863899999876</v>
      </c>
      <c r="F234" s="668">
        <f t="shared" ca="1" si="497"/>
        <v>0.61319999999990338</v>
      </c>
      <c r="G234" s="668">
        <f t="shared" ca="1" si="497"/>
        <v>0.7377660400000029</v>
      </c>
      <c r="H234" s="668">
        <v>0</v>
      </c>
      <c r="I234" s="668">
        <v>15.98855</v>
      </c>
      <c r="J234" s="668">
        <f ca="1">'הספק קיים ותחזית יצור'!C17-SUM('התפלגות ייצור וסל דלקים'!C234:I234,'התפלגות ייצור וסל דלקים'!K234:N234)</f>
        <v>64.377881729999999</v>
      </c>
      <c r="K234" s="668">
        <v>0</v>
      </c>
      <c r="L234" s="668">
        <v>0</v>
      </c>
      <c r="M234" s="44">
        <v>0</v>
      </c>
      <c r="N234" s="669">
        <v>0.35623999999999995</v>
      </c>
      <c r="O234" s="670">
        <v>0</v>
      </c>
      <c r="P234" s="671">
        <f>HLOOKUP(B234,'מטריצת ייצור מתחדשות'!$C$130:$W$152,'מטריצת ייצור מתחדשות'!$B$151-'מטריצת ייצור מתחדשות'!$B$131+3,FALSE)</f>
        <v>12.982706840000105</v>
      </c>
      <c r="Q234" s="671">
        <f t="shared" ca="1" si="467"/>
        <v>2.1998863899999876</v>
      </c>
      <c r="R234" s="671">
        <f t="shared" ca="1" si="436"/>
        <v>0.61319999999990338</v>
      </c>
      <c r="S234" s="671">
        <f t="shared" ca="1" si="437"/>
        <v>0.7377660400000029</v>
      </c>
      <c r="T234" s="671">
        <f t="shared" si="438"/>
        <v>0</v>
      </c>
      <c r="U234" s="671">
        <f t="shared" si="439"/>
        <v>15.98855</v>
      </c>
      <c r="V234" s="671">
        <f t="shared" ca="1" si="440"/>
        <v>64.377881729999999</v>
      </c>
      <c r="W234" s="671">
        <f t="shared" si="441"/>
        <v>0</v>
      </c>
      <c r="X234" s="671">
        <f t="shared" si="442"/>
        <v>0</v>
      </c>
      <c r="Y234" s="671">
        <f t="shared" si="443"/>
        <v>0</v>
      </c>
      <c r="Z234" s="671">
        <f t="shared" si="444"/>
        <v>0.35623999999999995</v>
      </c>
      <c r="AA234" s="667">
        <f t="shared" ref="AA234:AE234" si="498">AA208</f>
        <v>20.763205320000111</v>
      </c>
      <c r="AB234" s="668">
        <f t="shared" si="498"/>
        <v>0</v>
      </c>
      <c r="AC234" s="668">
        <f t="shared" ca="1" si="498"/>
        <v>2.1998863899999876</v>
      </c>
      <c r="AD234" s="668">
        <f t="shared" ca="1" si="498"/>
        <v>0.61319999999990338</v>
      </c>
      <c r="AE234" s="668">
        <f t="shared" ca="1" si="498"/>
        <v>0.7377660400000029</v>
      </c>
      <c r="AF234" s="668">
        <v>0</v>
      </c>
      <c r="AG234" s="668">
        <v>16.864239999999999</v>
      </c>
      <c r="AH234" s="668">
        <f ca="1">'הספק קיים ותחזית יצור'!C17-SUM(AA234:AG234,AI234:AL234)</f>
        <v>55.719413249999995</v>
      </c>
      <c r="AI234" s="668">
        <v>0</v>
      </c>
      <c r="AJ234" s="668">
        <v>0</v>
      </c>
      <c r="AK234" s="44">
        <v>0</v>
      </c>
      <c r="AL234" s="669">
        <v>0.35852000000000001</v>
      </c>
      <c r="AM234" s="670">
        <f t="shared" si="469"/>
        <v>0</v>
      </c>
      <c r="AN234" s="671">
        <f t="shared" si="469"/>
        <v>20.763205320000111</v>
      </c>
      <c r="AO234" s="671">
        <f t="shared" ca="1" si="470"/>
        <v>2.1998863899999876</v>
      </c>
      <c r="AP234" s="671">
        <f t="shared" ca="1" si="446"/>
        <v>0.61319999999990338</v>
      </c>
      <c r="AQ234" s="671">
        <f t="shared" ca="1" si="447"/>
        <v>0.7377660400000029</v>
      </c>
      <c r="AR234" s="671">
        <f t="shared" si="448"/>
        <v>0</v>
      </c>
      <c r="AS234" s="671">
        <f t="shared" si="449"/>
        <v>16.864239999999999</v>
      </c>
      <c r="AT234" s="671">
        <f t="shared" ca="1" si="450"/>
        <v>55.719413249999995</v>
      </c>
      <c r="AU234" s="671">
        <f t="shared" si="451"/>
        <v>0</v>
      </c>
      <c r="AV234" s="671">
        <f t="shared" si="452"/>
        <v>0</v>
      </c>
      <c r="AW234" s="671">
        <f t="shared" si="453"/>
        <v>0</v>
      </c>
      <c r="AX234" s="671">
        <f t="shared" si="454"/>
        <v>0.35852000000000001</v>
      </c>
      <c r="AY234" s="667">
        <f t="shared" ref="AY234:BC234" si="499">AY208</f>
        <v>25.626016870000111</v>
      </c>
      <c r="AZ234" s="668">
        <f t="shared" si="499"/>
        <v>0</v>
      </c>
      <c r="BA234" s="668">
        <f t="shared" ca="1" si="499"/>
        <v>2.1998863899999876</v>
      </c>
      <c r="BB234" s="668">
        <f t="shared" ca="1" si="499"/>
        <v>0.58253999999990813</v>
      </c>
      <c r="BC234" s="668">
        <f t="shared" ca="1" si="499"/>
        <v>0.7377660400000029</v>
      </c>
      <c r="BD234" s="668">
        <v>0</v>
      </c>
      <c r="BE234" s="668">
        <v>17.242000000000001</v>
      </c>
      <c r="BF234" s="668">
        <f ca="1">'הספק קיים ותחזית יצור'!C17-SUM('התפלגות ייצור וסל דלקים'!AY234:BE234,'התפלגות ייצור וסל דלקים'!BG234:BJ234)</f>
        <v>50.518021699999984</v>
      </c>
      <c r="BG234" s="668">
        <v>0</v>
      </c>
      <c r="BH234" s="668">
        <v>0</v>
      </c>
      <c r="BI234" s="668">
        <v>0</v>
      </c>
      <c r="BJ234" s="668">
        <v>0.35</v>
      </c>
      <c r="BK234" s="672">
        <v>0</v>
      </c>
      <c r="BL234" s="671">
        <f t="shared" si="472"/>
        <v>25.626016870000111</v>
      </c>
      <c r="BM234" s="671">
        <f t="shared" ca="1" si="456"/>
        <v>2.1998863899999876</v>
      </c>
      <c r="BN234" s="671">
        <f t="shared" ca="1" si="457"/>
        <v>0.58253999999990813</v>
      </c>
      <c r="BO234" s="671">
        <f t="shared" ca="1" si="458"/>
        <v>0.7377660400000029</v>
      </c>
      <c r="BP234" s="671">
        <f t="shared" si="459"/>
        <v>0</v>
      </c>
      <c r="BQ234" s="671">
        <f t="shared" si="460"/>
        <v>17.242000000000001</v>
      </c>
      <c r="BR234" s="671">
        <f t="shared" ca="1" si="461"/>
        <v>50.518021699999984</v>
      </c>
      <c r="BS234" s="671">
        <f t="shared" si="462"/>
        <v>0</v>
      </c>
      <c r="BT234" s="671">
        <f t="shared" si="463"/>
        <v>0</v>
      </c>
      <c r="BU234" s="671">
        <f t="shared" si="464"/>
        <v>0</v>
      </c>
      <c r="BV234" s="673">
        <f t="shared" si="465"/>
        <v>0.35</v>
      </c>
      <c r="BX234" s="855">
        <f t="shared" si="432"/>
        <v>2030</v>
      </c>
      <c r="BY234" s="866">
        <v>6.7724999999999994E-2</v>
      </c>
      <c r="BZ234" s="869">
        <f>BY234/('הספק קיים ותחזית יצור'!E66-('הספק קיים ותחזית יצור'!M124*'הנחות עבודה'!$D$35+'הנחות עבודה'!$D$36*'הספק קיים ותחזית יצור'!N124+'הספק קיים ותחזית יצור'!O124*'הנחות עבודה'!$D$37)/'הנחות עבודה'!$D$14)</f>
        <v>2.6428219548736958E-3</v>
      </c>
      <c r="CA234" s="301"/>
    </row>
    <row r="235" spans="2:79" ht="15.75" hidden="1" outlineLevel="1">
      <c r="B235" s="10">
        <f t="shared" ref="B235:G235" si="500">B209</f>
        <v>2031</v>
      </c>
      <c r="C235" s="667">
        <f t="shared" si="500"/>
        <v>12.904810598960104</v>
      </c>
      <c r="D235" s="668">
        <f t="shared" si="500"/>
        <v>0</v>
      </c>
      <c r="E235" s="668">
        <f t="shared" ca="1" si="500"/>
        <v>2.1998863899999876</v>
      </c>
      <c r="F235" s="668">
        <f t="shared" ca="1" si="500"/>
        <v>0.61319999999990338</v>
      </c>
      <c r="G235" s="668">
        <f t="shared" ca="1" si="500"/>
        <v>0.7377660400000029</v>
      </c>
      <c r="H235" s="668">
        <v>0</v>
      </c>
      <c r="I235" s="668">
        <v>16.31352</v>
      </c>
      <c r="J235" s="668">
        <f ca="1">'הספק קיים ותחזית יצור'!C18-SUM('התפלגות ייצור וסל דלקים'!C235:I235,'התפלגות ייצור וסל דלקים'!K235:N235)</f>
        <v>67.054234901040005</v>
      </c>
      <c r="K235" s="668">
        <v>0</v>
      </c>
      <c r="L235" s="668">
        <v>0</v>
      </c>
      <c r="M235" s="44">
        <v>0</v>
      </c>
      <c r="N235" s="669">
        <v>0.35049999999999998</v>
      </c>
      <c r="O235" s="670">
        <v>0</v>
      </c>
      <c r="P235" s="671">
        <f>HLOOKUP(B235,'מטריצת ייצור מתחדשות'!$C$130:$W$152,'מטריצת ייצור מתחדשות'!$B$151-'מטריצת ייצור מתחדשות'!$B$131+3,FALSE)</f>
        <v>12.904810598960104</v>
      </c>
      <c r="Q235" s="671">
        <f t="shared" ca="1" si="467"/>
        <v>2.1998863899999876</v>
      </c>
      <c r="R235" s="671">
        <f t="shared" ca="1" si="436"/>
        <v>0.61319999999990338</v>
      </c>
      <c r="S235" s="671">
        <f t="shared" ca="1" si="437"/>
        <v>0.7377660400000029</v>
      </c>
      <c r="T235" s="671">
        <f t="shared" si="438"/>
        <v>0</v>
      </c>
      <c r="U235" s="671">
        <f t="shared" si="439"/>
        <v>16.31352</v>
      </c>
      <c r="V235" s="671">
        <f t="shared" ca="1" si="440"/>
        <v>67.054234901040005</v>
      </c>
      <c r="W235" s="671">
        <f t="shared" si="441"/>
        <v>0</v>
      </c>
      <c r="X235" s="671">
        <f t="shared" si="442"/>
        <v>0</v>
      </c>
      <c r="Y235" s="671">
        <f t="shared" si="443"/>
        <v>0</v>
      </c>
      <c r="Z235" s="671">
        <f t="shared" si="444"/>
        <v>0.35049999999999998</v>
      </c>
      <c r="AA235" s="667">
        <f t="shared" ref="AA235:AE235" si="501">AA209</f>
        <v>20.638626088080109</v>
      </c>
      <c r="AB235" s="668">
        <f t="shared" si="501"/>
        <v>0</v>
      </c>
      <c r="AC235" s="668">
        <f t="shared" ca="1" si="501"/>
        <v>2.1998863899999876</v>
      </c>
      <c r="AD235" s="668">
        <f t="shared" ca="1" si="501"/>
        <v>0.61319999999990338</v>
      </c>
      <c r="AE235" s="668">
        <f t="shared" ca="1" si="501"/>
        <v>0.7377660400000029</v>
      </c>
      <c r="AF235" s="668">
        <v>0</v>
      </c>
      <c r="AG235" s="668">
        <v>16.997049999999998</v>
      </c>
      <c r="AH235" s="668">
        <f ca="1">'הספק קיים ותחזית יצור'!C18-SUM(AA235:AG235,AI235:AL235)</f>
        <v>58.634649411920002</v>
      </c>
      <c r="AI235" s="668">
        <v>0</v>
      </c>
      <c r="AJ235" s="668">
        <v>0</v>
      </c>
      <c r="AK235" s="44">
        <v>0</v>
      </c>
      <c r="AL235" s="669">
        <v>0.35274</v>
      </c>
      <c r="AM235" s="670">
        <f t="shared" si="469"/>
        <v>0</v>
      </c>
      <c r="AN235" s="671">
        <f t="shared" si="469"/>
        <v>20.638626088080109</v>
      </c>
      <c r="AO235" s="671">
        <f t="shared" ca="1" si="470"/>
        <v>2.1998863899999876</v>
      </c>
      <c r="AP235" s="671">
        <f t="shared" ca="1" si="446"/>
        <v>0.61319999999990338</v>
      </c>
      <c r="AQ235" s="671">
        <f t="shared" ca="1" si="447"/>
        <v>0.7377660400000029</v>
      </c>
      <c r="AR235" s="671">
        <f t="shared" si="448"/>
        <v>0</v>
      </c>
      <c r="AS235" s="671">
        <f t="shared" si="449"/>
        <v>16.997049999999998</v>
      </c>
      <c r="AT235" s="671">
        <f t="shared" ca="1" si="450"/>
        <v>58.634649411920002</v>
      </c>
      <c r="AU235" s="671">
        <f t="shared" si="451"/>
        <v>0</v>
      </c>
      <c r="AV235" s="671">
        <f t="shared" si="452"/>
        <v>0</v>
      </c>
      <c r="AW235" s="671">
        <f t="shared" si="453"/>
        <v>0</v>
      </c>
      <c r="AX235" s="671">
        <f t="shared" si="454"/>
        <v>0.35274</v>
      </c>
      <c r="AY235" s="667">
        <f t="shared" ref="AY235:BC235" si="502">AY209</f>
        <v>25.47226076878011</v>
      </c>
      <c r="AZ235" s="668">
        <f t="shared" si="502"/>
        <v>0</v>
      </c>
      <c r="BA235" s="668">
        <f t="shared" ca="1" si="502"/>
        <v>2.1998863899999876</v>
      </c>
      <c r="BB235" s="668">
        <f t="shared" ca="1" si="502"/>
        <v>0.61319999999990338</v>
      </c>
      <c r="BC235" s="668">
        <f t="shared" ca="1" si="502"/>
        <v>0.7377660400000029</v>
      </c>
      <c r="BD235" s="668">
        <v>0</v>
      </c>
      <c r="BE235" s="668">
        <v>17.213000000000001</v>
      </c>
      <c r="BF235" s="668">
        <f ca="1">'הספק קיים ותחזית יצור'!C18-SUM('התפלגות ייצור וסל דלקים'!AY235:BE235,'התפלגות ייצור וסל דלקים'!BG235:BJ235)</f>
        <v>53.590804731219997</v>
      </c>
      <c r="BG235" s="668">
        <v>0</v>
      </c>
      <c r="BH235" s="668">
        <v>0</v>
      </c>
      <c r="BI235" s="668">
        <v>0</v>
      </c>
      <c r="BJ235" s="668">
        <v>0.34700000000000003</v>
      </c>
      <c r="BK235" s="672">
        <v>0</v>
      </c>
      <c r="BL235" s="671">
        <f t="shared" si="472"/>
        <v>25.47226076878011</v>
      </c>
      <c r="BM235" s="671">
        <f t="shared" ca="1" si="456"/>
        <v>2.1998863899999876</v>
      </c>
      <c r="BN235" s="671">
        <f t="shared" ca="1" si="457"/>
        <v>0.61319999999990338</v>
      </c>
      <c r="BO235" s="671">
        <f t="shared" ca="1" si="458"/>
        <v>0.7377660400000029</v>
      </c>
      <c r="BP235" s="671">
        <f t="shared" si="459"/>
        <v>0</v>
      </c>
      <c r="BQ235" s="671">
        <f t="shared" si="460"/>
        <v>17.213000000000001</v>
      </c>
      <c r="BR235" s="671">
        <f t="shared" ca="1" si="461"/>
        <v>53.590804731219997</v>
      </c>
      <c r="BS235" s="671">
        <f t="shared" si="462"/>
        <v>0</v>
      </c>
      <c r="BT235" s="671">
        <f t="shared" si="463"/>
        <v>0</v>
      </c>
      <c r="BU235" s="671">
        <f t="shared" si="464"/>
        <v>0</v>
      </c>
      <c r="BV235" s="673">
        <f t="shared" si="465"/>
        <v>0.34700000000000003</v>
      </c>
      <c r="BX235" s="855">
        <f t="shared" si="432"/>
        <v>2031</v>
      </c>
      <c r="BY235" s="866">
        <v>8.2357E-2</v>
      </c>
      <c r="BZ235" s="869">
        <f>BY235/('הספק קיים ותחזית יצור'!E67-('הספק קיים ותחזית יצור'!M125*'הנחות עבודה'!$D$35+'הנחות עבודה'!$D$36*'הספק קיים ותחזית יצור'!N125+'הספק קיים ותחזית יצור'!O125*'הנחות עבודה'!$D$37)/'הנחות עבודה'!$D$14)</f>
        <v>3.2138041747882319E-3</v>
      </c>
      <c r="CA235" s="301"/>
    </row>
    <row r="236" spans="2:79" ht="15.75" hidden="1" outlineLevel="1">
      <c r="B236" s="10">
        <f t="shared" ref="B236:G236" si="503">B210</f>
        <v>2032</v>
      </c>
      <c r="C236" s="667">
        <f t="shared" si="503"/>
        <v>12.82738173536635</v>
      </c>
      <c r="D236" s="668">
        <f t="shared" si="503"/>
        <v>0</v>
      </c>
      <c r="E236" s="668">
        <f t="shared" ca="1" si="503"/>
        <v>2.1998863899999876</v>
      </c>
      <c r="F236" s="668">
        <f t="shared" ca="1" si="503"/>
        <v>0.61319999999990338</v>
      </c>
      <c r="G236" s="668">
        <f t="shared" ca="1" si="503"/>
        <v>0.7377660400000029</v>
      </c>
      <c r="H236" s="668">
        <v>0</v>
      </c>
      <c r="I236" s="668">
        <v>16.715820000000001</v>
      </c>
      <c r="J236" s="668">
        <f ca="1">'הספק קיים ותחזית יצור'!C19-SUM('התפלגות ייצור וסל דלקים'!C236:I236,'התפלגות ייצור וסל דלקים'!K236:N236)</f>
        <v>69.737771302533758</v>
      </c>
      <c r="K236" s="668">
        <v>0</v>
      </c>
      <c r="L236" s="668">
        <v>0</v>
      </c>
      <c r="M236" s="44">
        <v>0</v>
      </c>
      <c r="N236" s="669">
        <v>0.34730999999999995</v>
      </c>
      <c r="O236" s="670">
        <v>0</v>
      </c>
      <c r="P236" s="671">
        <f>HLOOKUP(B236,'מטריצת ייצור מתחדשות'!$C$130:$W$152,'מטריצת ייצור מתחדשות'!$B$151-'מטריצת ייצור מתחדשות'!$B$131+3,FALSE)</f>
        <v>12.82738173536635</v>
      </c>
      <c r="Q236" s="671">
        <f t="shared" ca="1" si="467"/>
        <v>2.1998863899999876</v>
      </c>
      <c r="R236" s="671">
        <f t="shared" ca="1" si="436"/>
        <v>0.61319999999990338</v>
      </c>
      <c r="S236" s="671">
        <f t="shared" ca="1" si="437"/>
        <v>0.7377660400000029</v>
      </c>
      <c r="T236" s="671">
        <f t="shared" si="438"/>
        <v>0</v>
      </c>
      <c r="U236" s="671">
        <f t="shared" si="439"/>
        <v>16.715820000000001</v>
      </c>
      <c r="V236" s="671">
        <f t="shared" ca="1" si="440"/>
        <v>69.737771302533758</v>
      </c>
      <c r="W236" s="671">
        <f t="shared" si="441"/>
        <v>0</v>
      </c>
      <c r="X236" s="671">
        <f t="shared" si="442"/>
        <v>0</v>
      </c>
      <c r="Y236" s="671">
        <f t="shared" si="443"/>
        <v>0</v>
      </c>
      <c r="Z236" s="671">
        <f t="shared" si="444"/>
        <v>0.34730999999999995</v>
      </c>
      <c r="AA236" s="667">
        <f t="shared" ref="AA236:AE236" si="504">AA210</f>
        <v>20.514794331551624</v>
      </c>
      <c r="AB236" s="668">
        <f t="shared" si="504"/>
        <v>0</v>
      </c>
      <c r="AC236" s="668">
        <f t="shared" ca="1" si="504"/>
        <v>2.1998863899999876</v>
      </c>
      <c r="AD236" s="668">
        <f t="shared" ca="1" si="504"/>
        <v>0.61319999999990338</v>
      </c>
      <c r="AE236" s="668">
        <f t="shared" ca="1" si="504"/>
        <v>0.7377660400000029</v>
      </c>
      <c r="AF236" s="668">
        <v>0</v>
      </c>
      <c r="AG236" s="668">
        <v>17.268150000000002</v>
      </c>
      <c r="AH236" s="668">
        <f ca="1">'הספק קיים ותחזית יצור'!C19-SUM(AA236:AG236,AI236:AL236)</f>
        <v>61.497018706348484</v>
      </c>
      <c r="AI236" s="668">
        <v>0</v>
      </c>
      <c r="AJ236" s="668">
        <v>0</v>
      </c>
      <c r="AK236" s="44">
        <v>0</v>
      </c>
      <c r="AL236" s="669">
        <v>0.34832000000000002</v>
      </c>
      <c r="AM236" s="670">
        <f t="shared" si="469"/>
        <v>0</v>
      </c>
      <c r="AN236" s="671">
        <f t="shared" si="469"/>
        <v>20.514794331551624</v>
      </c>
      <c r="AO236" s="671">
        <f t="shared" ca="1" si="470"/>
        <v>2.1998863899999876</v>
      </c>
      <c r="AP236" s="671">
        <f t="shared" ca="1" si="446"/>
        <v>0.61319999999990338</v>
      </c>
      <c r="AQ236" s="671">
        <f t="shared" ca="1" si="447"/>
        <v>0.7377660400000029</v>
      </c>
      <c r="AR236" s="671">
        <f t="shared" si="448"/>
        <v>0</v>
      </c>
      <c r="AS236" s="671">
        <f t="shared" si="449"/>
        <v>17.268150000000002</v>
      </c>
      <c r="AT236" s="671">
        <f t="shared" ca="1" si="450"/>
        <v>61.497018706348484</v>
      </c>
      <c r="AU236" s="671">
        <f t="shared" si="451"/>
        <v>0</v>
      </c>
      <c r="AV236" s="671">
        <f t="shared" si="452"/>
        <v>0</v>
      </c>
      <c r="AW236" s="671">
        <f t="shared" si="453"/>
        <v>0</v>
      </c>
      <c r="AX236" s="671">
        <f t="shared" si="454"/>
        <v>0.34832000000000002</v>
      </c>
      <c r="AY236" s="667">
        <f t="shared" ref="AY236:BC236" si="505">AY210</f>
        <v>25.319427204167425</v>
      </c>
      <c r="AZ236" s="668">
        <f t="shared" si="505"/>
        <v>0</v>
      </c>
      <c r="BA236" s="668">
        <f t="shared" ca="1" si="505"/>
        <v>2.1998863899999876</v>
      </c>
      <c r="BB236" s="668">
        <f t="shared" ca="1" si="505"/>
        <v>0.61319999999990338</v>
      </c>
      <c r="BC236" s="668">
        <f t="shared" ca="1" si="505"/>
        <v>0.7377660400000029</v>
      </c>
      <c r="BD236" s="668">
        <v>0</v>
      </c>
      <c r="BE236" s="668">
        <v>17.920999999999999</v>
      </c>
      <c r="BF236" s="668">
        <f ca="1">'הספק קיים ותחזית יצור'!C19-SUM('התפלגות ייצור וסל דלקים'!AY236:BE236,'התפלגות ייצור וסל דלקים'!BG236:BJ236)</f>
        <v>56.042855833732688</v>
      </c>
      <c r="BG236" s="668">
        <v>0</v>
      </c>
      <c r="BH236" s="668">
        <v>0</v>
      </c>
      <c r="BI236" s="668">
        <v>0</v>
      </c>
      <c r="BJ236" s="668">
        <v>0.34500000000000003</v>
      </c>
      <c r="BK236" s="672">
        <v>0</v>
      </c>
      <c r="BL236" s="671">
        <f t="shared" si="472"/>
        <v>25.319427204167425</v>
      </c>
      <c r="BM236" s="671">
        <f t="shared" ca="1" si="456"/>
        <v>2.1998863899999876</v>
      </c>
      <c r="BN236" s="671">
        <f t="shared" ca="1" si="457"/>
        <v>0.61319999999990338</v>
      </c>
      <c r="BO236" s="671">
        <f t="shared" ca="1" si="458"/>
        <v>0.7377660400000029</v>
      </c>
      <c r="BP236" s="671">
        <f t="shared" si="459"/>
        <v>0</v>
      </c>
      <c r="BQ236" s="671">
        <f t="shared" si="460"/>
        <v>17.920999999999999</v>
      </c>
      <c r="BR236" s="671">
        <f t="shared" ca="1" si="461"/>
        <v>56.042855833732688</v>
      </c>
      <c r="BS236" s="671">
        <f t="shared" si="462"/>
        <v>0</v>
      </c>
      <c r="BT236" s="671">
        <f t="shared" si="463"/>
        <v>0</v>
      </c>
      <c r="BU236" s="671">
        <f t="shared" si="464"/>
        <v>0</v>
      </c>
      <c r="BV236" s="673">
        <f t="shared" si="465"/>
        <v>0.34500000000000003</v>
      </c>
      <c r="BX236" s="855">
        <f t="shared" si="432"/>
        <v>2032</v>
      </c>
      <c r="BY236" s="866">
        <v>2.5074000000000003E-2</v>
      </c>
      <c r="BZ236" s="869">
        <f>BY236/('הספק קיים ותחזית יצור'!E68-('הספק קיים ותחזית יצור'!M126*'הנחות עבודה'!$D$35+'הנחות עבודה'!$D$36*'הספק קיים ותחזית יצור'!N126+'הספק קיים ותחזית יצור'!O126*'הנחות עבודה'!$D$37)/'הנחות עבודה'!$D$14)</f>
        <v>9.7845873306021494E-4</v>
      </c>
      <c r="CA236" s="301"/>
    </row>
    <row r="237" spans="2:79" ht="15.75" hidden="1" outlineLevel="1">
      <c r="B237" s="10">
        <f t="shared" ref="B237:G237" si="506">B211</f>
        <v>2033</v>
      </c>
      <c r="C237" s="667">
        <f t="shared" si="506"/>
        <v>12.750417444954151</v>
      </c>
      <c r="D237" s="668">
        <f t="shared" si="506"/>
        <v>0</v>
      </c>
      <c r="E237" s="668">
        <f t="shared" ca="1" si="506"/>
        <v>2.1998863899999876</v>
      </c>
      <c r="F237" s="668">
        <f t="shared" ca="1" si="506"/>
        <v>0.61319999999990338</v>
      </c>
      <c r="G237" s="668">
        <f t="shared" ca="1" si="506"/>
        <v>0.7377660400000029</v>
      </c>
      <c r="H237" s="668">
        <v>0</v>
      </c>
      <c r="I237" s="668">
        <v>18.090589999999999</v>
      </c>
      <c r="J237" s="668">
        <f ca="1">'הספק קיים ותחזית יצור'!C20-SUM('התפלגות ייצור וסל דלקים'!C237:I237,'התפלגות ייצור וסל דלקים'!K237:N237)</f>
        <v>71.523499656982978</v>
      </c>
      <c r="K237" s="668">
        <v>0</v>
      </c>
      <c r="L237" s="668">
        <v>0</v>
      </c>
      <c r="M237" s="44">
        <v>0</v>
      </c>
      <c r="N237" s="669">
        <v>0.35915000000000002</v>
      </c>
      <c r="O237" s="670">
        <v>0</v>
      </c>
      <c r="P237" s="671">
        <f>HLOOKUP(B237,'מטריצת ייצור מתחדשות'!$C$130:$W$152,'מטריצת ייצור מתחדשות'!$B$151-'מטריצת ייצור מתחדשות'!$B$131+3,FALSE)</f>
        <v>12.750417444954151</v>
      </c>
      <c r="Q237" s="671">
        <f t="shared" ca="1" si="467"/>
        <v>2.1998863899999876</v>
      </c>
      <c r="R237" s="671">
        <f t="shared" ca="1" si="436"/>
        <v>0.61319999999990338</v>
      </c>
      <c r="S237" s="671">
        <f t="shared" ca="1" si="437"/>
        <v>0.7377660400000029</v>
      </c>
      <c r="T237" s="671">
        <f t="shared" si="438"/>
        <v>0</v>
      </c>
      <c r="U237" s="671">
        <f t="shared" si="439"/>
        <v>18.090589999999999</v>
      </c>
      <c r="V237" s="671">
        <f t="shared" ca="1" si="440"/>
        <v>71.523499656982978</v>
      </c>
      <c r="W237" s="671">
        <f t="shared" si="441"/>
        <v>0</v>
      </c>
      <c r="X237" s="671">
        <f t="shared" si="442"/>
        <v>0</v>
      </c>
      <c r="Y237" s="671">
        <f t="shared" si="443"/>
        <v>0</v>
      </c>
      <c r="Z237" s="671">
        <f t="shared" si="444"/>
        <v>0.35915000000000002</v>
      </c>
      <c r="AA237" s="667">
        <f t="shared" ref="AA237:AE237" si="507">AA211</f>
        <v>20.391705565562319</v>
      </c>
      <c r="AB237" s="668">
        <f t="shared" si="507"/>
        <v>0</v>
      </c>
      <c r="AC237" s="668">
        <f t="shared" ca="1" si="507"/>
        <v>2.1998863899999876</v>
      </c>
      <c r="AD237" s="668">
        <f t="shared" ca="1" si="507"/>
        <v>0.61319999999990338</v>
      </c>
      <c r="AE237" s="668">
        <f t="shared" ca="1" si="507"/>
        <v>0.7377660400000029</v>
      </c>
      <c r="AF237" s="668">
        <v>0</v>
      </c>
      <c r="AG237" s="668">
        <v>18.16114</v>
      </c>
      <c r="AH237" s="668">
        <f ca="1">'הספק קיים ותחזית יצור'!C20-SUM(AA237:AG237,AI237:AL237)</f>
        <v>63.812011536374797</v>
      </c>
      <c r="AI237" s="668">
        <v>0</v>
      </c>
      <c r="AJ237" s="668">
        <v>0</v>
      </c>
      <c r="AK237" s="44">
        <v>0</v>
      </c>
      <c r="AL237" s="669">
        <v>0.35880000000000001</v>
      </c>
      <c r="AM237" s="670">
        <f t="shared" si="469"/>
        <v>0</v>
      </c>
      <c r="AN237" s="671">
        <f t="shared" si="469"/>
        <v>20.391705565562319</v>
      </c>
      <c r="AO237" s="671">
        <f t="shared" ca="1" si="470"/>
        <v>2.1998863899999876</v>
      </c>
      <c r="AP237" s="671">
        <f t="shared" ca="1" si="446"/>
        <v>0.61319999999990338</v>
      </c>
      <c r="AQ237" s="671">
        <f t="shared" ca="1" si="447"/>
        <v>0.7377660400000029</v>
      </c>
      <c r="AR237" s="671">
        <f t="shared" si="448"/>
        <v>0</v>
      </c>
      <c r="AS237" s="671">
        <f t="shared" si="449"/>
        <v>18.16114</v>
      </c>
      <c r="AT237" s="671">
        <f t="shared" ca="1" si="450"/>
        <v>63.812011536374797</v>
      </c>
      <c r="AU237" s="671">
        <f t="shared" si="451"/>
        <v>0</v>
      </c>
      <c r="AV237" s="671">
        <f t="shared" si="452"/>
        <v>0</v>
      </c>
      <c r="AW237" s="671">
        <f t="shared" si="453"/>
        <v>0</v>
      </c>
      <c r="AX237" s="671">
        <f t="shared" si="454"/>
        <v>0.35880000000000001</v>
      </c>
      <c r="AY237" s="667">
        <f t="shared" ref="AY237:BC237" si="508">AY211</f>
        <v>25.167510640942421</v>
      </c>
      <c r="AZ237" s="668">
        <f t="shared" si="508"/>
        <v>0</v>
      </c>
      <c r="BA237" s="668">
        <f t="shared" ca="1" si="508"/>
        <v>2.1998863899999876</v>
      </c>
      <c r="BB237" s="668">
        <f t="shared" ca="1" si="508"/>
        <v>0.61319999999990338</v>
      </c>
      <c r="BC237" s="668">
        <f t="shared" ca="1" si="508"/>
        <v>0.7377660400000029</v>
      </c>
      <c r="BD237" s="668">
        <v>0</v>
      </c>
      <c r="BE237" s="668">
        <v>18.172000000000001</v>
      </c>
      <c r="BF237" s="668">
        <f ca="1">'הספק קיים ותחזית יצור'!C20-SUM('התפלגות ייצור וסל דלקים'!AY237:BE237,'התפלגות ייצור וסל דלקים'!BG237:BJ237)</f>
        <v>59.022146460994698</v>
      </c>
      <c r="BG237" s="668">
        <v>0</v>
      </c>
      <c r="BH237" s="668">
        <v>0</v>
      </c>
      <c r="BI237" s="668">
        <v>0</v>
      </c>
      <c r="BJ237" s="668">
        <v>0.36200000000000004</v>
      </c>
      <c r="BK237" s="672">
        <v>0</v>
      </c>
      <c r="BL237" s="671">
        <f t="shared" si="472"/>
        <v>25.167510640942421</v>
      </c>
      <c r="BM237" s="671">
        <f t="shared" ca="1" si="456"/>
        <v>2.1998863899999876</v>
      </c>
      <c r="BN237" s="671">
        <f t="shared" ca="1" si="457"/>
        <v>0.61319999999990338</v>
      </c>
      <c r="BO237" s="671">
        <f t="shared" ca="1" si="458"/>
        <v>0.7377660400000029</v>
      </c>
      <c r="BP237" s="671">
        <f t="shared" si="459"/>
        <v>0</v>
      </c>
      <c r="BQ237" s="671">
        <f t="shared" si="460"/>
        <v>18.172000000000001</v>
      </c>
      <c r="BR237" s="671">
        <f t="shared" ca="1" si="461"/>
        <v>59.022146460994698</v>
      </c>
      <c r="BS237" s="671">
        <f t="shared" si="462"/>
        <v>0</v>
      </c>
      <c r="BT237" s="671">
        <f t="shared" si="463"/>
        <v>0</v>
      </c>
      <c r="BU237" s="671">
        <f t="shared" si="464"/>
        <v>0</v>
      </c>
      <c r="BV237" s="673">
        <f t="shared" si="465"/>
        <v>0.36200000000000004</v>
      </c>
      <c r="BX237" s="855">
        <f t="shared" si="432"/>
        <v>2033</v>
      </c>
      <c r="BY237" s="866">
        <v>2.6298999999999999E-2</v>
      </c>
      <c r="BZ237" s="869">
        <f>BY237/('הספק קיים ותחזית יצור'!E69-('הספק קיים ותחזית יצור'!M127*'הנחות עבודה'!$D$35+'הנחות עבודה'!$D$36*'הספק קיים ותחזית יצור'!N127+'הספק קיים ותחזית יצור'!O127*'הנחות עבודה'!$D$37)/'הנחות עבודה'!$D$14)</f>
        <v>1.0262617141561215E-3</v>
      </c>
      <c r="CA237" s="301"/>
    </row>
    <row r="238" spans="2:79" ht="15.75" hidden="1" outlineLevel="1">
      <c r="B238" s="10">
        <f t="shared" ref="B238:G238" si="509">B212</f>
        <v>2034</v>
      </c>
      <c r="C238" s="667">
        <f t="shared" si="509"/>
        <v>12.673914940284423</v>
      </c>
      <c r="D238" s="668">
        <f t="shared" si="509"/>
        <v>0</v>
      </c>
      <c r="E238" s="668">
        <f t="shared" ca="1" si="509"/>
        <v>2.1998863899999876</v>
      </c>
      <c r="F238" s="668">
        <f t="shared" ca="1" si="509"/>
        <v>0.61319999999990338</v>
      </c>
      <c r="G238" s="668">
        <f t="shared" ca="1" si="509"/>
        <v>0.7377660400000029</v>
      </c>
      <c r="H238" s="668">
        <v>0</v>
      </c>
      <c r="I238" s="668">
        <v>18.44792</v>
      </c>
      <c r="J238" s="668">
        <f ca="1">'הספק קיים ותחזית יצור'!C21-SUM('התפלגות ייצור וסל דלקים'!C238:I238,'התפלגות ייצור וסל דלקים'!K238:N238)</f>
        <v>74.427497447610818</v>
      </c>
      <c r="K238" s="668">
        <v>0</v>
      </c>
      <c r="L238" s="668">
        <v>0</v>
      </c>
      <c r="M238" s="44">
        <v>0</v>
      </c>
      <c r="N238" s="669">
        <v>0.36255999999999999</v>
      </c>
      <c r="O238" s="670">
        <v>0</v>
      </c>
      <c r="P238" s="671">
        <f>HLOOKUP(B238,'מטריצת ייצור מתחדשות'!$C$130:$W$152,'מטריצת ייצור מתחדשות'!$B$151-'מטריצת ייצור מתחדשות'!$B$131+3,FALSE)</f>
        <v>12.673914940284423</v>
      </c>
      <c r="Q238" s="671">
        <f t="shared" ca="1" si="467"/>
        <v>2.1998863899999876</v>
      </c>
      <c r="R238" s="671">
        <f t="shared" ca="1" si="436"/>
        <v>0.61319999999990338</v>
      </c>
      <c r="S238" s="671">
        <f t="shared" ca="1" si="437"/>
        <v>0.7377660400000029</v>
      </c>
      <c r="T238" s="671">
        <f t="shared" si="438"/>
        <v>0</v>
      </c>
      <c r="U238" s="671">
        <f t="shared" si="439"/>
        <v>18.44792</v>
      </c>
      <c r="V238" s="671">
        <f t="shared" ca="1" si="440"/>
        <v>74.427497447610818</v>
      </c>
      <c r="W238" s="671">
        <f t="shared" si="441"/>
        <v>0</v>
      </c>
      <c r="X238" s="671">
        <f t="shared" si="442"/>
        <v>0</v>
      </c>
      <c r="Y238" s="671">
        <f t="shared" si="443"/>
        <v>0</v>
      </c>
      <c r="Z238" s="671">
        <f t="shared" si="444"/>
        <v>0.36255999999999999</v>
      </c>
      <c r="AA238" s="667">
        <f t="shared" ref="AA238:AE238" si="510">AA212</f>
        <v>20.269355332168946</v>
      </c>
      <c r="AB238" s="668">
        <f t="shared" si="510"/>
        <v>0</v>
      </c>
      <c r="AC238" s="668">
        <f t="shared" ca="1" si="510"/>
        <v>2.1998863899999876</v>
      </c>
      <c r="AD238" s="668">
        <f t="shared" ca="1" si="510"/>
        <v>0.61319999999990338</v>
      </c>
      <c r="AE238" s="668">
        <f t="shared" ca="1" si="510"/>
        <v>0.7377660400000029</v>
      </c>
      <c r="AF238" s="668">
        <v>0</v>
      </c>
      <c r="AG238" s="668">
        <v>18.568940000000001</v>
      </c>
      <c r="AH238" s="668">
        <f ca="1">'הספק קיים ותחזית יצור'!C21-SUM(AA238:AG238,AI238:AL238)</f>
        <v>66.713017055726283</v>
      </c>
      <c r="AI238" s="668">
        <v>0</v>
      </c>
      <c r="AJ238" s="668">
        <v>0</v>
      </c>
      <c r="AK238" s="44">
        <v>0</v>
      </c>
      <c r="AL238" s="669">
        <v>0.36058000000000001</v>
      </c>
      <c r="AM238" s="670">
        <f t="shared" si="469"/>
        <v>0</v>
      </c>
      <c r="AN238" s="671">
        <f t="shared" si="469"/>
        <v>20.269355332168946</v>
      </c>
      <c r="AO238" s="671">
        <f t="shared" ca="1" si="470"/>
        <v>2.1998863899999876</v>
      </c>
      <c r="AP238" s="671">
        <f t="shared" ca="1" si="446"/>
        <v>0.61319999999990338</v>
      </c>
      <c r="AQ238" s="671">
        <f t="shared" ca="1" si="447"/>
        <v>0.7377660400000029</v>
      </c>
      <c r="AR238" s="671">
        <f t="shared" si="448"/>
        <v>0</v>
      </c>
      <c r="AS238" s="671">
        <f t="shared" si="449"/>
        <v>18.568940000000001</v>
      </c>
      <c r="AT238" s="671">
        <f t="shared" ca="1" si="450"/>
        <v>66.713017055726283</v>
      </c>
      <c r="AU238" s="671">
        <f t="shared" si="451"/>
        <v>0</v>
      </c>
      <c r="AV238" s="671">
        <f t="shared" si="452"/>
        <v>0</v>
      </c>
      <c r="AW238" s="671">
        <f t="shared" si="453"/>
        <v>0</v>
      </c>
      <c r="AX238" s="671">
        <f t="shared" si="454"/>
        <v>0.36058000000000001</v>
      </c>
      <c r="AY238" s="667">
        <f t="shared" ref="AY238:BC238" si="511">AY212</f>
        <v>25.016505577096769</v>
      </c>
      <c r="AZ238" s="668">
        <f t="shared" si="511"/>
        <v>0</v>
      </c>
      <c r="BA238" s="668">
        <f t="shared" ca="1" si="511"/>
        <v>2.1998863899999876</v>
      </c>
      <c r="BB238" s="668">
        <f t="shared" ca="1" si="511"/>
        <v>0.61319999999990338</v>
      </c>
      <c r="BC238" s="668">
        <f t="shared" ca="1" si="511"/>
        <v>0.7377660400000029</v>
      </c>
      <c r="BD238" s="668">
        <v>0</v>
      </c>
      <c r="BE238" s="668">
        <v>18.445</v>
      </c>
      <c r="BF238" s="668">
        <f ca="1">'הספק קיים ותחזית יצור'!C21-SUM('התפלגות ייצור וסל דלקים'!AY238:BE238,'התפלגות ייצור וסל דלקים'!BG238:BJ238)</f>
        <v>62.100386810798462</v>
      </c>
      <c r="BG238" s="668">
        <v>0</v>
      </c>
      <c r="BH238" s="668">
        <v>0</v>
      </c>
      <c r="BI238" s="668">
        <v>0</v>
      </c>
      <c r="BJ238" s="668">
        <v>0.35000000000000003</v>
      </c>
      <c r="BK238" s="672">
        <v>0</v>
      </c>
      <c r="BL238" s="671">
        <f t="shared" si="472"/>
        <v>25.016505577096769</v>
      </c>
      <c r="BM238" s="671">
        <f t="shared" ca="1" si="456"/>
        <v>2.1998863899999876</v>
      </c>
      <c r="BN238" s="671">
        <f t="shared" ca="1" si="457"/>
        <v>0.61319999999990338</v>
      </c>
      <c r="BO238" s="671">
        <f t="shared" ca="1" si="458"/>
        <v>0.7377660400000029</v>
      </c>
      <c r="BP238" s="671">
        <f t="shared" si="459"/>
        <v>0</v>
      </c>
      <c r="BQ238" s="671">
        <f t="shared" si="460"/>
        <v>18.445</v>
      </c>
      <c r="BR238" s="671">
        <f t="shared" ca="1" si="461"/>
        <v>62.100386810798462</v>
      </c>
      <c r="BS238" s="671">
        <f t="shared" si="462"/>
        <v>0</v>
      </c>
      <c r="BT238" s="671">
        <f t="shared" si="463"/>
        <v>0</v>
      </c>
      <c r="BU238" s="671">
        <f t="shared" si="464"/>
        <v>0</v>
      </c>
      <c r="BV238" s="673">
        <f t="shared" si="465"/>
        <v>0.35000000000000003</v>
      </c>
      <c r="BX238" s="855">
        <f t="shared" si="432"/>
        <v>2034</v>
      </c>
      <c r="BY238" s="866">
        <v>1.5851000000000001E-2</v>
      </c>
      <c r="BZ238" s="869">
        <f>BY238/('הספק קיים ותחזית יצור'!E70-('הספק קיים ותחזית יצור'!M128*'הנחות עבודה'!$D$35+'הנחות עבודה'!$D$36*'הספק קיים ותחזית יצור'!N128+'הספק קיים ותחזית יצור'!O128*'הנחות עבודה'!$D$37)/'הנחות עבודה'!$D$14)</f>
        <v>6.1855106396017663E-4</v>
      </c>
      <c r="CA238" s="301"/>
    </row>
    <row r="239" spans="2:79" ht="15.75" hidden="1" outlineLevel="1">
      <c r="B239" s="10">
        <f t="shared" ref="B239:G239" si="512">B213</f>
        <v>2035</v>
      </c>
      <c r="C239" s="667">
        <f t="shared" si="512"/>
        <v>12.597871450642717</v>
      </c>
      <c r="D239" s="668">
        <f t="shared" si="512"/>
        <v>0</v>
      </c>
      <c r="E239" s="668">
        <f t="shared" ca="1" si="512"/>
        <v>2.1998863899999876</v>
      </c>
      <c r="F239" s="668">
        <f t="shared" ca="1" si="512"/>
        <v>0.61319999999990338</v>
      </c>
      <c r="G239" s="668">
        <f t="shared" ca="1" si="512"/>
        <v>0.7377660400000029</v>
      </c>
      <c r="H239" s="668">
        <v>0</v>
      </c>
      <c r="I239" s="668">
        <v>18.59188</v>
      </c>
      <c r="J239" s="668">
        <f ca="1">'הספק קיים ותחזית יצור'!C22-SUM('התפלגות ייצור וסל דלקים'!C239:I239,'התפלגות ייצור וסל דלקים'!K239:N239)</f>
        <v>77.642453281789386</v>
      </c>
      <c r="K239" s="668">
        <v>0</v>
      </c>
      <c r="L239" s="668">
        <v>0</v>
      </c>
      <c r="M239" s="44">
        <v>0</v>
      </c>
      <c r="N239" s="669">
        <v>0.36357</v>
      </c>
      <c r="O239" s="670">
        <v>0</v>
      </c>
      <c r="P239" s="671">
        <f>HLOOKUP(B239,'מטריצת ייצור מתחדשות'!$C$130:$W$152,'מטריצת ייצור מתחדשות'!$B$151-'מטריצת ייצור מתחדשות'!$B$131+3,FALSE)</f>
        <v>12.597871450642717</v>
      </c>
      <c r="Q239" s="671">
        <f t="shared" ca="1" si="467"/>
        <v>2.1998863899999876</v>
      </c>
      <c r="R239" s="671">
        <f t="shared" ca="1" si="436"/>
        <v>0.61319999999990338</v>
      </c>
      <c r="S239" s="671">
        <f t="shared" ca="1" si="437"/>
        <v>0.7377660400000029</v>
      </c>
      <c r="T239" s="671">
        <f t="shared" si="438"/>
        <v>0</v>
      </c>
      <c r="U239" s="671">
        <f t="shared" si="439"/>
        <v>18.59188</v>
      </c>
      <c r="V239" s="671">
        <f t="shared" ca="1" si="440"/>
        <v>77.642453281789386</v>
      </c>
      <c r="W239" s="671">
        <f t="shared" si="441"/>
        <v>0</v>
      </c>
      <c r="X239" s="671">
        <f t="shared" si="442"/>
        <v>0</v>
      </c>
      <c r="Y239" s="671">
        <f t="shared" si="443"/>
        <v>0</v>
      </c>
      <c r="Z239" s="671">
        <f t="shared" si="444"/>
        <v>0.36357</v>
      </c>
      <c r="AA239" s="667">
        <f t="shared" ref="AA239:AE239" si="513">AA213</f>
        <v>20.147739200175927</v>
      </c>
      <c r="AB239" s="668">
        <f t="shared" si="513"/>
        <v>0</v>
      </c>
      <c r="AC239" s="668">
        <f t="shared" ca="1" si="513"/>
        <v>2.1998863899999876</v>
      </c>
      <c r="AD239" s="668">
        <f t="shared" ca="1" si="513"/>
        <v>0.61319999999990338</v>
      </c>
      <c r="AE239" s="668">
        <f t="shared" ca="1" si="513"/>
        <v>0.7377660400000029</v>
      </c>
      <c r="AF239" s="668">
        <v>0</v>
      </c>
      <c r="AG239" s="668">
        <v>18.731860000000001</v>
      </c>
      <c r="AH239" s="668">
        <f ca="1">'הספק קיים ותחזית יצור'!C22-SUM(AA239:AG239,AI239:AL239)</f>
        <v>69.958085532256177</v>
      </c>
      <c r="AI239" s="668">
        <v>0</v>
      </c>
      <c r="AJ239" s="668">
        <v>0</v>
      </c>
      <c r="AK239" s="44">
        <v>0</v>
      </c>
      <c r="AL239" s="669">
        <v>0.35809000000000002</v>
      </c>
      <c r="AM239" s="670">
        <f t="shared" si="469"/>
        <v>0</v>
      </c>
      <c r="AN239" s="671">
        <f t="shared" si="469"/>
        <v>20.147739200175927</v>
      </c>
      <c r="AO239" s="671">
        <f t="shared" ca="1" si="470"/>
        <v>2.1998863899999876</v>
      </c>
      <c r="AP239" s="671">
        <f t="shared" ca="1" si="446"/>
        <v>0.61319999999990338</v>
      </c>
      <c r="AQ239" s="671">
        <f t="shared" ca="1" si="447"/>
        <v>0.7377660400000029</v>
      </c>
      <c r="AR239" s="671">
        <f t="shared" si="448"/>
        <v>0</v>
      </c>
      <c r="AS239" s="671">
        <f t="shared" si="449"/>
        <v>18.731860000000001</v>
      </c>
      <c r="AT239" s="671">
        <f t="shared" ca="1" si="450"/>
        <v>69.958085532256177</v>
      </c>
      <c r="AU239" s="671">
        <f t="shared" si="451"/>
        <v>0</v>
      </c>
      <c r="AV239" s="671">
        <f t="shared" si="452"/>
        <v>0</v>
      </c>
      <c r="AW239" s="671">
        <f t="shared" si="453"/>
        <v>0</v>
      </c>
      <c r="AX239" s="671">
        <f t="shared" si="454"/>
        <v>0.35809000000000002</v>
      </c>
      <c r="AY239" s="667">
        <f t="shared" ref="AY239:BC239" si="514">AY213</f>
        <v>24.866406543634188</v>
      </c>
      <c r="AZ239" s="668">
        <f t="shared" si="514"/>
        <v>0</v>
      </c>
      <c r="BA239" s="668">
        <f t="shared" ca="1" si="514"/>
        <v>2.1998863899999876</v>
      </c>
      <c r="BB239" s="668">
        <f t="shared" ca="1" si="514"/>
        <v>0.61319999999990338</v>
      </c>
      <c r="BC239" s="668">
        <f t="shared" ca="1" si="514"/>
        <v>0.7377660400000029</v>
      </c>
      <c r="BD239" s="668">
        <v>0</v>
      </c>
      <c r="BE239" s="668">
        <v>18.725000000000001</v>
      </c>
      <c r="BF239" s="668">
        <f ca="1">'הספק קיים ותחזית יצור'!C22-SUM('התפלגות ייצור וסל דלקים'!AY239:BE239,'התפלגות ייצור וסל דלקים'!BG239:BJ239)</f>
        <v>65.255368188797917</v>
      </c>
      <c r="BG239" s="668">
        <v>0</v>
      </c>
      <c r="BH239" s="668">
        <v>0</v>
      </c>
      <c r="BI239" s="668">
        <v>0</v>
      </c>
      <c r="BJ239" s="668">
        <v>0.34900000000000003</v>
      </c>
      <c r="BK239" s="672">
        <v>0</v>
      </c>
      <c r="BL239" s="671">
        <f t="shared" si="472"/>
        <v>24.866406543634188</v>
      </c>
      <c r="BM239" s="671">
        <f t="shared" ca="1" si="456"/>
        <v>2.1998863899999876</v>
      </c>
      <c r="BN239" s="671">
        <f t="shared" ca="1" si="457"/>
        <v>0.61319999999990338</v>
      </c>
      <c r="BO239" s="671">
        <f t="shared" ca="1" si="458"/>
        <v>0.7377660400000029</v>
      </c>
      <c r="BP239" s="671">
        <f t="shared" si="459"/>
        <v>0</v>
      </c>
      <c r="BQ239" s="671">
        <f t="shared" si="460"/>
        <v>18.725000000000001</v>
      </c>
      <c r="BR239" s="671">
        <f t="shared" ca="1" si="461"/>
        <v>65.255368188797917</v>
      </c>
      <c r="BS239" s="671">
        <f t="shared" si="462"/>
        <v>0</v>
      </c>
      <c r="BT239" s="671">
        <f t="shared" si="463"/>
        <v>0</v>
      </c>
      <c r="BU239" s="671">
        <f t="shared" si="464"/>
        <v>0</v>
      </c>
      <c r="BV239" s="673">
        <f t="shared" si="465"/>
        <v>0.34900000000000003</v>
      </c>
      <c r="BX239" s="855">
        <f t="shared" si="432"/>
        <v>2035</v>
      </c>
      <c r="BY239" s="866">
        <v>1.1679999999999999E-2</v>
      </c>
      <c r="BZ239" s="869">
        <f>BY239/('הספק קיים ותחזית יצור'!E71-('הספק קיים ותחזית יצור'!M129*'הנחות עבודה'!$D$35+'הנחות עבודה'!$D$36*'הספק קיים ותחזית יצור'!N129+'הספק קיים ותחזית יצור'!O129*'הנחות עבודה'!$D$37)/'הנחות עבודה'!$D$14)</f>
        <v>4.5578679118382827E-4</v>
      </c>
      <c r="CA239" s="301"/>
    </row>
    <row r="240" spans="2:79" ht="15.75" hidden="1" outlineLevel="1">
      <c r="B240" s="10">
        <f t="shared" ref="B240:G240" si="515">B214</f>
        <v>2036</v>
      </c>
      <c r="C240" s="667">
        <f t="shared" si="515"/>
        <v>12.522284221938861</v>
      </c>
      <c r="D240" s="668">
        <f t="shared" si="515"/>
        <v>0</v>
      </c>
      <c r="E240" s="668">
        <f t="shared" ca="1" si="515"/>
        <v>2.1998863899999876</v>
      </c>
      <c r="F240" s="668">
        <f t="shared" ca="1" si="515"/>
        <v>0.61319999999990338</v>
      </c>
      <c r="G240" s="668">
        <f t="shared" ca="1" si="515"/>
        <v>0.7377660400000029</v>
      </c>
      <c r="H240" s="668">
        <v>0</v>
      </c>
      <c r="I240" s="668">
        <v>18.573360000000001</v>
      </c>
      <c r="J240" s="668">
        <f ca="1">'הספק קיים ותחזית יצור'!C23-SUM('התפלגות ייצור וסל דלקים'!C240:I240,'התפלגות ייצור וסל דלקים'!K240:N240)</f>
        <v>81.1236893253662</v>
      </c>
      <c r="K240" s="668">
        <v>0</v>
      </c>
      <c r="L240" s="668">
        <v>0</v>
      </c>
      <c r="M240" s="44">
        <v>0</v>
      </c>
      <c r="N240" s="669">
        <v>0.35884000000000005</v>
      </c>
      <c r="O240" s="670">
        <v>0</v>
      </c>
      <c r="P240" s="671">
        <f>HLOOKUP(B240,'מטריצת ייצור מתחדשות'!$C$130:$W$152,'מטריצת ייצור מתחדשות'!$B$151-'מטריצת ייצור מתחדשות'!$B$131+3,FALSE)</f>
        <v>12.522284221938861</v>
      </c>
      <c r="Q240" s="671">
        <f t="shared" ca="1" si="467"/>
        <v>2.1998863899999876</v>
      </c>
      <c r="R240" s="671">
        <f t="shared" ca="1" si="436"/>
        <v>0.61319999999990338</v>
      </c>
      <c r="S240" s="671">
        <f t="shared" ca="1" si="437"/>
        <v>0.7377660400000029</v>
      </c>
      <c r="T240" s="671">
        <f t="shared" si="438"/>
        <v>0</v>
      </c>
      <c r="U240" s="671">
        <f t="shared" si="439"/>
        <v>18.573360000000001</v>
      </c>
      <c r="V240" s="671">
        <f t="shared" ca="1" si="440"/>
        <v>81.1236893253662</v>
      </c>
      <c r="W240" s="671">
        <f t="shared" si="441"/>
        <v>0</v>
      </c>
      <c r="X240" s="671">
        <f t="shared" si="442"/>
        <v>0</v>
      </c>
      <c r="Y240" s="671">
        <f t="shared" si="443"/>
        <v>0</v>
      </c>
      <c r="Z240" s="671">
        <f t="shared" si="444"/>
        <v>0.35884000000000005</v>
      </c>
      <c r="AA240" s="667">
        <f t="shared" ref="AA240:AE240" si="516">AA214</f>
        <v>20.026852764974876</v>
      </c>
      <c r="AB240" s="668">
        <f t="shared" si="516"/>
        <v>0</v>
      </c>
      <c r="AC240" s="668">
        <f t="shared" ca="1" si="516"/>
        <v>2.1998863899999876</v>
      </c>
      <c r="AD240" s="668">
        <f t="shared" ca="1" si="516"/>
        <v>0.61319999999990338</v>
      </c>
      <c r="AE240" s="668">
        <f t="shared" ca="1" si="516"/>
        <v>0.7377660400000029</v>
      </c>
      <c r="AF240" s="668">
        <v>0</v>
      </c>
      <c r="AG240" s="668">
        <v>19.123650000000001</v>
      </c>
      <c r="AH240" s="668">
        <f ca="1">'הספק קיים ותחזית יצור'!C23-SUM(AA240:AG240,AI240:AL240)</f>
        <v>73.064020782330175</v>
      </c>
      <c r="AI240" s="668">
        <v>0</v>
      </c>
      <c r="AJ240" s="668">
        <v>0</v>
      </c>
      <c r="AK240" s="44">
        <v>0</v>
      </c>
      <c r="AL240" s="669">
        <v>0.36365000000000003</v>
      </c>
      <c r="AM240" s="670">
        <f t="shared" si="469"/>
        <v>0</v>
      </c>
      <c r="AN240" s="671">
        <f t="shared" si="469"/>
        <v>20.026852764974876</v>
      </c>
      <c r="AO240" s="671">
        <f t="shared" ca="1" si="470"/>
        <v>2.1998863899999876</v>
      </c>
      <c r="AP240" s="671">
        <f t="shared" ca="1" si="446"/>
        <v>0.61319999999990338</v>
      </c>
      <c r="AQ240" s="671">
        <f t="shared" ca="1" si="447"/>
        <v>0.7377660400000029</v>
      </c>
      <c r="AR240" s="671">
        <f t="shared" si="448"/>
        <v>0</v>
      </c>
      <c r="AS240" s="671">
        <f t="shared" si="449"/>
        <v>19.123650000000001</v>
      </c>
      <c r="AT240" s="671">
        <f t="shared" ca="1" si="450"/>
        <v>73.064020782330175</v>
      </c>
      <c r="AU240" s="671">
        <f t="shared" si="451"/>
        <v>0</v>
      </c>
      <c r="AV240" s="671">
        <f t="shared" si="452"/>
        <v>0</v>
      </c>
      <c r="AW240" s="671">
        <f t="shared" si="453"/>
        <v>0</v>
      </c>
      <c r="AX240" s="671">
        <f t="shared" si="454"/>
        <v>0.36365000000000003</v>
      </c>
      <c r="AY240" s="667">
        <f t="shared" ref="AY240:BC240" si="517">AY214</f>
        <v>24.717208104372386</v>
      </c>
      <c r="AZ240" s="668">
        <f t="shared" si="517"/>
        <v>0</v>
      </c>
      <c r="BA240" s="668">
        <f t="shared" ca="1" si="517"/>
        <v>2.1998863899999876</v>
      </c>
      <c r="BB240" s="668">
        <f t="shared" ca="1" si="517"/>
        <v>0.61319999999990338</v>
      </c>
      <c r="BC240" s="668">
        <f t="shared" ca="1" si="517"/>
        <v>0.7377660400000029</v>
      </c>
      <c r="BD240" s="668">
        <v>0</v>
      </c>
      <c r="BE240" s="668">
        <v>19.120999999999999</v>
      </c>
      <c r="BF240" s="668">
        <f ca="1">'הספק קיים ותחזית יצור'!C23-SUM('התפלגות ייצור וסל דלקים'!AY240:BE240,'התפלגות ייצור וסל דלקים'!BG240:BJ240)</f>
        <v>68.389965442932663</v>
      </c>
      <c r="BG240" s="668">
        <v>0</v>
      </c>
      <c r="BH240" s="668">
        <v>0</v>
      </c>
      <c r="BI240" s="668">
        <v>0</v>
      </c>
      <c r="BJ240" s="668">
        <v>0.35</v>
      </c>
      <c r="BK240" s="672">
        <v>0</v>
      </c>
      <c r="BL240" s="671">
        <f t="shared" si="472"/>
        <v>24.717208104372386</v>
      </c>
      <c r="BM240" s="671">
        <f t="shared" ca="1" si="456"/>
        <v>2.1998863899999876</v>
      </c>
      <c r="BN240" s="671">
        <f t="shared" ca="1" si="457"/>
        <v>0.61319999999990338</v>
      </c>
      <c r="BO240" s="671">
        <f t="shared" ca="1" si="458"/>
        <v>0.7377660400000029</v>
      </c>
      <c r="BP240" s="671">
        <f t="shared" si="459"/>
        <v>0</v>
      </c>
      <c r="BQ240" s="671">
        <f t="shared" si="460"/>
        <v>19.120999999999999</v>
      </c>
      <c r="BR240" s="671">
        <f t="shared" ca="1" si="461"/>
        <v>68.389965442932663</v>
      </c>
      <c r="BS240" s="671">
        <f t="shared" si="462"/>
        <v>0</v>
      </c>
      <c r="BT240" s="671">
        <f t="shared" si="463"/>
        <v>0</v>
      </c>
      <c r="BU240" s="671">
        <f t="shared" si="464"/>
        <v>0</v>
      </c>
      <c r="BV240" s="673">
        <f t="shared" si="465"/>
        <v>0.35</v>
      </c>
      <c r="BX240" s="855">
        <f t="shared" si="432"/>
        <v>2036</v>
      </c>
      <c r="BY240" s="866">
        <v>3.2130000000000001E-3</v>
      </c>
      <c r="BZ240" s="869">
        <f>BY240/('הספק קיים ותחזית יצור'!E72-('הספק קיים ותחזית יצור'!M130*'הנחות עבודה'!$D$35+'הנחות עבודה'!$D$36*'הספק קיים ותחזית יצור'!N130+'הספק קיים ותחזית יצור'!O130*'הנחות עבודה'!$D$37)/'הנחות עבודה'!$D$14)</f>
        <v>1.2538039041726373E-4</v>
      </c>
      <c r="CA240" s="301"/>
    </row>
    <row r="241" spans="2:79" ht="15.75" hidden="1" outlineLevel="1">
      <c r="B241" s="10">
        <f t="shared" ref="B241:G241" si="518">B215</f>
        <v>2037</v>
      </c>
      <c r="C241" s="667">
        <f t="shared" si="518"/>
        <v>12.44715051660723</v>
      </c>
      <c r="D241" s="668">
        <f t="shared" si="518"/>
        <v>0</v>
      </c>
      <c r="E241" s="668">
        <f t="shared" ca="1" si="518"/>
        <v>2.1998863899999876</v>
      </c>
      <c r="F241" s="668">
        <f t="shared" ca="1" si="518"/>
        <v>0.61319999999990338</v>
      </c>
      <c r="G241" s="668">
        <f t="shared" ca="1" si="518"/>
        <v>0.7377660400000029</v>
      </c>
      <c r="H241" s="668">
        <v>0</v>
      </c>
      <c r="I241" s="668">
        <v>19.186389999999999</v>
      </c>
      <c r="J241" s="668">
        <f ca="1">'הספק קיים ותחזית יצור'!C24-SUM('התפלגות ייצור וסל דלקים'!C241:I241,'התפלגות ייצור וסל דלקים'!K241:N241)</f>
        <v>84.036493810016978</v>
      </c>
      <c r="K241" s="668">
        <v>0</v>
      </c>
      <c r="L241" s="668">
        <v>0</v>
      </c>
      <c r="M241" s="44">
        <v>0</v>
      </c>
      <c r="N241" s="669">
        <v>0.39201000000000003</v>
      </c>
      <c r="O241" s="670">
        <v>0</v>
      </c>
      <c r="P241" s="671">
        <f>HLOOKUP(B241,'מטריצת ייצור מתחדשות'!$C$130:$W$152,'מטריצת ייצור מתחדשות'!$B$151-'מטריצת ייצור מתחדשות'!$B$131+3,FALSE)</f>
        <v>12.44715051660723</v>
      </c>
      <c r="Q241" s="671">
        <f t="shared" ca="1" si="467"/>
        <v>2.1998863899999876</v>
      </c>
      <c r="R241" s="671">
        <f t="shared" ca="1" si="436"/>
        <v>0.61319999999990338</v>
      </c>
      <c r="S241" s="671">
        <f t="shared" ca="1" si="437"/>
        <v>0.7377660400000029</v>
      </c>
      <c r="T241" s="671">
        <f t="shared" si="438"/>
        <v>0</v>
      </c>
      <c r="U241" s="671">
        <f t="shared" si="439"/>
        <v>19.186389999999999</v>
      </c>
      <c r="V241" s="671">
        <f t="shared" ca="1" si="440"/>
        <v>84.036493810016978</v>
      </c>
      <c r="W241" s="671">
        <f t="shared" si="441"/>
        <v>0</v>
      </c>
      <c r="X241" s="671">
        <f t="shared" si="442"/>
        <v>0</v>
      </c>
      <c r="Y241" s="671">
        <f t="shared" si="443"/>
        <v>0</v>
      </c>
      <c r="Z241" s="671">
        <f t="shared" si="444"/>
        <v>0.39201000000000003</v>
      </c>
      <c r="AA241" s="667">
        <f t="shared" ref="AA241:AE241" si="519">AA215</f>
        <v>19.906691648385024</v>
      </c>
      <c r="AB241" s="668">
        <f t="shared" si="519"/>
        <v>0</v>
      </c>
      <c r="AC241" s="668">
        <f t="shared" ca="1" si="519"/>
        <v>2.1998863899999876</v>
      </c>
      <c r="AD241" s="668">
        <f t="shared" ca="1" si="519"/>
        <v>0.61319999999990338</v>
      </c>
      <c r="AE241" s="668">
        <f t="shared" ca="1" si="519"/>
        <v>0.7377660400000029</v>
      </c>
      <c r="AF241" s="668">
        <v>0</v>
      </c>
      <c r="AG241" s="668">
        <v>19.225080000000002</v>
      </c>
      <c r="AH241" s="668">
        <f ca="1">'הספק קיים ותחזית יצור'!C24-SUM(AA241:AG241,AI241:AL241)</f>
        <v>76.564202678239184</v>
      </c>
      <c r="AI241" s="668">
        <v>0</v>
      </c>
      <c r="AJ241" s="668">
        <v>0</v>
      </c>
      <c r="AK241" s="44">
        <v>0</v>
      </c>
      <c r="AL241" s="669">
        <v>0.36607000000000001</v>
      </c>
      <c r="AM241" s="670">
        <f t="shared" si="469"/>
        <v>0</v>
      </c>
      <c r="AN241" s="671">
        <f t="shared" si="469"/>
        <v>19.906691648385024</v>
      </c>
      <c r="AO241" s="671">
        <f t="shared" ca="1" si="470"/>
        <v>2.1998863899999876</v>
      </c>
      <c r="AP241" s="671">
        <f t="shared" ca="1" si="446"/>
        <v>0.61319999999990338</v>
      </c>
      <c r="AQ241" s="671">
        <f t="shared" ca="1" si="447"/>
        <v>0.7377660400000029</v>
      </c>
      <c r="AR241" s="671">
        <f t="shared" si="448"/>
        <v>0</v>
      </c>
      <c r="AS241" s="671">
        <f t="shared" si="449"/>
        <v>19.225080000000002</v>
      </c>
      <c r="AT241" s="671">
        <f t="shared" ca="1" si="450"/>
        <v>76.564202678239184</v>
      </c>
      <c r="AU241" s="671">
        <f t="shared" si="451"/>
        <v>0</v>
      </c>
      <c r="AV241" s="671">
        <f t="shared" si="452"/>
        <v>0</v>
      </c>
      <c r="AW241" s="671">
        <f t="shared" si="453"/>
        <v>0</v>
      </c>
      <c r="AX241" s="671">
        <f t="shared" si="454"/>
        <v>0.36607000000000001</v>
      </c>
      <c r="AY241" s="667">
        <f t="shared" ref="AY241:BC241" si="520">AY215</f>
        <v>24.568904855746148</v>
      </c>
      <c r="AZ241" s="668">
        <f t="shared" si="520"/>
        <v>0</v>
      </c>
      <c r="BA241" s="668">
        <f t="shared" ca="1" si="520"/>
        <v>2.1998863899999876</v>
      </c>
      <c r="BB241" s="668">
        <f t="shared" ca="1" si="520"/>
        <v>0.61319999999990338</v>
      </c>
      <c r="BC241" s="668">
        <f t="shared" ca="1" si="520"/>
        <v>0.7377660400000029</v>
      </c>
      <c r="BD241" s="668">
        <v>0</v>
      </c>
      <c r="BE241" s="668">
        <v>19.367000000000001</v>
      </c>
      <c r="BF241" s="668">
        <f ca="1">'הספק קיים ותחזית יצור'!C24-SUM('התפלגות ייצור וסל דלקים'!AY241:BE241,'התפלגות ייצור וסל דלקים'!BG241:BJ241)</f>
        <v>71.774139470878055</v>
      </c>
      <c r="BG241" s="668">
        <v>0</v>
      </c>
      <c r="BH241" s="668">
        <v>0</v>
      </c>
      <c r="BI241" s="668">
        <v>0</v>
      </c>
      <c r="BJ241" s="668">
        <v>0.35200000000000004</v>
      </c>
      <c r="BK241" s="672">
        <v>0</v>
      </c>
      <c r="BL241" s="671">
        <f t="shared" si="472"/>
        <v>24.568904855746148</v>
      </c>
      <c r="BM241" s="671">
        <f t="shared" ca="1" si="456"/>
        <v>2.1998863899999876</v>
      </c>
      <c r="BN241" s="671">
        <f t="shared" ca="1" si="457"/>
        <v>0.61319999999990338</v>
      </c>
      <c r="BO241" s="671">
        <f t="shared" ca="1" si="458"/>
        <v>0.7377660400000029</v>
      </c>
      <c r="BP241" s="671">
        <f t="shared" si="459"/>
        <v>0</v>
      </c>
      <c r="BQ241" s="671">
        <f t="shared" si="460"/>
        <v>19.367000000000001</v>
      </c>
      <c r="BR241" s="671">
        <f t="shared" ca="1" si="461"/>
        <v>71.774139470878055</v>
      </c>
      <c r="BS241" s="671">
        <f t="shared" si="462"/>
        <v>0</v>
      </c>
      <c r="BT241" s="671">
        <f t="shared" si="463"/>
        <v>0</v>
      </c>
      <c r="BU241" s="671">
        <f t="shared" si="464"/>
        <v>0</v>
      </c>
      <c r="BV241" s="673">
        <f t="shared" si="465"/>
        <v>0.35200000000000004</v>
      </c>
      <c r="BX241" s="855">
        <f t="shared" si="432"/>
        <v>2037</v>
      </c>
      <c r="BY241" s="866">
        <v>3.2200000000000002E-3</v>
      </c>
      <c r="BZ241" s="869">
        <f>BY241/('הספק קיים ותחזית יצור'!E73-('הספק קיים ותחזית יצור'!M131*'הנחות עבודה'!$D$35+'הנחות עבודה'!$D$36*'הספק קיים ותחזית יצור'!N131+'הספק קיים ותחזית יצור'!O131*'הנחות עבודה'!$D$37)/'הנחות עבודה'!$D$14)</f>
        <v>1.2565355030924035E-4</v>
      </c>
      <c r="CA241" s="301"/>
    </row>
    <row r="242" spans="2:79" ht="15.75" hidden="1" outlineLevel="1">
      <c r="B242" s="10">
        <f t="shared" ref="B242:G242" si="521">B216</f>
        <v>2038</v>
      </c>
      <c r="C242" s="667">
        <f t="shared" si="521"/>
        <v>12.372467613507585</v>
      </c>
      <c r="D242" s="668">
        <f t="shared" si="521"/>
        <v>0</v>
      </c>
      <c r="E242" s="668">
        <f t="shared" ca="1" si="521"/>
        <v>2.1998863899999876</v>
      </c>
      <c r="F242" s="668">
        <f t="shared" ca="1" si="521"/>
        <v>0.61319999999990338</v>
      </c>
      <c r="G242" s="668">
        <f t="shared" ca="1" si="521"/>
        <v>0.7377660400000029</v>
      </c>
      <c r="H242" s="668">
        <v>0</v>
      </c>
      <c r="I242" s="668">
        <v>19.60127</v>
      </c>
      <c r="J242" s="668">
        <f ca="1">'הספק קיים ותחזית יצור'!C25-SUM('התפלגות ייצור וסל דלקים'!C242:I242,'התפלגות ייצור וסל דלקים'!K242:N242)</f>
        <v>87.265653615815353</v>
      </c>
      <c r="K242" s="668">
        <v>0</v>
      </c>
      <c r="L242" s="668">
        <v>0</v>
      </c>
      <c r="M242" s="44">
        <v>0</v>
      </c>
      <c r="N242" s="669">
        <v>0.41103999999999996</v>
      </c>
      <c r="O242" s="670">
        <v>0</v>
      </c>
      <c r="P242" s="671">
        <f>HLOOKUP(B242,'מטריצת ייצור מתחדשות'!$C$130:$W$152,'מטריצת ייצור מתחדשות'!$B$151-'מטריצת ייצור מתחדשות'!$B$131+3,FALSE)</f>
        <v>12.372467613507585</v>
      </c>
      <c r="Q242" s="671">
        <f t="shared" ca="1" si="467"/>
        <v>2.1998863899999876</v>
      </c>
      <c r="R242" s="671">
        <f t="shared" ca="1" si="436"/>
        <v>0.61319999999990338</v>
      </c>
      <c r="S242" s="671">
        <f t="shared" ca="1" si="437"/>
        <v>0.7377660400000029</v>
      </c>
      <c r="T242" s="671">
        <f t="shared" si="438"/>
        <v>0</v>
      </c>
      <c r="U242" s="671">
        <f t="shared" si="439"/>
        <v>19.60127</v>
      </c>
      <c r="V242" s="671">
        <f t="shared" ca="1" si="440"/>
        <v>87.265653615815353</v>
      </c>
      <c r="W242" s="671">
        <f t="shared" si="441"/>
        <v>0</v>
      </c>
      <c r="X242" s="671">
        <f t="shared" si="442"/>
        <v>0</v>
      </c>
      <c r="Y242" s="671">
        <f t="shared" si="443"/>
        <v>0</v>
      </c>
      <c r="Z242" s="671">
        <f t="shared" si="444"/>
        <v>0.41103999999999996</v>
      </c>
      <c r="AA242" s="667">
        <f t="shared" ref="AA242:AE242" si="522">AA216</f>
        <v>19.787251498494712</v>
      </c>
      <c r="AB242" s="668">
        <f t="shared" si="522"/>
        <v>0</v>
      </c>
      <c r="AC242" s="668">
        <f t="shared" ca="1" si="522"/>
        <v>2.1998863899999876</v>
      </c>
      <c r="AD242" s="668">
        <f t="shared" ca="1" si="522"/>
        <v>0.61319999999990338</v>
      </c>
      <c r="AE242" s="668">
        <f t="shared" ca="1" si="522"/>
        <v>0.7377660400000029</v>
      </c>
      <c r="AF242" s="668">
        <v>0</v>
      </c>
      <c r="AG242" s="668">
        <v>19.50892</v>
      </c>
      <c r="AH242" s="668">
        <f ca="1">'הספק קיים ותחזית יצור'!C25-SUM(AA242:AG242,AI242:AL242)</f>
        <v>79.989109730828218</v>
      </c>
      <c r="AI242" s="668">
        <v>0</v>
      </c>
      <c r="AJ242" s="668">
        <v>0</v>
      </c>
      <c r="AK242" s="44">
        <v>0</v>
      </c>
      <c r="AL242" s="669">
        <v>0.36515000000000003</v>
      </c>
      <c r="AM242" s="670">
        <f t="shared" si="469"/>
        <v>0</v>
      </c>
      <c r="AN242" s="671">
        <f t="shared" si="469"/>
        <v>19.787251498494712</v>
      </c>
      <c r="AO242" s="671">
        <f t="shared" ca="1" si="470"/>
        <v>2.1998863899999876</v>
      </c>
      <c r="AP242" s="671">
        <f t="shared" ca="1" si="446"/>
        <v>0.61319999999990338</v>
      </c>
      <c r="AQ242" s="671">
        <f t="shared" ca="1" si="447"/>
        <v>0.7377660400000029</v>
      </c>
      <c r="AR242" s="671">
        <f t="shared" si="448"/>
        <v>0</v>
      </c>
      <c r="AS242" s="671">
        <f t="shared" si="449"/>
        <v>19.50892</v>
      </c>
      <c r="AT242" s="671">
        <f t="shared" ca="1" si="450"/>
        <v>79.989109730828218</v>
      </c>
      <c r="AU242" s="671">
        <f t="shared" si="451"/>
        <v>0</v>
      </c>
      <c r="AV242" s="671">
        <f t="shared" si="452"/>
        <v>0</v>
      </c>
      <c r="AW242" s="671">
        <f t="shared" si="453"/>
        <v>0</v>
      </c>
      <c r="AX242" s="671">
        <f t="shared" si="454"/>
        <v>0.36515000000000003</v>
      </c>
      <c r="AY242" s="667">
        <f t="shared" ref="AY242:BC242" si="523">AY216</f>
        <v>24.421491426611677</v>
      </c>
      <c r="AZ242" s="668">
        <f t="shared" si="523"/>
        <v>0</v>
      </c>
      <c r="BA242" s="668">
        <f t="shared" ca="1" si="523"/>
        <v>2.1998863899999876</v>
      </c>
      <c r="BB242" s="668">
        <f t="shared" ca="1" si="523"/>
        <v>0.61319999999990338</v>
      </c>
      <c r="BC242" s="668">
        <f t="shared" ca="1" si="523"/>
        <v>0.7377660400000029</v>
      </c>
      <c r="BD242" s="668">
        <v>0</v>
      </c>
      <c r="BE242" s="668">
        <v>19.613</v>
      </c>
      <c r="BF242" s="668">
        <f ca="1">'הספק קיים ותחזית יצור'!C25-SUM('התפלגות ייצור וסל דלקים'!AY242:BE242,'התפלגות ייצור וסל דלקים'!BG242:BJ242)</f>
        <v>75.269939802711264</v>
      </c>
      <c r="BG242" s="668">
        <v>0</v>
      </c>
      <c r="BH242" s="668">
        <v>0</v>
      </c>
      <c r="BI242" s="668">
        <v>0</v>
      </c>
      <c r="BJ242" s="668">
        <v>0.34600000000000003</v>
      </c>
      <c r="BK242" s="672">
        <v>0</v>
      </c>
      <c r="BL242" s="671">
        <f t="shared" si="472"/>
        <v>24.421491426611677</v>
      </c>
      <c r="BM242" s="671">
        <f t="shared" ca="1" si="456"/>
        <v>2.1998863899999876</v>
      </c>
      <c r="BN242" s="671">
        <f t="shared" ca="1" si="457"/>
        <v>0.61319999999990338</v>
      </c>
      <c r="BO242" s="671">
        <f t="shared" ca="1" si="458"/>
        <v>0.7377660400000029</v>
      </c>
      <c r="BP242" s="671">
        <f t="shared" si="459"/>
        <v>0</v>
      </c>
      <c r="BQ242" s="671">
        <f t="shared" si="460"/>
        <v>19.613</v>
      </c>
      <c r="BR242" s="671">
        <f t="shared" ca="1" si="461"/>
        <v>75.269939802711264</v>
      </c>
      <c r="BS242" s="671">
        <f t="shared" si="462"/>
        <v>0</v>
      </c>
      <c r="BT242" s="671">
        <f t="shared" si="463"/>
        <v>0</v>
      </c>
      <c r="BU242" s="671">
        <f t="shared" si="464"/>
        <v>0</v>
      </c>
      <c r="BV242" s="673">
        <f t="shared" si="465"/>
        <v>0.34600000000000003</v>
      </c>
      <c r="BX242" s="855">
        <f t="shared" si="432"/>
        <v>2038</v>
      </c>
      <c r="BY242" s="866">
        <v>3.5279999999999999E-3</v>
      </c>
      <c r="BZ242" s="869">
        <f>BY242/('הספק קיים ותחזית יצור'!E74-('הספק קיים ותחזית יצור'!M132*'הנחות עבודה'!$D$35+'הנחות עבודה'!$D$36*'הספק קיים ותחזית יצור'!N132+'הספק קיים ותחזית יצור'!O132*'הנחות עבודה'!$D$37)/'הנחות עבודה'!$D$14)</f>
        <v>1.3767258555621114E-4</v>
      </c>
      <c r="CA242" s="301"/>
    </row>
    <row r="243" spans="2:79" ht="15.75" hidden="1" outlineLevel="1">
      <c r="B243" s="10">
        <f t="shared" ref="B243:G243" si="524">B217</f>
        <v>2039</v>
      </c>
      <c r="C243" s="667">
        <f t="shared" si="524"/>
        <v>12.298232807826535</v>
      </c>
      <c r="D243" s="668">
        <f t="shared" si="524"/>
        <v>0</v>
      </c>
      <c r="E243" s="668">
        <f t="shared" ca="1" si="524"/>
        <v>2.1998863899999876</v>
      </c>
      <c r="F243" s="668">
        <f t="shared" ca="1" si="524"/>
        <v>0.61319999999990338</v>
      </c>
      <c r="G243" s="668">
        <f t="shared" ca="1" si="524"/>
        <v>0.7377660400000029</v>
      </c>
      <c r="H243" s="668">
        <v>0</v>
      </c>
      <c r="I243" s="668">
        <v>19.602959999999999</v>
      </c>
      <c r="J243" s="668">
        <f ca="1">'הספק קיים ותחזית יצור'!C26-SUM('התפלגות ייצור וסל דלקים'!C243:I243,'התפלגות ייצור וסל דלקים'!K243:N243)</f>
        <v>90.986436931276074</v>
      </c>
      <c r="K243" s="668">
        <v>0</v>
      </c>
      <c r="L243" s="668">
        <v>0</v>
      </c>
      <c r="M243" s="44">
        <v>0</v>
      </c>
      <c r="N243" s="669">
        <v>0.45884000000000003</v>
      </c>
      <c r="O243" s="670">
        <v>0</v>
      </c>
      <c r="P243" s="671">
        <f>HLOOKUP(B243,'מטריצת ייצור מתחדשות'!$C$130:$W$152,'מטריצת ייצור מתחדשות'!$B$151-'מטריצת ייצור מתחדשות'!$B$131+3,FALSE)</f>
        <v>12.298232807826535</v>
      </c>
      <c r="Q243" s="671">
        <f t="shared" ca="1" si="467"/>
        <v>2.1998863899999876</v>
      </c>
      <c r="R243" s="671">
        <f t="shared" ca="1" si="436"/>
        <v>0.61319999999990338</v>
      </c>
      <c r="S243" s="671">
        <f t="shared" ca="1" si="437"/>
        <v>0.7377660400000029</v>
      </c>
      <c r="T243" s="671">
        <f t="shared" si="438"/>
        <v>0</v>
      </c>
      <c r="U243" s="671">
        <f t="shared" si="439"/>
        <v>19.602959999999999</v>
      </c>
      <c r="V243" s="671">
        <f t="shared" ca="1" si="440"/>
        <v>90.986436931276074</v>
      </c>
      <c r="W243" s="671">
        <f t="shared" si="441"/>
        <v>0</v>
      </c>
      <c r="X243" s="671">
        <f t="shared" si="442"/>
        <v>0</v>
      </c>
      <c r="Y243" s="671">
        <f t="shared" si="443"/>
        <v>0</v>
      </c>
      <c r="Z243" s="671">
        <f t="shared" si="444"/>
        <v>0.45884000000000003</v>
      </c>
      <c r="AA243" s="667">
        <f t="shared" ref="AA243:AE243" si="525">AA217</f>
        <v>19.668527989503747</v>
      </c>
      <c r="AB243" s="668">
        <f t="shared" si="525"/>
        <v>0</v>
      </c>
      <c r="AC243" s="668">
        <f t="shared" ca="1" si="525"/>
        <v>2.1998863899999876</v>
      </c>
      <c r="AD243" s="668">
        <f t="shared" ca="1" si="525"/>
        <v>0.61319999999990338</v>
      </c>
      <c r="AE243" s="668">
        <f t="shared" ca="1" si="525"/>
        <v>0.7377660400000029</v>
      </c>
      <c r="AF243" s="668">
        <v>0</v>
      </c>
      <c r="AG243" s="668">
        <v>19.550049999999999</v>
      </c>
      <c r="AH243" s="668">
        <f ca="1">'הספק קיים ותחזית יצור'!C26-SUM(AA243:AG243,AI243:AL243)</f>
        <v>83.740631749598862</v>
      </c>
      <c r="AI243" s="668">
        <v>0</v>
      </c>
      <c r="AJ243" s="668">
        <v>0</v>
      </c>
      <c r="AK243" s="44">
        <v>0</v>
      </c>
      <c r="AL243" s="669">
        <v>0.38726000000000005</v>
      </c>
      <c r="AM243" s="670">
        <f t="shared" si="469"/>
        <v>0</v>
      </c>
      <c r="AN243" s="671">
        <f t="shared" si="469"/>
        <v>19.668527989503747</v>
      </c>
      <c r="AO243" s="671">
        <f t="shared" ca="1" si="470"/>
        <v>2.1998863899999876</v>
      </c>
      <c r="AP243" s="671">
        <f t="shared" ca="1" si="446"/>
        <v>0.61319999999990338</v>
      </c>
      <c r="AQ243" s="671">
        <f t="shared" ca="1" si="447"/>
        <v>0.7377660400000029</v>
      </c>
      <c r="AR243" s="671">
        <f t="shared" si="448"/>
        <v>0</v>
      </c>
      <c r="AS243" s="671">
        <f t="shared" si="449"/>
        <v>19.550049999999999</v>
      </c>
      <c r="AT243" s="671">
        <f t="shared" ca="1" si="450"/>
        <v>83.740631749598862</v>
      </c>
      <c r="AU243" s="671">
        <f t="shared" si="451"/>
        <v>0</v>
      </c>
      <c r="AV243" s="671">
        <f t="shared" si="452"/>
        <v>0</v>
      </c>
      <c r="AW243" s="671">
        <f t="shared" si="453"/>
        <v>0</v>
      </c>
      <c r="AX243" s="671">
        <f t="shared" si="454"/>
        <v>0.38726000000000005</v>
      </c>
      <c r="AY243" s="667">
        <f t="shared" ref="AY243:BC243" si="526">AY217</f>
        <v>24.274962478052004</v>
      </c>
      <c r="AZ243" s="668">
        <f t="shared" si="526"/>
        <v>0</v>
      </c>
      <c r="BA243" s="668">
        <f t="shared" ca="1" si="526"/>
        <v>2.1998863899999876</v>
      </c>
      <c r="BB243" s="668">
        <f t="shared" ca="1" si="526"/>
        <v>0.61319999999990338</v>
      </c>
      <c r="BC243" s="668">
        <f t="shared" ca="1" si="526"/>
        <v>0.7377660400000029</v>
      </c>
      <c r="BD243" s="668">
        <v>0</v>
      </c>
      <c r="BE243" s="668">
        <v>20.062000000000001</v>
      </c>
      <c r="BF243" s="668">
        <f ca="1">'הספק קיים ותחזית יצור'!C26-SUM('התפלגות ייצור וסל דלקים'!AY243:BE243,'התפלגות ייצור וסל דלקים'!BG243:BJ243)</f>
        <v>78.660507261050611</v>
      </c>
      <c r="BG243" s="668">
        <v>0</v>
      </c>
      <c r="BH243" s="668">
        <v>0</v>
      </c>
      <c r="BI243" s="668">
        <v>0</v>
      </c>
      <c r="BJ243" s="668">
        <v>0.34900000000000003</v>
      </c>
      <c r="BK243" s="672">
        <v>0</v>
      </c>
      <c r="BL243" s="671">
        <f t="shared" si="472"/>
        <v>24.274962478052004</v>
      </c>
      <c r="BM243" s="671">
        <f t="shared" ca="1" si="456"/>
        <v>2.1998863899999876</v>
      </c>
      <c r="BN243" s="671">
        <f t="shared" ca="1" si="457"/>
        <v>0.61319999999990338</v>
      </c>
      <c r="BO243" s="671">
        <f t="shared" ca="1" si="458"/>
        <v>0.7377660400000029</v>
      </c>
      <c r="BP243" s="671">
        <f t="shared" si="459"/>
        <v>0</v>
      </c>
      <c r="BQ243" s="671">
        <f t="shared" si="460"/>
        <v>20.062000000000001</v>
      </c>
      <c r="BR243" s="671">
        <f t="shared" ca="1" si="461"/>
        <v>78.660507261050611</v>
      </c>
      <c r="BS243" s="671">
        <f t="shared" si="462"/>
        <v>0</v>
      </c>
      <c r="BT243" s="671">
        <f t="shared" si="463"/>
        <v>0</v>
      </c>
      <c r="BU243" s="671">
        <f t="shared" si="464"/>
        <v>0</v>
      </c>
      <c r="BV243" s="673">
        <f t="shared" si="465"/>
        <v>0.34900000000000003</v>
      </c>
      <c r="BX243" s="855">
        <f t="shared" si="432"/>
        <v>2039</v>
      </c>
      <c r="BY243" s="866">
        <v>1.07E-4</v>
      </c>
      <c r="BZ243" s="869">
        <f>BY243/('הספק קיים ותחזית יצור'!E75-('הספק קיים ותחזית יצור'!M133*'הנחות עבודה'!$D$35+'הנחות עבודה'!$D$36*'הספק קיים ותחזית יצור'!N133+'הספק קיים ותחזית יצור'!O133*'הנחות עבודה'!$D$37)/'הנחות עבודה'!$D$14)</f>
        <v>4.1754440630710298E-6</v>
      </c>
      <c r="CA243" s="301"/>
    </row>
    <row r="244" spans="2:79" ht="16.5" hidden="1" outlineLevel="1" thickBot="1">
      <c r="B244" s="11">
        <f t="shared" ref="B244:G244" si="527">B218</f>
        <v>2040</v>
      </c>
      <c r="C244" s="674">
        <f t="shared" si="527"/>
        <v>12.224443410979578</v>
      </c>
      <c r="D244" s="675">
        <f t="shared" si="527"/>
        <v>0</v>
      </c>
      <c r="E244" s="675">
        <f t="shared" ca="1" si="527"/>
        <v>2.1998863899999876</v>
      </c>
      <c r="F244" s="675">
        <f t="shared" ca="1" si="527"/>
        <v>0.61319999999990338</v>
      </c>
      <c r="G244" s="675">
        <f t="shared" ca="1" si="527"/>
        <v>0.7377660400000029</v>
      </c>
      <c r="H244" s="675">
        <v>0</v>
      </c>
      <c r="I244" s="675">
        <v>19.620009999999997</v>
      </c>
      <c r="J244" s="675">
        <f ca="1">'הספק קיים ותחזית יצור'!C27-SUM('התפלגות ייצור וסל דלקים'!C244:I244,'התפלגות ייצור וסל דלקים'!K244:N244)</f>
        <v>94.864815993196117</v>
      </c>
      <c r="K244" s="675">
        <v>0</v>
      </c>
      <c r="L244" s="675">
        <v>0</v>
      </c>
      <c r="M244" s="47">
        <v>0</v>
      </c>
      <c r="N244" s="676">
        <v>0.44411999999999996</v>
      </c>
      <c r="O244" s="677">
        <v>0</v>
      </c>
      <c r="P244" s="678">
        <f>HLOOKUP(B244,'מטריצת ייצור מתחדשות'!$C$130:$W$152,'מטריצת ייצור מתחדשות'!$B$151-'מטריצת ייצור מתחדשות'!$B$131+3,FALSE)</f>
        <v>12.224443410979578</v>
      </c>
      <c r="Q244" s="678">
        <f t="shared" ca="1" si="467"/>
        <v>2.1998863899999876</v>
      </c>
      <c r="R244" s="678">
        <f t="shared" ca="1" si="436"/>
        <v>0.61319999999990338</v>
      </c>
      <c r="S244" s="678">
        <f t="shared" ca="1" si="437"/>
        <v>0.7377660400000029</v>
      </c>
      <c r="T244" s="678">
        <f t="shared" si="438"/>
        <v>0</v>
      </c>
      <c r="U244" s="678">
        <f t="shared" si="439"/>
        <v>19.620009999999997</v>
      </c>
      <c r="V244" s="678">
        <f t="shared" ca="1" si="440"/>
        <v>94.864815993196117</v>
      </c>
      <c r="W244" s="678">
        <f t="shared" si="441"/>
        <v>0</v>
      </c>
      <c r="X244" s="678">
        <f t="shared" si="442"/>
        <v>0</v>
      </c>
      <c r="Y244" s="678">
        <f t="shared" si="443"/>
        <v>0</v>
      </c>
      <c r="Z244" s="678">
        <f t="shared" si="444"/>
        <v>0.44411999999999996</v>
      </c>
      <c r="AA244" s="674">
        <f t="shared" ref="AA244:AE244" si="528">AA218</f>
        <v>19.550516821566724</v>
      </c>
      <c r="AB244" s="675">
        <f t="shared" si="528"/>
        <v>0</v>
      </c>
      <c r="AC244" s="675">
        <f t="shared" ca="1" si="528"/>
        <v>2.1998863899999876</v>
      </c>
      <c r="AD244" s="675">
        <f t="shared" ca="1" si="528"/>
        <v>0.61319999999990338</v>
      </c>
      <c r="AE244" s="675">
        <f t="shared" ca="1" si="528"/>
        <v>0.7377660400000029</v>
      </c>
      <c r="AF244" s="675">
        <v>0</v>
      </c>
      <c r="AG244" s="675">
        <v>19.65973</v>
      </c>
      <c r="AH244" s="675">
        <f ca="1">'הספק קיים ותחזית יצור'!C27-SUM(AA244:AG244,AI244:AL244)</f>
        <v>87.554532582608957</v>
      </c>
      <c r="AI244" s="675">
        <v>0</v>
      </c>
      <c r="AJ244" s="675">
        <v>0</v>
      </c>
      <c r="AK244" s="47">
        <v>0</v>
      </c>
      <c r="AL244" s="676">
        <v>0.38861000000000001</v>
      </c>
      <c r="AM244" s="677">
        <f t="shared" si="469"/>
        <v>0</v>
      </c>
      <c r="AN244" s="678">
        <f t="shared" si="469"/>
        <v>19.550516821566724</v>
      </c>
      <c r="AO244" s="678">
        <f t="shared" ca="1" si="470"/>
        <v>2.1998863899999876</v>
      </c>
      <c r="AP244" s="678">
        <f t="shared" ca="1" si="446"/>
        <v>0.61319999999990338</v>
      </c>
      <c r="AQ244" s="678">
        <f t="shared" ca="1" si="447"/>
        <v>0.7377660400000029</v>
      </c>
      <c r="AR244" s="678">
        <f t="shared" si="448"/>
        <v>0</v>
      </c>
      <c r="AS244" s="678">
        <f t="shared" si="449"/>
        <v>19.65973</v>
      </c>
      <c r="AT244" s="678">
        <f t="shared" ca="1" si="450"/>
        <v>87.554532582608957</v>
      </c>
      <c r="AU244" s="678">
        <f t="shared" si="451"/>
        <v>0</v>
      </c>
      <c r="AV244" s="678">
        <f t="shared" si="452"/>
        <v>0</v>
      </c>
      <c r="AW244" s="678">
        <f t="shared" si="453"/>
        <v>0</v>
      </c>
      <c r="AX244" s="678">
        <f t="shared" si="454"/>
        <v>0.38861000000000001</v>
      </c>
      <c r="AY244" s="674">
        <f t="shared" ref="AY244:BC244" si="529">AY218</f>
        <v>24.12931270318369</v>
      </c>
      <c r="AZ244" s="675">
        <f t="shared" si="529"/>
        <v>0</v>
      </c>
      <c r="BA244" s="675">
        <f t="shared" ca="1" si="529"/>
        <v>2.1998863899999876</v>
      </c>
      <c r="BB244" s="675">
        <f t="shared" ca="1" si="529"/>
        <v>0.61319999999990338</v>
      </c>
      <c r="BC244" s="675">
        <f t="shared" ca="1" si="529"/>
        <v>0.7377660400000029</v>
      </c>
      <c r="BD244" s="675">
        <v>0</v>
      </c>
      <c r="BE244" s="675">
        <v>20.292999999999999</v>
      </c>
      <c r="BF244" s="668">
        <f ca="1">'הספק קיים ותחזית יצור'!C27-SUM('התפלגות ייצור וסל דלקים'!AY244:BE244,'התפלגות ייצור וסל דלקים'!BG244:BJ244)</f>
        <v>82.379076700991988</v>
      </c>
      <c r="BG244" s="675">
        <v>0</v>
      </c>
      <c r="BH244" s="675">
        <v>0</v>
      </c>
      <c r="BI244" s="675">
        <v>0</v>
      </c>
      <c r="BJ244" s="675">
        <v>0.35199999999999998</v>
      </c>
      <c r="BK244" s="679">
        <v>0</v>
      </c>
      <c r="BL244" s="678">
        <f t="shared" si="472"/>
        <v>24.12931270318369</v>
      </c>
      <c r="BM244" s="678">
        <f t="shared" ca="1" si="456"/>
        <v>2.1998863899999876</v>
      </c>
      <c r="BN244" s="678">
        <f t="shared" ca="1" si="457"/>
        <v>0.61319999999990338</v>
      </c>
      <c r="BO244" s="678">
        <f t="shared" ca="1" si="458"/>
        <v>0.7377660400000029</v>
      </c>
      <c r="BP244" s="678">
        <f t="shared" si="459"/>
        <v>0</v>
      </c>
      <c r="BQ244" s="678">
        <f t="shared" si="460"/>
        <v>20.292999999999999</v>
      </c>
      <c r="BR244" s="678">
        <f t="shared" ca="1" si="461"/>
        <v>82.379076700991988</v>
      </c>
      <c r="BS244" s="678">
        <f t="shared" si="462"/>
        <v>0</v>
      </c>
      <c r="BT244" s="678">
        <f t="shared" si="463"/>
        <v>0</v>
      </c>
      <c r="BU244" s="678">
        <f t="shared" si="464"/>
        <v>0</v>
      </c>
      <c r="BV244" s="680">
        <f t="shared" si="465"/>
        <v>0.35199999999999998</v>
      </c>
      <c r="BX244" s="856">
        <f t="shared" si="432"/>
        <v>2040</v>
      </c>
      <c r="BY244" s="867">
        <v>1.2799999999999999E-4</v>
      </c>
      <c r="BZ244" s="870">
        <f>BY244/('הספק קיים ותחזית יצור'!E76-('הספק קיים ותחזית יצור'!M134*'הנחות עבודה'!$D$35+'הנחות עבודה'!$D$36*'הספק קיים ותחזית יצור'!N134+'הספק קיים ותחזית יצור'!O134*'הנחות עבודה'!$D$37)/'הנחות עבודה'!$D$14)</f>
        <v>4.9949237390008581E-6</v>
      </c>
      <c r="CA244" s="301"/>
    </row>
    <row r="245" spans="2:79" collapsed="1"/>
  </sheetData>
  <dataConsolidate/>
  <mergeCells count="69">
    <mergeCell ref="BK195:BV195"/>
    <mergeCell ref="C220:BV220"/>
    <mergeCell ref="C221:N221"/>
    <mergeCell ref="O221:Z221"/>
    <mergeCell ref="AA221:AL221"/>
    <mergeCell ref="AM221:AX221"/>
    <mergeCell ref="AY221:BJ221"/>
    <mergeCell ref="BK221:BV221"/>
    <mergeCell ref="B220:B221"/>
    <mergeCell ref="C168:BV168"/>
    <mergeCell ref="C169:N169"/>
    <mergeCell ref="O169:Z169"/>
    <mergeCell ref="AA169:AL169"/>
    <mergeCell ref="AM169:AX169"/>
    <mergeCell ref="AY169:BJ169"/>
    <mergeCell ref="BK169:BV169"/>
    <mergeCell ref="B168:B169"/>
    <mergeCell ref="B194:B195"/>
    <mergeCell ref="C194:BV194"/>
    <mergeCell ref="C195:N195"/>
    <mergeCell ref="O195:Z195"/>
    <mergeCell ref="AA195:AL195"/>
    <mergeCell ref="AM195:AX195"/>
    <mergeCell ref="AY195:BJ195"/>
    <mergeCell ref="B142:B143"/>
    <mergeCell ref="C142:Z142"/>
    <mergeCell ref="C143:F143"/>
    <mergeCell ref="G143:J143"/>
    <mergeCell ref="K143:N143"/>
    <mergeCell ref="O143:R143"/>
    <mergeCell ref="S143:V143"/>
    <mergeCell ref="W143:Z143"/>
    <mergeCell ref="B90:B91"/>
    <mergeCell ref="B116:B117"/>
    <mergeCell ref="C116:Z116"/>
    <mergeCell ref="C117:F117"/>
    <mergeCell ref="G117:J117"/>
    <mergeCell ref="K117:N117"/>
    <mergeCell ref="O117:R117"/>
    <mergeCell ref="S117:V117"/>
    <mergeCell ref="W117:Z117"/>
    <mergeCell ref="C90:Z90"/>
    <mergeCell ref="C91:F91"/>
    <mergeCell ref="G91:J91"/>
    <mergeCell ref="K91:N91"/>
    <mergeCell ref="O91:R91"/>
    <mergeCell ref="S91:V91"/>
    <mergeCell ref="W91:Z91"/>
    <mergeCell ref="C61:N61"/>
    <mergeCell ref="O61:Z61"/>
    <mergeCell ref="AA61:AL61"/>
    <mergeCell ref="AM61:AX61"/>
    <mergeCell ref="C60:BV60"/>
    <mergeCell ref="AY61:BJ61"/>
    <mergeCell ref="BK61:BV61"/>
    <mergeCell ref="C4:AL4"/>
    <mergeCell ref="C5:H5"/>
    <mergeCell ref="I5:N5"/>
    <mergeCell ref="AA5:AF5"/>
    <mergeCell ref="AG5:AL5"/>
    <mergeCell ref="O5:T5"/>
    <mergeCell ref="U5:Z5"/>
    <mergeCell ref="S33:V33"/>
    <mergeCell ref="W33:Z33"/>
    <mergeCell ref="C32:Z32"/>
    <mergeCell ref="C33:F33"/>
    <mergeCell ref="G33:J33"/>
    <mergeCell ref="K33:N33"/>
    <mergeCell ref="O33:R3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Y86"/>
  <sheetViews>
    <sheetView rightToLeft="1" topLeftCell="A31" zoomScaleNormal="100" workbookViewId="0">
      <selection activeCell="G16" sqref="G16:AP16"/>
    </sheetView>
  </sheetViews>
  <sheetFormatPr defaultColWidth="10.42578125" defaultRowHeight="15"/>
  <cols>
    <col min="1" max="1" width="2.5703125" bestFit="1" customWidth="1"/>
    <col min="2" max="2" width="33.5703125" bestFit="1" customWidth="1"/>
    <col min="3" max="3" width="33" bestFit="1" customWidth="1"/>
    <col min="4" max="4" width="17.140625" bestFit="1" customWidth="1"/>
    <col min="5" max="5" width="2.5703125" bestFit="1" customWidth="1"/>
    <col min="6" max="6" width="9.140625" bestFit="1" customWidth="1"/>
    <col min="7" max="7" width="16.7109375" bestFit="1" customWidth="1"/>
    <col min="8" max="8" width="21.7109375" bestFit="1" customWidth="1"/>
    <col min="9" max="10" width="6.7109375" bestFit="1" customWidth="1"/>
    <col min="11" max="11" width="12.140625" bestFit="1" customWidth="1"/>
    <col min="12" max="12" width="13.28515625" bestFit="1" customWidth="1"/>
    <col min="13" max="13" width="16.7109375" bestFit="1" customWidth="1"/>
    <col min="14" max="14" width="21.7109375" bestFit="1" customWidth="1"/>
    <col min="15" max="16" width="6.7109375" bestFit="1" customWidth="1"/>
    <col min="17" max="17" width="12.140625" bestFit="1" customWidth="1"/>
    <col min="18" max="18" width="13.28515625" bestFit="1" customWidth="1"/>
    <col min="19" max="19" width="16.7109375" bestFit="1" customWidth="1"/>
    <col min="20" max="20" width="21.7109375" bestFit="1" customWidth="1"/>
    <col min="21" max="22" width="6.7109375" bestFit="1" customWidth="1"/>
    <col min="23" max="23" width="12.140625" bestFit="1" customWidth="1"/>
    <col min="24" max="24" width="13.28515625" bestFit="1" customWidth="1"/>
    <col min="25" max="25" width="16.7109375" bestFit="1" customWidth="1"/>
    <col min="26" max="26" width="15.42578125" bestFit="1" customWidth="1"/>
    <col min="27" max="28" width="6.7109375" bestFit="1" customWidth="1"/>
    <col min="29" max="29" width="12.140625" bestFit="1" customWidth="1"/>
    <col min="30" max="30" width="13.28515625" bestFit="1" customWidth="1"/>
    <col min="31" max="31" width="16.7109375" bestFit="1" customWidth="1"/>
    <col min="32" max="32" width="21.7109375" bestFit="1" customWidth="1"/>
    <col min="33" max="34" width="6.7109375" bestFit="1" customWidth="1"/>
    <col min="35" max="35" width="12.140625" bestFit="1" customWidth="1"/>
    <col min="36" max="36" width="13.28515625" bestFit="1" customWidth="1"/>
    <col min="37" max="37" width="16.7109375" bestFit="1" customWidth="1"/>
    <col min="38" max="38" width="21.7109375" bestFit="1" customWidth="1"/>
    <col min="39" max="40" width="6.7109375" bestFit="1" customWidth="1"/>
    <col min="41" max="41" width="12.140625" bestFit="1" customWidth="1"/>
    <col min="42" max="42" width="13.28515625" bestFit="1" customWidth="1"/>
    <col min="43" max="51" width="3.7109375" bestFit="1" customWidth="1"/>
  </cols>
  <sheetData>
    <row r="1" spans="1:51" ht="15.75" thickBot="1"/>
    <row r="2" spans="1:51" s="3" customFormat="1" ht="16.5" thickBot="1">
      <c r="A2" s="2">
        <v>1</v>
      </c>
      <c r="B2" s="2">
        <f>+A2+1</f>
        <v>2</v>
      </c>
      <c r="C2" s="2">
        <f t="shared" ref="C2" si="0">+B2+1</f>
        <v>3</v>
      </c>
      <c r="D2" s="2">
        <f t="shared" ref="D2" si="1">+C2+1</f>
        <v>4</v>
      </c>
      <c r="E2" s="2">
        <f t="shared" ref="E2" si="2">+D2+1</f>
        <v>5</v>
      </c>
      <c r="F2" s="2">
        <f t="shared" ref="F2:G2" si="3">+E2+1</f>
        <v>6</v>
      </c>
      <c r="G2" s="2">
        <f t="shared" si="3"/>
        <v>7</v>
      </c>
      <c r="H2" s="2">
        <f t="shared" ref="H2" si="4">+G2+1</f>
        <v>8</v>
      </c>
      <c r="I2" s="2">
        <f t="shared" ref="I2" si="5">+H2+1</f>
        <v>9</v>
      </c>
      <c r="J2" s="2">
        <f t="shared" ref="J2" si="6">+I2+1</f>
        <v>10</v>
      </c>
      <c r="K2" s="2">
        <f t="shared" ref="K2" si="7">+J2+1</f>
        <v>11</v>
      </c>
      <c r="L2" s="2">
        <f t="shared" ref="L2" si="8">+K2+1</f>
        <v>12</v>
      </c>
      <c r="M2" s="2">
        <f t="shared" ref="M2" si="9">+L2+1</f>
        <v>13</v>
      </c>
      <c r="N2" s="2">
        <f t="shared" ref="N2" si="10">+M2+1</f>
        <v>14</v>
      </c>
      <c r="O2" s="2">
        <f t="shared" ref="O2" si="11">+N2+1</f>
        <v>15</v>
      </c>
      <c r="P2" s="2">
        <f t="shared" ref="P2" si="12">+O2+1</f>
        <v>16</v>
      </c>
      <c r="Q2" s="2">
        <f t="shared" ref="Q2" si="13">+P2+1</f>
        <v>17</v>
      </c>
      <c r="R2" s="2">
        <f t="shared" ref="R2" si="14">+Q2+1</f>
        <v>18</v>
      </c>
      <c r="S2" s="2">
        <f t="shared" ref="S2" si="15">+R2+1</f>
        <v>19</v>
      </c>
      <c r="T2" s="2">
        <f t="shared" ref="T2" si="16">+S2+1</f>
        <v>20</v>
      </c>
      <c r="U2" s="2">
        <f t="shared" ref="U2" si="17">+T2+1</f>
        <v>21</v>
      </c>
      <c r="V2" s="2">
        <f t="shared" ref="V2" si="18">+U2+1</f>
        <v>22</v>
      </c>
      <c r="W2" s="2">
        <f t="shared" ref="W2" si="19">+V2+1</f>
        <v>23</v>
      </c>
      <c r="X2" s="2">
        <f t="shared" ref="X2" si="20">+W2+1</f>
        <v>24</v>
      </c>
      <c r="Y2" s="2">
        <f t="shared" ref="Y2" si="21">+X2+1</f>
        <v>25</v>
      </c>
      <c r="Z2" s="2">
        <f t="shared" ref="Z2" si="22">+Y2+1</f>
        <v>26</v>
      </c>
      <c r="AA2" s="2">
        <f t="shared" ref="AA2" si="23">+Z2+1</f>
        <v>27</v>
      </c>
      <c r="AB2" s="2">
        <f t="shared" ref="AB2" si="24">+AA2+1</f>
        <v>28</v>
      </c>
      <c r="AC2" s="2">
        <f t="shared" ref="AC2" si="25">+AB2+1</f>
        <v>29</v>
      </c>
      <c r="AD2" s="2">
        <f t="shared" ref="AD2" si="26">+AC2+1</f>
        <v>30</v>
      </c>
      <c r="AE2" s="2">
        <f t="shared" ref="AE2" si="27">+AD2+1</f>
        <v>31</v>
      </c>
      <c r="AF2" s="2">
        <f t="shared" ref="AF2" si="28">+AE2+1</f>
        <v>32</v>
      </c>
      <c r="AG2" s="2">
        <f t="shared" ref="AG2" si="29">+AF2+1</f>
        <v>33</v>
      </c>
      <c r="AH2" s="2">
        <f t="shared" ref="AH2" si="30">+AG2+1</f>
        <v>34</v>
      </c>
      <c r="AI2" s="2">
        <f t="shared" ref="AI2" si="31">+AH2+1</f>
        <v>35</v>
      </c>
      <c r="AJ2" s="2">
        <f t="shared" ref="AJ2" si="32">+AI2+1</f>
        <v>36</v>
      </c>
      <c r="AK2" s="2">
        <f t="shared" ref="AK2" si="33">+AJ2+1</f>
        <v>37</v>
      </c>
      <c r="AL2" s="2">
        <f t="shared" ref="AL2" si="34">+AK2+1</f>
        <v>38</v>
      </c>
      <c r="AM2" s="2">
        <f t="shared" ref="AM2" si="35">+AL2+1</f>
        <v>39</v>
      </c>
      <c r="AN2" s="2">
        <f t="shared" ref="AN2" si="36">+AM2+1</f>
        <v>40</v>
      </c>
      <c r="AO2" s="2">
        <f t="shared" ref="AO2" si="37">+AN2+1</f>
        <v>41</v>
      </c>
      <c r="AP2" s="2">
        <f t="shared" ref="AP2" si="38">+AO2+1</f>
        <v>42</v>
      </c>
      <c r="AQ2" s="2">
        <f t="shared" ref="AQ2" si="39">+AP2+1</f>
        <v>43</v>
      </c>
      <c r="AR2" s="2">
        <f t="shared" ref="AR2" si="40">+AQ2+1</f>
        <v>44</v>
      </c>
      <c r="AS2" s="2">
        <f t="shared" ref="AS2" si="41">+AR2+1</f>
        <v>45</v>
      </c>
      <c r="AT2" s="2">
        <f t="shared" ref="AT2" si="42">+AS2+1</f>
        <v>46</v>
      </c>
      <c r="AU2" s="2">
        <f t="shared" ref="AU2" si="43">+AT2+1</f>
        <v>47</v>
      </c>
      <c r="AV2" s="2">
        <f t="shared" ref="AV2" si="44">+AU2+1</f>
        <v>48</v>
      </c>
      <c r="AW2" s="2">
        <f t="shared" ref="AW2" si="45">+AV2+1</f>
        <v>49</v>
      </c>
      <c r="AX2" s="2">
        <f t="shared" ref="AX2" si="46">+AW2+1</f>
        <v>50</v>
      </c>
      <c r="AY2" s="2">
        <f t="shared" ref="AY2" si="47">+AX2+1</f>
        <v>51</v>
      </c>
    </row>
    <row r="3" spans="1:51" ht="15.75" thickBot="1"/>
    <row r="4" spans="1:51" ht="15.75">
      <c r="C4" s="368" t="str">
        <f>'הנחות עבודה'!B6</f>
        <v>שנת התחלת חישוב תזרים</v>
      </c>
      <c r="D4" s="18">
        <f>'הנחות עבודה'!C6</f>
        <v>2020</v>
      </c>
    </row>
    <row r="5" spans="1:51" ht="16.5" thickBot="1">
      <c r="C5" s="369" t="str">
        <f>'הנחות עבודה'!B7</f>
        <v>שנת היוון מקסימלית - תפעולי</v>
      </c>
      <c r="D5" s="19">
        <f>'הנחות עבודה'!C7</f>
        <v>2040</v>
      </c>
    </row>
    <row r="6" spans="1:51" ht="15.75">
      <c r="B6" s="1249" t="str">
        <f>'הנחות עבודה'!B9</f>
        <v>הנחות כלליות</v>
      </c>
      <c r="C6" s="366" t="str">
        <f>'הנחות עבודה'!C9</f>
        <v>ריבית שנתית להיוון</v>
      </c>
      <c r="D6" s="367">
        <f>'הנחות עבודה'!D9</f>
        <v>0.03</v>
      </c>
    </row>
    <row r="7" spans="1:51" ht="15.75">
      <c r="B7" s="1250"/>
      <c r="C7" s="183" t="str">
        <f>'הנחות עבודה'!C10</f>
        <v>WACC</v>
      </c>
      <c r="D7" s="192">
        <f>'הנחות עבודה'!D10</f>
        <v>4.8000000000000001E-2</v>
      </c>
    </row>
    <row r="8" spans="1:51" ht="15.75">
      <c r="B8" s="1250"/>
      <c r="C8" s="184" t="str">
        <f>'הנחות עבודה'!C11</f>
        <v>שער הדולר שקל</v>
      </c>
      <c r="D8" s="495">
        <f>'הנחות עבודה'!D11</f>
        <v>3.5643360655737717</v>
      </c>
    </row>
    <row r="9" spans="1:51" ht="15.75">
      <c r="B9" s="1250"/>
      <c r="C9" s="185" t="str">
        <f>'הנחות עבודה'!C13</f>
        <v>MW TO KW / KW TO W</v>
      </c>
      <c r="D9" s="188">
        <f>'הנחות עבודה'!D13</f>
        <v>1000</v>
      </c>
    </row>
    <row r="10" spans="1:51" ht="15.75">
      <c r="B10" s="1250"/>
      <c r="C10" s="185" t="str">
        <f>'הנחות עבודה'!C14</f>
        <v>TW TO MW</v>
      </c>
      <c r="D10" s="188">
        <f>'הנחות עבודה'!D14</f>
        <v>1000000</v>
      </c>
    </row>
    <row r="11" spans="1:51" ht="15.75">
      <c r="B11" s="1250"/>
      <c r="C11" s="186" t="str">
        <f>'הנחות עבודה'!C15</f>
        <v>₪ לאג</v>
      </c>
      <c r="D11" s="188">
        <f>'הנחות עבודה'!D15</f>
        <v>100</v>
      </c>
    </row>
    <row r="12" spans="1:51" ht="16.5" thickBot="1">
      <c r="B12" s="1251"/>
      <c r="C12" s="187" t="str">
        <f>'הנחות עבודה'!C16</f>
        <v>מלש"ח ל- ₪ / טון לגר' / מיליון טון לטון</v>
      </c>
      <c r="D12" s="189">
        <f>'הנחות עבודה'!D16</f>
        <v>1000000</v>
      </c>
    </row>
    <row r="13" spans="1:51" ht="15.75">
      <c r="B13" s="1249" t="str">
        <f>'הנחות עבודה'!G9</f>
        <v>נתוני עלות גולמיים הספק קונבנציונאלי</v>
      </c>
      <c r="C13" s="168" t="str">
        <f>'הנחות עבודה'!H9</f>
        <v>MWH TO MMBTU</v>
      </c>
      <c r="D13" s="194">
        <f>'הנחות עבודה'!I9</f>
        <v>3.4119999999999999</v>
      </c>
    </row>
    <row r="14" spans="1:51" ht="15.75">
      <c r="B14" s="1250"/>
      <c r="C14" s="169" t="str">
        <f>'הנחות עבודה'!H10</f>
        <v>BCM TO CM</v>
      </c>
      <c r="D14" s="199">
        <f>'הנחות עבודה'!I10</f>
        <v>1000000000</v>
      </c>
    </row>
    <row r="15" spans="1:51" ht="16.5" thickBot="1">
      <c r="B15" s="1251"/>
      <c r="C15" s="170" t="str">
        <f>'הנחות עבודה'!H11</f>
        <v>MMBTU TO CM</v>
      </c>
      <c r="D15" s="190">
        <f>'הנחות עבודה'!I11</f>
        <v>27.8</v>
      </c>
    </row>
    <row r="16" spans="1:51" ht="16.5" thickBot="1">
      <c r="G16" s="1243" t="s">
        <v>220</v>
      </c>
      <c r="H16" s="1244"/>
      <c r="I16" s="1244"/>
      <c r="J16" s="1244"/>
      <c r="K16" s="1244"/>
      <c r="L16" s="1244"/>
      <c r="M16" s="1244"/>
      <c r="N16" s="1244"/>
      <c r="O16" s="1244"/>
      <c r="P16" s="1244"/>
      <c r="Q16" s="1244"/>
      <c r="R16" s="1244"/>
      <c r="S16" s="1244"/>
      <c r="T16" s="1244"/>
      <c r="U16" s="1244"/>
      <c r="V16" s="1244"/>
      <c r="W16" s="1244"/>
      <c r="X16" s="1244"/>
      <c r="Y16" s="1244"/>
      <c r="Z16" s="1244"/>
      <c r="AA16" s="1244"/>
      <c r="AB16" s="1244"/>
      <c r="AC16" s="1244"/>
      <c r="AD16" s="1244"/>
      <c r="AE16" s="1244"/>
      <c r="AF16" s="1244"/>
      <c r="AG16" s="1244"/>
      <c r="AH16" s="1244"/>
      <c r="AI16" s="1244"/>
      <c r="AJ16" s="1244"/>
      <c r="AK16" s="1244"/>
      <c r="AL16" s="1244"/>
      <c r="AM16" s="1244"/>
      <c r="AN16" s="1244"/>
      <c r="AO16" s="1244"/>
      <c r="AP16" s="1245"/>
    </row>
    <row r="17" spans="4:42" ht="16.5" thickBot="1">
      <c r="G17" s="1289" t="s">
        <v>337</v>
      </c>
      <c r="H17" s="1290"/>
      <c r="I17" s="1290"/>
      <c r="J17" s="1290"/>
      <c r="K17" s="1290"/>
      <c r="L17" s="1296"/>
      <c r="M17" s="1292" t="s">
        <v>47</v>
      </c>
      <c r="N17" s="1292"/>
      <c r="O17" s="1292"/>
      <c r="P17" s="1292"/>
      <c r="Q17" s="1292"/>
      <c r="R17" s="1293"/>
      <c r="S17" s="1289" t="s">
        <v>346</v>
      </c>
      <c r="T17" s="1290"/>
      <c r="U17" s="1290"/>
      <c r="V17" s="1290"/>
      <c r="W17" s="1290"/>
      <c r="X17" s="1296"/>
      <c r="Y17" s="1292" t="s">
        <v>343</v>
      </c>
      <c r="Z17" s="1292"/>
      <c r="AA17" s="1292"/>
      <c r="AB17" s="1292"/>
      <c r="AC17" s="1292"/>
      <c r="AD17" s="1293"/>
      <c r="AE17" s="1290" t="s">
        <v>344</v>
      </c>
      <c r="AF17" s="1290"/>
      <c r="AG17" s="1290"/>
      <c r="AH17" s="1290"/>
      <c r="AI17" s="1290"/>
      <c r="AJ17" s="1296"/>
      <c r="AK17" s="1292" t="s">
        <v>345</v>
      </c>
      <c r="AL17" s="1292"/>
      <c r="AM17" s="1292"/>
      <c r="AN17" s="1292"/>
      <c r="AO17" s="1292"/>
      <c r="AP17" s="1293"/>
    </row>
    <row r="18" spans="4:42" ht="32.25" thickBot="1">
      <c r="F18" s="198" t="s">
        <v>0</v>
      </c>
      <c r="G18" s="38" t="str">
        <f t="shared" ref="G18:AP18" ca="1" si="48">G43</f>
        <v>גז פחמיות מוסבות</v>
      </c>
      <c r="H18" s="38" t="str">
        <f t="shared" ca="1" si="48"/>
        <v>גז חח"י מחזמים ופקירים ויח"פים</v>
      </c>
      <c r="I18" s="38" t="str">
        <f t="shared" ca="1" si="48"/>
        <v>אחר 1</v>
      </c>
      <c r="J18" s="38" t="str">
        <f t="shared" ca="1" si="48"/>
        <v>אחר 2</v>
      </c>
      <c r="K18" s="38" t="str">
        <f t="shared" si="48"/>
        <v>יחידה פחמית</v>
      </c>
      <c r="L18" s="38" t="str">
        <f t="shared" si="48"/>
        <v>סולר ופצלי שמן</v>
      </c>
      <c r="M18" s="48" t="str">
        <f t="shared" ca="1" si="48"/>
        <v>גז פחמיות מוסבות</v>
      </c>
      <c r="N18" s="48" t="str">
        <f t="shared" ca="1" si="48"/>
        <v>גז חח"י מחזמים ופקירים ויח"פים</v>
      </c>
      <c r="O18" s="48" t="str">
        <f t="shared" ca="1" si="48"/>
        <v>אחר 1</v>
      </c>
      <c r="P18" s="48" t="str">
        <f t="shared" ca="1" si="48"/>
        <v>אחר 2</v>
      </c>
      <c r="Q18" s="48" t="str">
        <f t="shared" si="48"/>
        <v>יחידה פחמית</v>
      </c>
      <c r="R18" s="48" t="str">
        <f t="shared" si="48"/>
        <v>סולר ופצלי שמן</v>
      </c>
      <c r="S18" s="38" t="str">
        <f t="shared" ca="1" si="48"/>
        <v>גז פחמיות מוסבות</v>
      </c>
      <c r="T18" s="38" t="str">
        <f t="shared" ca="1" si="48"/>
        <v>גז חח"י מחזמים ופקירים ויח"פים</v>
      </c>
      <c r="U18" s="38" t="str">
        <f t="shared" ca="1" si="48"/>
        <v>אחר 1</v>
      </c>
      <c r="V18" s="38" t="str">
        <f t="shared" ca="1" si="48"/>
        <v>אחר 2</v>
      </c>
      <c r="W18" s="38" t="str">
        <f t="shared" si="48"/>
        <v>יחידה פחמית</v>
      </c>
      <c r="X18" s="38" t="str">
        <f t="shared" si="48"/>
        <v>סולר ופצלי שמן</v>
      </c>
      <c r="Y18" s="48" t="str">
        <f t="shared" ca="1" si="48"/>
        <v>גז פחמיות מוסבות</v>
      </c>
      <c r="Z18" s="48" t="str">
        <f t="shared" ca="1" si="48"/>
        <v>גז חח"י מחזמים ופקירים ויח"פים</v>
      </c>
      <c r="AA18" s="48" t="str">
        <f t="shared" ca="1" si="48"/>
        <v>אחר 1</v>
      </c>
      <c r="AB18" s="48" t="str">
        <f t="shared" ca="1" si="48"/>
        <v>אחר 2</v>
      </c>
      <c r="AC18" s="48" t="str">
        <f t="shared" si="48"/>
        <v>יחידה פחמית</v>
      </c>
      <c r="AD18" s="48" t="str">
        <f t="shared" si="48"/>
        <v>סולר ופצלי שמן</v>
      </c>
      <c r="AE18" s="38" t="str">
        <f t="shared" ca="1" si="48"/>
        <v>גז פחמיות מוסבות</v>
      </c>
      <c r="AF18" s="38" t="str">
        <f t="shared" ca="1" si="48"/>
        <v>גז חח"י מחזמים ופקירים ויח"פים</v>
      </c>
      <c r="AG18" s="38" t="str">
        <f t="shared" ca="1" si="48"/>
        <v>אחר 1</v>
      </c>
      <c r="AH18" s="38" t="str">
        <f t="shared" ca="1" si="48"/>
        <v>אחר 2</v>
      </c>
      <c r="AI18" s="38" t="str">
        <f t="shared" si="48"/>
        <v>יחידה פחמית</v>
      </c>
      <c r="AJ18" s="38" t="str">
        <f t="shared" si="48"/>
        <v>סולר ופצלי שמן</v>
      </c>
      <c r="AK18" s="48" t="str">
        <f t="shared" ca="1" si="48"/>
        <v>גז פחמיות מוסבות</v>
      </c>
      <c r="AL18" s="48" t="str">
        <f t="shared" ca="1" si="48"/>
        <v>גז חח"י מחזמים ופקירים ויח"פים</v>
      </c>
      <c r="AM18" s="48" t="str">
        <f t="shared" ca="1" si="48"/>
        <v>אחר 1</v>
      </c>
      <c r="AN18" s="48" t="str">
        <f t="shared" ca="1" si="48"/>
        <v>אחר 2</v>
      </c>
      <c r="AO18" s="48" t="str">
        <f t="shared" si="48"/>
        <v>יחידה פחמית</v>
      </c>
      <c r="AP18" s="48" t="str">
        <f t="shared" si="48"/>
        <v>סולר ופצלי שמן</v>
      </c>
    </row>
    <row r="19" spans="4:42" ht="15.75">
      <c r="D19" s="375"/>
      <c r="F19" s="240">
        <f>'הנחות עבודה'!C5</f>
        <v>2020</v>
      </c>
      <c r="G19" s="39">
        <f>IF(OR($F19&lt;$D$4,$F19&gt;$D$5),0,IF('התפלגות ייצור וסל דלקים'!C36=0,0,(('הנחות עבודה'!$I$9*'הנחות עבודה'!$D$11*VLOOKUP(G$43,'הנחות עבודה'!$H$27:$I$30,2,FALSE)/('התפלגות ייצור וסל דלקים'!I64*'הנחות עבודה'!$D$14*'הנחות עבודה'!$I$9/('התפלגות ייצור וסל דלקים'!C36*'הנחות עבודה'!$I$10/'הנחות עבודה'!$I$11)))/'הנחות עבודה'!$D$13)*'הנחות עבודה'!$D$15+VLOOKUP(G$43,'הנחות עבודה'!$H$31:$I$34,2,FALSE)+VLOOKUP(G$43,'הנחות עבודה'!$H$35:$I$38,2,FALSE)))</f>
        <v>0</v>
      </c>
      <c r="H19" s="41">
        <f ca="1">IF(OR($F19&lt;$D$4,$F19&gt;$D$5),0,IF('התפלגות ייצור וסל דלקים'!D36=0,0,(('הנחות עבודה'!$I$9*'הנחות עבודה'!$D$11*VLOOKUP(H$43,'הנחות עבודה'!$H$27:$I$30,2,FALSE)/('התפלגות ייצור וסל דלקים'!J64*'הנחות עבודה'!$D$14*'הנחות עבודה'!$I$9/('התפלגות ייצור וסל דלקים'!D36*'הנחות עבודה'!$I$10/'הנחות עבודה'!$I$11)))/'הנחות עבודה'!$D$13)*'הנחות עבודה'!$D$15+VLOOKUP(H$43,'הנחות עבודה'!$H$31:$I$34,2,FALSE)+VLOOKUP(H$43,'הנחות עבודה'!$H$35:$I$38,2,FALSE)))</f>
        <v>12.034186662697101</v>
      </c>
      <c r="I19" s="41">
        <f>IF(OR($F19&lt;$D$4,$F19&gt;$D$5),0,IF('התפלגות ייצור וסל דלקים'!E36=0,0,(('הנחות עבודה'!$I$9*'הנחות עבודה'!$D$11*VLOOKUP(I$43,'הנחות עבודה'!$H$27:$I$30,2,FALSE)/('התפלגות ייצור וסל דלקים'!K64*'הנחות עבודה'!$D$14*'הנחות עבודה'!$I$9/('התפלגות ייצור וסל דלקים'!E36*'הנחות עבודה'!$I$10/'הנחות עבודה'!$I$11)))/'הנחות עבודה'!$D$13)*'הנחות עבודה'!$D$15+VLOOKUP(I$43,'הנחות עבודה'!$H$31:$I$34,2,FALSE)+VLOOKUP(I$43,'הנחות עבודה'!$H$35:$I$38,2,FALSE)))</f>
        <v>0</v>
      </c>
      <c r="J19" s="41">
        <f>IF(OR($F19&lt;$D$4,$F19&gt;$D$5),0,IF('התפלגות ייצור וסל דלקים'!F36=0,0,(('הנחות עבודה'!$I$9*'הנחות עבודה'!$D$11*VLOOKUP(J$43,'הנחות עבודה'!$H$27:$I$30,2,FALSE)/('התפלגות ייצור וסל דלקים'!L64*'הנחות עבודה'!$D$14*'הנחות עבודה'!$I$9/('התפלגות ייצור וסל דלקים'!F36*'הנחות עבודה'!$I$10/'הנחות עבודה'!$I$11)))/'הנחות עבודה'!$D$13)*'הנחות עבודה'!$D$15+VLOOKUP(J$43,'הנחות עבודה'!$H$31:$I$34,2,FALSE)+VLOOKUP(J$43,'הנחות עבודה'!$H$35:$I$38,2,FALSE)))</f>
        <v>0</v>
      </c>
      <c r="K19" s="41">
        <f>IF(OR($F19&lt;$D$4,$F19&gt;$D$5),0,'הנחות עבודה'!$I$47)</f>
        <v>12.464721411227444</v>
      </c>
      <c r="L19" s="40">
        <f>'הנחות עבודה'!$I$48</f>
        <v>33.751294580477023</v>
      </c>
      <c r="M19" s="126">
        <f>G19</f>
        <v>0</v>
      </c>
      <c r="N19" s="51">
        <f t="shared" ref="N19:R19" ca="1" si="49">H19</f>
        <v>12.034186662697101</v>
      </c>
      <c r="O19" s="51">
        <f t="shared" si="49"/>
        <v>0</v>
      </c>
      <c r="P19" s="51">
        <f t="shared" si="49"/>
        <v>0</v>
      </c>
      <c r="Q19" s="51">
        <f t="shared" si="49"/>
        <v>12.464721411227444</v>
      </c>
      <c r="R19" s="50">
        <f t="shared" si="49"/>
        <v>33.751294580477023</v>
      </c>
      <c r="S19" s="39">
        <f>IF(OR($F19&lt;$D$4,$F19&gt;$D$5),0,IF('התפלגות ייצור וסל דלקים'!K36=0,0,(('הנחות עבודה'!$I$9*'הנחות עבודה'!$D$11*VLOOKUP(S$43,'הנחות עבודה'!$H$27:$I$30,2,FALSE)/('התפלגות ייצור וסל דלקים'!AG64*'הנחות עבודה'!$D$14*'הנחות עבודה'!$I$9/('התפלגות ייצור וסל דלקים'!K36*'הנחות עבודה'!$I$10/'הנחות עבודה'!$I$11)))/'הנחות עבודה'!$D$13)*'הנחות עבודה'!$D$15+VLOOKUP(S$43,'הנחות עבודה'!$H$31:$I$34,2,FALSE)+VLOOKUP(S$43,'הנחות עבודה'!$H$35:$I$38,2,FALSE)))</f>
        <v>0</v>
      </c>
      <c r="T19" s="41">
        <f ca="1">IF(OR($F19&lt;$D$4,$F19&gt;$D$5),0,IF('התפלגות ייצור וסל דלקים'!L36=0,0,(('הנחות עבודה'!$I$9*'הנחות עבודה'!$D$11*VLOOKUP(T$43,'הנחות עבודה'!$H$27:$I$30,2,FALSE)/('התפלגות ייצור וסל דלקים'!AH64*'הנחות עבודה'!$D$14*'הנחות עבודה'!$I$9/('התפלגות ייצור וסל דלקים'!L36*'הנחות עבודה'!$I$10/'הנחות עבודה'!$I$11)))/'הנחות עבודה'!$D$13)*'הנחות עבודה'!$D$15+VLOOKUP(T$43,'הנחות עבודה'!$H$31:$I$34,2,FALSE)+VLOOKUP(T$43,'הנחות עבודה'!$H$35:$I$38,2,FALSE)))</f>
        <v>12.034186662697101</v>
      </c>
      <c r="U19" s="41">
        <f>IF(OR($F19&lt;$D$4,$F19&gt;$D$5),0,IF('התפלגות ייצור וסל דלקים'!M36=0,0,(('הנחות עבודה'!$I$9*'הנחות עבודה'!$D$11*VLOOKUP(U$43,'הנחות עבודה'!$H$27:$I$30,2,FALSE)/('התפלגות ייצור וסל דלקים'!AI64*'הנחות עבודה'!$D$14*'הנחות עבודה'!$I$9/('התפלגות ייצור וסל דלקים'!M36*'הנחות עבודה'!$I$10/'הנחות עבודה'!$I$11)))/'הנחות עבודה'!$D$13)*'הנחות עבודה'!$D$15+VLOOKUP(U$43,'הנחות עבודה'!$H$31:$I$34,2,FALSE)+VLOOKUP(U$43,'הנחות עבודה'!$H$35:$I$38,2,FALSE)))</f>
        <v>0</v>
      </c>
      <c r="V19" s="41">
        <f>IF(OR($F19&lt;$D$4,$F19&gt;$D$5),0,IF('התפלגות ייצור וסל דלקים'!N36=0,0,(('הנחות עבודה'!$I$9*'הנחות עבודה'!$D$11*VLOOKUP(V$43,'הנחות עבודה'!$H$27:$I$30,2,FALSE)/('התפלגות ייצור וסל דלקים'!AJ64*'הנחות עבודה'!$D$14*'הנחות עבודה'!$I$9/('התפלגות ייצור וסל דלקים'!N36*'הנחות עבודה'!$I$10/'הנחות עבודה'!$I$11)))/'הנחות עבודה'!$D$13)*'הנחות עבודה'!$D$15+VLOOKUP(V$43,'הנחות עבודה'!$H$31:$I$34,2,FALSE)+VLOOKUP(V$43,'הנחות עבודה'!$H$35:$I$38,2,FALSE)))</f>
        <v>0</v>
      </c>
      <c r="W19" s="41">
        <f t="shared" ref="W19:X39" si="50">Q19</f>
        <v>12.464721411227444</v>
      </c>
      <c r="X19" s="40">
        <f t="shared" si="50"/>
        <v>33.751294580477023</v>
      </c>
      <c r="Y19" s="49">
        <f>S19</f>
        <v>0</v>
      </c>
      <c r="Z19" s="51">
        <f t="shared" ref="Z19:AD19" ca="1" si="51">T19</f>
        <v>12.034186662697101</v>
      </c>
      <c r="AA19" s="51">
        <f t="shared" si="51"/>
        <v>0</v>
      </c>
      <c r="AB19" s="51">
        <f t="shared" si="51"/>
        <v>0</v>
      </c>
      <c r="AC19" s="51">
        <f t="shared" si="51"/>
        <v>12.464721411227444</v>
      </c>
      <c r="AD19" s="50">
        <f t="shared" si="51"/>
        <v>33.751294580477023</v>
      </c>
      <c r="AE19" s="39">
        <f>IF(OR($F19&lt;$D$4,$F19&gt;$D$5),0,IF('התפלגות ייצור וסל דלקים'!S36=0,0,(('הנחות עבודה'!$I$9*'הנחות עבודה'!$D$11*VLOOKUP(G$43,'הנחות עבודה'!$H$27:$I$30,2,FALSE)/('התפלגות ייצור וסל דלקים'!BE64*'הנחות עבודה'!$D$14*'הנחות עבודה'!$I$9/('התפלגות ייצור וסל דלקים'!S36*'הנחות עבודה'!$I$10/'הנחות עבודה'!$I$11)))/'הנחות עבודה'!$D$13)*'הנחות עבודה'!$D$15+VLOOKUP(G$43,'הנחות עבודה'!$H$31:$I$34,2,FALSE)+VLOOKUP(G$43,'הנחות עבודה'!$H$35:$I$38,2,FALSE)))</f>
        <v>0</v>
      </c>
      <c r="AF19" s="39">
        <f ca="1">IF(OR($F19&lt;$D$4,$F19&gt;$D$5),0,IF('התפלגות ייצור וסל דלקים'!T36=0,0,(('הנחות עבודה'!$I$9*'הנחות עבודה'!$D$11*VLOOKUP(H$43,'הנחות עבודה'!$H$27:$I$30,2,FALSE)/('התפלגות ייצור וסל דלקים'!BF64*'הנחות עבודה'!$D$14*'הנחות עבודה'!$I$9/('התפלגות ייצור וסל דלקים'!T36*'הנחות עבודה'!$I$10/'הנחות עבודה'!$I$11)))/'הנחות עבודה'!$D$13)*'הנחות עבודה'!$D$15+VLOOKUP(H$43,'הנחות עבודה'!$H$31:$I$34,2,FALSE)+VLOOKUP(H$43,'הנחות עבודה'!$H$35:$I$38,2,FALSE)))</f>
        <v>12.034186662697101</v>
      </c>
      <c r="AG19" s="39">
        <f>IF(OR($F19&lt;$D$4,$F19&gt;$D$5),0,IF('התפלגות ייצור וסל דלקים'!U36=0,0,(('הנחות עבודה'!$I$9*'הנחות עבודה'!$D$11*VLOOKUP(I$43,'הנחות עבודה'!$H$27:$I$30,2,FALSE)/('התפלגות ייצור וסל דלקים'!BG64*'הנחות עבודה'!$D$14*'הנחות עבודה'!$I$9/('התפלגות ייצור וסל דלקים'!U36*'הנחות עבודה'!$I$10/'הנחות עבודה'!$I$11)))/'הנחות עבודה'!$D$13)*'הנחות עבודה'!$D$15+VLOOKUP(I$43,'הנחות עבודה'!$H$31:$I$34,2,FALSE)+VLOOKUP(I$43,'הנחות עבודה'!$H$35:$I$38,2,FALSE)))</f>
        <v>0</v>
      </c>
      <c r="AH19" s="39">
        <f>IF(OR($F19&lt;$D$4,$F19&gt;$D$5),0,IF('התפלגות ייצור וסל דלקים'!V36=0,0,(('הנחות עבודה'!$I$9*'הנחות עבודה'!$D$11*VLOOKUP(J$43,'הנחות עבודה'!$H$27:$I$30,2,FALSE)/('התפלגות ייצור וסל דלקים'!BH64*'הנחות עבודה'!$D$14*'הנחות עבודה'!$I$9/('התפלגות ייצור וסל דלקים'!V36*'הנחות עבודה'!$I$10/'הנחות עבודה'!$I$11)))/'הנחות עבודה'!$D$13)*'הנחות עבודה'!$D$15+VLOOKUP(J$43,'הנחות עבודה'!$H$31:$I$34,2,FALSE)+VLOOKUP(J$43,'הנחות עבודה'!$H$35:$I$38,2,FALSE)))</f>
        <v>0</v>
      </c>
      <c r="AI19" s="41">
        <f>AC19</f>
        <v>12.464721411227444</v>
      </c>
      <c r="AJ19" s="40">
        <f>AD19</f>
        <v>33.751294580477023</v>
      </c>
      <c r="AK19" s="126">
        <f>AE19</f>
        <v>0</v>
      </c>
      <c r="AL19" s="51">
        <f t="shared" ref="AL19:AP19" ca="1" si="52">AF19</f>
        <v>12.034186662697101</v>
      </c>
      <c r="AM19" s="51">
        <f t="shared" si="52"/>
        <v>0</v>
      </c>
      <c r="AN19" s="51">
        <f t="shared" si="52"/>
        <v>0</v>
      </c>
      <c r="AO19" s="51">
        <f t="shared" si="52"/>
        <v>12.464721411227444</v>
      </c>
      <c r="AP19" s="50">
        <f t="shared" si="52"/>
        <v>33.751294580477023</v>
      </c>
    </row>
    <row r="20" spans="4:42" ht="15.75">
      <c r="F20" s="241">
        <f>F19+1</f>
        <v>2021</v>
      </c>
      <c r="G20" s="42">
        <f>IF(OR($F20&lt;$D$4,$F20&gt;$D$5),0,IF('התפלגות ייצור וסל דלקים'!C37=0,0,(('הנחות עבודה'!$I$9*'הנחות עבודה'!$D$11*VLOOKUP(G$43,'הנחות עבודה'!$H$27:$I$30,2,FALSE)/('התפלגות ייצור וסל דלקים'!I65*'הנחות עבודה'!$D$14*'הנחות עבודה'!$I$9/('התפלגות ייצור וסל דלקים'!C37*'הנחות עבודה'!$I$10/'הנחות עבודה'!$I$11)))/'הנחות עבודה'!$D$13)*'הנחות עבודה'!$D$15+VLOOKUP(G$43,'הנחות עבודה'!$H$31:$I$34,2,FALSE)+VLOOKUP(G$43,'הנחות עבודה'!$H$35:$I$38,2,FALSE)))</f>
        <v>0</v>
      </c>
      <c r="H20" s="44">
        <f ca="1">IF(OR($F20&lt;$D$4,$F20&gt;$D$5),0,IF('התפלגות ייצור וסל דלקים'!D37=0,0,(('הנחות עבודה'!$I$9*'הנחות עבודה'!$D$11*VLOOKUP(H$43,'הנחות עבודה'!$H$27:$I$30,2,FALSE)/('התפלגות ייצור וסל דלקים'!J65*'הנחות עבודה'!$D$14*'הנחות עבודה'!$I$9/('התפלגות ייצור וסל דלקים'!D37*'הנחות עבודה'!$I$10/'הנחות עבודה'!$I$11)))/'הנחות עבודה'!$D$13)*'הנחות עבודה'!$D$15+VLOOKUP(H$43,'הנחות עבודה'!$H$31:$I$34,2,FALSE)+VLOOKUP(H$43,'הנחות עבודה'!$H$35:$I$38,2,FALSE)))</f>
        <v>11.916445704872983</v>
      </c>
      <c r="I20" s="44">
        <f>IF(OR($F20&lt;$D$4,$F20&gt;$D$5),0,IF('התפלגות ייצור וסל דלקים'!E37=0,0,(('הנחות עבודה'!$I$9*'הנחות עבודה'!$D$11*VLOOKUP(I$43,'הנחות עבודה'!$H$27:$I$30,2,FALSE)/('התפלגות ייצור וסל דלקים'!K65*'הנחות עבודה'!$D$14*'הנחות עבודה'!$I$9/('התפלגות ייצור וסל דלקים'!E37*'הנחות עבודה'!$I$10/'הנחות עבודה'!$I$11)))/'הנחות עבודה'!$D$13)*'הנחות עבודה'!$D$15+VLOOKUP(I$43,'הנחות עבודה'!$H$31:$I$34,2,FALSE)+VLOOKUP(I$43,'הנחות עבודה'!$H$35:$I$38,2,FALSE)))</f>
        <v>0</v>
      </c>
      <c r="J20" s="44">
        <f>IF(OR($F20&lt;$D$4,$F20&gt;$D$5),0,IF('התפלגות ייצור וסל דלקים'!F37=0,0,(('הנחות עבודה'!$I$9*'הנחות עבודה'!$D$11*VLOOKUP(J$43,'הנחות עבודה'!$H$27:$I$30,2,FALSE)/('התפלגות ייצור וסל דלקים'!L65*'הנחות עבודה'!$D$14*'הנחות עבודה'!$I$9/('התפלגות ייצור וסל דלקים'!F37*'הנחות עבודה'!$I$10/'הנחות עבודה'!$I$11)))/'הנחות עבודה'!$D$13)*'הנחות עבודה'!$D$15+VLOOKUP(J$43,'הנחות עבודה'!$H$31:$I$34,2,FALSE)+VLOOKUP(J$43,'הנחות עבודה'!$H$35:$I$38,2,FALSE)))</f>
        <v>0</v>
      </c>
      <c r="K20" s="44">
        <f>IF(OR($F20&lt;$D$4,$F20&gt;$D$5),0,'הנחות עבודה'!$I$47)</f>
        <v>12.464721411227444</v>
      </c>
      <c r="L20" s="43">
        <f>'הנחות עבודה'!$I$48</f>
        <v>33.751294580477023</v>
      </c>
      <c r="M20" s="127">
        <f t="shared" ref="M20:M39" si="53">G20</f>
        <v>0</v>
      </c>
      <c r="N20" s="54">
        <f t="shared" ref="N20:N39" ca="1" si="54">H20</f>
        <v>11.916445704872983</v>
      </c>
      <c r="O20" s="54">
        <f t="shared" ref="O20:O39" si="55">I20</f>
        <v>0</v>
      </c>
      <c r="P20" s="54">
        <f t="shared" ref="P20:P39" si="56">J20</f>
        <v>0</v>
      </c>
      <c r="Q20" s="54">
        <f t="shared" ref="Q20:Q39" si="57">K20</f>
        <v>12.464721411227444</v>
      </c>
      <c r="R20" s="53">
        <f t="shared" ref="R20:R39" si="58">L20</f>
        <v>33.751294580477023</v>
      </c>
      <c r="S20" s="42">
        <f>IF(OR($F20&lt;$D$4,$F20&gt;$D$5),0,IF('התפלגות ייצור וסל דלקים'!K37=0,0,(('הנחות עבודה'!$I$9*'הנחות עבודה'!$D$11*VLOOKUP(S$43,'הנחות עבודה'!$H$27:$I$30,2,FALSE)/('התפלגות ייצור וסל דלקים'!AG65*'הנחות עבודה'!$D$14*'הנחות עבודה'!$I$9/('התפלגות ייצור וסל דלקים'!K37*'הנחות עבודה'!$I$10/'הנחות עבודה'!$I$11)))/'הנחות עבודה'!$D$13)*'הנחות עבודה'!$D$15+VLOOKUP(S$43,'הנחות עבודה'!$H$31:$I$34,2,FALSE)+VLOOKUP(S$43,'הנחות עבודה'!$H$35:$I$38,2,FALSE)))</f>
        <v>0</v>
      </c>
      <c r="T20" s="44">
        <f ca="1">IF(OR($F20&lt;$D$4,$F20&gt;$D$5),0,IF('התפלגות ייצור וסל דלקים'!L37=0,0,(('הנחות עבודה'!$I$9*'הנחות עבודה'!$D$11*VLOOKUP(T$43,'הנחות עבודה'!$H$27:$I$30,2,FALSE)/('התפלגות ייצור וסל דלקים'!AH65*'הנחות עבודה'!$D$14*'הנחות עבודה'!$I$9/('התפלגות ייצור וסל דלקים'!L37*'הנחות עבודה'!$I$10/'הנחות עבודה'!$I$11)))/'הנחות עבודה'!$D$13)*'הנחות עבודה'!$D$15+VLOOKUP(T$43,'הנחות עבודה'!$H$31:$I$34,2,FALSE)+VLOOKUP(T$43,'הנחות עבודה'!$H$35:$I$38,2,FALSE)))</f>
        <v>12.013027030879698</v>
      </c>
      <c r="U20" s="44">
        <f>IF(OR($F20&lt;$D$4,$F20&gt;$D$5),0,IF('התפלגות ייצור וסל דלקים'!M37=0,0,(('הנחות עבודה'!$I$9*'הנחות עבודה'!$D$11*VLOOKUP(U$43,'הנחות עבודה'!$H$27:$I$30,2,FALSE)/('התפלגות ייצור וסל דלקים'!AI65*'הנחות עבודה'!$D$14*'הנחות עבודה'!$I$9/('התפלגות ייצור וסל דלקים'!M37*'הנחות עבודה'!$I$10/'הנחות עבודה'!$I$11)))/'הנחות עבודה'!$D$13)*'הנחות עבודה'!$D$15+VLOOKUP(U$43,'הנחות עבודה'!$H$31:$I$34,2,FALSE)+VLOOKUP(U$43,'הנחות עבודה'!$H$35:$I$38,2,FALSE)))</f>
        <v>0</v>
      </c>
      <c r="V20" s="44">
        <f>IF(OR($F20&lt;$D$4,$F20&gt;$D$5),0,IF('התפלגות ייצור וסל דלקים'!N37=0,0,(('הנחות עבודה'!$I$9*'הנחות עבודה'!$D$11*VLOOKUP(V$43,'הנחות עבודה'!$H$27:$I$30,2,FALSE)/('התפלגות ייצור וסל דלקים'!AJ65*'הנחות עבודה'!$D$14*'הנחות עבודה'!$I$9/('התפלגות ייצור וסל דלקים'!N37*'הנחות עבודה'!$I$10/'הנחות עבודה'!$I$11)))/'הנחות עבודה'!$D$13)*'הנחות עבודה'!$D$15+VLOOKUP(V$43,'הנחות עבודה'!$H$31:$I$34,2,FALSE)+VLOOKUP(V$43,'הנחות עבודה'!$H$35:$I$38,2,FALSE)))</f>
        <v>0</v>
      </c>
      <c r="W20" s="44">
        <f t="shared" si="50"/>
        <v>12.464721411227444</v>
      </c>
      <c r="X20" s="43">
        <f t="shared" si="50"/>
        <v>33.751294580477023</v>
      </c>
      <c r="Y20" s="52">
        <f t="shared" ref="Y20:Y39" si="59">S20</f>
        <v>0</v>
      </c>
      <c r="Z20" s="54">
        <f t="shared" ref="Z20:Z39" ca="1" si="60">T20</f>
        <v>12.013027030879698</v>
      </c>
      <c r="AA20" s="54">
        <f t="shared" ref="AA20:AA39" si="61">U20</f>
        <v>0</v>
      </c>
      <c r="AB20" s="54">
        <f t="shared" ref="AB20:AB39" si="62">V20</f>
        <v>0</v>
      </c>
      <c r="AC20" s="54">
        <f t="shared" ref="AC20:AC39" si="63">W20</f>
        <v>12.464721411227444</v>
      </c>
      <c r="AD20" s="53">
        <f t="shared" ref="AD20:AD39" si="64">X20</f>
        <v>33.751294580477023</v>
      </c>
      <c r="AE20" s="42">
        <f>IF(OR($F20&lt;$D$4,$F20&gt;$D$5),0,IF('התפלגות ייצור וסל דלקים'!S37=0,0,(('הנחות עבודה'!$I$9*'הנחות עבודה'!$D$11*VLOOKUP(G$43,'הנחות עבודה'!$H$27:$I$30,2,FALSE)/('התפלגות ייצור וסל דלקים'!BE65*'הנחות עבודה'!$D$14*'הנחות עבודה'!$I$9/('התפלגות ייצור וסל דלקים'!S37*'הנחות עבודה'!$I$10/'הנחות עבודה'!$I$11)))/'הנחות עבודה'!$D$13)*'הנחות עבודה'!$D$15+VLOOKUP(G$43,'הנחות עבודה'!$H$31:$I$34,2,FALSE)+VLOOKUP(G$43,'הנחות עבודה'!$H$35:$I$38,2,FALSE)))</f>
        <v>0</v>
      </c>
      <c r="AF20" s="44">
        <f ca="1">IF(OR($F20&lt;$D$4,$F20&gt;$D$5),0,IF('התפלגות ייצור וסל דלקים'!T37=0,0,(('הנחות עבודה'!$I$9*'הנחות עבודה'!$D$11*VLOOKUP(H$43,'הנחות עבודה'!$H$27:$I$30,2,FALSE)/('התפלגות ייצור וסל דלקים'!BF65*'הנחות עבודה'!$D$14*'הנחות עבודה'!$I$9/('התפלגות ייצור וסל דלקים'!T37*'הנחות עבודה'!$I$10/'הנחות עבודה'!$I$11)))/'הנחות עבודה'!$D$13)*'הנחות עבודה'!$D$15+VLOOKUP(H$43,'הנחות עבודה'!$H$31:$I$34,2,FALSE)+VLOOKUP(H$43,'הנחות עבודה'!$H$35:$I$38,2,FALSE)))</f>
        <v>12.104501418529512</v>
      </c>
      <c r="AG20" s="44">
        <f>IF(OR($F20&lt;$D$4,$F20&gt;$D$5),0,IF('התפלגות ייצור וסל דלקים'!U37=0,0,(('הנחות עבודה'!$I$9*'הנחות עבודה'!$D$11*VLOOKUP(I$43,'הנחות עבודה'!$H$27:$I$30,2,FALSE)/('התפלגות ייצור וסל דלקים'!BG65*'הנחות עבודה'!$D$14*'הנחות עבודה'!$I$9/('התפלגות ייצור וסל דלקים'!U37*'הנחות עבודה'!$I$10/'הנחות עבודה'!$I$11)))/'הנחות עבודה'!$D$13)*'הנחות עבודה'!$D$15+VLOOKUP(I$43,'הנחות עבודה'!$H$31:$I$34,2,FALSE)+VLOOKUP(I$43,'הנחות עבודה'!$H$35:$I$38,2,FALSE)))</f>
        <v>0</v>
      </c>
      <c r="AH20" s="44">
        <f>IF(OR($F20&lt;$D$4,$F20&gt;$D$5),0,IF('התפלגות ייצור וסל דלקים'!V37=0,0,(('הנחות עבודה'!$I$9*'הנחות עבודה'!$D$11*VLOOKUP(J$43,'הנחות עבודה'!$H$27:$I$30,2,FALSE)/('התפלגות ייצור וסל דלקים'!BH65*'הנחות עבודה'!$D$14*'הנחות עבודה'!$I$9/('התפלגות ייצור וסל דלקים'!V37*'הנחות עבודה'!$I$10/'הנחות עבודה'!$I$11)))/'הנחות עבודה'!$D$13)*'הנחות עבודה'!$D$15+VLOOKUP(J$43,'הנחות עבודה'!$H$31:$I$34,2,FALSE)+VLOOKUP(J$43,'הנחות עבודה'!$H$35:$I$38,2,FALSE)))</f>
        <v>0</v>
      </c>
      <c r="AI20" s="44">
        <f t="shared" ref="AI20:AI39" si="65">AC20</f>
        <v>12.464721411227444</v>
      </c>
      <c r="AJ20" s="43">
        <f t="shared" ref="AJ20:AJ39" si="66">AD20</f>
        <v>33.751294580477023</v>
      </c>
      <c r="AK20" s="127">
        <f t="shared" ref="AK20:AK39" si="67">AE20</f>
        <v>0</v>
      </c>
      <c r="AL20" s="54">
        <f t="shared" ref="AL20:AL39" ca="1" si="68">AF20</f>
        <v>12.104501418529512</v>
      </c>
      <c r="AM20" s="54">
        <f t="shared" ref="AM20:AM39" si="69">AG20</f>
        <v>0</v>
      </c>
      <c r="AN20" s="54">
        <f t="shared" ref="AN20:AN39" si="70">AH20</f>
        <v>0</v>
      </c>
      <c r="AO20" s="54">
        <f t="shared" ref="AO20:AO39" si="71">AI20</f>
        <v>12.464721411227444</v>
      </c>
      <c r="AP20" s="53">
        <f t="shared" ref="AP20:AP39" si="72">AJ20</f>
        <v>33.751294580477023</v>
      </c>
    </row>
    <row r="21" spans="4:42" ht="15.75">
      <c r="F21" s="241">
        <f t="shared" ref="F21:F39" si="73">F20+1</f>
        <v>2022</v>
      </c>
      <c r="G21" s="42">
        <f ca="1">IF(OR($F21&lt;$D$4,$F21&gt;$D$5),0,IF('התפלגות ייצור וסל דלקים'!C38=0,0,(('הנחות עבודה'!$I$9*'הנחות עבודה'!$D$11*VLOOKUP(G$43,'הנחות עבודה'!$H$27:$I$30,2,FALSE)/('התפלגות ייצור וסל דלקים'!I66*'הנחות עבודה'!$D$14*'הנחות עבודה'!$I$9/('התפלגות ייצור וסל דלקים'!C38*'הנחות עבודה'!$I$10/'הנחות עבודה'!$I$11)))/'הנחות עבודה'!$D$13)*'הנחות עבודה'!$D$15+VLOOKUP(G$43,'הנחות עבודה'!$H$31:$I$34,2,FALSE)+VLOOKUP(G$43,'הנחות עבודה'!$H$35:$I$38,2,FALSE)))</f>
        <v>18.276191543207496</v>
      </c>
      <c r="H21" s="44">
        <f ca="1">IF(OR($F21&lt;$D$4,$F21&gt;$D$5),0,IF('התפלגות ייצור וסל דלקים'!D38=0,0,(('הנחות עבודה'!$I$9*'הנחות עבודה'!$D$11*VLOOKUP(H$43,'הנחות עבודה'!$H$27:$I$30,2,FALSE)/('התפלגות ייצור וסל דלקים'!J66*'הנחות עבודה'!$D$14*'הנחות עבודה'!$I$9/('התפלגות ייצור וסל דלקים'!D38*'הנחות עבודה'!$I$10/'הנחות עבודה'!$I$11)))/'הנחות עבודה'!$D$13)*'הנחות עבודה'!$D$15+VLOOKUP(H$43,'הנחות עבודה'!$H$31:$I$34,2,FALSE)+VLOOKUP(H$43,'הנחות עבודה'!$H$35:$I$38,2,FALSE)))</f>
        <v>13.673307000379472</v>
      </c>
      <c r="I21" s="44">
        <f>IF(OR($F21&lt;$D$4,$F21&gt;$D$5),0,IF('התפלגות ייצור וסל דלקים'!E38=0,0,(('הנחות עבודה'!$I$9*'הנחות עבודה'!$D$11*VLOOKUP(I$43,'הנחות עבודה'!$H$27:$I$30,2,FALSE)/('התפלגות ייצור וסל דלקים'!K66*'הנחות עבודה'!$D$14*'הנחות עבודה'!$I$9/('התפלגות ייצור וסל דלקים'!E38*'הנחות עבודה'!$I$10/'הנחות עבודה'!$I$11)))/'הנחות עבודה'!$D$13)*'הנחות עבודה'!$D$15+VLOOKUP(I$43,'הנחות עבודה'!$H$31:$I$34,2,FALSE)+VLOOKUP(I$43,'הנחות עבודה'!$H$35:$I$38,2,FALSE)))</f>
        <v>0</v>
      </c>
      <c r="J21" s="44">
        <f>IF(OR($F21&lt;$D$4,$F21&gt;$D$5),0,IF('התפלגות ייצור וסל דלקים'!F38=0,0,(('הנחות עבודה'!$I$9*'הנחות עבודה'!$D$11*VLOOKUP(J$43,'הנחות עבודה'!$H$27:$I$30,2,FALSE)/('התפלגות ייצור וסל דלקים'!L66*'הנחות עבודה'!$D$14*'הנחות עבודה'!$I$9/('התפלגות ייצור וסל דלקים'!F38*'הנחות עבודה'!$I$10/'הנחות עבודה'!$I$11)))/'הנחות עבודה'!$D$13)*'הנחות עבודה'!$D$15+VLOOKUP(J$43,'הנחות עבודה'!$H$31:$I$34,2,FALSE)+VLOOKUP(J$43,'הנחות עבודה'!$H$35:$I$38,2,FALSE)))</f>
        <v>0</v>
      </c>
      <c r="K21" s="44">
        <f>IF(OR($F21&lt;$D$4,$F21&gt;$D$5),0,'הנחות עבודה'!$I$47)</f>
        <v>12.464721411227444</v>
      </c>
      <c r="L21" s="43">
        <f>'הנחות עבודה'!$I$48</f>
        <v>33.751294580477023</v>
      </c>
      <c r="M21" s="127">
        <f t="shared" ca="1" si="53"/>
        <v>18.276191543207496</v>
      </c>
      <c r="N21" s="54">
        <f t="shared" ca="1" si="54"/>
        <v>13.673307000379472</v>
      </c>
      <c r="O21" s="54">
        <f t="shared" si="55"/>
        <v>0</v>
      </c>
      <c r="P21" s="54">
        <f t="shared" si="56"/>
        <v>0</v>
      </c>
      <c r="Q21" s="54">
        <f t="shared" si="57"/>
        <v>12.464721411227444</v>
      </c>
      <c r="R21" s="53">
        <f t="shared" si="58"/>
        <v>33.751294580477023</v>
      </c>
      <c r="S21" s="42">
        <f ca="1">IF(OR($F21&lt;$D$4,$F21&gt;$D$5),0,IF('התפלגות ייצור וסל דלקים'!K38=0,0,(('הנחות עבודה'!$I$9*'הנחות עבודה'!$D$11*VLOOKUP(S$43,'הנחות עבודה'!$H$27:$I$30,2,FALSE)/('התפלגות ייצור וסל דלקים'!AG66*'הנחות עבודה'!$D$14*'הנחות עבודה'!$I$9/('התפלגות ייצור וסל דלקים'!K38*'הנחות עבודה'!$I$10/'הנחות עבודה'!$I$11)))/'הנחות עבודה'!$D$13)*'הנחות עבודה'!$D$15+VLOOKUP(S$43,'הנחות עבודה'!$H$31:$I$34,2,FALSE)+VLOOKUP(S$43,'הנחות עבודה'!$H$35:$I$38,2,FALSE)))</f>
        <v>18.334109079509354</v>
      </c>
      <c r="T21" s="44">
        <f ca="1">IF(OR($F21&lt;$D$4,$F21&gt;$D$5),0,IF('התפלגות ייצור וסל דלקים'!L38=0,0,(('הנחות עבודה'!$I$9*'הנחות עבודה'!$D$11*VLOOKUP(T$43,'הנחות עבודה'!$H$27:$I$30,2,FALSE)/('התפלגות ייצור וסל דלקים'!AH66*'הנחות עבודה'!$D$14*'הנחות עבודה'!$I$9/('התפלגות ייצור וסל דלקים'!L38*'הנחות עבודה'!$I$10/'הנחות עבודה'!$I$11)))/'הנחות עבודה'!$D$13)*'הנחות עבודה'!$D$15+VLOOKUP(T$43,'הנחות עבודה'!$H$31:$I$34,2,FALSE)+VLOOKUP(T$43,'הנחות עבודה'!$H$35:$I$38,2,FALSE)))</f>
        <v>13.713869054854753</v>
      </c>
      <c r="U21" s="44">
        <f>IF(OR($F21&lt;$D$4,$F21&gt;$D$5),0,IF('התפלגות ייצור וסל דלקים'!M38=0,0,(('הנחות עבודה'!$I$9*'הנחות עבודה'!$D$11*VLOOKUP(U$43,'הנחות עבודה'!$H$27:$I$30,2,FALSE)/('התפלגות ייצור וסל דלקים'!AI66*'הנחות עבודה'!$D$14*'הנחות עבודה'!$I$9/('התפלגות ייצור וסל דלקים'!M38*'הנחות עבודה'!$I$10/'הנחות עבודה'!$I$11)))/'הנחות עבודה'!$D$13)*'הנחות עבודה'!$D$15+VLOOKUP(U$43,'הנחות עבודה'!$H$31:$I$34,2,FALSE)+VLOOKUP(U$43,'הנחות עבודה'!$H$35:$I$38,2,FALSE)))</f>
        <v>0</v>
      </c>
      <c r="V21" s="44">
        <f>IF(OR($F21&lt;$D$4,$F21&gt;$D$5),0,IF('התפלגות ייצור וסל דלקים'!N38=0,0,(('הנחות עבודה'!$I$9*'הנחות עבודה'!$D$11*VLOOKUP(V$43,'הנחות עבודה'!$H$27:$I$30,2,FALSE)/('התפלגות ייצור וסל דלקים'!AJ66*'הנחות עבודה'!$D$14*'הנחות עבודה'!$I$9/('התפלגות ייצור וסל דלקים'!N38*'הנחות עבודה'!$I$10/'הנחות עבודה'!$I$11)))/'הנחות עבודה'!$D$13)*'הנחות עבודה'!$D$15+VLOOKUP(V$43,'הנחות עבודה'!$H$31:$I$34,2,FALSE)+VLOOKUP(V$43,'הנחות עבודה'!$H$35:$I$38,2,FALSE)))</f>
        <v>0</v>
      </c>
      <c r="W21" s="44">
        <f t="shared" si="50"/>
        <v>12.464721411227444</v>
      </c>
      <c r="X21" s="43">
        <f t="shared" si="50"/>
        <v>33.751294580477023</v>
      </c>
      <c r="Y21" s="52">
        <f t="shared" ca="1" si="59"/>
        <v>18.334109079509354</v>
      </c>
      <c r="Z21" s="54">
        <f t="shared" ca="1" si="60"/>
        <v>13.713869054854753</v>
      </c>
      <c r="AA21" s="54">
        <f t="shared" si="61"/>
        <v>0</v>
      </c>
      <c r="AB21" s="54">
        <f t="shared" si="62"/>
        <v>0</v>
      </c>
      <c r="AC21" s="54">
        <f t="shared" si="63"/>
        <v>12.464721411227444</v>
      </c>
      <c r="AD21" s="53">
        <f t="shared" si="64"/>
        <v>33.751294580477023</v>
      </c>
      <c r="AE21" s="42">
        <f ca="1">IF(OR($F21&lt;$D$4,$F21&gt;$D$5),0,IF('התפלגות ייצור וסל דלקים'!S38=0,0,(('הנחות עבודה'!$I$9*'הנחות עבודה'!$D$11*VLOOKUP(G$43,'הנחות עבודה'!$H$27:$I$30,2,FALSE)/('התפלגות ייצור וסל דלקים'!BE66*'הנחות עבודה'!$D$14*'הנחות עבודה'!$I$9/('התפלגות ייצור וסל דלקים'!S38*'הנחות עבודה'!$I$10/'הנחות עבודה'!$I$11)))/'הנחות עבודה'!$D$13)*'הנחות עבודה'!$D$15+VLOOKUP(G$43,'הנחות עבודה'!$H$31:$I$34,2,FALSE)+VLOOKUP(G$43,'הנחות עבודה'!$H$35:$I$38,2,FALSE)))</f>
        <v>18.355108495423284</v>
      </c>
      <c r="AF21" s="44">
        <f ca="1">IF(OR($F21&lt;$D$4,$F21&gt;$D$5),0,IF('התפלגות ייצור וסל דלקים'!T38=0,0,(('הנחות עבודה'!$I$9*'הנחות עבודה'!$D$11*VLOOKUP(H$43,'הנחות עבודה'!$H$27:$I$30,2,FALSE)/('התפלגות ייצור וסל דלקים'!BF66*'הנחות עבודה'!$D$14*'הנחות עבודה'!$I$9/('התפלגות ייצור וסל דלקים'!T38*'הנחות עבודה'!$I$10/'הנחות עבודה'!$I$11)))/'הנחות עבודה'!$D$13)*'הנחות עבודה'!$D$15+VLOOKUP(H$43,'הנחות עבודה'!$H$31:$I$34,2,FALSE)+VLOOKUP(H$43,'הנחות עבודה'!$H$35:$I$38,2,FALSE)))</f>
        <v>13.738798279440486</v>
      </c>
      <c r="AG21" s="44">
        <f>IF(OR($F21&lt;$D$4,$F21&gt;$D$5),0,IF('התפלגות ייצור וסל דלקים'!U38=0,0,(('הנחות עבודה'!$I$9*'הנחות עבודה'!$D$11*VLOOKUP(I$43,'הנחות עבודה'!$H$27:$I$30,2,FALSE)/('התפלגות ייצור וסל דלקים'!BG66*'הנחות עבודה'!$D$14*'הנחות עבודה'!$I$9/('התפלגות ייצור וסל דלקים'!U38*'הנחות עבודה'!$I$10/'הנחות עבודה'!$I$11)))/'הנחות עבודה'!$D$13)*'הנחות עבודה'!$D$15+VLOOKUP(I$43,'הנחות עבודה'!$H$31:$I$34,2,FALSE)+VLOOKUP(I$43,'הנחות עבודה'!$H$35:$I$38,2,FALSE)))</f>
        <v>0</v>
      </c>
      <c r="AH21" s="44">
        <f>IF(OR($F21&lt;$D$4,$F21&gt;$D$5),0,IF('התפלגות ייצור וסל דלקים'!V38=0,0,(('הנחות עבודה'!$I$9*'הנחות עבודה'!$D$11*VLOOKUP(J$43,'הנחות עבודה'!$H$27:$I$30,2,FALSE)/('התפלגות ייצור וסל דלקים'!BH66*'הנחות עבודה'!$D$14*'הנחות עבודה'!$I$9/('התפלגות ייצור וסל דלקים'!V38*'הנחות עבודה'!$I$10/'הנחות עבודה'!$I$11)))/'הנחות עבודה'!$D$13)*'הנחות עבודה'!$D$15+VLOOKUP(J$43,'הנחות עבודה'!$H$31:$I$34,2,FALSE)+VLOOKUP(J$43,'הנחות עבודה'!$H$35:$I$38,2,FALSE)))</f>
        <v>0</v>
      </c>
      <c r="AI21" s="44">
        <f t="shared" si="65"/>
        <v>12.464721411227444</v>
      </c>
      <c r="AJ21" s="43">
        <f t="shared" si="66"/>
        <v>33.751294580477023</v>
      </c>
      <c r="AK21" s="127">
        <f t="shared" ca="1" si="67"/>
        <v>18.355108495423284</v>
      </c>
      <c r="AL21" s="54">
        <f t="shared" ca="1" si="68"/>
        <v>13.738798279440486</v>
      </c>
      <c r="AM21" s="54">
        <f t="shared" si="69"/>
        <v>0</v>
      </c>
      <c r="AN21" s="54">
        <f t="shared" si="70"/>
        <v>0</v>
      </c>
      <c r="AO21" s="54">
        <f t="shared" si="71"/>
        <v>12.464721411227444</v>
      </c>
      <c r="AP21" s="53">
        <f t="shared" si="72"/>
        <v>33.751294580477023</v>
      </c>
    </row>
    <row r="22" spans="4:42" ht="15.75">
      <c r="F22" s="241">
        <f t="shared" si="73"/>
        <v>2023</v>
      </c>
      <c r="G22" s="42">
        <f ca="1">IF(OR($F22&lt;$D$4,$F22&gt;$D$5),0,IF('התפלגות ייצור וסל דלקים'!C39=0,0,(('הנחות עבודה'!$I$9*'הנחות עבודה'!$D$11*VLOOKUP(G$43,'הנחות עבודה'!$H$27:$I$30,2,FALSE)/('התפלגות ייצור וסל דלקים'!I67*'הנחות עבודה'!$D$14*'הנחות עבודה'!$I$9/('התפלגות ייצור וסל דלקים'!C39*'הנחות עבודה'!$I$10/'הנחות עבודה'!$I$11)))/'הנחות עבודה'!$D$13)*'הנחות עבודה'!$D$15+VLOOKUP(G$43,'הנחות עבודה'!$H$31:$I$34,2,FALSE)+VLOOKUP(G$43,'הנחות עבודה'!$H$35:$I$38,2,FALSE)))</f>
        <v>18.447698011412296</v>
      </c>
      <c r="H22" s="44">
        <f ca="1">IF(OR($F22&lt;$D$4,$F22&gt;$D$5),0,IF('התפלגות ייצור וסל דלקים'!D39=0,0,(('הנחות עבודה'!$I$9*'הנחות עבודה'!$D$11*VLOOKUP(H$43,'הנחות עבודה'!$H$27:$I$30,2,FALSE)/('התפלגות ייצור וסל דלקים'!J67*'הנחות עבודה'!$D$14*'הנחות עבודה'!$I$9/('התפלגות ייצור וסל דלקים'!D39*'הנחות עבודה'!$I$10/'הנחות עבודה'!$I$11)))/'הנחות עבודה'!$D$13)*'הנחות עבודה'!$D$15+VLOOKUP(H$43,'הנחות עבודה'!$H$31:$I$34,2,FALSE)+VLOOKUP(H$43,'הנחות עבודה'!$H$35:$I$38,2,FALSE)))</f>
        <v>13.405708855563661</v>
      </c>
      <c r="I22" s="44">
        <f>IF(OR($F22&lt;$D$4,$F22&gt;$D$5),0,IF('התפלגות ייצור וסל דלקים'!E39=0,0,(('הנחות עבודה'!$I$9*'הנחות עבודה'!$D$11*VLOOKUP(I$43,'הנחות עבודה'!$H$27:$I$30,2,FALSE)/('התפלגות ייצור וסל דלקים'!K67*'הנחות עבודה'!$D$14*'הנחות עבודה'!$I$9/('התפלגות ייצור וסל דלקים'!E39*'הנחות עבודה'!$I$10/'הנחות עבודה'!$I$11)))/'הנחות עבודה'!$D$13)*'הנחות עבודה'!$D$15+VLOOKUP(I$43,'הנחות עבודה'!$H$31:$I$34,2,FALSE)+VLOOKUP(I$43,'הנחות עבודה'!$H$35:$I$38,2,FALSE)))</f>
        <v>0</v>
      </c>
      <c r="J22" s="44">
        <f>IF(OR($F22&lt;$D$4,$F22&gt;$D$5),0,IF('התפלגות ייצור וסל דלקים'!F39=0,0,(('הנחות עבודה'!$I$9*'הנחות עבודה'!$D$11*VLOOKUP(J$43,'הנחות עבודה'!$H$27:$I$30,2,FALSE)/('התפלגות ייצור וסל דלקים'!L67*'הנחות עבודה'!$D$14*'הנחות עבודה'!$I$9/('התפלגות ייצור וסל דלקים'!F39*'הנחות עבודה'!$I$10/'הנחות עבודה'!$I$11)))/'הנחות עבודה'!$D$13)*'הנחות עבודה'!$D$15+VLOOKUP(J$43,'הנחות עבודה'!$H$31:$I$34,2,FALSE)+VLOOKUP(J$43,'הנחות עבודה'!$H$35:$I$38,2,FALSE)))</f>
        <v>0</v>
      </c>
      <c r="K22" s="44">
        <f>IF(OR($F22&lt;$D$4,$F22&gt;$D$5),0,'הנחות עבודה'!$I$47)</f>
        <v>12.464721411227444</v>
      </c>
      <c r="L22" s="43">
        <f>'הנחות עבודה'!$I$48</f>
        <v>33.751294580477023</v>
      </c>
      <c r="M22" s="127">
        <f t="shared" ca="1" si="53"/>
        <v>18.447698011412296</v>
      </c>
      <c r="N22" s="54">
        <f t="shared" ca="1" si="54"/>
        <v>13.405708855563661</v>
      </c>
      <c r="O22" s="54">
        <f t="shared" si="55"/>
        <v>0</v>
      </c>
      <c r="P22" s="54">
        <f t="shared" si="56"/>
        <v>0</v>
      </c>
      <c r="Q22" s="54">
        <f t="shared" si="57"/>
        <v>12.464721411227444</v>
      </c>
      <c r="R22" s="53">
        <f t="shared" si="58"/>
        <v>33.751294580477023</v>
      </c>
      <c r="S22" s="42">
        <f ca="1">IF(OR($F22&lt;$D$4,$F22&gt;$D$5),0,IF('התפלגות ייצור וסל דלקים'!K39=0,0,(('הנחות עבודה'!$I$9*'הנחות עבודה'!$D$11*VLOOKUP(S$43,'הנחות עבודה'!$H$27:$I$30,2,FALSE)/('התפלגות ייצור וסל דלקים'!AG67*'הנחות עבודה'!$D$14*'הנחות עבודה'!$I$9/('התפלגות ייצור וסל דלקים'!K39*'הנחות עבודה'!$I$10/'הנחות עבודה'!$I$11)))/'הנחות עבודה'!$D$13)*'הנחות עבודה'!$D$15+VLOOKUP(S$43,'הנחות עבודה'!$H$31:$I$34,2,FALSE)+VLOOKUP(S$43,'הנחות עבודה'!$H$35:$I$38,2,FALSE)))</f>
        <v>18.500852953439622</v>
      </c>
      <c r="T22" s="44">
        <f ca="1">IF(OR($F22&lt;$D$4,$F22&gt;$D$5),0,IF('התפלגות ייצור וסל דלקים'!L39=0,0,(('הנחות עבודה'!$I$9*'הנחות עבודה'!$D$11*VLOOKUP(T$43,'הנחות עבודה'!$H$27:$I$30,2,FALSE)/('התפלגות ייצור וסל דלקים'!AH67*'הנחות עבודה'!$D$14*'הנחות עבודה'!$I$9/('התפלגות ייצור וסל דלקים'!L39*'הנחות עבודה'!$I$10/'הנחות עבודה'!$I$11)))/'הנחות עבודה'!$D$13)*'הנחות עבודה'!$D$15+VLOOKUP(T$43,'הנחות עבודה'!$H$31:$I$34,2,FALSE)+VLOOKUP(T$43,'הנחות עבודה'!$H$35:$I$38,2,FALSE)))</f>
        <v>13.448604863972301</v>
      </c>
      <c r="U22" s="44">
        <f>IF(OR($F22&lt;$D$4,$F22&gt;$D$5),0,IF('התפלגות ייצור וסל דלקים'!M39=0,0,(('הנחות עבודה'!$I$9*'הנחות עבודה'!$D$11*VLOOKUP(U$43,'הנחות עבודה'!$H$27:$I$30,2,FALSE)/('התפלגות ייצור וסל דלקים'!AI67*'הנחות עבודה'!$D$14*'הנחות עבודה'!$I$9/('התפלגות ייצור וסל דלקים'!M39*'הנחות עבודה'!$I$10/'הנחות עבודה'!$I$11)))/'הנחות עבודה'!$D$13)*'הנחות עבודה'!$D$15+VLOOKUP(U$43,'הנחות עבודה'!$H$31:$I$34,2,FALSE)+VLOOKUP(U$43,'הנחות עבודה'!$H$35:$I$38,2,FALSE)))</f>
        <v>0</v>
      </c>
      <c r="V22" s="44">
        <f>IF(OR($F22&lt;$D$4,$F22&gt;$D$5),0,IF('התפלגות ייצור וסל דלקים'!N39=0,0,(('הנחות עבודה'!$I$9*'הנחות עבודה'!$D$11*VLOOKUP(V$43,'הנחות עבודה'!$H$27:$I$30,2,FALSE)/('התפלגות ייצור וסל דלקים'!AJ67*'הנחות עבודה'!$D$14*'הנחות עבודה'!$I$9/('התפלגות ייצור וסל דלקים'!N39*'הנחות עבודה'!$I$10/'הנחות עבודה'!$I$11)))/'הנחות עבודה'!$D$13)*'הנחות עבודה'!$D$15+VLOOKUP(V$43,'הנחות עבודה'!$H$31:$I$34,2,FALSE)+VLOOKUP(V$43,'הנחות עבודה'!$H$35:$I$38,2,FALSE)))</f>
        <v>0</v>
      </c>
      <c r="W22" s="44">
        <f t="shared" si="50"/>
        <v>12.464721411227444</v>
      </c>
      <c r="X22" s="43">
        <f t="shared" si="50"/>
        <v>33.751294580477023</v>
      </c>
      <c r="Y22" s="52">
        <f t="shared" ca="1" si="59"/>
        <v>18.500852953439622</v>
      </c>
      <c r="Z22" s="54">
        <f t="shared" ca="1" si="60"/>
        <v>13.448604863972301</v>
      </c>
      <c r="AA22" s="54">
        <f t="shared" si="61"/>
        <v>0</v>
      </c>
      <c r="AB22" s="54">
        <f t="shared" si="62"/>
        <v>0</v>
      </c>
      <c r="AC22" s="54">
        <f t="shared" si="63"/>
        <v>12.464721411227444</v>
      </c>
      <c r="AD22" s="53">
        <f t="shared" si="64"/>
        <v>33.751294580477023</v>
      </c>
      <c r="AE22" s="42">
        <f ca="1">IF(OR($F22&lt;$D$4,$F22&gt;$D$5),0,IF('התפלגות ייצור וסל דלקים'!S39=0,0,(('הנחות עבודה'!$I$9*'הנחות עבודה'!$D$11*VLOOKUP(G$43,'הנחות עבודה'!$H$27:$I$30,2,FALSE)/('התפלגות ייצור וסל דלקים'!BE67*'הנחות עבודה'!$D$14*'הנחות עבודה'!$I$9/('התפלגות ייצור וסל דלקים'!S39*'הנחות עבודה'!$I$10/'הנחות עבודה'!$I$11)))/'הנחות עבודה'!$D$13)*'הנחות עבודה'!$D$15+VLOOKUP(G$43,'הנחות עבודה'!$H$31:$I$34,2,FALSE)+VLOOKUP(G$43,'הנחות עבודה'!$H$35:$I$38,2,FALSE)))</f>
        <v>18.516294400815763</v>
      </c>
      <c r="AF22" s="44">
        <f ca="1">IF(OR($F22&lt;$D$4,$F22&gt;$D$5),0,IF('התפלגות ייצור וסל דלקים'!T39=0,0,(('הנחות עבודה'!$I$9*'הנחות עבודה'!$D$11*VLOOKUP(H$43,'הנחות עבודה'!$H$27:$I$30,2,FALSE)/('התפלגות ייצור וסל דלקים'!BF67*'הנחות עבודה'!$D$14*'הנחות עבודה'!$I$9/('התפלגות ייצור וסל דלקים'!T39*'הנחות עבודה'!$I$10/'הנחות עבודה'!$I$11)))/'הנחות עבודה'!$D$13)*'הנחות עבודה'!$D$15+VLOOKUP(H$43,'הנחות עבודה'!$H$31:$I$34,2,FALSE)+VLOOKUP(H$43,'הנחות עבודה'!$H$35:$I$38,2,FALSE)))</f>
        <v>13.482117931610855</v>
      </c>
      <c r="AG22" s="44">
        <f>IF(OR($F22&lt;$D$4,$F22&gt;$D$5),0,IF('התפלגות ייצור וסל דלקים'!U39=0,0,(('הנחות עבודה'!$I$9*'הנחות עבודה'!$D$11*VLOOKUP(I$43,'הנחות עבודה'!$H$27:$I$30,2,FALSE)/('התפלגות ייצור וסל דלקים'!BG67*'הנחות עבודה'!$D$14*'הנחות עבודה'!$I$9/('התפלגות ייצור וסל דלקים'!U39*'הנחות עבודה'!$I$10/'הנחות עבודה'!$I$11)))/'הנחות עבודה'!$D$13)*'הנחות עבודה'!$D$15+VLOOKUP(I$43,'הנחות עבודה'!$H$31:$I$34,2,FALSE)+VLOOKUP(I$43,'הנחות עבודה'!$H$35:$I$38,2,FALSE)))</f>
        <v>0</v>
      </c>
      <c r="AH22" s="44">
        <f>IF(OR($F22&lt;$D$4,$F22&gt;$D$5),0,IF('התפלגות ייצור וסל דלקים'!V39=0,0,(('הנחות עבודה'!$I$9*'הנחות עבודה'!$D$11*VLOOKUP(J$43,'הנחות עבודה'!$H$27:$I$30,2,FALSE)/('התפלגות ייצור וסל דלקים'!BH67*'הנחות עבודה'!$D$14*'הנחות עבודה'!$I$9/('התפלגות ייצור וסל דלקים'!V39*'הנחות עבודה'!$I$10/'הנחות עבודה'!$I$11)))/'הנחות עבודה'!$D$13)*'הנחות עבודה'!$D$15+VLOOKUP(J$43,'הנחות עבודה'!$H$31:$I$34,2,FALSE)+VLOOKUP(J$43,'הנחות עבודה'!$H$35:$I$38,2,FALSE)))</f>
        <v>0</v>
      </c>
      <c r="AI22" s="44">
        <f t="shared" si="65"/>
        <v>12.464721411227444</v>
      </c>
      <c r="AJ22" s="43">
        <f t="shared" si="66"/>
        <v>33.751294580477023</v>
      </c>
      <c r="AK22" s="127">
        <f t="shared" ca="1" si="67"/>
        <v>18.516294400815763</v>
      </c>
      <c r="AL22" s="54">
        <f t="shared" ca="1" si="68"/>
        <v>13.482117931610855</v>
      </c>
      <c r="AM22" s="54">
        <f t="shared" si="69"/>
        <v>0</v>
      </c>
      <c r="AN22" s="54">
        <f t="shared" si="70"/>
        <v>0</v>
      </c>
      <c r="AO22" s="54">
        <f t="shared" si="71"/>
        <v>12.464721411227444</v>
      </c>
      <c r="AP22" s="53">
        <f t="shared" si="72"/>
        <v>33.751294580477023</v>
      </c>
    </row>
    <row r="23" spans="4:42" ht="15.75">
      <c r="F23" s="241">
        <f t="shared" si="73"/>
        <v>2024</v>
      </c>
      <c r="G23" s="42">
        <f ca="1">IF(OR($F23&lt;$D$4,$F23&gt;$D$5),0,IF('התפלגות ייצור וסל דלקים'!C40=0,0,(('הנחות עבודה'!$I$9*'הנחות עבודה'!$D$11*VLOOKUP(G$43,'הנחות עבודה'!$H$27:$I$30,2,FALSE)/('התפלגות ייצור וסל דלקים'!I68*'הנחות עבודה'!$D$14*'הנחות עבודה'!$I$9/('התפלגות ייצור וסל דלקים'!C40*'הנחות עבודה'!$I$10/'הנחות עבודה'!$I$11)))/'הנחות עבודה'!$D$13)*'הנחות עבודה'!$D$15+VLOOKUP(G$43,'הנחות עבודה'!$H$31:$I$34,2,FALSE)+VLOOKUP(G$43,'הנחות עבודה'!$H$35:$I$38,2,FALSE)))</f>
        <v>18.46731953125143</v>
      </c>
      <c r="H23" s="44">
        <f ca="1">IF(OR($F23&lt;$D$4,$F23&gt;$D$5),0,IF('התפלגות ייצור וסל דלקים'!D40=0,0,(('הנחות עבודה'!$I$9*'הנחות עבודה'!$D$11*VLOOKUP(H$43,'הנחות עבודה'!$H$27:$I$30,2,FALSE)/('התפלגות ייצור וסל דלקים'!J68*'הנחות עבודה'!$D$14*'הנחות עבודה'!$I$9/('התפלגות ייצור וסל דלקים'!D40*'הנחות עבודה'!$I$10/'הנחות עבודה'!$I$11)))/'הנחות עבודה'!$D$13)*'הנחות עבודה'!$D$15+VLOOKUP(H$43,'הנחות עבודה'!$H$31:$I$34,2,FALSE)+VLOOKUP(H$43,'הנחות עבודה'!$H$35:$I$38,2,FALSE)))</f>
        <v>13.630555774205593</v>
      </c>
      <c r="I23" s="44">
        <f>IF(OR($F23&lt;$D$4,$F23&gt;$D$5),0,IF('התפלגות ייצור וסל דלקים'!E40=0,0,(('הנחות עבודה'!$I$9*'הנחות עבודה'!$D$11*VLOOKUP(I$43,'הנחות עבודה'!$H$27:$I$30,2,FALSE)/('התפלגות ייצור וסל דלקים'!K68*'הנחות עבודה'!$D$14*'הנחות עבודה'!$I$9/('התפלגות ייצור וסל דלקים'!E40*'הנחות עבודה'!$I$10/'הנחות עבודה'!$I$11)))/'הנחות עבודה'!$D$13)*'הנחות עבודה'!$D$15+VLOOKUP(I$43,'הנחות עבודה'!$H$31:$I$34,2,FALSE)+VLOOKUP(I$43,'הנחות עבודה'!$H$35:$I$38,2,FALSE)))</f>
        <v>0</v>
      </c>
      <c r="J23" s="44">
        <f>IF(OR($F23&lt;$D$4,$F23&gt;$D$5),0,IF('התפלגות ייצור וסל דלקים'!F40=0,0,(('הנחות עבודה'!$I$9*'הנחות עבודה'!$D$11*VLOOKUP(J$43,'הנחות עבודה'!$H$27:$I$30,2,FALSE)/('התפלגות ייצור וסל דלקים'!L68*'הנחות עבודה'!$D$14*'הנחות עבודה'!$I$9/('התפלגות ייצור וסל דלקים'!F40*'הנחות עבודה'!$I$10/'הנחות עבודה'!$I$11)))/'הנחות עבודה'!$D$13)*'הנחות עבודה'!$D$15+VLOOKUP(J$43,'הנחות עבודה'!$H$31:$I$34,2,FALSE)+VLOOKUP(J$43,'הנחות עבודה'!$H$35:$I$38,2,FALSE)))</f>
        <v>0</v>
      </c>
      <c r="K23" s="44">
        <f>IF(OR($F23&lt;$D$4,$F23&gt;$D$5),0,'הנחות עבודה'!$I$47)</f>
        <v>12.464721411227444</v>
      </c>
      <c r="L23" s="43">
        <f>'הנחות עבודה'!$I$48</f>
        <v>33.751294580477023</v>
      </c>
      <c r="M23" s="127">
        <f t="shared" ca="1" si="53"/>
        <v>18.46731953125143</v>
      </c>
      <c r="N23" s="54">
        <f t="shared" ca="1" si="54"/>
        <v>13.630555774205593</v>
      </c>
      <c r="O23" s="54">
        <f t="shared" si="55"/>
        <v>0</v>
      </c>
      <c r="P23" s="54">
        <f t="shared" si="56"/>
        <v>0</v>
      </c>
      <c r="Q23" s="54">
        <f t="shared" si="57"/>
        <v>12.464721411227444</v>
      </c>
      <c r="R23" s="53">
        <f t="shared" si="58"/>
        <v>33.751294580477023</v>
      </c>
      <c r="S23" s="42">
        <f ca="1">IF(OR($F23&lt;$D$4,$F23&gt;$D$5),0,IF('התפלגות ייצור וסל דלקים'!K40=0,0,(('הנחות עבודה'!$I$9*'הנחות עבודה'!$D$11*VLOOKUP(S$43,'הנחות עבודה'!$H$27:$I$30,2,FALSE)/('התפלגות ייצור וסל דלקים'!AG68*'הנחות עבודה'!$D$14*'הנחות עבודה'!$I$9/('התפלגות ייצור וסל דלקים'!K40*'הנחות עבודה'!$I$10/'הנחות עבודה'!$I$11)))/'הנחות עבודה'!$D$13)*'הנחות עבודה'!$D$15+VLOOKUP(S$43,'הנחות עבודה'!$H$31:$I$34,2,FALSE)+VLOOKUP(S$43,'הנחות עבודה'!$H$35:$I$38,2,FALSE)))</f>
        <v>18.521468095791683</v>
      </c>
      <c r="T23" s="44">
        <f ca="1">IF(OR($F23&lt;$D$4,$F23&gt;$D$5),0,IF('התפלגות ייצור וסל דלקים'!L40=0,0,(('הנחות עבודה'!$I$9*'הנחות עבודה'!$D$11*VLOOKUP(T$43,'הנחות עבודה'!$H$27:$I$30,2,FALSE)/('התפלגות ייצור וסל דלקים'!AH68*'הנחות עבודה'!$D$14*'הנחות עבודה'!$I$9/('התפלגות ייצור וסל דלקים'!L40*'הנחות עבודה'!$I$10/'הנחות עבודה'!$I$11)))/'הנחות עבודה'!$D$13)*'הנחות עבודה'!$D$15+VLOOKUP(T$43,'הנחות עבודה'!$H$31:$I$34,2,FALSE)+VLOOKUP(T$43,'הנחות עבודה'!$H$35:$I$38,2,FALSE)))</f>
        <v>13.707062243980484</v>
      </c>
      <c r="U23" s="44">
        <f>IF(OR($F23&lt;$D$4,$F23&gt;$D$5),0,IF('התפלגות ייצור וסל דלקים'!M40=0,0,(('הנחות עבודה'!$I$9*'הנחות עבודה'!$D$11*VLOOKUP(U$43,'הנחות עבודה'!$H$27:$I$30,2,FALSE)/('התפלגות ייצור וסל דלקים'!AI68*'הנחות עבודה'!$D$14*'הנחות עבודה'!$I$9/('התפלגות ייצור וסל דלקים'!M40*'הנחות עבודה'!$I$10/'הנחות עבודה'!$I$11)))/'הנחות עבודה'!$D$13)*'הנחות עבודה'!$D$15+VLOOKUP(U$43,'הנחות עבודה'!$H$31:$I$34,2,FALSE)+VLOOKUP(U$43,'הנחות עבודה'!$H$35:$I$38,2,FALSE)))</f>
        <v>0</v>
      </c>
      <c r="V23" s="44">
        <f>IF(OR($F23&lt;$D$4,$F23&gt;$D$5),0,IF('התפלגות ייצור וסל דלקים'!N40=0,0,(('הנחות עבודה'!$I$9*'הנחות עבודה'!$D$11*VLOOKUP(V$43,'הנחות עבודה'!$H$27:$I$30,2,FALSE)/('התפלגות ייצור וסל דלקים'!AJ68*'הנחות עבודה'!$D$14*'הנחות עבודה'!$I$9/('התפלגות ייצור וסל דלקים'!N40*'הנחות עבודה'!$I$10/'הנחות עבודה'!$I$11)))/'הנחות עבודה'!$D$13)*'הנחות עבודה'!$D$15+VLOOKUP(V$43,'הנחות עבודה'!$H$31:$I$34,2,FALSE)+VLOOKUP(V$43,'הנחות עבודה'!$H$35:$I$38,2,FALSE)))</f>
        <v>0</v>
      </c>
      <c r="W23" s="44">
        <f t="shared" si="50"/>
        <v>12.464721411227444</v>
      </c>
      <c r="X23" s="43">
        <f t="shared" si="50"/>
        <v>33.751294580477023</v>
      </c>
      <c r="Y23" s="52">
        <f t="shared" ca="1" si="59"/>
        <v>18.521468095791683</v>
      </c>
      <c r="Z23" s="54">
        <f t="shared" ca="1" si="60"/>
        <v>13.707062243980484</v>
      </c>
      <c r="AA23" s="54">
        <f t="shared" si="61"/>
        <v>0</v>
      </c>
      <c r="AB23" s="54">
        <f t="shared" si="62"/>
        <v>0</v>
      </c>
      <c r="AC23" s="54">
        <f t="shared" si="63"/>
        <v>12.464721411227444</v>
      </c>
      <c r="AD23" s="53">
        <f t="shared" si="64"/>
        <v>33.751294580477023</v>
      </c>
      <c r="AE23" s="42">
        <f ca="1">IF(OR($F23&lt;$D$4,$F23&gt;$D$5),0,IF('התפלגות ייצור וסל דלקים'!S40=0,0,(('הנחות עבודה'!$I$9*'הנחות עבודה'!$D$11*VLOOKUP(G$43,'הנחות עבודה'!$H$27:$I$30,2,FALSE)/('התפלגות ייצור וסל דלקים'!BE68*'הנחות עבודה'!$D$14*'הנחות עבודה'!$I$9/('התפלגות ייצור וסל דלקים'!S40*'הנחות עבודה'!$I$10/'הנחות עבודה'!$I$11)))/'הנחות עבודה'!$D$13)*'הנחות עבודה'!$D$15+VLOOKUP(G$43,'הנחות עבודה'!$H$31:$I$34,2,FALSE)+VLOOKUP(G$43,'הנחות עבודה'!$H$35:$I$38,2,FALSE)))</f>
        <v>18.533716651444337</v>
      </c>
      <c r="AF23" s="44">
        <f ca="1">IF(OR($F23&lt;$D$4,$F23&gt;$D$5),0,IF('התפלגות ייצור וסל דלקים'!T40=0,0,(('הנחות עבודה'!$I$9*'הנחות עבודה'!$D$11*VLOOKUP(H$43,'הנחות עבודה'!$H$27:$I$30,2,FALSE)/('התפלגות ייצור וסל דלקים'!BF68*'הנחות עבודה'!$D$14*'הנחות עבודה'!$I$9/('התפלגות ייצור וסל דלקים'!T40*'הנחות עבודה'!$I$10/'הנחות עבודה'!$I$11)))/'הנחות עבודה'!$D$13)*'הנחות עבודה'!$D$15+VLOOKUP(H$43,'הנחות עבודה'!$H$31:$I$34,2,FALSE)+VLOOKUP(H$43,'הנחות עבודה'!$H$35:$I$38,2,FALSE)))</f>
        <v>13.759742315610289</v>
      </c>
      <c r="AG23" s="44">
        <f>IF(OR($F23&lt;$D$4,$F23&gt;$D$5),0,IF('התפלגות ייצור וסל דלקים'!U40=0,0,(('הנחות עבודה'!$I$9*'הנחות עבודה'!$D$11*VLOOKUP(I$43,'הנחות עבודה'!$H$27:$I$30,2,FALSE)/('התפלגות ייצור וסל דלקים'!BG68*'הנחות עבודה'!$D$14*'הנחות עבודה'!$I$9/('התפלגות ייצור וסל דלקים'!U40*'הנחות עבודה'!$I$10/'הנחות עבודה'!$I$11)))/'הנחות עבודה'!$D$13)*'הנחות עבודה'!$D$15+VLOOKUP(I$43,'הנחות עבודה'!$H$31:$I$34,2,FALSE)+VLOOKUP(I$43,'הנחות עבודה'!$H$35:$I$38,2,FALSE)))</f>
        <v>0</v>
      </c>
      <c r="AH23" s="44">
        <f>IF(OR($F23&lt;$D$4,$F23&gt;$D$5),0,IF('התפלגות ייצור וסל דלקים'!V40=0,0,(('הנחות עבודה'!$I$9*'הנחות עבודה'!$D$11*VLOOKUP(J$43,'הנחות עבודה'!$H$27:$I$30,2,FALSE)/('התפלגות ייצור וסל דלקים'!BH68*'הנחות עבודה'!$D$14*'הנחות עבודה'!$I$9/('התפלגות ייצור וסל דלקים'!V40*'הנחות עבודה'!$I$10/'הנחות עבודה'!$I$11)))/'הנחות עבודה'!$D$13)*'הנחות עבודה'!$D$15+VLOOKUP(J$43,'הנחות עבודה'!$H$31:$I$34,2,FALSE)+VLOOKUP(J$43,'הנחות עבודה'!$H$35:$I$38,2,FALSE)))</f>
        <v>0</v>
      </c>
      <c r="AI23" s="44">
        <f t="shared" si="65"/>
        <v>12.464721411227444</v>
      </c>
      <c r="AJ23" s="43">
        <f t="shared" si="66"/>
        <v>33.751294580477023</v>
      </c>
      <c r="AK23" s="127">
        <f t="shared" ca="1" si="67"/>
        <v>18.533716651444337</v>
      </c>
      <c r="AL23" s="54">
        <f t="shared" ca="1" si="68"/>
        <v>13.759742315610289</v>
      </c>
      <c r="AM23" s="54">
        <f t="shared" si="69"/>
        <v>0</v>
      </c>
      <c r="AN23" s="54">
        <f t="shared" si="70"/>
        <v>0</v>
      </c>
      <c r="AO23" s="54">
        <f t="shared" si="71"/>
        <v>12.464721411227444</v>
      </c>
      <c r="AP23" s="53">
        <f t="shared" si="72"/>
        <v>33.751294580477023</v>
      </c>
    </row>
    <row r="24" spans="4:42" ht="15.75">
      <c r="F24" s="241">
        <f t="shared" si="73"/>
        <v>2025</v>
      </c>
      <c r="G24" s="42">
        <f ca="1">IF(OR($F24&lt;$D$4,$F24&gt;$D$5),0,IF('התפלגות ייצור וסל דלקים'!C41=0,0,(('הנחות עבודה'!$I$9*'הנחות עבודה'!$D$11*VLOOKUP(G$43,'הנחות עבודה'!$H$27:$I$30,2,FALSE)/('התפלגות ייצור וסל דלקים'!I69*'הנחות עבודה'!$D$14*'הנחות עבודה'!$I$9/('התפלגות ייצור וסל דלקים'!C41*'הנחות עבודה'!$I$10/'הנחות עבודה'!$I$11)))/'הנחות עבודה'!$D$13)*'הנחות עבודה'!$D$15+VLOOKUP(G$43,'הנחות עבודה'!$H$31:$I$34,2,FALSE)+VLOOKUP(G$43,'הנחות עבודה'!$H$35:$I$38,2,FALSE)))</f>
        <v>17.80170756980803</v>
      </c>
      <c r="H24" s="44">
        <f ca="1">IF(OR($F24&lt;$D$4,$F24&gt;$D$5),0,IF('התפלגות ייצור וסל דלקים'!D41=0,0,(('הנחות עבודה'!$I$9*'הנחות עבודה'!$D$11*VLOOKUP(H$43,'הנחות עבודה'!$H$27:$I$30,2,FALSE)/('התפלגות ייצור וסל דלקים'!J69*'הנחות עבודה'!$D$14*'הנחות עבודה'!$I$9/('התפלגות ייצור וסל דלקים'!D41*'הנחות עבודה'!$I$10/'הנחות עבודה'!$I$11)))/'הנחות עבודה'!$D$13)*'הנחות עבודה'!$D$15+VLOOKUP(H$43,'הנחות עבודה'!$H$31:$I$34,2,FALSE)+VLOOKUP(H$43,'הנחות עבודה'!$H$35:$I$38,2,FALSE)))</f>
        <v>13.4270436295278</v>
      </c>
      <c r="I24" s="44">
        <f>IF(OR($F24&lt;$D$4,$F24&gt;$D$5),0,IF('התפלגות ייצור וסל דלקים'!E41=0,0,(('הנחות עבודה'!$I$9*'הנחות עבודה'!$D$11*VLOOKUP(I$43,'הנחות עבודה'!$H$27:$I$30,2,FALSE)/('התפלגות ייצור וסל דלקים'!K69*'הנחות עבודה'!$D$14*'הנחות עבודה'!$I$9/('התפלגות ייצור וסל דלקים'!E41*'הנחות עבודה'!$I$10/'הנחות עבודה'!$I$11)))/'הנחות עבודה'!$D$13)*'הנחות עבודה'!$D$15+VLOOKUP(I$43,'הנחות עבודה'!$H$31:$I$34,2,FALSE)+VLOOKUP(I$43,'הנחות עבודה'!$H$35:$I$38,2,FALSE)))</f>
        <v>0</v>
      </c>
      <c r="J24" s="44">
        <f>IF(OR($F24&lt;$D$4,$F24&gt;$D$5),0,IF('התפלגות ייצור וסל דלקים'!F41=0,0,(('הנחות עבודה'!$I$9*'הנחות עבודה'!$D$11*VLOOKUP(J$43,'הנחות עבודה'!$H$27:$I$30,2,FALSE)/('התפלגות ייצור וסל דלקים'!L69*'הנחות עבודה'!$D$14*'הנחות עבודה'!$I$9/('התפלגות ייצור וסל דלקים'!F41*'הנחות עבודה'!$I$10/'הנחות עבודה'!$I$11)))/'הנחות עבודה'!$D$13)*'הנחות עבודה'!$D$15+VLOOKUP(J$43,'הנחות עבודה'!$H$31:$I$34,2,FALSE)+VLOOKUP(J$43,'הנחות עבודה'!$H$35:$I$38,2,FALSE)))</f>
        <v>0</v>
      </c>
      <c r="K24" s="44">
        <f>IF(OR($F24&lt;$D$4,$F24&gt;$D$5),0,'הנחות עבודה'!$I$47)</f>
        <v>12.464721411227444</v>
      </c>
      <c r="L24" s="43">
        <f>'הנחות עבודה'!$I$48</f>
        <v>33.751294580477023</v>
      </c>
      <c r="M24" s="127">
        <f t="shared" ca="1" si="53"/>
        <v>17.80170756980803</v>
      </c>
      <c r="N24" s="54">
        <f t="shared" ca="1" si="54"/>
        <v>13.4270436295278</v>
      </c>
      <c r="O24" s="54">
        <f t="shared" si="55"/>
        <v>0</v>
      </c>
      <c r="P24" s="54">
        <f t="shared" si="56"/>
        <v>0</v>
      </c>
      <c r="Q24" s="54">
        <f t="shared" si="57"/>
        <v>12.464721411227444</v>
      </c>
      <c r="R24" s="53">
        <f t="shared" si="58"/>
        <v>33.751294580477023</v>
      </c>
      <c r="S24" s="42">
        <f ca="1">IF(OR($F24&lt;$D$4,$F24&gt;$D$5),0,IF('התפלגות ייצור וסל דלקים'!K41=0,0,(('הנחות עבודה'!$I$9*'הנחות עבודה'!$D$11*VLOOKUP(S$43,'הנחות עבודה'!$H$27:$I$30,2,FALSE)/('התפלגות ייצור וסל דלקים'!AG69*'הנחות עבודה'!$D$14*'הנחות עבודה'!$I$9/('התפלגות ייצור וסל דלקים'!K41*'הנחות עבודה'!$I$10/'הנחות עבודה'!$I$11)))/'הנחות עבודה'!$D$13)*'הנחות עבודה'!$D$15+VLOOKUP(S$43,'הנחות עבודה'!$H$31:$I$34,2,FALSE)+VLOOKUP(S$43,'הנחות עבודה'!$H$35:$I$38,2,FALSE)))</f>
        <v>17.857899275973978</v>
      </c>
      <c r="T24" s="44">
        <f ca="1">IF(OR($F24&lt;$D$4,$F24&gt;$D$5),0,IF('התפלגות ייצור וסל דלקים'!L41=0,0,(('הנחות עבודה'!$I$9*'הנחות עבודה'!$D$11*VLOOKUP(T$43,'הנחות עבודה'!$H$27:$I$30,2,FALSE)/('התפלגות ייצור וסל דלקים'!AH69*'הנחות עבודה'!$D$14*'הנחות עבודה'!$I$9/('התפלגות ייצור וסל דלקים'!L41*'הנחות עבודה'!$I$10/'הנחות עבודה'!$I$11)))/'הנחות עבודה'!$D$13)*'הנחות עבודה'!$D$15+VLOOKUP(T$43,'הנחות עבודה'!$H$31:$I$34,2,FALSE)+VLOOKUP(T$43,'הנחות עבודה'!$H$35:$I$38,2,FALSE)))</f>
        <v>13.491455997290572</v>
      </c>
      <c r="U24" s="44">
        <f>IF(OR($F24&lt;$D$4,$F24&gt;$D$5),0,IF('התפלגות ייצור וסל דלקים'!M41=0,0,(('הנחות עבודה'!$I$9*'הנחות עבודה'!$D$11*VLOOKUP(U$43,'הנחות עבודה'!$H$27:$I$30,2,FALSE)/('התפלגות ייצור וסל דלקים'!AI69*'הנחות עבודה'!$D$14*'הנחות עבודה'!$I$9/('התפלגות ייצור וסל דלקים'!M41*'הנחות עבודה'!$I$10/'הנחות עבודה'!$I$11)))/'הנחות עבודה'!$D$13)*'הנחות עבודה'!$D$15+VLOOKUP(U$43,'הנחות עבודה'!$H$31:$I$34,2,FALSE)+VLOOKUP(U$43,'הנחות עבודה'!$H$35:$I$38,2,FALSE)))</f>
        <v>0</v>
      </c>
      <c r="V24" s="44">
        <f>IF(OR($F24&lt;$D$4,$F24&gt;$D$5),0,IF('התפלגות ייצור וסל דלקים'!N41=0,0,(('הנחות עבודה'!$I$9*'הנחות עבודה'!$D$11*VLOOKUP(V$43,'הנחות עבודה'!$H$27:$I$30,2,FALSE)/('התפלגות ייצור וסל דלקים'!AJ69*'הנחות עבודה'!$D$14*'הנחות עבודה'!$I$9/('התפלגות ייצור וסל דלקים'!N41*'הנחות עבודה'!$I$10/'הנחות עבודה'!$I$11)))/'הנחות עבודה'!$D$13)*'הנחות עבודה'!$D$15+VLOOKUP(V$43,'הנחות עבודה'!$H$31:$I$34,2,FALSE)+VLOOKUP(V$43,'הנחות עבודה'!$H$35:$I$38,2,FALSE)))</f>
        <v>0</v>
      </c>
      <c r="W24" s="44">
        <f t="shared" si="50"/>
        <v>12.464721411227444</v>
      </c>
      <c r="X24" s="43">
        <f t="shared" si="50"/>
        <v>33.751294580477023</v>
      </c>
      <c r="Y24" s="52">
        <f t="shared" ca="1" si="59"/>
        <v>17.857899275973978</v>
      </c>
      <c r="Z24" s="54">
        <f t="shared" ca="1" si="60"/>
        <v>13.491455997290572</v>
      </c>
      <c r="AA24" s="54">
        <f t="shared" si="61"/>
        <v>0</v>
      </c>
      <c r="AB24" s="54">
        <f t="shared" si="62"/>
        <v>0</v>
      </c>
      <c r="AC24" s="54">
        <f t="shared" si="63"/>
        <v>12.464721411227444</v>
      </c>
      <c r="AD24" s="53">
        <f t="shared" si="64"/>
        <v>33.751294580477023</v>
      </c>
      <c r="AE24" s="42">
        <f ca="1">IF(OR($F24&lt;$D$4,$F24&gt;$D$5),0,IF('התפלגות ייצור וסל דלקים'!S41=0,0,(('הנחות עבודה'!$I$9*'הנחות עבודה'!$D$11*VLOOKUP(G$43,'הנחות עבודה'!$H$27:$I$30,2,FALSE)/('התפלגות ייצור וסל דלקים'!BE69*'הנחות עבודה'!$D$14*'הנחות עבודה'!$I$9/('התפלגות ייצור וסל דלקים'!S41*'הנחות עבודה'!$I$10/'הנחות עבודה'!$I$11)))/'הנחות עבודה'!$D$13)*'הנחות עבודה'!$D$15+VLOOKUP(G$43,'הנחות עבודה'!$H$31:$I$34,2,FALSE)+VLOOKUP(G$43,'הנחות עבודה'!$H$35:$I$38,2,FALSE)))</f>
        <v>17.852135357366343</v>
      </c>
      <c r="AF24" s="44">
        <f ca="1">IF(OR($F24&lt;$D$4,$F24&gt;$D$5),0,IF('התפלגות ייצור וסל דלקים'!T41=0,0,(('הנחות עבודה'!$I$9*'הנחות עבודה'!$D$11*VLOOKUP(H$43,'הנחות עבודה'!$H$27:$I$30,2,FALSE)/('התפלגות ייצור וסל דלקים'!BF69*'הנחות עבודה'!$D$14*'הנחות עבודה'!$I$9/('התפלגות ייצור וסל דלקים'!T41*'הנחות עבודה'!$I$10/'הנחות עבודה'!$I$11)))/'הנחות עבודה'!$D$13)*'הנחות עבודה'!$D$15+VLOOKUP(H$43,'הנחות עבודה'!$H$31:$I$34,2,FALSE)+VLOOKUP(H$43,'הנחות עבודה'!$H$35:$I$38,2,FALSE)))</f>
        <v>13.551847074574384</v>
      </c>
      <c r="AG24" s="44">
        <f>IF(OR($F24&lt;$D$4,$F24&gt;$D$5),0,IF('התפלגות ייצור וסל דלקים'!U41=0,0,(('הנחות עבודה'!$I$9*'הנחות עבודה'!$D$11*VLOOKUP(I$43,'הנחות עבודה'!$H$27:$I$30,2,FALSE)/('התפלגות ייצור וסל דלקים'!BG69*'הנחות עבודה'!$D$14*'הנחות עבודה'!$I$9/('התפלגות ייצור וסל דלקים'!U41*'הנחות עבודה'!$I$10/'הנחות עבודה'!$I$11)))/'הנחות עבודה'!$D$13)*'הנחות עבודה'!$D$15+VLOOKUP(I$43,'הנחות עבודה'!$H$31:$I$34,2,FALSE)+VLOOKUP(I$43,'הנחות עבודה'!$H$35:$I$38,2,FALSE)))</f>
        <v>0</v>
      </c>
      <c r="AH24" s="44">
        <f>IF(OR($F24&lt;$D$4,$F24&gt;$D$5),0,IF('התפלגות ייצור וסל דלקים'!V41=0,0,(('הנחות עבודה'!$I$9*'הנחות עבודה'!$D$11*VLOOKUP(J$43,'הנחות עבודה'!$H$27:$I$30,2,FALSE)/('התפלגות ייצור וסל דלקים'!BH69*'הנחות עבודה'!$D$14*'הנחות עבודה'!$I$9/('התפלגות ייצור וסל דלקים'!V41*'הנחות עבודה'!$I$10/'הנחות עבודה'!$I$11)))/'הנחות עבודה'!$D$13)*'הנחות עבודה'!$D$15+VLOOKUP(J$43,'הנחות עבודה'!$H$31:$I$34,2,FALSE)+VLOOKUP(J$43,'הנחות עבודה'!$H$35:$I$38,2,FALSE)))</f>
        <v>0</v>
      </c>
      <c r="AI24" s="44">
        <f t="shared" si="65"/>
        <v>12.464721411227444</v>
      </c>
      <c r="AJ24" s="43">
        <f t="shared" si="66"/>
        <v>33.751294580477023</v>
      </c>
      <c r="AK24" s="127">
        <f t="shared" ca="1" si="67"/>
        <v>17.852135357366343</v>
      </c>
      <c r="AL24" s="54">
        <f t="shared" ca="1" si="68"/>
        <v>13.551847074574384</v>
      </c>
      <c r="AM24" s="54">
        <f t="shared" si="69"/>
        <v>0</v>
      </c>
      <c r="AN24" s="54">
        <f t="shared" si="70"/>
        <v>0</v>
      </c>
      <c r="AO24" s="54">
        <f t="shared" si="71"/>
        <v>12.464721411227444</v>
      </c>
      <c r="AP24" s="53">
        <f t="shared" si="72"/>
        <v>33.751294580477023</v>
      </c>
    </row>
    <row r="25" spans="4:42" ht="15.75">
      <c r="F25" s="241">
        <f t="shared" si="73"/>
        <v>2026</v>
      </c>
      <c r="G25" s="42">
        <f ca="1">IF(OR($F25&lt;$D$4,$F25&gt;$D$5),0,IF('התפלגות ייצור וסל דלקים'!C42=0,0,(('הנחות עבודה'!$I$9*'הנחות עבודה'!$D$11*VLOOKUP(G$43,'הנחות עבודה'!$H$27:$I$30,2,FALSE)/('התפלגות ייצור וסל דלקים'!I70*'הנחות עבודה'!$D$14*'הנחות עבודה'!$I$9/('התפלגות ייצור וסל דלקים'!C42*'הנחות עבודה'!$I$10/'הנחות עבודה'!$I$11)))/'הנחות עבודה'!$D$13)*'הנחות עבודה'!$D$15+VLOOKUP(G$43,'הנחות עבודה'!$H$31:$I$34,2,FALSE)+VLOOKUP(G$43,'הנחות עבודה'!$H$35:$I$38,2,FALSE)))</f>
        <v>17.721308311943321</v>
      </c>
      <c r="H25" s="44">
        <f ca="1">IF(OR($F25&lt;$D$4,$F25&gt;$D$5),0,IF('התפלגות ייצור וסל דלקים'!D42=0,0,(('הנחות עבודה'!$I$9*'הנחות עבודה'!$D$11*VLOOKUP(H$43,'הנחות עבודה'!$H$27:$I$30,2,FALSE)/('התפלגות ייצור וסל דלקים'!J70*'הנחות עבודה'!$D$14*'הנחות עבודה'!$I$9/('התפלגות ייצור וסל דלקים'!D42*'הנחות עבודה'!$I$10/'הנחות עבודה'!$I$11)))/'הנחות עבודה'!$D$13)*'הנחות עבודה'!$D$15+VLOOKUP(H$43,'הנחות עבודה'!$H$31:$I$34,2,FALSE)+VLOOKUP(H$43,'הנחות עבודה'!$H$35:$I$38,2,FALSE)))</f>
        <v>13.364035997255948</v>
      </c>
      <c r="I25" s="44">
        <f>IF(OR($F25&lt;$D$4,$F25&gt;$D$5),0,IF('התפלגות ייצור וסל דלקים'!E42=0,0,(('הנחות עבודה'!$I$9*'הנחות עבודה'!$D$11*VLOOKUP(I$43,'הנחות עבודה'!$H$27:$I$30,2,FALSE)/('התפלגות ייצור וסל דלקים'!K70*'הנחות עבודה'!$D$14*'הנחות עבודה'!$I$9/('התפלגות ייצור וסל דלקים'!E42*'הנחות עבודה'!$I$10/'הנחות עבודה'!$I$11)))/'הנחות עבודה'!$D$13)*'הנחות עבודה'!$D$15+VLOOKUP(I$43,'הנחות עבודה'!$H$31:$I$34,2,FALSE)+VLOOKUP(I$43,'הנחות עבודה'!$H$35:$I$38,2,FALSE)))</f>
        <v>0</v>
      </c>
      <c r="J25" s="44">
        <f>IF(OR($F25&lt;$D$4,$F25&gt;$D$5),0,IF('התפלגות ייצור וסל דלקים'!F42=0,0,(('הנחות עבודה'!$I$9*'הנחות עבודה'!$D$11*VLOOKUP(J$43,'הנחות עבודה'!$H$27:$I$30,2,FALSE)/('התפלגות ייצור וסל דלקים'!L70*'הנחות עבודה'!$D$14*'הנחות עבודה'!$I$9/('התפלגות ייצור וסל דלקים'!F42*'הנחות עבודה'!$I$10/'הנחות עבודה'!$I$11)))/'הנחות עבודה'!$D$13)*'הנחות עבודה'!$D$15+VLOOKUP(J$43,'הנחות עבודה'!$H$31:$I$34,2,FALSE)+VLOOKUP(J$43,'הנחות עבודה'!$H$35:$I$38,2,FALSE)))</f>
        <v>0</v>
      </c>
      <c r="K25" s="44">
        <f>IF(OR($F25&lt;$D$4,$F25&gt;$D$5),0,'הנחות עבודה'!$I$47)</f>
        <v>12.464721411227444</v>
      </c>
      <c r="L25" s="43">
        <f>'הנחות עבודה'!$I$48</f>
        <v>33.751294580477023</v>
      </c>
      <c r="M25" s="127">
        <f t="shared" ca="1" si="53"/>
        <v>17.721308311943321</v>
      </c>
      <c r="N25" s="54">
        <f t="shared" ca="1" si="54"/>
        <v>13.364035997255948</v>
      </c>
      <c r="O25" s="54">
        <f t="shared" si="55"/>
        <v>0</v>
      </c>
      <c r="P25" s="54">
        <f t="shared" si="56"/>
        <v>0</v>
      </c>
      <c r="Q25" s="54">
        <f t="shared" si="57"/>
        <v>12.464721411227444</v>
      </c>
      <c r="R25" s="53">
        <f t="shared" si="58"/>
        <v>33.751294580477023</v>
      </c>
      <c r="S25" s="42">
        <f ca="1">IF(OR($F25&lt;$D$4,$F25&gt;$D$5),0,IF('התפלגות ייצור וסל דלקים'!K42=0,0,(('הנחות עבודה'!$I$9*'הנחות עבודה'!$D$11*VLOOKUP(S$43,'הנחות עבודה'!$H$27:$I$30,2,FALSE)/('התפלגות ייצור וסל דלקים'!AG70*'הנחות עבודה'!$D$14*'הנחות עבודה'!$I$9/('התפלגות ייצור וסל דלקים'!K42*'הנחות עבודה'!$I$10/'הנחות עבודה'!$I$11)))/'הנחות עבודה'!$D$13)*'הנחות עבודה'!$D$15+VLOOKUP(S$43,'הנחות עבודה'!$H$31:$I$34,2,FALSE)+VLOOKUP(S$43,'הנחות עבודה'!$H$35:$I$38,2,FALSE)))</f>
        <v>17.752264138120093</v>
      </c>
      <c r="T25" s="44">
        <f ca="1">IF(OR($F25&lt;$D$4,$F25&gt;$D$5),0,IF('התפלגות ייצור וסל דלקים'!L42=0,0,(('הנחות עבודה'!$I$9*'הנחות עבודה'!$D$11*VLOOKUP(T$43,'הנחות עבודה'!$H$27:$I$30,2,FALSE)/('התפלגות ייצור וסל דלקים'!AH70*'הנחות עבודה'!$D$14*'הנחות עבודה'!$I$9/('התפלגות ייצור וסל דלקים'!L42*'הנחות עבודה'!$I$10/'הנחות עבודה'!$I$11)))/'הנחות עבודה'!$D$13)*'הנחות עבודה'!$D$15+VLOOKUP(T$43,'הנחות עבודה'!$H$31:$I$34,2,FALSE)+VLOOKUP(T$43,'הנחות עבודה'!$H$35:$I$38,2,FALSE)))</f>
        <v>13.457969960744288</v>
      </c>
      <c r="U25" s="44">
        <f>IF(OR($F25&lt;$D$4,$F25&gt;$D$5),0,IF('התפלגות ייצור וסל דלקים'!M42=0,0,(('הנחות עבודה'!$I$9*'הנחות עבודה'!$D$11*VLOOKUP(U$43,'הנחות עבודה'!$H$27:$I$30,2,FALSE)/('התפלגות ייצור וסל דלקים'!AI70*'הנחות עבודה'!$D$14*'הנחות עבודה'!$I$9/('התפלגות ייצור וסל דלקים'!M42*'הנחות עבודה'!$I$10/'הנחות עבודה'!$I$11)))/'הנחות עבודה'!$D$13)*'הנחות עבודה'!$D$15+VLOOKUP(U$43,'הנחות עבודה'!$H$31:$I$34,2,FALSE)+VLOOKUP(U$43,'הנחות עבודה'!$H$35:$I$38,2,FALSE)))</f>
        <v>0</v>
      </c>
      <c r="V25" s="44">
        <f>IF(OR($F25&lt;$D$4,$F25&gt;$D$5),0,IF('התפלגות ייצור וסל דלקים'!N42=0,0,(('הנחות עבודה'!$I$9*'הנחות עבודה'!$D$11*VLOOKUP(V$43,'הנחות עבודה'!$H$27:$I$30,2,FALSE)/('התפלגות ייצור וסל דלקים'!AJ70*'הנחות עבודה'!$D$14*'הנחות עבודה'!$I$9/('התפלגות ייצור וסל דלקים'!N42*'הנחות עבודה'!$I$10/'הנחות עבודה'!$I$11)))/'הנחות עבודה'!$D$13)*'הנחות עבודה'!$D$15+VLOOKUP(V$43,'הנחות עבודה'!$H$31:$I$34,2,FALSE)+VLOOKUP(V$43,'הנחות עבודה'!$H$35:$I$38,2,FALSE)))</f>
        <v>0</v>
      </c>
      <c r="W25" s="44">
        <f t="shared" si="50"/>
        <v>12.464721411227444</v>
      </c>
      <c r="X25" s="43">
        <f t="shared" si="50"/>
        <v>33.751294580477023</v>
      </c>
      <c r="Y25" s="52">
        <f t="shared" ca="1" si="59"/>
        <v>17.752264138120093</v>
      </c>
      <c r="Z25" s="54">
        <f t="shared" ca="1" si="60"/>
        <v>13.457969960744288</v>
      </c>
      <c r="AA25" s="54">
        <f t="shared" si="61"/>
        <v>0</v>
      </c>
      <c r="AB25" s="54">
        <f t="shared" si="62"/>
        <v>0</v>
      </c>
      <c r="AC25" s="54">
        <f t="shared" si="63"/>
        <v>12.464721411227444</v>
      </c>
      <c r="AD25" s="53">
        <f t="shared" si="64"/>
        <v>33.751294580477023</v>
      </c>
      <c r="AE25" s="42">
        <f ca="1">IF(OR($F25&lt;$D$4,$F25&gt;$D$5),0,IF('התפלגות ייצור וסל דלקים'!S42=0,0,(('הנחות עבודה'!$I$9*'הנחות עבודה'!$D$11*VLOOKUP(G$43,'הנחות עבודה'!$H$27:$I$30,2,FALSE)/('התפלגות ייצור וסל דלקים'!BE70*'הנחות עבודה'!$D$14*'הנחות עבודה'!$I$9/('התפלגות ייצור וסל דלקים'!S42*'הנחות עבודה'!$I$10/'הנחות עבודה'!$I$11)))/'הנחות עבודה'!$D$13)*'הנחות עבודה'!$D$15+VLOOKUP(G$43,'הנחות עבודה'!$H$31:$I$34,2,FALSE)+VLOOKUP(G$43,'הנחות עבודה'!$H$35:$I$38,2,FALSE)))</f>
        <v>17.729169761049153</v>
      </c>
      <c r="AF25" s="44">
        <f ca="1">IF(OR($F25&lt;$D$4,$F25&gt;$D$5),0,IF('התפלגות ייצור וסל דלקים'!T42=0,0,(('הנחות עבודה'!$I$9*'הנחות עבודה'!$D$11*VLOOKUP(H$43,'הנחות עבודה'!$H$27:$I$30,2,FALSE)/('התפלגות ייצור וסל דלקים'!BF70*'הנחות עבודה'!$D$14*'הנחות עבודה'!$I$9/('התפלגות ייצור וסל דלקים'!T42*'הנחות עבודה'!$I$10/'הנחות עבודה'!$I$11)))/'הנחות עבודה'!$D$13)*'הנחות עבודה'!$D$15+VLOOKUP(H$43,'הנחות עבודה'!$H$31:$I$34,2,FALSE)+VLOOKUP(H$43,'הנחות עבודה'!$H$35:$I$38,2,FALSE)))</f>
        <v>13.535155303147778</v>
      </c>
      <c r="AG25" s="44">
        <f>IF(OR($F25&lt;$D$4,$F25&gt;$D$5),0,IF('התפלגות ייצור וסל דלקים'!U42=0,0,(('הנחות עבודה'!$I$9*'הנחות עבודה'!$D$11*VLOOKUP(I$43,'הנחות עבודה'!$H$27:$I$30,2,FALSE)/('התפלגות ייצור וסל דלקים'!BG70*'הנחות עבודה'!$D$14*'הנחות עבודה'!$I$9/('התפלגות ייצור וסל דלקים'!U42*'הנחות עבודה'!$I$10/'הנחות עבודה'!$I$11)))/'הנחות עבודה'!$D$13)*'הנחות עבודה'!$D$15+VLOOKUP(I$43,'הנחות עבודה'!$H$31:$I$34,2,FALSE)+VLOOKUP(I$43,'הנחות עבודה'!$H$35:$I$38,2,FALSE)))</f>
        <v>0</v>
      </c>
      <c r="AH25" s="44">
        <f>IF(OR($F25&lt;$D$4,$F25&gt;$D$5),0,IF('התפלגות ייצור וסל דלקים'!V42=0,0,(('הנחות עבודה'!$I$9*'הנחות עבודה'!$D$11*VLOOKUP(J$43,'הנחות עבודה'!$H$27:$I$30,2,FALSE)/('התפלגות ייצור וסל דלקים'!BH70*'הנחות עבודה'!$D$14*'הנחות עבודה'!$I$9/('התפלגות ייצור וסל דלקים'!V42*'הנחות עבודה'!$I$10/'הנחות עבודה'!$I$11)))/'הנחות עבודה'!$D$13)*'הנחות עבודה'!$D$15+VLOOKUP(J$43,'הנחות עבודה'!$H$31:$I$34,2,FALSE)+VLOOKUP(J$43,'הנחות עבודה'!$H$35:$I$38,2,FALSE)))</f>
        <v>0</v>
      </c>
      <c r="AI25" s="44">
        <f t="shared" si="65"/>
        <v>12.464721411227444</v>
      </c>
      <c r="AJ25" s="43">
        <f t="shared" si="66"/>
        <v>33.751294580477023</v>
      </c>
      <c r="AK25" s="127">
        <f t="shared" ca="1" si="67"/>
        <v>17.729169761049153</v>
      </c>
      <c r="AL25" s="54">
        <f t="shared" ca="1" si="68"/>
        <v>13.535155303147778</v>
      </c>
      <c r="AM25" s="54">
        <f t="shared" si="69"/>
        <v>0</v>
      </c>
      <c r="AN25" s="54">
        <f t="shared" si="70"/>
        <v>0</v>
      </c>
      <c r="AO25" s="54">
        <f t="shared" si="71"/>
        <v>12.464721411227444</v>
      </c>
      <c r="AP25" s="53">
        <f t="shared" si="72"/>
        <v>33.751294580477023</v>
      </c>
    </row>
    <row r="26" spans="4:42" ht="15.75">
      <c r="F26" s="241">
        <f t="shared" si="73"/>
        <v>2027</v>
      </c>
      <c r="G26" s="42">
        <f ca="1">IF(OR($F26&lt;$D$4,$F26&gt;$D$5),0,IF('התפלגות ייצור וסל דלקים'!C43=0,0,(('הנחות עבודה'!$I$9*'הנחות עבודה'!$D$11*VLOOKUP(G$43,'הנחות עבודה'!$H$27:$I$30,2,FALSE)/('התפלגות ייצור וסל דלקים'!I71*'הנחות עבודה'!$D$14*'הנחות עבודה'!$I$9/('התפלגות ייצור וסל דלקים'!C43*'הנחות עבודה'!$I$10/'הנחות עבודה'!$I$11)))/'הנחות עבודה'!$D$13)*'הנחות עבודה'!$D$15+VLOOKUP(G$43,'הנחות עבודה'!$H$31:$I$34,2,FALSE)+VLOOKUP(G$43,'הנחות עבודה'!$H$35:$I$38,2,FALSE)))</f>
        <v>17.738511483270837</v>
      </c>
      <c r="H26" s="44">
        <f ca="1">IF(OR($F26&lt;$D$4,$F26&gt;$D$5),0,IF('התפלגות ייצור וסל דלקים'!D43=0,0,(('הנחות עבודה'!$I$9*'הנחות עבודה'!$D$11*VLOOKUP(H$43,'הנחות עבודה'!$H$27:$I$30,2,FALSE)/('התפלגות ייצור וסל דלקים'!J71*'הנחות עבודה'!$D$14*'הנחות עבודה'!$I$9/('התפלגות ייצור וסל דלקים'!D43*'הנחות עבודה'!$I$10/'הנחות עבודה'!$I$11)))/'הנחות עבודה'!$D$13)*'הנחות עבודה'!$D$15+VLOOKUP(H$43,'הנחות עבודה'!$H$31:$I$34,2,FALSE)+VLOOKUP(H$43,'הנחות עבודה'!$H$35:$I$38,2,FALSE)))</f>
        <v>13.348371588638358</v>
      </c>
      <c r="I26" s="44">
        <f>IF(OR($F26&lt;$D$4,$F26&gt;$D$5),0,IF('התפלגות ייצור וסל דלקים'!E43=0,0,(('הנחות עבודה'!$I$9*'הנחות עבודה'!$D$11*VLOOKUP(I$43,'הנחות עבודה'!$H$27:$I$30,2,FALSE)/('התפלגות ייצור וסל דלקים'!K71*'הנחות עבודה'!$D$14*'הנחות עבודה'!$I$9/('התפלגות ייצור וסל דלקים'!E43*'הנחות עבודה'!$I$10/'הנחות עבודה'!$I$11)))/'הנחות עבודה'!$D$13)*'הנחות עבודה'!$D$15+VLOOKUP(I$43,'הנחות עבודה'!$H$31:$I$34,2,FALSE)+VLOOKUP(I$43,'הנחות עבודה'!$H$35:$I$38,2,FALSE)))</f>
        <v>0</v>
      </c>
      <c r="J26" s="44">
        <f>IF(OR($F26&lt;$D$4,$F26&gt;$D$5),0,IF('התפלגות ייצור וסל דלקים'!F43=0,0,(('הנחות עבודה'!$I$9*'הנחות עבודה'!$D$11*VLOOKUP(J$43,'הנחות עבודה'!$H$27:$I$30,2,FALSE)/('התפלגות ייצור וסל דלקים'!L71*'הנחות עבודה'!$D$14*'הנחות עבודה'!$I$9/('התפלגות ייצור וסל דלקים'!F43*'הנחות עבודה'!$I$10/'הנחות עבודה'!$I$11)))/'הנחות עבודה'!$D$13)*'הנחות עבודה'!$D$15+VLOOKUP(J$43,'הנחות עבודה'!$H$31:$I$34,2,FALSE)+VLOOKUP(J$43,'הנחות עבודה'!$H$35:$I$38,2,FALSE)))</f>
        <v>0</v>
      </c>
      <c r="K26" s="44">
        <f>IF(OR($F26&lt;$D$4,$F26&gt;$D$5),0,'הנחות עבודה'!$I$47)</f>
        <v>12.464721411227444</v>
      </c>
      <c r="L26" s="43">
        <f>'הנחות עבודה'!$I$48</f>
        <v>33.751294580477023</v>
      </c>
      <c r="M26" s="127">
        <f t="shared" ca="1" si="53"/>
        <v>17.738511483270837</v>
      </c>
      <c r="N26" s="54">
        <f t="shared" ca="1" si="54"/>
        <v>13.348371588638358</v>
      </c>
      <c r="O26" s="54">
        <f t="shared" si="55"/>
        <v>0</v>
      </c>
      <c r="P26" s="54">
        <f t="shared" si="56"/>
        <v>0</v>
      </c>
      <c r="Q26" s="54">
        <f t="shared" si="57"/>
        <v>12.464721411227444</v>
      </c>
      <c r="R26" s="53">
        <f t="shared" si="58"/>
        <v>33.751294580477023</v>
      </c>
      <c r="S26" s="42">
        <f ca="1">IF(OR($F26&lt;$D$4,$F26&gt;$D$5),0,IF('התפלגות ייצור וסל דלקים'!K43=0,0,(('הנחות עבודה'!$I$9*'הנחות עבודה'!$D$11*VLOOKUP(S$43,'הנחות עבודה'!$H$27:$I$30,2,FALSE)/('התפלגות ייצור וסל דלקים'!AG71*'הנחות עבודה'!$D$14*'הנחות עבודה'!$I$9/('התפלגות ייצור וסל דלקים'!K43*'הנחות עבודה'!$I$10/'הנחות עבודה'!$I$11)))/'הנחות עבודה'!$D$13)*'הנחות עבודה'!$D$15+VLOOKUP(S$43,'הנחות עבודה'!$H$31:$I$34,2,FALSE)+VLOOKUP(S$43,'הנחות עבודה'!$H$35:$I$38,2,FALSE)))</f>
        <v>17.750615931377666</v>
      </c>
      <c r="T26" s="44">
        <f ca="1">IF(OR($F26&lt;$D$4,$F26&gt;$D$5),0,IF('התפלגות ייצור וסל דלקים'!L43=0,0,(('הנחות עבודה'!$I$9*'הנחות עבודה'!$D$11*VLOOKUP(T$43,'הנחות עבודה'!$H$27:$I$30,2,FALSE)/('התפלגות ייצור וסל דלקים'!AH71*'הנחות עבודה'!$D$14*'הנחות עבודה'!$I$9/('התפלגות ייצור וסל דלקים'!L43*'הנחות עבודה'!$I$10/'הנחות עבודה'!$I$11)))/'הנחות עבודה'!$D$13)*'הנחות עבודה'!$D$15+VLOOKUP(T$43,'הנחות עבודה'!$H$31:$I$34,2,FALSE)+VLOOKUP(T$43,'הנחות עבודה'!$H$35:$I$38,2,FALSE)))</f>
        <v>13.471753019243458</v>
      </c>
      <c r="U26" s="44">
        <f>IF(OR($F26&lt;$D$4,$F26&gt;$D$5),0,IF('התפלגות ייצור וסל דלקים'!M43=0,0,(('הנחות עבודה'!$I$9*'הנחות עבודה'!$D$11*VLOOKUP(U$43,'הנחות עבודה'!$H$27:$I$30,2,FALSE)/('התפלגות ייצור וסל דלקים'!AI71*'הנחות עבודה'!$D$14*'הנחות עבודה'!$I$9/('התפלגות ייצור וסל דלקים'!M43*'הנחות עבודה'!$I$10/'הנחות עבודה'!$I$11)))/'הנחות עבודה'!$D$13)*'הנחות עבודה'!$D$15+VLOOKUP(U$43,'הנחות עבודה'!$H$31:$I$34,2,FALSE)+VLOOKUP(U$43,'הנחות עבודה'!$H$35:$I$38,2,FALSE)))</f>
        <v>0</v>
      </c>
      <c r="V26" s="44">
        <f>IF(OR($F26&lt;$D$4,$F26&gt;$D$5),0,IF('התפלגות ייצור וסל דלקים'!N43=0,0,(('הנחות עבודה'!$I$9*'הנחות עבודה'!$D$11*VLOOKUP(V$43,'הנחות עבודה'!$H$27:$I$30,2,FALSE)/('התפלגות ייצור וסל דלקים'!AJ71*'הנחות עבודה'!$D$14*'הנחות עבודה'!$I$9/('התפלגות ייצור וסל דלקים'!N43*'הנחות עבודה'!$I$10/'הנחות עבודה'!$I$11)))/'הנחות עבודה'!$D$13)*'הנחות עבודה'!$D$15+VLOOKUP(V$43,'הנחות עבודה'!$H$31:$I$34,2,FALSE)+VLOOKUP(V$43,'הנחות עבודה'!$H$35:$I$38,2,FALSE)))</f>
        <v>0</v>
      </c>
      <c r="W26" s="44">
        <f t="shared" si="50"/>
        <v>12.464721411227444</v>
      </c>
      <c r="X26" s="43">
        <f t="shared" si="50"/>
        <v>33.751294580477023</v>
      </c>
      <c r="Y26" s="52">
        <f t="shared" ca="1" si="59"/>
        <v>17.750615931377666</v>
      </c>
      <c r="Z26" s="54">
        <f t="shared" ca="1" si="60"/>
        <v>13.471753019243458</v>
      </c>
      <c r="AA26" s="54">
        <f t="shared" si="61"/>
        <v>0</v>
      </c>
      <c r="AB26" s="54">
        <f t="shared" si="62"/>
        <v>0</v>
      </c>
      <c r="AC26" s="54">
        <f t="shared" si="63"/>
        <v>12.464721411227444</v>
      </c>
      <c r="AD26" s="53">
        <f t="shared" si="64"/>
        <v>33.751294580477023</v>
      </c>
      <c r="AE26" s="42">
        <f ca="1">IF(OR($F26&lt;$D$4,$F26&gt;$D$5),0,IF('התפלגות ייצור וסל דלקים'!S43=0,0,(('הנחות עבודה'!$I$9*'הנחות עבודה'!$D$11*VLOOKUP(G$43,'הנחות עבודה'!$H$27:$I$30,2,FALSE)/('התפלגות ייצור וסל דלקים'!BE71*'הנחות עבודה'!$D$14*'הנחות עבודה'!$I$9/('התפלגות ייצור וסל דלקים'!S43*'הנחות עבודה'!$I$10/'הנחות עבודה'!$I$11)))/'הנחות עבודה'!$D$13)*'הנחות עבודה'!$D$15+VLOOKUP(G$43,'הנחות עבודה'!$H$31:$I$34,2,FALSE)+VLOOKUP(G$43,'הנחות עבודה'!$H$35:$I$38,2,FALSE)))</f>
        <v>17.735824967640983</v>
      </c>
      <c r="AF26" s="44">
        <f ca="1">IF(OR($F26&lt;$D$4,$F26&gt;$D$5),0,IF('התפלגות ייצור וסל דלקים'!T43=0,0,(('הנחות עבודה'!$I$9*'הנחות עבודה'!$D$11*VLOOKUP(H$43,'הנחות עבודה'!$H$27:$I$30,2,FALSE)/('התפלגות ייצור וסל דלקים'!BF71*'הנחות עבודה'!$D$14*'הנחות עבודה'!$I$9/('התפלגות ייצור וסל דלקים'!T43*'הנחות עבודה'!$I$10/'הנחות עבודה'!$I$11)))/'הנחות עבודה'!$D$13)*'הנחות עבודה'!$D$15+VLOOKUP(H$43,'הנחות עבודה'!$H$31:$I$34,2,FALSE)+VLOOKUP(H$43,'הנחות עבודה'!$H$35:$I$38,2,FALSE)))</f>
        <v>13.594767973311303</v>
      </c>
      <c r="AG26" s="44">
        <f>IF(OR($F26&lt;$D$4,$F26&gt;$D$5),0,IF('התפלגות ייצור וסל דלקים'!U43=0,0,(('הנחות עבודה'!$I$9*'הנחות עבודה'!$D$11*VLOOKUP(I$43,'הנחות עבודה'!$H$27:$I$30,2,FALSE)/('התפלגות ייצור וסל דלקים'!BG71*'הנחות עבודה'!$D$14*'הנחות עבודה'!$I$9/('התפלגות ייצור וסל דלקים'!U43*'הנחות עבודה'!$I$10/'הנחות עבודה'!$I$11)))/'הנחות עבודה'!$D$13)*'הנחות עבודה'!$D$15+VLOOKUP(I$43,'הנחות עבודה'!$H$31:$I$34,2,FALSE)+VLOOKUP(I$43,'הנחות עבודה'!$H$35:$I$38,2,FALSE)))</f>
        <v>0</v>
      </c>
      <c r="AH26" s="44">
        <f>IF(OR($F26&lt;$D$4,$F26&gt;$D$5),0,IF('התפלגות ייצור וסל דלקים'!V43=0,0,(('הנחות עבודה'!$I$9*'הנחות עבודה'!$D$11*VLOOKUP(J$43,'הנחות עבודה'!$H$27:$I$30,2,FALSE)/('התפלגות ייצור וסל דלקים'!BH71*'הנחות עבודה'!$D$14*'הנחות עבודה'!$I$9/('התפלגות ייצור וסל דלקים'!V43*'הנחות עבודה'!$I$10/'הנחות עבודה'!$I$11)))/'הנחות עבודה'!$D$13)*'הנחות עבודה'!$D$15+VLOOKUP(J$43,'הנחות עבודה'!$H$31:$I$34,2,FALSE)+VLOOKUP(J$43,'הנחות עבודה'!$H$35:$I$38,2,FALSE)))</f>
        <v>0</v>
      </c>
      <c r="AI26" s="44">
        <f t="shared" si="65"/>
        <v>12.464721411227444</v>
      </c>
      <c r="AJ26" s="43">
        <f t="shared" si="66"/>
        <v>33.751294580477023</v>
      </c>
      <c r="AK26" s="127">
        <f t="shared" ca="1" si="67"/>
        <v>17.735824967640983</v>
      </c>
      <c r="AL26" s="54">
        <f t="shared" ca="1" si="68"/>
        <v>13.594767973311303</v>
      </c>
      <c r="AM26" s="54">
        <f t="shared" si="69"/>
        <v>0</v>
      </c>
      <c r="AN26" s="54">
        <f t="shared" si="70"/>
        <v>0</v>
      </c>
      <c r="AO26" s="54">
        <f t="shared" si="71"/>
        <v>12.464721411227444</v>
      </c>
      <c r="AP26" s="53">
        <f t="shared" si="72"/>
        <v>33.751294580477023</v>
      </c>
    </row>
    <row r="27" spans="4:42" ht="15.75">
      <c r="F27" s="241">
        <f t="shared" si="73"/>
        <v>2028</v>
      </c>
      <c r="G27" s="42">
        <f ca="1">IF(OR($F27&lt;$D$4,$F27&gt;$D$5),0,IF('התפלגות ייצור וסל דלקים'!C44=0,0,(('הנחות עבודה'!$I$9*'הנחות עבודה'!$D$11*VLOOKUP(G$43,'הנחות עבודה'!$H$27:$I$30,2,FALSE)/('התפלגות ייצור וסל דלקים'!I72*'הנחות עבודה'!$D$14*'הנחות עבודה'!$I$9/('התפלגות ייצור וסל דלקים'!C44*'הנחות עבודה'!$I$10/'הנחות עבודה'!$I$11)))/'הנחות עבודה'!$D$13)*'הנחות עבודה'!$D$15+VLOOKUP(G$43,'הנחות עבודה'!$H$31:$I$34,2,FALSE)+VLOOKUP(G$43,'הנחות עבודה'!$H$35:$I$38,2,FALSE)))</f>
        <v>17.772089618551384</v>
      </c>
      <c r="H27" s="44">
        <f ca="1">IF(OR($F27&lt;$D$4,$F27&gt;$D$5),0,IF('התפלגות ייצור וסל דלקים'!D44=0,0,(('הנחות עבודה'!$I$9*'הנחות עבודה'!$D$11*VLOOKUP(H$43,'הנחות עבודה'!$H$27:$I$30,2,FALSE)/('התפלגות ייצור וסל דלקים'!J72*'הנחות עבודה'!$D$14*'הנחות עבודה'!$I$9/('התפלגות ייצור וסל דלקים'!D44*'הנחות עבודה'!$I$10/'הנחות עבודה'!$I$11)))/'הנחות עבודה'!$D$13)*'הנחות עבודה'!$D$15+VLOOKUP(H$43,'הנחות עבודה'!$H$31:$I$34,2,FALSE)+VLOOKUP(H$43,'הנחות עבודה'!$H$35:$I$38,2,FALSE)))</f>
        <v>13.321198417795937</v>
      </c>
      <c r="I27" s="44">
        <f>IF(OR($F27&lt;$D$4,$F27&gt;$D$5),0,IF('התפלגות ייצור וסל דלקים'!E44=0,0,(('הנחות עבודה'!$I$9*'הנחות עבודה'!$D$11*VLOOKUP(I$43,'הנחות עבודה'!$H$27:$I$30,2,FALSE)/('התפלגות ייצור וסל דלקים'!K72*'הנחות עבודה'!$D$14*'הנחות עבודה'!$I$9/('התפלגות ייצור וסל דלקים'!E44*'הנחות עבודה'!$I$10/'הנחות עבודה'!$I$11)))/'הנחות עבודה'!$D$13)*'הנחות עבודה'!$D$15+VLOOKUP(I$43,'הנחות עבודה'!$H$31:$I$34,2,FALSE)+VLOOKUP(I$43,'הנחות עבודה'!$H$35:$I$38,2,FALSE)))</f>
        <v>0</v>
      </c>
      <c r="J27" s="44">
        <f>IF(OR($F27&lt;$D$4,$F27&gt;$D$5),0,IF('התפלגות ייצור וסל דלקים'!F44=0,0,(('הנחות עבודה'!$I$9*'הנחות עבודה'!$D$11*VLOOKUP(J$43,'הנחות עבודה'!$H$27:$I$30,2,FALSE)/('התפלגות ייצור וסל דלקים'!L72*'הנחות עבודה'!$D$14*'הנחות עבודה'!$I$9/('התפלגות ייצור וסל דלקים'!F44*'הנחות עבודה'!$I$10/'הנחות עבודה'!$I$11)))/'הנחות עבודה'!$D$13)*'הנחות עבודה'!$D$15+VLOOKUP(J$43,'הנחות עבודה'!$H$31:$I$34,2,FALSE)+VLOOKUP(J$43,'הנחות עבודה'!$H$35:$I$38,2,FALSE)))</f>
        <v>0</v>
      </c>
      <c r="K27" s="44">
        <f>IF(OR($F27&lt;$D$4,$F27&gt;$D$5),0,'הנחות עבודה'!$I$47)</f>
        <v>12.464721411227444</v>
      </c>
      <c r="L27" s="43">
        <f>'הנחות עבודה'!$I$48</f>
        <v>33.751294580477023</v>
      </c>
      <c r="M27" s="127">
        <f t="shared" ca="1" si="53"/>
        <v>17.772089618551384</v>
      </c>
      <c r="N27" s="54">
        <f t="shared" ca="1" si="54"/>
        <v>13.321198417795937</v>
      </c>
      <c r="O27" s="54">
        <f t="shared" si="55"/>
        <v>0</v>
      </c>
      <c r="P27" s="54">
        <f t="shared" si="56"/>
        <v>0</v>
      </c>
      <c r="Q27" s="54">
        <f t="shared" si="57"/>
        <v>12.464721411227444</v>
      </c>
      <c r="R27" s="53">
        <f t="shared" si="58"/>
        <v>33.751294580477023</v>
      </c>
      <c r="S27" s="42">
        <f ca="1">IF(OR($F27&lt;$D$4,$F27&gt;$D$5),0,IF('התפלגות ייצור וסל דלקים'!K44=0,0,(('הנחות עבודה'!$I$9*'הנחות עבודה'!$D$11*VLOOKUP(S$43,'הנחות עבודה'!$H$27:$I$30,2,FALSE)/('התפלגות ייצור וסל דלקים'!AG72*'הנחות עבודה'!$D$14*'הנחות עבודה'!$I$9/('התפלגות ייצור וסל דלקים'!K44*'הנחות עבודה'!$I$10/'הנחות עבודה'!$I$11)))/'הנחות עבודה'!$D$13)*'הנחות עבודה'!$D$15+VLOOKUP(S$43,'הנחות עבודה'!$H$31:$I$34,2,FALSE)+VLOOKUP(S$43,'הנחות עבודה'!$H$35:$I$38,2,FALSE)))</f>
        <v>17.743470419532965</v>
      </c>
      <c r="T27" s="44">
        <f ca="1">IF(OR($F27&lt;$D$4,$F27&gt;$D$5),0,IF('התפלגות ייצור וסל דלקים'!L44=0,0,(('הנחות עבודה'!$I$9*'הנחות עבודה'!$D$11*VLOOKUP(T$43,'הנחות עבודה'!$H$27:$I$30,2,FALSE)/('התפלגות ייצור וסל דלקים'!AH72*'הנחות עבודה'!$D$14*'הנחות עבודה'!$I$9/('התפלגות ייצור וסל דלקים'!L44*'הנחות עבודה'!$I$10/'הנחות עבודה'!$I$11)))/'הנחות עבודה'!$D$13)*'הנחות עבודה'!$D$15+VLOOKUP(T$43,'הנחות עבודה'!$H$31:$I$34,2,FALSE)+VLOOKUP(T$43,'הנחות עבודה'!$H$35:$I$38,2,FALSE)))</f>
        <v>13.526210834492311</v>
      </c>
      <c r="U27" s="44">
        <f>IF(OR($F27&lt;$D$4,$F27&gt;$D$5),0,IF('התפלגות ייצור וסל דלקים'!M44=0,0,(('הנחות עבודה'!$I$9*'הנחות עבודה'!$D$11*VLOOKUP(U$43,'הנחות עבודה'!$H$27:$I$30,2,FALSE)/('התפלגות ייצור וסל דלקים'!AI72*'הנחות עבודה'!$D$14*'הנחות עבודה'!$I$9/('התפלגות ייצור וסל דלקים'!M44*'הנחות עבודה'!$I$10/'הנחות עבודה'!$I$11)))/'הנחות עבודה'!$D$13)*'הנחות עבודה'!$D$15+VLOOKUP(U$43,'הנחות עבודה'!$H$31:$I$34,2,FALSE)+VLOOKUP(U$43,'הנחות עבודה'!$H$35:$I$38,2,FALSE)))</f>
        <v>0</v>
      </c>
      <c r="V27" s="44">
        <f>IF(OR($F27&lt;$D$4,$F27&gt;$D$5),0,IF('התפלגות ייצור וסל דלקים'!N44=0,0,(('הנחות עבודה'!$I$9*'הנחות עבודה'!$D$11*VLOOKUP(V$43,'הנחות עבודה'!$H$27:$I$30,2,FALSE)/('התפלגות ייצור וסל דלקים'!AJ72*'הנחות עבודה'!$D$14*'הנחות עבודה'!$I$9/('התפלגות ייצור וסל דלקים'!N44*'הנחות עבודה'!$I$10/'הנחות עבודה'!$I$11)))/'הנחות עבודה'!$D$13)*'הנחות עבודה'!$D$15+VLOOKUP(V$43,'הנחות עבודה'!$H$31:$I$34,2,FALSE)+VLOOKUP(V$43,'הנחות עבודה'!$H$35:$I$38,2,FALSE)))</f>
        <v>0</v>
      </c>
      <c r="W27" s="44">
        <f t="shared" si="50"/>
        <v>12.464721411227444</v>
      </c>
      <c r="X27" s="43">
        <f t="shared" si="50"/>
        <v>33.751294580477023</v>
      </c>
      <c r="Y27" s="52">
        <f t="shared" ca="1" si="59"/>
        <v>17.743470419532965</v>
      </c>
      <c r="Z27" s="54">
        <f t="shared" ca="1" si="60"/>
        <v>13.526210834492311</v>
      </c>
      <c r="AA27" s="54">
        <f t="shared" si="61"/>
        <v>0</v>
      </c>
      <c r="AB27" s="54">
        <f t="shared" si="62"/>
        <v>0</v>
      </c>
      <c r="AC27" s="54">
        <f t="shared" si="63"/>
        <v>12.464721411227444</v>
      </c>
      <c r="AD27" s="53">
        <f t="shared" si="64"/>
        <v>33.751294580477023</v>
      </c>
      <c r="AE27" s="42">
        <f ca="1">IF(OR($F27&lt;$D$4,$F27&gt;$D$5),0,IF('התפלגות ייצור וסל דלקים'!S44=0,0,(('הנחות עבודה'!$I$9*'הנחות עבודה'!$D$11*VLOOKUP(G$43,'הנחות עבודה'!$H$27:$I$30,2,FALSE)/('התפלגות ייצור וסל דלקים'!BE72*'הנחות עבודה'!$D$14*'הנחות עבודה'!$I$9/('התפלגות ייצור וסל דלקים'!S44*'הנחות עבודה'!$I$10/'הנחות עבודה'!$I$11)))/'הנחות עבודה'!$D$13)*'הנחות עבודה'!$D$15+VLOOKUP(G$43,'הנחות עבודה'!$H$31:$I$34,2,FALSE)+VLOOKUP(G$43,'הנחות עבודה'!$H$35:$I$38,2,FALSE)))</f>
        <v>17.70605598875834</v>
      </c>
      <c r="AF27" s="44">
        <f ca="1">IF(OR($F27&lt;$D$4,$F27&gt;$D$5),0,IF('התפלגות ייצור וסל דלקים'!T44=0,0,(('הנחות עבודה'!$I$9*'הנחות עבודה'!$D$11*VLOOKUP(H$43,'הנחות עבודה'!$H$27:$I$30,2,FALSE)/('התפלגות ייצור וסל דלקים'!BF72*'הנחות עבודה'!$D$14*'הנחות עבודה'!$I$9/('התפלגות ייצור וסל דלקים'!T44*'הנחות עבודה'!$I$10/'הנחות עבודה'!$I$11)))/'הנחות עבודה'!$D$13)*'הנחות עבודה'!$D$15+VLOOKUP(H$43,'הנחות עבודה'!$H$31:$I$34,2,FALSE)+VLOOKUP(H$43,'הנחות עבודה'!$H$35:$I$38,2,FALSE)))</f>
        <v>13.686328723713089</v>
      </c>
      <c r="AG27" s="44">
        <f>IF(OR($F27&lt;$D$4,$F27&gt;$D$5),0,IF('התפלגות ייצור וסל דלקים'!U44=0,0,(('הנחות עבודה'!$I$9*'הנחות עבודה'!$D$11*VLOOKUP(I$43,'הנחות עבודה'!$H$27:$I$30,2,FALSE)/('התפלגות ייצור וסל דלקים'!BG72*'הנחות עבודה'!$D$14*'הנחות עבודה'!$I$9/('התפלגות ייצור וסל דלקים'!U44*'הנחות עבודה'!$I$10/'הנחות עבודה'!$I$11)))/'הנחות עבודה'!$D$13)*'הנחות עבודה'!$D$15+VLOOKUP(I$43,'הנחות עבודה'!$H$31:$I$34,2,FALSE)+VLOOKUP(I$43,'הנחות עבודה'!$H$35:$I$38,2,FALSE)))</f>
        <v>0</v>
      </c>
      <c r="AH27" s="44">
        <f>IF(OR($F27&lt;$D$4,$F27&gt;$D$5),0,IF('התפלגות ייצור וסל דלקים'!V44=0,0,(('הנחות עבודה'!$I$9*'הנחות עבודה'!$D$11*VLOOKUP(J$43,'הנחות עבודה'!$H$27:$I$30,2,FALSE)/('התפלגות ייצור וסל דלקים'!BH72*'הנחות עבודה'!$D$14*'הנחות עבודה'!$I$9/('התפלגות ייצור וסל דלקים'!V44*'הנחות עבודה'!$I$10/'הנחות עבודה'!$I$11)))/'הנחות עבודה'!$D$13)*'הנחות עבודה'!$D$15+VLOOKUP(J$43,'הנחות עבודה'!$H$31:$I$34,2,FALSE)+VLOOKUP(J$43,'הנחות עבודה'!$H$35:$I$38,2,FALSE)))</f>
        <v>0</v>
      </c>
      <c r="AI27" s="44">
        <f t="shared" si="65"/>
        <v>12.464721411227444</v>
      </c>
      <c r="AJ27" s="43">
        <f t="shared" si="66"/>
        <v>33.751294580477023</v>
      </c>
      <c r="AK27" s="127">
        <f t="shared" ca="1" si="67"/>
        <v>17.70605598875834</v>
      </c>
      <c r="AL27" s="54">
        <f t="shared" ca="1" si="68"/>
        <v>13.686328723713089</v>
      </c>
      <c r="AM27" s="54">
        <f t="shared" si="69"/>
        <v>0</v>
      </c>
      <c r="AN27" s="54">
        <f t="shared" si="70"/>
        <v>0</v>
      </c>
      <c r="AO27" s="54">
        <f t="shared" si="71"/>
        <v>12.464721411227444</v>
      </c>
      <c r="AP27" s="53">
        <f t="shared" si="72"/>
        <v>33.751294580477023</v>
      </c>
    </row>
    <row r="28" spans="4:42" ht="15.75">
      <c r="F28" s="241">
        <f t="shared" si="73"/>
        <v>2029</v>
      </c>
      <c r="G28" s="42">
        <f ca="1">IF(OR($F28&lt;$D$4,$F28&gt;$D$5),0,IF('התפלגות ייצור וסל דלקים'!C45=0,0,(('הנחות עבודה'!$I$9*'הנחות עבודה'!$D$11*VLOOKUP(G$43,'הנחות עבודה'!$H$27:$I$30,2,FALSE)/('התפלגות ייצור וסל דלקים'!I73*'הנחות עבודה'!$D$14*'הנחות עבודה'!$I$9/('התפלגות ייצור וסל דלקים'!C45*'הנחות עבודה'!$I$10/'הנחות עבודה'!$I$11)))/'הנחות עבודה'!$D$13)*'הנחות עבודה'!$D$15+VLOOKUP(G$43,'הנחות עבודה'!$H$31:$I$34,2,FALSE)+VLOOKUP(G$43,'הנחות עבודה'!$H$35:$I$38,2,FALSE)))</f>
        <v>17.765730065255294</v>
      </c>
      <c r="H28" s="44">
        <f ca="1">IF(OR($F28&lt;$D$4,$F28&gt;$D$5),0,IF('התפלגות ייצור וסל דלקים'!D45=0,0,(('הנחות עבודה'!$I$9*'הנחות עבודה'!$D$11*VLOOKUP(H$43,'הנחות עבודה'!$H$27:$I$30,2,FALSE)/('התפלגות ייצור וסל דלקים'!J73*'הנחות עבודה'!$D$14*'הנחות עבודה'!$I$9/('התפלגות ייצור וסל דלקים'!D45*'הנחות עבודה'!$I$10/'הנחות עבודה'!$I$11)))/'הנחות עבודה'!$D$13)*'הנחות עבודה'!$D$15+VLOOKUP(H$43,'הנחות עבודה'!$H$31:$I$34,2,FALSE)+VLOOKUP(H$43,'הנחות עבודה'!$H$35:$I$38,2,FALSE)))</f>
        <v>13.257985236216911</v>
      </c>
      <c r="I28" s="44">
        <f>IF(OR($F28&lt;$D$4,$F28&gt;$D$5),0,IF('התפלגות ייצור וסל דלקים'!E45=0,0,(('הנחות עבודה'!$I$9*'הנחות עבודה'!$D$11*VLOOKUP(I$43,'הנחות עבודה'!$H$27:$I$30,2,FALSE)/('התפלגות ייצור וסל דלקים'!K73*'הנחות עבודה'!$D$14*'הנחות עבודה'!$I$9/('התפלגות ייצור וסל דלקים'!E45*'הנחות עבודה'!$I$10/'הנחות עבודה'!$I$11)))/'הנחות עבודה'!$D$13)*'הנחות עבודה'!$D$15+VLOOKUP(I$43,'הנחות עבודה'!$H$31:$I$34,2,FALSE)+VLOOKUP(I$43,'הנחות עבודה'!$H$35:$I$38,2,FALSE)))</f>
        <v>0</v>
      </c>
      <c r="J28" s="44">
        <f>IF(OR($F28&lt;$D$4,$F28&gt;$D$5),0,IF('התפלגות ייצור וסל דלקים'!F45=0,0,(('הנחות עבודה'!$I$9*'הנחות עבודה'!$D$11*VLOOKUP(J$43,'הנחות עבודה'!$H$27:$I$30,2,FALSE)/('התפלגות ייצור וסל דלקים'!L73*'הנחות עבודה'!$D$14*'הנחות עבודה'!$I$9/('התפלגות ייצור וסל דלקים'!F45*'הנחות עבודה'!$I$10/'הנחות עבודה'!$I$11)))/'הנחות עבודה'!$D$13)*'הנחות עבודה'!$D$15+VLOOKUP(J$43,'הנחות עבודה'!$H$31:$I$34,2,FALSE)+VLOOKUP(J$43,'הנחות עבודה'!$H$35:$I$38,2,FALSE)))</f>
        <v>0</v>
      </c>
      <c r="K28" s="44">
        <f>IF(OR($F28&lt;$D$4,$F28&gt;$D$5),0,'הנחות עבודה'!$I$47)</f>
        <v>12.464721411227444</v>
      </c>
      <c r="L28" s="43">
        <f>'הנחות עבודה'!$I$48</f>
        <v>33.751294580477023</v>
      </c>
      <c r="M28" s="127">
        <f t="shared" ca="1" si="53"/>
        <v>17.765730065255294</v>
      </c>
      <c r="N28" s="54">
        <f t="shared" ca="1" si="54"/>
        <v>13.257985236216911</v>
      </c>
      <c r="O28" s="54">
        <f t="shared" si="55"/>
        <v>0</v>
      </c>
      <c r="P28" s="54">
        <f t="shared" si="56"/>
        <v>0</v>
      </c>
      <c r="Q28" s="54">
        <f t="shared" si="57"/>
        <v>12.464721411227444</v>
      </c>
      <c r="R28" s="53">
        <f t="shared" si="58"/>
        <v>33.751294580477023</v>
      </c>
      <c r="S28" s="42">
        <f ca="1">IF(OR($F28&lt;$D$4,$F28&gt;$D$5),0,IF('התפלגות ייצור וסל דלקים'!K45=0,0,(('הנחות עבודה'!$I$9*'הנחות עבודה'!$D$11*VLOOKUP(S$43,'הנחות עבודה'!$H$27:$I$30,2,FALSE)/('התפלגות ייצור וסל דלקים'!AG73*'הנחות עבודה'!$D$14*'הנחות עבודה'!$I$9/('התפלגות ייצור וסל דלקים'!K45*'הנחות עבודה'!$I$10/'הנחות עבודה'!$I$11)))/'הנחות עבודה'!$D$13)*'הנחות עבודה'!$D$15+VLOOKUP(S$43,'הנחות עבודה'!$H$31:$I$34,2,FALSE)+VLOOKUP(S$43,'הנחות עבודה'!$H$35:$I$38,2,FALSE)))</f>
        <v>17.719573015181119</v>
      </c>
      <c r="T28" s="44">
        <f ca="1">IF(OR($F28&lt;$D$4,$F28&gt;$D$5),0,IF('התפלגות ייצור וסל דלקים'!L45=0,0,(('הנחות עבודה'!$I$9*'הנחות עבודה'!$D$11*VLOOKUP(T$43,'הנחות עבודה'!$H$27:$I$30,2,FALSE)/('התפלגות ייצור וסל דלקים'!AH73*'הנחות עבודה'!$D$14*'הנחות עבודה'!$I$9/('התפלגות ייצור וסל דלקים'!L45*'הנחות עבודה'!$I$10/'הנחות עבודה'!$I$11)))/'הנחות עבודה'!$D$13)*'הנחות עבודה'!$D$15+VLOOKUP(T$43,'הנחות עבודה'!$H$31:$I$34,2,FALSE)+VLOOKUP(T$43,'הנחות עבודה'!$H$35:$I$38,2,FALSE)))</f>
        <v>13.489340127771211</v>
      </c>
      <c r="U28" s="44">
        <f>IF(OR($F28&lt;$D$4,$F28&gt;$D$5),0,IF('התפלגות ייצור וסל דלקים'!M45=0,0,(('הנחות עבודה'!$I$9*'הנחות עבודה'!$D$11*VLOOKUP(U$43,'הנחות עבודה'!$H$27:$I$30,2,FALSE)/('התפלגות ייצור וסל דלקים'!AI73*'הנחות עבודה'!$D$14*'הנחות עבודה'!$I$9/('התפלגות ייצור וסל דלקים'!M45*'הנחות עבודה'!$I$10/'הנחות עבודה'!$I$11)))/'הנחות עבודה'!$D$13)*'הנחות עבודה'!$D$15+VLOOKUP(U$43,'הנחות עבודה'!$H$31:$I$34,2,FALSE)+VLOOKUP(U$43,'הנחות עבודה'!$H$35:$I$38,2,FALSE)))</f>
        <v>0</v>
      </c>
      <c r="V28" s="44">
        <f>IF(OR($F28&lt;$D$4,$F28&gt;$D$5),0,IF('התפלגות ייצור וסל דלקים'!N45=0,0,(('הנחות עבודה'!$I$9*'הנחות עבודה'!$D$11*VLOOKUP(V$43,'הנחות עבודה'!$H$27:$I$30,2,FALSE)/('התפלגות ייצור וסל דלקים'!AJ73*'הנחות עבודה'!$D$14*'הנחות עבודה'!$I$9/('התפלגות ייצור וסל דלקים'!N45*'הנחות עבודה'!$I$10/'הנחות עבודה'!$I$11)))/'הנחות עבודה'!$D$13)*'הנחות עבודה'!$D$15+VLOOKUP(V$43,'הנחות עבודה'!$H$31:$I$34,2,FALSE)+VLOOKUP(V$43,'הנחות עבודה'!$H$35:$I$38,2,FALSE)))</f>
        <v>0</v>
      </c>
      <c r="W28" s="44">
        <f t="shared" si="50"/>
        <v>12.464721411227444</v>
      </c>
      <c r="X28" s="43">
        <f t="shared" si="50"/>
        <v>33.751294580477023</v>
      </c>
      <c r="Y28" s="52">
        <f t="shared" ca="1" si="59"/>
        <v>17.719573015181119</v>
      </c>
      <c r="Z28" s="54">
        <f t="shared" ca="1" si="60"/>
        <v>13.489340127771211</v>
      </c>
      <c r="AA28" s="54">
        <f t="shared" si="61"/>
        <v>0</v>
      </c>
      <c r="AB28" s="54">
        <f t="shared" si="62"/>
        <v>0</v>
      </c>
      <c r="AC28" s="54">
        <f t="shared" si="63"/>
        <v>12.464721411227444</v>
      </c>
      <c r="AD28" s="53">
        <f t="shared" si="64"/>
        <v>33.751294580477023</v>
      </c>
      <c r="AE28" s="42">
        <f ca="1">IF(OR($F28&lt;$D$4,$F28&gt;$D$5),0,IF('התפלגות ייצור וסל דלקים'!S45=0,0,(('הנחות עבודה'!$I$9*'הנחות עבודה'!$D$11*VLOOKUP(G$43,'הנחות עבודה'!$H$27:$I$30,2,FALSE)/('התפלגות ייצור וסל דלקים'!BE73*'הנחות עבודה'!$D$14*'הנחות עבודה'!$I$9/('התפלגות ייצור וסל דלקים'!S45*'הנחות עבודה'!$I$10/'הנחות עבודה'!$I$11)))/'הנחות עבודה'!$D$13)*'הנחות עבודה'!$D$15+VLOOKUP(G$43,'הנחות עבודה'!$H$31:$I$34,2,FALSE)+VLOOKUP(G$43,'הנחות עבודה'!$H$35:$I$38,2,FALSE)))</f>
        <v>17.683489540633509</v>
      </c>
      <c r="AF28" s="44">
        <f ca="1">IF(OR($F28&lt;$D$4,$F28&gt;$D$5),0,IF('התפלגות ייצור וסל דלקים'!T45=0,0,(('הנחות עבודה'!$I$9*'הנחות עבודה'!$D$11*VLOOKUP(H$43,'הנחות עבודה'!$H$27:$I$30,2,FALSE)/('התפלגות ייצור וסל דלקים'!BF73*'הנחות עבודה'!$D$14*'הנחות עבודה'!$I$9/('התפלגות ייצור וסל דלקים'!T45*'הנחות עבודה'!$I$10/'הנחות עבודה'!$I$11)))/'הנחות עבודה'!$D$13)*'הנחות עבודה'!$D$15+VLOOKUP(H$43,'הנחות עבודה'!$H$31:$I$34,2,FALSE)+VLOOKUP(H$43,'הנחות עבודה'!$H$35:$I$38,2,FALSE)))</f>
        <v>13.673374963569231</v>
      </c>
      <c r="AG28" s="44">
        <f>IF(OR($F28&lt;$D$4,$F28&gt;$D$5),0,IF('התפלגות ייצור וסל דלקים'!U45=0,0,(('הנחות עבודה'!$I$9*'הנחות עבודה'!$D$11*VLOOKUP(I$43,'הנחות עבודה'!$H$27:$I$30,2,FALSE)/('התפלגות ייצור וסל דלקים'!BG73*'הנחות עבודה'!$D$14*'הנחות עבודה'!$I$9/('התפלגות ייצור וסל דלקים'!U45*'הנחות עבודה'!$I$10/'הנחות עבודה'!$I$11)))/'הנחות עבודה'!$D$13)*'הנחות עבודה'!$D$15+VLOOKUP(I$43,'הנחות עבודה'!$H$31:$I$34,2,FALSE)+VLOOKUP(I$43,'הנחות עבודה'!$H$35:$I$38,2,FALSE)))</f>
        <v>0</v>
      </c>
      <c r="AH28" s="44">
        <f>IF(OR($F28&lt;$D$4,$F28&gt;$D$5),0,IF('התפלגות ייצור וסל דלקים'!V45=0,0,(('הנחות עבודה'!$I$9*'הנחות עבודה'!$D$11*VLOOKUP(J$43,'הנחות עבודה'!$H$27:$I$30,2,FALSE)/('התפלגות ייצור וסל דלקים'!BH73*'הנחות עבודה'!$D$14*'הנחות עבודה'!$I$9/('התפלגות ייצור וסל דלקים'!V45*'הנחות עבודה'!$I$10/'הנחות עבודה'!$I$11)))/'הנחות עבודה'!$D$13)*'הנחות עבודה'!$D$15+VLOOKUP(J$43,'הנחות עבודה'!$H$31:$I$34,2,FALSE)+VLOOKUP(J$43,'הנחות עבודה'!$H$35:$I$38,2,FALSE)))</f>
        <v>0</v>
      </c>
      <c r="AI28" s="44">
        <f t="shared" si="65"/>
        <v>12.464721411227444</v>
      </c>
      <c r="AJ28" s="43">
        <f t="shared" si="66"/>
        <v>33.751294580477023</v>
      </c>
      <c r="AK28" s="127">
        <f t="shared" ca="1" si="67"/>
        <v>17.683489540633509</v>
      </c>
      <c r="AL28" s="54">
        <f t="shared" ca="1" si="68"/>
        <v>13.673374963569231</v>
      </c>
      <c r="AM28" s="54">
        <f t="shared" si="69"/>
        <v>0</v>
      </c>
      <c r="AN28" s="54">
        <f t="shared" si="70"/>
        <v>0</v>
      </c>
      <c r="AO28" s="54">
        <f t="shared" si="71"/>
        <v>12.464721411227444</v>
      </c>
      <c r="AP28" s="53">
        <f t="shared" si="72"/>
        <v>33.751294580477023</v>
      </c>
    </row>
    <row r="29" spans="4:42" ht="15.75">
      <c r="F29" s="241">
        <f t="shared" si="73"/>
        <v>2030</v>
      </c>
      <c r="G29" s="42">
        <f ca="1">IF(OR($F29&lt;$D$4,$F29&gt;$D$5),0,IF('התפלגות ייצור וסל דלקים'!C46=0,0,(('הנחות עבודה'!$I$9*'הנחות עבודה'!$D$11*VLOOKUP(G$43,'הנחות עבודה'!$H$27:$I$30,2,FALSE)/('התפלגות ייצור וסל דלקים'!I74*'הנחות עבודה'!$D$14*'הנחות עבודה'!$I$9/('התפלגות ייצור וסל דלקים'!C46*'הנחות עבודה'!$I$10/'הנחות עבודה'!$I$11)))/'הנחות עבודה'!$D$13)*'הנחות עבודה'!$D$15+VLOOKUP(G$43,'הנחות עבודה'!$H$31:$I$34,2,FALSE)+VLOOKUP(G$43,'הנחות עבודה'!$H$35:$I$38,2,FALSE)))</f>
        <v>17.781776929748339</v>
      </c>
      <c r="H29" s="44">
        <f ca="1">IF(OR($F29&lt;$D$4,$F29&gt;$D$5),0,IF('התפלגות ייצור וסל דלקים'!D46=0,0,(('הנחות עבודה'!$I$9*'הנחות עבודה'!$D$11*VLOOKUP(H$43,'הנחות עבודה'!$H$27:$I$30,2,FALSE)/('התפלגות ייצור וסל דלקים'!J74*'הנחות עבודה'!$D$14*'הנחות עבודה'!$I$9/('התפלגות ייצור וסל דלקים'!D46*'הנחות עבודה'!$I$10/'הנחות עבודה'!$I$11)))/'הנחות עבודה'!$D$13)*'הנחות עבודה'!$D$15+VLOOKUP(H$43,'הנחות עבודה'!$H$31:$I$34,2,FALSE)+VLOOKUP(H$43,'הנחות עבודה'!$H$35:$I$38,2,FALSE)))</f>
        <v>13.203690548892451</v>
      </c>
      <c r="I29" s="44">
        <f>IF(OR($F29&lt;$D$4,$F29&gt;$D$5),0,IF('התפלגות ייצור וסל דלקים'!E46=0,0,(('הנחות עבודה'!$I$9*'הנחות עבודה'!$D$11*VLOOKUP(I$43,'הנחות עבודה'!$H$27:$I$30,2,FALSE)/('התפלגות ייצור וסל דלקים'!K74*'הנחות עבודה'!$D$14*'הנחות עבודה'!$I$9/('התפלגות ייצור וסל דלקים'!E46*'הנחות עבודה'!$I$10/'הנחות עבודה'!$I$11)))/'הנחות עבודה'!$D$13)*'הנחות עבודה'!$D$15+VLOOKUP(I$43,'הנחות עבודה'!$H$31:$I$34,2,FALSE)+VLOOKUP(I$43,'הנחות עבודה'!$H$35:$I$38,2,FALSE)))</f>
        <v>0</v>
      </c>
      <c r="J29" s="44">
        <f>IF(OR($F29&lt;$D$4,$F29&gt;$D$5),0,IF('התפלגות ייצור וסל דלקים'!F46=0,0,(('הנחות עבודה'!$I$9*'הנחות עבודה'!$D$11*VLOOKUP(J$43,'הנחות עבודה'!$H$27:$I$30,2,FALSE)/('התפלגות ייצור וסל דלקים'!L74*'הנחות עבודה'!$D$14*'הנחות עבודה'!$I$9/('התפלגות ייצור וסל דלקים'!F46*'הנחות עבודה'!$I$10/'הנחות עבודה'!$I$11)))/'הנחות עבודה'!$D$13)*'הנחות עבודה'!$D$15+VLOOKUP(J$43,'הנחות עבודה'!$H$31:$I$34,2,FALSE)+VLOOKUP(J$43,'הנחות עבודה'!$H$35:$I$38,2,FALSE)))</f>
        <v>0</v>
      </c>
      <c r="K29" s="44">
        <f>IF(OR($F29&lt;$D$4,$F29&gt;$D$5),0,'הנחות עבודה'!$I$47)</f>
        <v>12.464721411227444</v>
      </c>
      <c r="L29" s="43">
        <f>'הנחות עבודה'!$I$48</f>
        <v>33.751294580477023</v>
      </c>
      <c r="M29" s="127">
        <f t="shared" ca="1" si="53"/>
        <v>17.781776929748339</v>
      </c>
      <c r="N29" s="54">
        <f t="shared" ca="1" si="54"/>
        <v>13.203690548892451</v>
      </c>
      <c r="O29" s="54">
        <f t="shared" si="55"/>
        <v>0</v>
      </c>
      <c r="P29" s="54">
        <f t="shared" si="56"/>
        <v>0</v>
      </c>
      <c r="Q29" s="54">
        <f t="shared" si="57"/>
        <v>12.464721411227444</v>
      </c>
      <c r="R29" s="53">
        <f t="shared" si="58"/>
        <v>33.751294580477023</v>
      </c>
      <c r="S29" s="42">
        <f ca="1">IF(OR($F29&lt;$D$4,$F29&gt;$D$5),0,IF('התפלגות ייצור וסל דלקים'!K46=0,0,(('הנחות עבודה'!$I$9*'הנחות עבודה'!$D$11*VLOOKUP(S$43,'הנחות עבודה'!$H$27:$I$30,2,FALSE)/('התפלגות ייצור וסל דלקים'!AG74*'הנחות עבודה'!$D$14*'הנחות עבודה'!$I$9/('התפלגות ייצור וסל דלקים'!K46*'הנחות עבודה'!$I$10/'הנחות עבודה'!$I$11)))/'הנחות עבודה'!$D$13)*'הנחות עבודה'!$D$15+VLOOKUP(S$43,'הנחות עבודה'!$H$31:$I$34,2,FALSE)+VLOOKUP(S$43,'הנחות עבודה'!$H$35:$I$38,2,FALSE)))</f>
        <v>17.704242305659392</v>
      </c>
      <c r="T29" s="44">
        <f ca="1">IF(OR($F29&lt;$D$4,$F29&gt;$D$5),0,IF('התפלגות ייצור וסל דלקים'!L46=0,0,(('הנחות עבודה'!$I$9*'הנחות עבודה'!$D$11*VLOOKUP(T$43,'הנחות עבודה'!$H$27:$I$30,2,FALSE)/('התפלגות ייצור וסל דלקים'!AH74*'הנחות עבודה'!$D$14*'הנחות עבודה'!$I$9/('התפלגות ייצור וסל דלקים'!L46*'הנחות עבודה'!$I$10/'הנחות עבודה'!$I$11)))/'הנחות עבודה'!$D$13)*'הנחות עבודה'!$D$15+VLOOKUP(T$43,'הנחות עבודה'!$H$31:$I$34,2,FALSE)+VLOOKUP(T$43,'הנחות עבודה'!$H$35:$I$38,2,FALSE)))</f>
        <v>13.484645287055724</v>
      </c>
      <c r="U29" s="44">
        <f>IF(OR($F29&lt;$D$4,$F29&gt;$D$5),0,IF('התפלגות ייצור וסל דלקים'!M46=0,0,(('הנחות עבודה'!$I$9*'הנחות עבודה'!$D$11*VLOOKUP(U$43,'הנחות עבודה'!$H$27:$I$30,2,FALSE)/('התפלגות ייצור וסל דלקים'!AI74*'הנחות עבודה'!$D$14*'הנחות עבודה'!$I$9/('התפלגות ייצור וסל דלקים'!M46*'הנחות עבודה'!$I$10/'הנחות עבודה'!$I$11)))/'הנחות עבודה'!$D$13)*'הנחות עבודה'!$D$15+VLOOKUP(U$43,'הנחות עבודה'!$H$31:$I$34,2,FALSE)+VLOOKUP(U$43,'הנחות עבודה'!$H$35:$I$38,2,FALSE)))</f>
        <v>0</v>
      </c>
      <c r="V29" s="44">
        <f>IF(OR($F29&lt;$D$4,$F29&gt;$D$5),0,IF('התפלגות ייצור וסל דלקים'!N46=0,0,(('הנחות עבודה'!$I$9*'הנחות עבודה'!$D$11*VLOOKUP(V$43,'הנחות עבודה'!$H$27:$I$30,2,FALSE)/('התפלגות ייצור וסל דלקים'!AJ74*'הנחות עבודה'!$D$14*'הנחות עבודה'!$I$9/('התפלגות ייצור וסל דלקים'!N46*'הנחות עבודה'!$I$10/'הנחות עבודה'!$I$11)))/'הנחות עבודה'!$D$13)*'הנחות עבודה'!$D$15+VLOOKUP(V$43,'הנחות עבודה'!$H$31:$I$34,2,FALSE)+VLOOKUP(V$43,'הנחות עבודה'!$H$35:$I$38,2,FALSE)))</f>
        <v>0</v>
      </c>
      <c r="W29" s="44">
        <f t="shared" si="50"/>
        <v>12.464721411227444</v>
      </c>
      <c r="X29" s="43">
        <f t="shared" si="50"/>
        <v>33.751294580477023</v>
      </c>
      <c r="Y29" s="52">
        <f t="shared" ca="1" si="59"/>
        <v>17.704242305659392</v>
      </c>
      <c r="Z29" s="54">
        <f t="shared" ca="1" si="60"/>
        <v>13.484645287055724</v>
      </c>
      <c r="AA29" s="54">
        <f t="shared" si="61"/>
        <v>0</v>
      </c>
      <c r="AB29" s="54">
        <f t="shared" si="62"/>
        <v>0</v>
      </c>
      <c r="AC29" s="54">
        <f t="shared" si="63"/>
        <v>12.464721411227444</v>
      </c>
      <c r="AD29" s="53">
        <f t="shared" si="64"/>
        <v>33.751294580477023</v>
      </c>
      <c r="AE29" s="42">
        <f ca="1">IF(OR($F29&lt;$D$4,$F29&gt;$D$5),0,IF('התפלגות ייצור וסל דלקים'!S46=0,0,(('הנחות עבודה'!$I$9*'הנחות עבודה'!$D$11*VLOOKUP(G$43,'הנחות עבודה'!$H$27:$I$30,2,FALSE)/('התפלגות ייצור וסל דלקים'!BE74*'הנחות עבודה'!$D$14*'הנחות עבודה'!$I$9/('התפלגות ייצור וסל דלקים'!S46*'הנחות עבודה'!$I$10/'הנחות עבודה'!$I$11)))/'הנחות עבודה'!$D$13)*'הנחות עבודה'!$D$15+VLOOKUP(G$43,'הנחות עבודה'!$H$31:$I$34,2,FALSE)+VLOOKUP(G$43,'הנחות עבודה'!$H$35:$I$38,2,FALSE)))</f>
        <v>17.697952732262955</v>
      </c>
      <c r="AF29" s="44">
        <f ca="1">IF(OR($F29&lt;$D$4,$F29&gt;$D$5),0,IF('התפלגות ייצור וסל דלקים'!T46=0,0,(('הנחות עבודה'!$I$9*'הנחות עבודה'!$D$11*VLOOKUP(H$43,'הנחות עבודה'!$H$27:$I$30,2,FALSE)/('התפלגות ייצור וסל דלקים'!BF74*'הנחות עבודה'!$D$14*'הנחות עבודה'!$I$9/('התפלגות ייצור וסל דלקים'!T46*'הנחות עבודה'!$I$10/'הנחות עבודה'!$I$11)))/'הנחות עבודה'!$D$13)*'הנחות עבודה'!$D$15+VLOOKUP(H$43,'הנחות עבודה'!$H$31:$I$34,2,FALSE)+VLOOKUP(H$43,'הנחות עבודה'!$H$35:$I$38,2,FALSE)))</f>
        <v>13.763461473490402</v>
      </c>
      <c r="AG29" s="44">
        <f>IF(OR($F29&lt;$D$4,$F29&gt;$D$5),0,IF('התפלגות ייצור וסל דלקים'!U46=0,0,(('הנחות עבודה'!$I$9*'הנחות עבודה'!$D$11*VLOOKUP(I$43,'הנחות עבודה'!$H$27:$I$30,2,FALSE)/('התפלגות ייצור וסל דלקים'!BG74*'הנחות עבודה'!$D$14*'הנחות עבודה'!$I$9/('התפלגות ייצור וסל דלקים'!U46*'הנחות עבודה'!$I$10/'הנחות עבודה'!$I$11)))/'הנחות עבודה'!$D$13)*'הנחות עבודה'!$D$15+VLOOKUP(I$43,'הנחות עבודה'!$H$31:$I$34,2,FALSE)+VLOOKUP(I$43,'הנחות עבודה'!$H$35:$I$38,2,FALSE)))</f>
        <v>0</v>
      </c>
      <c r="AH29" s="44">
        <f>IF(OR($F29&lt;$D$4,$F29&gt;$D$5),0,IF('התפלגות ייצור וסל דלקים'!V46=0,0,(('הנחות עבודה'!$I$9*'הנחות עבודה'!$D$11*VLOOKUP(J$43,'הנחות עבודה'!$H$27:$I$30,2,FALSE)/('התפלגות ייצור וסל דלקים'!BH74*'הנחות עבודה'!$D$14*'הנחות עבודה'!$I$9/('התפלגות ייצור וסל דלקים'!V46*'הנחות עבודה'!$I$10/'הנחות עבודה'!$I$11)))/'הנחות עבודה'!$D$13)*'הנחות עבודה'!$D$15+VLOOKUP(J$43,'הנחות עבודה'!$H$31:$I$34,2,FALSE)+VLOOKUP(J$43,'הנחות עבודה'!$H$35:$I$38,2,FALSE)))</f>
        <v>0</v>
      </c>
      <c r="AI29" s="44">
        <f t="shared" si="65"/>
        <v>12.464721411227444</v>
      </c>
      <c r="AJ29" s="43">
        <f t="shared" si="66"/>
        <v>33.751294580477023</v>
      </c>
      <c r="AK29" s="127">
        <f t="shared" ca="1" si="67"/>
        <v>17.697952732262955</v>
      </c>
      <c r="AL29" s="54">
        <f t="shared" ca="1" si="68"/>
        <v>13.763461473490402</v>
      </c>
      <c r="AM29" s="54">
        <f t="shared" si="69"/>
        <v>0</v>
      </c>
      <c r="AN29" s="54">
        <f t="shared" si="70"/>
        <v>0</v>
      </c>
      <c r="AO29" s="54">
        <f t="shared" si="71"/>
        <v>12.464721411227444</v>
      </c>
      <c r="AP29" s="53">
        <f t="shared" si="72"/>
        <v>33.751294580477023</v>
      </c>
    </row>
    <row r="30" spans="4:42" ht="15.75">
      <c r="F30" s="241">
        <f t="shared" si="73"/>
        <v>2031</v>
      </c>
      <c r="G30" s="42">
        <f ca="1">IF(OR($F30&lt;$D$4,$F30&gt;$D$5),0,IF('התפלגות ייצור וסל דלקים'!C47=0,0,(('הנחות עבודה'!$I$9*'הנחות עבודה'!$D$11*VLOOKUP(G$43,'הנחות עבודה'!$H$27:$I$30,2,FALSE)/('התפלגות ייצור וסל דלקים'!I75*'הנחות עבודה'!$D$14*'הנחות עבודה'!$I$9/('התפלגות ייצור וסל דלקים'!C47*'הנחות עבודה'!$I$10/'הנחות עבודה'!$I$11)))/'הנחות עבודה'!$D$13)*'הנחות עבודה'!$D$15+VLOOKUP(G$43,'הנחות עבודה'!$H$31:$I$34,2,FALSE)+VLOOKUP(G$43,'הנחות עבודה'!$H$35:$I$38,2,FALSE)))</f>
        <v>17.785604753894788</v>
      </c>
      <c r="H30" s="44">
        <f ca="1">IF(OR($F30&lt;$D$4,$F30&gt;$D$5),0,IF('התפלגות ייצור וסל דלקים'!D47=0,0,(('הנחות עבודה'!$I$9*'הנחות עבודה'!$D$11*VLOOKUP(H$43,'הנחות עבודה'!$H$27:$I$30,2,FALSE)/('התפלגות ייצור וסל דלקים'!J75*'הנחות עבודה'!$D$14*'הנחות עבודה'!$I$9/('התפלגות ייצור וסל דלקים'!D47*'הנחות עבודה'!$I$10/'הנחות עבודה'!$I$11)))/'הנחות עבודה'!$D$13)*'הנחות עבודה'!$D$15+VLOOKUP(H$43,'הנחות עבודה'!$H$31:$I$34,2,FALSE)+VLOOKUP(H$43,'הנחות עבודה'!$H$35:$I$38,2,FALSE)))</f>
        <v>13.021735192202735</v>
      </c>
      <c r="I30" s="44">
        <f>IF(OR($F30&lt;$D$4,$F30&gt;$D$5),0,IF('התפלגות ייצור וסל דלקים'!E47=0,0,(('הנחות עבודה'!$I$9*'הנחות עבודה'!$D$11*VLOOKUP(I$43,'הנחות עבודה'!$H$27:$I$30,2,FALSE)/('התפלגות ייצור וסל דלקים'!K75*'הנחות עבודה'!$D$14*'הנחות עבודה'!$I$9/('התפלגות ייצור וסל דלקים'!E47*'הנחות עבודה'!$I$10/'הנחות עבודה'!$I$11)))/'הנחות עבודה'!$D$13)*'הנחות עבודה'!$D$15+VLOOKUP(I$43,'הנחות עבודה'!$H$31:$I$34,2,FALSE)+VLOOKUP(I$43,'הנחות עבודה'!$H$35:$I$38,2,FALSE)))</f>
        <v>0</v>
      </c>
      <c r="J30" s="44">
        <f>IF(OR($F30&lt;$D$4,$F30&gt;$D$5),0,IF('התפלגות ייצור וסל דלקים'!F47=0,0,(('הנחות עבודה'!$I$9*'הנחות עבודה'!$D$11*VLOOKUP(J$43,'הנחות עבודה'!$H$27:$I$30,2,FALSE)/('התפלגות ייצור וסל דלקים'!L75*'הנחות עבודה'!$D$14*'הנחות עבודה'!$I$9/('התפלגות ייצור וסל דלקים'!F47*'הנחות עבודה'!$I$10/'הנחות עבודה'!$I$11)))/'הנחות עבודה'!$D$13)*'הנחות עבודה'!$D$15+VLOOKUP(J$43,'הנחות עבודה'!$H$31:$I$34,2,FALSE)+VLOOKUP(J$43,'הנחות עבודה'!$H$35:$I$38,2,FALSE)))</f>
        <v>0</v>
      </c>
      <c r="K30" s="44">
        <f>IF(OR($F30&lt;$D$4,$F30&gt;$D$5),0,'הנחות עבודה'!$I$47)</f>
        <v>12.464721411227444</v>
      </c>
      <c r="L30" s="43">
        <f>'הנחות עבודה'!$I$48</f>
        <v>33.751294580477023</v>
      </c>
      <c r="M30" s="127">
        <f t="shared" ca="1" si="53"/>
        <v>17.785604753894788</v>
      </c>
      <c r="N30" s="54">
        <f t="shared" ca="1" si="54"/>
        <v>13.021735192202735</v>
      </c>
      <c r="O30" s="54">
        <f t="shared" si="55"/>
        <v>0</v>
      </c>
      <c r="P30" s="54">
        <f t="shared" si="56"/>
        <v>0</v>
      </c>
      <c r="Q30" s="54">
        <f t="shared" si="57"/>
        <v>12.464721411227444</v>
      </c>
      <c r="R30" s="53">
        <f t="shared" si="58"/>
        <v>33.751294580477023</v>
      </c>
      <c r="S30" s="42">
        <f ca="1">IF(OR($F30&lt;$D$4,$F30&gt;$D$5),0,IF('התפלגות ייצור וסל דלקים'!K47=0,0,(('הנחות עבודה'!$I$9*'הנחות עבודה'!$D$11*VLOOKUP(S$43,'הנחות עבודה'!$H$27:$I$30,2,FALSE)/('התפלגות ייצור וסל דלקים'!AG75*'הנחות עבודה'!$D$14*'הנחות עבודה'!$I$9/('התפלגות ייצור וסל דלקים'!K47*'הנחות עבודה'!$I$10/'הנחות עבודה'!$I$11)))/'הנחות עבודה'!$D$13)*'הנחות עבודה'!$D$15+VLOOKUP(S$43,'הנחות עבודה'!$H$31:$I$34,2,FALSE)+VLOOKUP(S$43,'הנחות עבודה'!$H$35:$I$38,2,FALSE)))</f>
        <v>17.703555141776047</v>
      </c>
      <c r="T30" s="44">
        <f ca="1">IF(OR($F30&lt;$D$4,$F30&gt;$D$5),0,IF('התפלגות ייצור וסל דלקים'!L47=0,0,(('הנחות עבודה'!$I$9*'הנחות עבודה'!$D$11*VLOOKUP(T$43,'הנחות עבודה'!$H$27:$I$30,2,FALSE)/('התפלגות ייצור וסל דלקים'!AH75*'הנחות עבודה'!$D$14*'הנחות עבודה'!$I$9/('התפלגות ייצור וסל דלקים'!L47*'הנחות עבודה'!$I$10/'הנחות עבודה'!$I$11)))/'הנחות עבודה'!$D$13)*'הנחות עבודה'!$D$15+VLOOKUP(T$43,'הנחות עבודה'!$H$31:$I$34,2,FALSE)+VLOOKUP(T$43,'הנחות עבודה'!$H$35:$I$38,2,FALSE)))</f>
        <v>13.271194146777828</v>
      </c>
      <c r="U30" s="44">
        <f>IF(OR($F30&lt;$D$4,$F30&gt;$D$5),0,IF('התפלגות ייצור וסל דלקים'!M47=0,0,(('הנחות עבודה'!$I$9*'הנחות עבודה'!$D$11*VLOOKUP(U$43,'הנחות עבודה'!$H$27:$I$30,2,FALSE)/('התפלגות ייצור וסל דלקים'!AI75*'הנחות עבודה'!$D$14*'הנחות עבודה'!$I$9/('התפלגות ייצור וסל דלקים'!M47*'הנחות עבודה'!$I$10/'הנחות עבודה'!$I$11)))/'הנחות עבודה'!$D$13)*'הנחות עבודה'!$D$15+VLOOKUP(U$43,'הנחות עבודה'!$H$31:$I$34,2,FALSE)+VLOOKUP(U$43,'הנחות עבודה'!$H$35:$I$38,2,FALSE)))</f>
        <v>0</v>
      </c>
      <c r="V30" s="44">
        <f>IF(OR($F30&lt;$D$4,$F30&gt;$D$5),0,IF('התפלגות ייצור וסל דלקים'!N47=0,0,(('הנחות עבודה'!$I$9*'הנחות עבודה'!$D$11*VLOOKUP(V$43,'הנחות עבודה'!$H$27:$I$30,2,FALSE)/('התפלגות ייצור וסל דלקים'!AJ75*'הנחות עבודה'!$D$14*'הנחות עבודה'!$I$9/('התפלגות ייצור וסל דלקים'!N47*'הנחות עבודה'!$I$10/'הנחות עבודה'!$I$11)))/'הנחות עבודה'!$D$13)*'הנחות עבודה'!$D$15+VLOOKUP(V$43,'הנחות עבודה'!$H$31:$I$34,2,FALSE)+VLOOKUP(V$43,'הנחות עבודה'!$H$35:$I$38,2,FALSE)))</f>
        <v>0</v>
      </c>
      <c r="W30" s="44">
        <f t="shared" si="50"/>
        <v>12.464721411227444</v>
      </c>
      <c r="X30" s="43">
        <f t="shared" si="50"/>
        <v>33.751294580477023</v>
      </c>
      <c r="Y30" s="52">
        <f t="shared" ca="1" si="59"/>
        <v>17.703555141776047</v>
      </c>
      <c r="Z30" s="54">
        <f t="shared" ca="1" si="60"/>
        <v>13.271194146777828</v>
      </c>
      <c r="AA30" s="54">
        <f t="shared" si="61"/>
        <v>0</v>
      </c>
      <c r="AB30" s="54">
        <f t="shared" si="62"/>
        <v>0</v>
      </c>
      <c r="AC30" s="54">
        <f t="shared" si="63"/>
        <v>12.464721411227444</v>
      </c>
      <c r="AD30" s="53">
        <f t="shared" si="64"/>
        <v>33.751294580477023</v>
      </c>
      <c r="AE30" s="42">
        <f ca="1">IF(OR($F30&lt;$D$4,$F30&gt;$D$5),0,IF('התפלגות ייצור וסל דלקים'!S47=0,0,(('הנחות עבודה'!$I$9*'הנחות עבודה'!$D$11*VLOOKUP(G$43,'הנחות עבודה'!$H$27:$I$30,2,FALSE)/('התפלגות ייצור וסל דלקים'!BE75*'הנחות עבודה'!$D$14*'הנחות עבודה'!$I$9/('התפלגות ייצור וסל דלקים'!S47*'הנחות עבודה'!$I$10/'הנחות עבודה'!$I$11)))/'הנחות עבודה'!$D$13)*'הנחות עבודה'!$D$15+VLOOKUP(G$43,'הנחות עבודה'!$H$31:$I$34,2,FALSE)+VLOOKUP(G$43,'הנחות עבודה'!$H$35:$I$38,2,FALSE)))</f>
        <v>17.681349663664292</v>
      </c>
      <c r="AF30" s="44">
        <f ca="1">IF(OR($F30&lt;$D$4,$F30&gt;$D$5),0,IF('התפלגות ייצור וסל דלקים'!T47=0,0,(('הנחות עבודה'!$I$9*'הנחות עבודה'!$D$11*VLOOKUP(H$43,'הנחות עבודה'!$H$27:$I$30,2,FALSE)/('התפלגות ייצור וסל דלקים'!BF75*'הנחות עבודה'!$D$14*'הנחות עבודה'!$I$9/('התפלגות ייצור וסל דלקים'!T47*'הנחות עבודה'!$I$10/'הנחות עבודה'!$I$11)))/'הנחות עבודה'!$D$13)*'הנחות עבודה'!$D$15+VLOOKUP(H$43,'הנחות עבודה'!$H$31:$I$34,2,FALSE)+VLOOKUP(H$43,'הנחות עבודה'!$H$35:$I$38,2,FALSE)))</f>
        <v>13.497233478278902</v>
      </c>
      <c r="AG30" s="44">
        <f>IF(OR($F30&lt;$D$4,$F30&gt;$D$5),0,IF('התפלגות ייצור וסל דלקים'!U47=0,0,(('הנחות עבודה'!$I$9*'הנחות עבודה'!$D$11*VLOOKUP(I$43,'הנחות עבודה'!$H$27:$I$30,2,FALSE)/('התפלגות ייצור וסל דלקים'!BG75*'הנחות עבודה'!$D$14*'הנחות עבודה'!$I$9/('התפלגות ייצור וסל דלקים'!U47*'הנחות עבודה'!$I$10/'הנחות עבודה'!$I$11)))/'הנחות עבודה'!$D$13)*'הנחות עבודה'!$D$15+VLOOKUP(I$43,'הנחות עבודה'!$H$31:$I$34,2,FALSE)+VLOOKUP(I$43,'הנחות עבודה'!$H$35:$I$38,2,FALSE)))</f>
        <v>0</v>
      </c>
      <c r="AH30" s="44">
        <f>IF(OR($F30&lt;$D$4,$F30&gt;$D$5),0,IF('התפלגות ייצור וסל דלקים'!V47=0,0,(('הנחות עבודה'!$I$9*'הנחות עבודה'!$D$11*VLOOKUP(J$43,'הנחות עבודה'!$H$27:$I$30,2,FALSE)/('התפלגות ייצור וסל דלקים'!BH75*'הנחות עבודה'!$D$14*'הנחות עבודה'!$I$9/('התפלגות ייצור וסל דלקים'!V47*'הנחות עבודה'!$I$10/'הנחות עבודה'!$I$11)))/'הנחות עבודה'!$D$13)*'הנחות עבודה'!$D$15+VLOOKUP(J$43,'הנחות עבודה'!$H$31:$I$34,2,FALSE)+VLOOKUP(J$43,'הנחות עבודה'!$H$35:$I$38,2,FALSE)))</f>
        <v>0</v>
      </c>
      <c r="AI30" s="44">
        <f t="shared" si="65"/>
        <v>12.464721411227444</v>
      </c>
      <c r="AJ30" s="43">
        <f t="shared" si="66"/>
        <v>33.751294580477023</v>
      </c>
      <c r="AK30" s="127">
        <f t="shared" ca="1" si="67"/>
        <v>17.681349663664292</v>
      </c>
      <c r="AL30" s="54">
        <f t="shared" ca="1" si="68"/>
        <v>13.497233478278902</v>
      </c>
      <c r="AM30" s="54">
        <f t="shared" si="69"/>
        <v>0</v>
      </c>
      <c r="AN30" s="54">
        <f t="shared" si="70"/>
        <v>0</v>
      </c>
      <c r="AO30" s="54">
        <f t="shared" si="71"/>
        <v>12.464721411227444</v>
      </c>
      <c r="AP30" s="53">
        <f t="shared" si="72"/>
        <v>33.751294580477023</v>
      </c>
    </row>
    <row r="31" spans="4:42" ht="15.75">
      <c r="F31" s="241">
        <f t="shared" si="73"/>
        <v>2032</v>
      </c>
      <c r="G31" s="42">
        <f ca="1">IF(OR($F31&lt;$D$4,$F31&gt;$D$5),0,IF('התפלגות ייצור וסל דלקים'!C48=0,0,(('הנחות עבודה'!$I$9*'הנחות עבודה'!$D$11*VLOOKUP(G$43,'הנחות עבודה'!$H$27:$I$30,2,FALSE)/('התפלגות ייצור וסל דלקים'!I76*'הנחות עבודה'!$D$14*'הנחות עבודה'!$I$9/('התפלגות ייצור וסל דלקים'!C48*'הנחות עבודה'!$I$10/'הנחות עבודה'!$I$11)))/'הנחות עבודה'!$D$13)*'הנחות עבודה'!$D$15+VLOOKUP(G$43,'הנחות עבודה'!$H$31:$I$34,2,FALSE)+VLOOKUP(G$43,'הנחות עבודה'!$H$35:$I$38,2,FALSE)))</f>
        <v>17.788240996921946</v>
      </c>
      <c r="H31" s="44">
        <f ca="1">IF(OR($F31&lt;$D$4,$F31&gt;$D$5),0,IF('התפלגות ייצור וסל דלקים'!D48=0,0,(('הנחות עבודה'!$I$9*'הנחות עבודה'!$D$11*VLOOKUP(H$43,'הנחות עבודה'!$H$27:$I$30,2,FALSE)/('התפלגות ייצור וסל דלקים'!J76*'הנחות עבודה'!$D$14*'הנחות עבודה'!$I$9/('התפלגות ייצור וסל דלקים'!D48*'הנחות עבודה'!$I$10/'הנחות עבודה'!$I$11)))/'הנחות עבודה'!$D$13)*'הנחות עבודה'!$D$15+VLOOKUP(H$43,'הנחות עבודה'!$H$31:$I$34,2,FALSE)+VLOOKUP(H$43,'הנחות עבודה'!$H$35:$I$38,2,FALSE)))</f>
        <v>12.87171828772823</v>
      </c>
      <c r="I31" s="44">
        <f>IF(OR($F31&lt;$D$4,$F31&gt;$D$5),0,IF('התפלגות ייצור וסל דלקים'!E48=0,0,(('הנחות עבודה'!$I$9*'הנחות עבודה'!$D$11*VLOOKUP(I$43,'הנחות עבודה'!$H$27:$I$30,2,FALSE)/('התפלגות ייצור וסל דלקים'!K76*'הנחות עבודה'!$D$14*'הנחות עבודה'!$I$9/('התפלגות ייצור וסל דלקים'!E48*'הנחות עבודה'!$I$10/'הנחות עבודה'!$I$11)))/'הנחות עבודה'!$D$13)*'הנחות עבודה'!$D$15+VLOOKUP(I$43,'הנחות עבודה'!$H$31:$I$34,2,FALSE)+VLOOKUP(I$43,'הנחות עבודה'!$H$35:$I$38,2,FALSE)))</f>
        <v>0</v>
      </c>
      <c r="J31" s="44">
        <f>IF(OR($F31&lt;$D$4,$F31&gt;$D$5),0,IF('התפלגות ייצור וסל דלקים'!F48=0,0,(('הנחות עבודה'!$I$9*'הנחות עבודה'!$D$11*VLOOKUP(J$43,'הנחות עבודה'!$H$27:$I$30,2,FALSE)/('התפלגות ייצור וסל דלקים'!L76*'הנחות עבודה'!$D$14*'הנחות עבודה'!$I$9/('התפלגות ייצור וסל דלקים'!F48*'הנחות עבודה'!$I$10/'הנחות עבודה'!$I$11)))/'הנחות עבודה'!$D$13)*'הנחות עבודה'!$D$15+VLOOKUP(J$43,'הנחות עבודה'!$H$31:$I$34,2,FALSE)+VLOOKUP(J$43,'הנחות עבודה'!$H$35:$I$38,2,FALSE)))</f>
        <v>0</v>
      </c>
      <c r="K31" s="44">
        <f>IF(OR($F31&lt;$D$4,$F31&gt;$D$5),0,'הנחות עבודה'!$I$47)</f>
        <v>12.464721411227444</v>
      </c>
      <c r="L31" s="43">
        <f>'הנחות עבודה'!$I$48</f>
        <v>33.751294580477023</v>
      </c>
      <c r="M31" s="127">
        <f t="shared" ca="1" si="53"/>
        <v>17.788240996921946</v>
      </c>
      <c r="N31" s="54">
        <f t="shared" ca="1" si="54"/>
        <v>12.87171828772823</v>
      </c>
      <c r="O31" s="54">
        <f t="shared" si="55"/>
        <v>0</v>
      </c>
      <c r="P31" s="54">
        <f t="shared" si="56"/>
        <v>0</v>
      </c>
      <c r="Q31" s="54">
        <f t="shared" si="57"/>
        <v>12.464721411227444</v>
      </c>
      <c r="R31" s="53">
        <f t="shared" si="58"/>
        <v>33.751294580477023</v>
      </c>
      <c r="S31" s="42">
        <f ca="1">IF(OR($F31&lt;$D$4,$F31&gt;$D$5),0,IF('התפלגות ייצור וסל דלקים'!K48=0,0,(('הנחות עבודה'!$I$9*'הנחות עבודה'!$D$11*VLOOKUP(S$43,'הנחות עבודה'!$H$27:$I$30,2,FALSE)/('התפלגות ייצור וסל דלקים'!AG76*'הנחות עבודה'!$D$14*'הנחות עבודה'!$I$9/('התפלגות ייצור וסל דלקים'!K48*'הנחות עבודה'!$I$10/'הנחות עבודה'!$I$11)))/'הנחות עבודה'!$D$13)*'הנחות עבודה'!$D$15+VLOOKUP(S$43,'הנחות עבודה'!$H$31:$I$34,2,FALSE)+VLOOKUP(S$43,'הנחות עבודה'!$H$35:$I$38,2,FALSE)))</f>
        <v>17.700512853478319</v>
      </c>
      <c r="T31" s="44">
        <f ca="1">IF(OR($F31&lt;$D$4,$F31&gt;$D$5),0,IF('התפלגות ייצור וסל דלקים'!L48=0,0,(('הנחות עבודה'!$I$9*'הנחות עבודה'!$D$11*VLOOKUP(T$43,'הנחות עבודה'!$H$27:$I$30,2,FALSE)/('התפלגות ייצור וסל דלקים'!AH76*'הנחות עבודה'!$D$14*'הנחות עבודה'!$I$9/('התפלגות ייצור וסל דלקים'!L48*'הנחות עבודה'!$I$10/'הנחות עבודה'!$I$11)))/'הנחות עבודה'!$D$13)*'הנחות עבודה'!$D$15+VLOOKUP(T$43,'הנחות עבודה'!$H$31:$I$34,2,FALSE)+VLOOKUP(T$43,'הנחות עבודה'!$H$35:$I$38,2,FALSE)))</f>
        <v>13.054743759730639</v>
      </c>
      <c r="U31" s="44">
        <f>IF(OR($F31&lt;$D$4,$F31&gt;$D$5),0,IF('התפלגות ייצור וסל דלקים'!M48=0,0,(('הנחות עבודה'!$I$9*'הנחות עבודה'!$D$11*VLOOKUP(U$43,'הנחות עבודה'!$H$27:$I$30,2,FALSE)/('התפלגות ייצור וסל דלקים'!AI76*'הנחות עבודה'!$D$14*'הנחות עבודה'!$I$9/('התפלגות ייצור וסל דלקים'!M48*'הנחות עבודה'!$I$10/'הנחות עבודה'!$I$11)))/'הנחות עבודה'!$D$13)*'הנחות עבודה'!$D$15+VLOOKUP(U$43,'הנחות עבודה'!$H$31:$I$34,2,FALSE)+VLOOKUP(U$43,'הנחות עבודה'!$H$35:$I$38,2,FALSE)))</f>
        <v>0</v>
      </c>
      <c r="V31" s="44">
        <f>IF(OR($F31&lt;$D$4,$F31&gt;$D$5),0,IF('התפלגות ייצור וסל דלקים'!N48=0,0,(('הנחות עבודה'!$I$9*'הנחות עבודה'!$D$11*VLOOKUP(V$43,'הנחות עבודה'!$H$27:$I$30,2,FALSE)/('התפלגות ייצור וסל דלקים'!AJ76*'הנחות עבודה'!$D$14*'הנחות עבודה'!$I$9/('התפלגות ייצור וסל דלקים'!N48*'הנחות עבודה'!$I$10/'הנחות עבודה'!$I$11)))/'הנחות עבודה'!$D$13)*'הנחות עבודה'!$D$15+VLOOKUP(V$43,'הנחות עבודה'!$H$31:$I$34,2,FALSE)+VLOOKUP(V$43,'הנחות עבודה'!$H$35:$I$38,2,FALSE)))</f>
        <v>0</v>
      </c>
      <c r="W31" s="44">
        <f t="shared" si="50"/>
        <v>12.464721411227444</v>
      </c>
      <c r="X31" s="43">
        <f t="shared" si="50"/>
        <v>33.751294580477023</v>
      </c>
      <c r="Y31" s="52">
        <f t="shared" ca="1" si="59"/>
        <v>17.700512853478319</v>
      </c>
      <c r="Z31" s="54">
        <f t="shared" ca="1" si="60"/>
        <v>13.054743759730639</v>
      </c>
      <c r="AA31" s="54">
        <f t="shared" si="61"/>
        <v>0</v>
      </c>
      <c r="AB31" s="54">
        <f t="shared" si="62"/>
        <v>0</v>
      </c>
      <c r="AC31" s="54">
        <f t="shared" si="63"/>
        <v>12.464721411227444</v>
      </c>
      <c r="AD31" s="53">
        <f t="shared" si="64"/>
        <v>33.751294580477023</v>
      </c>
      <c r="AE31" s="42">
        <f ca="1">IF(OR($F31&lt;$D$4,$F31&gt;$D$5),0,IF('התפלגות ייצור וסל דלקים'!S48=0,0,(('הנחות עבודה'!$I$9*'הנחות עבודה'!$D$11*VLOOKUP(G$43,'הנחות עבודה'!$H$27:$I$30,2,FALSE)/('התפלגות ייצור וסל דלקים'!BE76*'הנחות עבודה'!$D$14*'הנחות עבודה'!$I$9/('התפלגות ייצור וסל דלקים'!S48*'הנחות עבודה'!$I$10/'הנחות עבודה'!$I$11)))/'הנחות עבודה'!$D$13)*'הנחות עבודה'!$D$15+VLOOKUP(G$43,'הנחות עבודה'!$H$31:$I$34,2,FALSE)+VLOOKUP(G$43,'הנחות עבודה'!$H$35:$I$38,2,FALSE)))</f>
        <v>17.658648187759781</v>
      </c>
      <c r="AF31" s="44">
        <f ca="1">IF(OR($F31&lt;$D$4,$F31&gt;$D$5),0,IF('התפלגות ייצור וסל דלקים'!T48=0,0,(('הנחות עבודה'!$I$9*'הנחות עבודה'!$D$11*VLOOKUP(H$43,'הנחות עבודה'!$H$27:$I$30,2,FALSE)/('התפלגות ייצור וסל דלקים'!BF76*'הנחות עבודה'!$D$14*'הנחות עבודה'!$I$9/('התפלגות ייצור וסל דלקים'!T48*'הנחות עבודה'!$I$10/'הנחות עבודה'!$I$11)))/'הנחות עבודה'!$D$13)*'הנחות עבודה'!$D$15+VLOOKUP(H$43,'הנחות עבודה'!$H$31:$I$34,2,FALSE)+VLOOKUP(H$43,'הנחות עבודה'!$H$35:$I$38,2,FALSE)))</f>
        <v>13.220975408296921</v>
      </c>
      <c r="AG31" s="44">
        <f>IF(OR($F31&lt;$D$4,$F31&gt;$D$5),0,IF('התפלגות ייצור וסל דלקים'!U48=0,0,(('הנחות עבודה'!$I$9*'הנחות עבודה'!$D$11*VLOOKUP(I$43,'הנחות עבודה'!$H$27:$I$30,2,FALSE)/('התפלגות ייצור וסל דלקים'!BG76*'הנחות עבודה'!$D$14*'הנחות עבודה'!$I$9/('התפלגות ייצור וסל דלקים'!U48*'הנחות עבודה'!$I$10/'הנחות עבודה'!$I$11)))/'הנחות עבודה'!$D$13)*'הנחות עבודה'!$D$15+VLOOKUP(I$43,'הנחות עבודה'!$H$31:$I$34,2,FALSE)+VLOOKUP(I$43,'הנחות עבודה'!$H$35:$I$38,2,FALSE)))</f>
        <v>0</v>
      </c>
      <c r="AH31" s="44">
        <f>IF(OR($F31&lt;$D$4,$F31&gt;$D$5),0,IF('התפלגות ייצור וסל דלקים'!V48=0,0,(('הנחות עבודה'!$I$9*'הנחות עבודה'!$D$11*VLOOKUP(J$43,'הנחות עבודה'!$H$27:$I$30,2,FALSE)/('התפלגות ייצור וסל דלקים'!BH76*'הנחות עבודה'!$D$14*'הנחות עבודה'!$I$9/('התפלגות ייצור וסל דלקים'!V48*'הנחות עבודה'!$I$10/'הנחות עבודה'!$I$11)))/'הנחות עבודה'!$D$13)*'הנחות עבודה'!$D$15+VLOOKUP(J$43,'הנחות עבודה'!$H$31:$I$34,2,FALSE)+VLOOKUP(J$43,'הנחות עבודה'!$H$35:$I$38,2,FALSE)))</f>
        <v>0</v>
      </c>
      <c r="AI31" s="44">
        <f t="shared" si="65"/>
        <v>12.464721411227444</v>
      </c>
      <c r="AJ31" s="43">
        <f t="shared" si="66"/>
        <v>33.751294580477023</v>
      </c>
      <c r="AK31" s="127">
        <f t="shared" ca="1" si="67"/>
        <v>17.658648187759781</v>
      </c>
      <c r="AL31" s="54">
        <f t="shared" ca="1" si="68"/>
        <v>13.220975408296921</v>
      </c>
      <c r="AM31" s="54">
        <f t="shared" si="69"/>
        <v>0</v>
      </c>
      <c r="AN31" s="54">
        <f t="shared" si="70"/>
        <v>0</v>
      </c>
      <c r="AO31" s="54">
        <f t="shared" si="71"/>
        <v>12.464721411227444</v>
      </c>
      <c r="AP31" s="53">
        <f t="shared" si="72"/>
        <v>33.751294580477023</v>
      </c>
    </row>
    <row r="32" spans="4:42" ht="15.75">
      <c r="F32" s="241">
        <f t="shared" si="73"/>
        <v>2033</v>
      </c>
      <c r="G32" s="42">
        <f ca="1">IF(OR($F32&lt;$D$4,$F32&gt;$D$5),0,IF('התפלגות ייצור וסל דלקים'!C49=0,0,(('הנחות עבודה'!$I$9*'הנחות עבודה'!$D$11*VLOOKUP(G$43,'הנחות עבודה'!$H$27:$I$30,2,FALSE)/('התפלגות ייצור וסל דלקים'!I77*'הנחות עבודה'!$D$14*'הנחות עבודה'!$I$9/('התפלגות ייצור וסל דלקים'!C49*'הנחות עבודה'!$I$10/'הנחות עבודה'!$I$11)))/'הנחות עבודה'!$D$13)*'הנחות עבודה'!$D$15+VLOOKUP(G$43,'הנחות עבודה'!$H$31:$I$34,2,FALSE)+VLOOKUP(G$43,'הנחות עבודה'!$H$35:$I$38,2,FALSE)))</f>
        <v>17.764302414781262</v>
      </c>
      <c r="H32" s="44">
        <f ca="1">IF(OR($F32&lt;$D$4,$F32&gt;$D$5),0,IF('התפלגות ייצור וסל דלקים'!D49=0,0,(('הנחות עבודה'!$I$9*'הנחות עבודה'!$D$11*VLOOKUP(H$43,'הנחות עבודה'!$H$27:$I$30,2,FALSE)/('התפלגות ייצור וסל דלקים'!J77*'הנחות עבודה'!$D$14*'הנחות עבודה'!$I$9/('התפלגות ייצור וסל דלקים'!D49*'הנחות עבודה'!$I$10/'הנחות עבודה'!$I$11)))/'הנחות עבודה'!$D$13)*'הנחות עבודה'!$D$15+VLOOKUP(H$43,'הנחות עבודה'!$H$31:$I$34,2,FALSE)+VLOOKUP(H$43,'הנחות עבודה'!$H$35:$I$38,2,FALSE)))</f>
        <v>12.708501060866666</v>
      </c>
      <c r="I32" s="44">
        <f>IF(OR($F32&lt;$D$4,$F32&gt;$D$5),0,IF('התפלגות ייצור וסל דלקים'!E49=0,0,(('הנחות עבודה'!$I$9*'הנחות עבודה'!$D$11*VLOOKUP(I$43,'הנחות עבודה'!$H$27:$I$30,2,FALSE)/('התפלגות ייצור וסל דלקים'!K77*'הנחות עבודה'!$D$14*'הנחות עבודה'!$I$9/('התפלגות ייצור וסל דלקים'!E49*'הנחות עבודה'!$I$10/'הנחות עבודה'!$I$11)))/'הנחות עבודה'!$D$13)*'הנחות עבודה'!$D$15+VLOOKUP(I$43,'הנחות עבודה'!$H$31:$I$34,2,FALSE)+VLOOKUP(I$43,'הנחות עבודה'!$H$35:$I$38,2,FALSE)))</f>
        <v>0</v>
      </c>
      <c r="J32" s="44">
        <f>IF(OR($F32&lt;$D$4,$F32&gt;$D$5),0,IF('התפלגות ייצור וסל דלקים'!F49=0,0,(('הנחות עבודה'!$I$9*'הנחות עבודה'!$D$11*VLOOKUP(J$43,'הנחות עבודה'!$H$27:$I$30,2,FALSE)/('התפלגות ייצור וסל דלקים'!L77*'הנחות עבודה'!$D$14*'הנחות עבודה'!$I$9/('התפלגות ייצור וסל דלקים'!F49*'הנחות עבודה'!$I$10/'הנחות עבודה'!$I$11)))/'הנחות עבודה'!$D$13)*'הנחות עבודה'!$D$15+VLOOKUP(J$43,'הנחות עבודה'!$H$31:$I$34,2,FALSE)+VLOOKUP(J$43,'הנחות עבודה'!$H$35:$I$38,2,FALSE)))</f>
        <v>0</v>
      </c>
      <c r="K32" s="44">
        <f>IF(OR($F32&lt;$D$4,$F32&gt;$D$5),0,'הנחות עבודה'!$I$47)</f>
        <v>12.464721411227444</v>
      </c>
      <c r="L32" s="43">
        <f>'הנחות עבודה'!$I$48</f>
        <v>33.751294580477023</v>
      </c>
      <c r="M32" s="127">
        <f t="shared" ca="1" si="53"/>
        <v>17.764302414781262</v>
      </c>
      <c r="N32" s="54">
        <f t="shared" ca="1" si="54"/>
        <v>12.708501060866666</v>
      </c>
      <c r="O32" s="54">
        <f t="shared" si="55"/>
        <v>0</v>
      </c>
      <c r="P32" s="54">
        <f t="shared" si="56"/>
        <v>0</v>
      </c>
      <c r="Q32" s="54">
        <f t="shared" si="57"/>
        <v>12.464721411227444</v>
      </c>
      <c r="R32" s="53">
        <f t="shared" si="58"/>
        <v>33.751294580477023</v>
      </c>
      <c r="S32" s="42">
        <f ca="1">IF(OR($F32&lt;$D$4,$F32&gt;$D$5),0,IF('התפלגות ייצור וסל דלקים'!K49=0,0,(('הנחות עבודה'!$I$9*'הנחות עבודה'!$D$11*VLOOKUP(S$43,'הנחות עבודה'!$H$27:$I$30,2,FALSE)/('התפלגות ייצור וסל דלקים'!AG77*'הנחות עבודה'!$D$14*'הנחות עבודה'!$I$9/('התפלגות ייצור וסל דלקים'!K49*'הנחות עבודה'!$I$10/'הנחות עבודה'!$I$11)))/'הנחות עבודה'!$D$13)*'הנחות עבודה'!$D$15+VLOOKUP(S$43,'הנחות עבודה'!$H$31:$I$34,2,FALSE)+VLOOKUP(S$43,'הנחות עבודה'!$H$35:$I$38,2,FALSE)))</f>
        <v>17.681653544127411</v>
      </c>
      <c r="T32" s="44">
        <f ca="1">IF(OR($F32&lt;$D$4,$F32&gt;$D$5),0,IF('התפלגות ייצור וסל דלקים'!L49=0,0,(('הנחות עבודה'!$I$9*'הנחות עבודה'!$D$11*VLOOKUP(T$43,'הנחות עבודה'!$H$27:$I$30,2,FALSE)/('התפלגות ייצור וסל דלקים'!AH77*'הנחות עבודה'!$D$14*'הנחות עבודה'!$I$9/('התפלגות ייצור וסל דלקים'!L49*'הנחות עבודה'!$I$10/'הנחות עבודה'!$I$11)))/'הנחות עבודה'!$D$13)*'הנחות עבודה'!$D$15+VLOOKUP(T$43,'הנחות עבודה'!$H$31:$I$34,2,FALSE)+VLOOKUP(T$43,'הנחות עבודה'!$H$35:$I$38,2,FALSE)))</f>
        <v>12.822584684033842</v>
      </c>
      <c r="U32" s="44">
        <f>IF(OR($F32&lt;$D$4,$F32&gt;$D$5),0,IF('התפלגות ייצור וסל דלקים'!M49=0,0,(('הנחות עבודה'!$I$9*'הנחות עבודה'!$D$11*VLOOKUP(U$43,'הנחות עבודה'!$H$27:$I$30,2,FALSE)/('התפלגות ייצור וסל דלקים'!AI77*'הנחות עבודה'!$D$14*'הנחות עבודה'!$I$9/('התפלגות ייצור וסל דלקים'!M49*'הנחות עבודה'!$I$10/'הנחות עבודה'!$I$11)))/'הנחות עבודה'!$D$13)*'הנחות עבודה'!$D$15+VLOOKUP(U$43,'הנחות עבודה'!$H$31:$I$34,2,FALSE)+VLOOKUP(U$43,'הנחות עבודה'!$H$35:$I$38,2,FALSE)))</f>
        <v>0</v>
      </c>
      <c r="V32" s="44">
        <f>IF(OR($F32&lt;$D$4,$F32&gt;$D$5),0,IF('התפלגות ייצור וסל דלקים'!N49=0,0,(('הנחות עבודה'!$I$9*'הנחות עבודה'!$D$11*VLOOKUP(V$43,'הנחות עבודה'!$H$27:$I$30,2,FALSE)/('התפלגות ייצור וסל דלקים'!AJ77*'הנחות עבודה'!$D$14*'הנחות עבודה'!$I$9/('התפלגות ייצור וסל דלקים'!N49*'הנחות עבודה'!$I$10/'הנחות עבודה'!$I$11)))/'הנחות עבודה'!$D$13)*'הנחות עבודה'!$D$15+VLOOKUP(V$43,'הנחות עבודה'!$H$31:$I$34,2,FALSE)+VLOOKUP(V$43,'הנחות עבודה'!$H$35:$I$38,2,FALSE)))</f>
        <v>0</v>
      </c>
      <c r="W32" s="44">
        <f t="shared" si="50"/>
        <v>12.464721411227444</v>
      </c>
      <c r="X32" s="43">
        <f t="shared" si="50"/>
        <v>33.751294580477023</v>
      </c>
      <c r="Y32" s="52">
        <f t="shared" ca="1" si="59"/>
        <v>17.681653544127411</v>
      </c>
      <c r="Z32" s="54">
        <f t="shared" ca="1" si="60"/>
        <v>12.822584684033842</v>
      </c>
      <c r="AA32" s="54">
        <f t="shared" si="61"/>
        <v>0</v>
      </c>
      <c r="AB32" s="54">
        <f t="shared" si="62"/>
        <v>0</v>
      </c>
      <c r="AC32" s="54">
        <f t="shared" si="63"/>
        <v>12.464721411227444</v>
      </c>
      <c r="AD32" s="53">
        <f t="shared" si="64"/>
        <v>33.751294580477023</v>
      </c>
      <c r="AE32" s="42">
        <f ca="1">IF(OR($F32&lt;$D$4,$F32&gt;$D$5),0,IF('התפלגות ייצור וסל דלקים'!S49=0,0,(('הנחות עבודה'!$I$9*'הנחות עבודה'!$D$11*VLOOKUP(G$43,'הנחות עבודה'!$H$27:$I$30,2,FALSE)/('התפלגות ייצור וסל דלקים'!BE77*'הנחות עבודה'!$D$14*'הנחות עבודה'!$I$9/('התפלגות ייצור וסל דלקים'!S49*'הנחות עבודה'!$I$10/'הנחות עבודה'!$I$11)))/'הנחות עבודה'!$D$13)*'הנחות עבודה'!$D$15+VLOOKUP(G$43,'הנחות עבודה'!$H$31:$I$34,2,FALSE)+VLOOKUP(G$43,'הנחות עבודה'!$H$35:$I$38,2,FALSE)))</f>
        <v>17.638837559346104</v>
      </c>
      <c r="AF32" s="44">
        <f ca="1">IF(OR($F32&lt;$D$4,$F32&gt;$D$5),0,IF('התפלגות ייצור וסל דלקים'!T49=0,0,(('הנחות עבודה'!$I$9*'הנחות עבודה'!$D$11*VLOOKUP(H$43,'הנחות עבודה'!$H$27:$I$30,2,FALSE)/('התפלגות ייצור וסל דלקים'!BF77*'הנחות עבודה'!$D$14*'הנחות עבודה'!$I$9/('התפלגות ייצור וסל דלקים'!T49*'הנחות עבודה'!$I$10/'הנחות עבודה'!$I$11)))/'הנחות עבודה'!$D$13)*'הנחות עבודה'!$D$15+VLOOKUP(H$43,'הנחות עבודה'!$H$31:$I$34,2,FALSE)+VLOOKUP(H$43,'הנחות עבודה'!$H$35:$I$38,2,FALSE)))</f>
        <v>12.967871032136506</v>
      </c>
      <c r="AG32" s="44">
        <f>IF(OR($F32&lt;$D$4,$F32&gt;$D$5),0,IF('התפלגות ייצור וסל דלקים'!U49=0,0,(('הנחות עבודה'!$I$9*'הנחות עבודה'!$D$11*VLOOKUP(I$43,'הנחות עבודה'!$H$27:$I$30,2,FALSE)/('התפלגות ייצור וסל דלקים'!BG77*'הנחות עבודה'!$D$14*'הנחות עבודה'!$I$9/('התפלגות ייצור וסל דלקים'!U49*'הנחות עבודה'!$I$10/'הנחות עבודה'!$I$11)))/'הנחות עבודה'!$D$13)*'הנחות עבודה'!$D$15+VLOOKUP(I$43,'הנחות עבודה'!$H$31:$I$34,2,FALSE)+VLOOKUP(I$43,'הנחות עבודה'!$H$35:$I$38,2,FALSE)))</f>
        <v>0</v>
      </c>
      <c r="AH32" s="44">
        <f>IF(OR($F32&lt;$D$4,$F32&gt;$D$5),0,IF('התפלגות ייצור וסל דלקים'!V49=0,0,(('הנחות עבודה'!$I$9*'הנחות עבודה'!$D$11*VLOOKUP(J$43,'הנחות עבודה'!$H$27:$I$30,2,FALSE)/('התפלגות ייצור וסל דלקים'!BH77*'הנחות עבודה'!$D$14*'הנחות עבודה'!$I$9/('התפלגות ייצור וסל דלקים'!V49*'הנחות עבודה'!$I$10/'הנחות עבודה'!$I$11)))/'הנחות עבודה'!$D$13)*'הנחות עבודה'!$D$15+VLOOKUP(J$43,'הנחות עבודה'!$H$31:$I$34,2,FALSE)+VLOOKUP(J$43,'הנחות עבודה'!$H$35:$I$38,2,FALSE)))</f>
        <v>0</v>
      </c>
      <c r="AI32" s="44">
        <f t="shared" si="65"/>
        <v>12.464721411227444</v>
      </c>
      <c r="AJ32" s="43">
        <f t="shared" si="66"/>
        <v>33.751294580477023</v>
      </c>
      <c r="AK32" s="127">
        <f t="shared" ca="1" si="67"/>
        <v>17.638837559346104</v>
      </c>
      <c r="AL32" s="54">
        <f t="shared" ca="1" si="68"/>
        <v>12.967871032136506</v>
      </c>
      <c r="AM32" s="54">
        <f t="shared" si="69"/>
        <v>0</v>
      </c>
      <c r="AN32" s="54">
        <f t="shared" si="70"/>
        <v>0</v>
      </c>
      <c r="AO32" s="54">
        <f t="shared" si="71"/>
        <v>12.464721411227444</v>
      </c>
      <c r="AP32" s="53">
        <f t="shared" si="72"/>
        <v>33.751294580477023</v>
      </c>
    </row>
    <row r="33" spans="6:42" ht="15.75">
      <c r="F33" s="241">
        <f t="shared" si="73"/>
        <v>2034</v>
      </c>
      <c r="G33" s="42">
        <f ca="1">IF(OR($F33&lt;$D$4,$F33&gt;$D$5),0,IF('התפלגות ייצור וסל דלקים'!C50=0,0,(('הנחות עבודה'!$I$9*'הנחות עבודה'!$D$11*VLOOKUP(G$43,'הנחות עבודה'!$H$27:$I$30,2,FALSE)/('התפלגות ייצור וסל דלקים'!I78*'הנחות עבודה'!$D$14*'הנחות עבודה'!$I$9/('התפלגות ייצור וסל דלקים'!C50*'הנחות עבודה'!$I$10/'הנחות עבודה'!$I$11)))/'הנחות עבודה'!$D$13)*'הנחות עבודה'!$D$15+VLOOKUP(G$43,'הנחות עבודה'!$H$31:$I$34,2,FALSE)+VLOOKUP(G$43,'הנחות עבודה'!$H$35:$I$38,2,FALSE)))</f>
        <v>17.76648429253407</v>
      </c>
      <c r="H33" s="44">
        <f ca="1">IF(OR($F33&lt;$D$4,$F33&gt;$D$5),0,IF('התפלגות ייצור וסל דלקים'!D50=0,0,(('הנחות עבודה'!$I$9*'הנחות עבודה'!$D$11*VLOOKUP(H$43,'הנחות עבודה'!$H$27:$I$30,2,FALSE)/('התפלגות ייצור וסל דלקים'!J78*'הנחות עבודה'!$D$14*'הנחות עבודה'!$I$9/('התפלגות ייצור וסל דלקים'!D50*'הנחות עבודה'!$I$10/'הנחות עבודה'!$I$11)))/'הנחות עבודה'!$D$13)*'הנחות עבודה'!$D$15+VLOOKUP(H$43,'הנחות עבודה'!$H$31:$I$34,2,FALSE)+VLOOKUP(H$43,'הנחות עבודה'!$H$35:$I$38,2,FALSE)))</f>
        <v>12.577874804257871</v>
      </c>
      <c r="I33" s="44">
        <f>IF(OR($F33&lt;$D$4,$F33&gt;$D$5),0,IF('התפלגות ייצור וסל דלקים'!E50=0,0,(('הנחות עבודה'!$I$9*'הנחות עבודה'!$D$11*VLOOKUP(I$43,'הנחות עבודה'!$H$27:$I$30,2,FALSE)/('התפלגות ייצור וסל דלקים'!K78*'הנחות עבודה'!$D$14*'הנחות עבודה'!$I$9/('התפלגות ייצור וסל דלקים'!E50*'הנחות עבודה'!$I$10/'הנחות עבודה'!$I$11)))/'הנחות עבודה'!$D$13)*'הנחות עבודה'!$D$15+VLOOKUP(I$43,'הנחות עבודה'!$H$31:$I$34,2,FALSE)+VLOOKUP(I$43,'הנחות עבודה'!$H$35:$I$38,2,FALSE)))</f>
        <v>0</v>
      </c>
      <c r="J33" s="44">
        <f>IF(OR($F33&lt;$D$4,$F33&gt;$D$5),0,IF('התפלגות ייצור וסל דלקים'!F50=0,0,(('הנחות עבודה'!$I$9*'הנחות עבודה'!$D$11*VLOOKUP(J$43,'הנחות עבודה'!$H$27:$I$30,2,FALSE)/('התפלגות ייצור וסל דלקים'!L78*'הנחות עבודה'!$D$14*'הנחות עבודה'!$I$9/('התפלגות ייצור וסל דלקים'!F50*'הנחות עבודה'!$I$10/'הנחות עבודה'!$I$11)))/'הנחות עבודה'!$D$13)*'הנחות עבודה'!$D$15+VLOOKUP(J$43,'הנחות עבודה'!$H$31:$I$34,2,FALSE)+VLOOKUP(J$43,'הנחות עבודה'!$H$35:$I$38,2,FALSE)))</f>
        <v>0</v>
      </c>
      <c r="K33" s="44">
        <f>IF(OR($F33&lt;$D$4,$F33&gt;$D$5),0,'הנחות עבודה'!$I$47)</f>
        <v>12.464721411227444</v>
      </c>
      <c r="L33" s="43">
        <f>'הנחות עבודה'!$I$48</f>
        <v>33.751294580477023</v>
      </c>
      <c r="M33" s="127">
        <f t="shared" ca="1" si="53"/>
        <v>17.76648429253407</v>
      </c>
      <c r="N33" s="54">
        <f t="shared" ca="1" si="54"/>
        <v>12.577874804257871</v>
      </c>
      <c r="O33" s="54">
        <f t="shared" si="55"/>
        <v>0</v>
      </c>
      <c r="P33" s="54">
        <f t="shared" si="56"/>
        <v>0</v>
      </c>
      <c r="Q33" s="54">
        <f t="shared" si="57"/>
        <v>12.464721411227444</v>
      </c>
      <c r="R33" s="53">
        <f t="shared" si="58"/>
        <v>33.751294580477023</v>
      </c>
      <c r="S33" s="42">
        <f ca="1">IF(OR($F33&lt;$D$4,$F33&gt;$D$5),0,IF('התפלגות ייצור וסל דלקים'!K50=0,0,(('הנחות עבודה'!$I$9*'הנחות עבודה'!$D$11*VLOOKUP(S$43,'הנחות עבודה'!$H$27:$I$30,2,FALSE)/('התפלגות ייצור וסל דלקים'!AG78*'הנחות עבודה'!$D$14*'הנחות עבודה'!$I$9/('התפלגות ייצור וסל דלקים'!K50*'הנחות עבודה'!$I$10/'הנחות עבודה'!$I$11)))/'הנחות עבודה'!$D$13)*'הנחות עבודה'!$D$15+VLOOKUP(S$43,'הנחות עבודה'!$H$31:$I$34,2,FALSE)+VLOOKUP(S$43,'הנחות עבודה'!$H$35:$I$38,2,FALSE)))</f>
        <v>17.683097319134337</v>
      </c>
      <c r="T33" s="44">
        <f ca="1">IF(OR($F33&lt;$D$4,$F33&gt;$D$5),0,IF('התפלגות ייצור וסל דלקים'!L50=0,0,(('הנחות עבודה'!$I$9*'הנחות עבודה'!$D$11*VLOOKUP(T$43,'הנחות עבודה'!$H$27:$I$30,2,FALSE)/('התפלגות ייצור וסל דלקים'!AH78*'הנחות עבודה'!$D$14*'הנחות עבודה'!$I$9/('התפלגות ייצור וסל דלקים'!L50*'הנחות עבודה'!$I$10/'הנחות עבודה'!$I$11)))/'הנחות עבודה'!$D$13)*'הנחות עבודה'!$D$15+VLOOKUP(T$43,'הנחות עבודה'!$H$31:$I$34,2,FALSE)+VLOOKUP(T$43,'הנחות עבודה'!$H$35:$I$38,2,FALSE)))</f>
        <v>12.63528167094792</v>
      </c>
      <c r="U33" s="44">
        <f>IF(OR($F33&lt;$D$4,$F33&gt;$D$5),0,IF('התפלגות ייצור וסל דלקים'!M50=0,0,(('הנחות עבודה'!$I$9*'הנחות עבודה'!$D$11*VLOOKUP(U$43,'הנחות עבודה'!$H$27:$I$30,2,FALSE)/('התפלגות ייצור וסל דלקים'!AI78*'הנחות עבודה'!$D$14*'הנחות עבודה'!$I$9/('התפלגות ייצור וסל דלקים'!M50*'הנחות עבודה'!$I$10/'הנחות עבודה'!$I$11)))/'הנחות עבודה'!$D$13)*'הנחות עבודה'!$D$15+VLOOKUP(U$43,'הנחות עבודה'!$H$31:$I$34,2,FALSE)+VLOOKUP(U$43,'הנחות עבודה'!$H$35:$I$38,2,FALSE)))</f>
        <v>0</v>
      </c>
      <c r="V33" s="44">
        <f>IF(OR($F33&lt;$D$4,$F33&gt;$D$5),0,IF('התפלגות ייצור וסל דלקים'!N50=0,0,(('הנחות עבודה'!$I$9*'הנחות עבודה'!$D$11*VLOOKUP(V$43,'הנחות עבודה'!$H$27:$I$30,2,FALSE)/('התפלגות ייצור וסל דלקים'!AJ78*'הנחות עבודה'!$D$14*'הנחות עבודה'!$I$9/('התפלגות ייצור וסל דלקים'!N50*'הנחות עבודה'!$I$10/'הנחות עבודה'!$I$11)))/'הנחות עבודה'!$D$13)*'הנחות עבודה'!$D$15+VLOOKUP(V$43,'הנחות עבודה'!$H$31:$I$34,2,FALSE)+VLOOKUP(V$43,'הנחות עבודה'!$H$35:$I$38,2,FALSE)))</f>
        <v>0</v>
      </c>
      <c r="W33" s="44">
        <f t="shared" si="50"/>
        <v>12.464721411227444</v>
      </c>
      <c r="X33" s="43">
        <f t="shared" si="50"/>
        <v>33.751294580477023</v>
      </c>
      <c r="Y33" s="52">
        <f t="shared" ca="1" si="59"/>
        <v>17.683097319134337</v>
      </c>
      <c r="Z33" s="54">
        <f t="shared" ca="1" si="60"/>
        <v>12.63528167094792</v>
      </c>
      <c r="AA33" s="54">
        <f t="shared" si="61"/>
        <v>0</v>
      </c>
      <c r="AB33" s="54">
        <f t="shared" si="62"/>
        <v>0</v>
      </c>
      <c r="AC33" s="54">
        <f t="shared" si="63"/>
        <v>12.464721411227444</v>
      </c>
      <c r="AD33" s="53">
        <f t="shared" si="64"/>
        <v>33.751294580477023</v>
      </c>
      <c r="AE33" s="42">
        <f ca="1">IF(OR($F33&lt;$D$4,$F33&gt;$D$5),0,IF('התפלגות ייצור וסל דלקים'!S50=0,0,(('הנחות עבודה'!$I$9*'הנחות עבודה'!$D$11*VLOOKUP(G$43,'הנחות עבודה'!$H$27:$I$30,2,FALSE)/('התפלגות ייצור וסל דלקים'!BE78*'הנחות עבודה'!$D$14*'הנחות עבודה'!$I$9/('התפלגות ייצור וסל דלקים'!S50*'הנחות עבודה'!$I$10/'הנחות עבודה'!$I$11)))/'הנחות עבודה'!$D$13)*'הנחות עבודה'!$D$15+VLOOKUP(G$43,'הנחות עבודה'!$H$31:$I$34,2,FALSE)+VLOOKUP(G$43,'הנחות עבודה'!$H$35:$I$38,2,FALSE)))</f>
        <v>17.65484875744832</v>
      </c>
      <c r="AF33" s="44">
        <f ca="1">IF(OR($F33&lt;$D$4,$F33&gt;$D$5),0,IF('התפלגות ייצור וסל דלקים'!T50=0,0,(('הנחות עבודה'!$I$9*'הנחות עבודה'!$D$11*VLOOKUP(H$43,'הנחות עבודה'!$H$27:$I$30,2,FALSE)/('התפלגות ייצור וסל דלקים'!BF78*'הנחות עבודה'!$D$14*'הנחות עבודה'!$I$9/('התפלגות ייצור וסל דלקים'!T50*'הנחות עבודה'!$I$10/'הנחות עבודה'!$I$11)))/'הנחות עבודה'!$D$13)*'הנחות עבודה'!$D$15+VLOOKUP(H$43,'הנחות עבודה'!$H$31:$I$34,2,FALSE)+VLOOKUP(H$43,'הנחות עבודה'!$H$35:$I$38,2,FALSE)))</f>
        <v>12.743269141764484</v>
      </c>
      <c r="AG33" s="44">
        <f>IF(OR($F33&lt;$D$4,$F33&gt;$D$5),0,IF('התפלגות ייצור וסל דלקים'!U50=0,0,(('הנחות עבודה'!$I$9*'הנחות עבודה'!$D$11*VLOOKUP(I$43,'הנחות עבודה'!$H$27:$I$30,2,FALSE)/('התפלגות ייצור וסל דלקים'!BG78*'הנחות עבודה'!$D$14*'הנחות עבודה'!$I$9/('התפלגות ייצור וסל דלקים'!U50*'הנחות עבודה'!$I$10/'הנחות עבודה'!$I$11)))/'הנחות עבודה'!$D$13)*'הנחות עבודה'!$D$15+VLOOKUP(I$43,'הנחות עבודה'!$H$31:$I$34,2,FALSE)+VLOOKUP(I$43,'הנחות עבודה'!$H$35:$I$38,2,FALSE)))</f>
        <v>0</v>
      </c>
      <c r="AH33" s="44">
        <f>IF(OR($F33&lt;$D$4,$F33&gt;$D$5),0,IF('התפלגות ייצור וסל דלקים'!V50=0,0,(('הנחות עבודה'!$I$9*'הנחות עבודה'!$D$11*VLOOKUP(J$43,'הנחות עבודה'!$H$27:$I$30,2,FALSE)/('התפלגות ייצור וסל דלקים'!BH78*'הנחות עבודה'!$D$14*'הנחות עבודה'!$I$9/('התפלגות ייצור וסל דלקים'!V50*'הנחות עבודה'!$I$10/'הנחות עבודה'!$I$11)))/'הנחות עבודה'!$D$13)*'הנחות עבודה'!$D$15+VLOOKUP(J$43,'הנחות עבודה'!$H$31:$I$34,2,FALSE)+VLOOKUP(J$43,'הנחות עבודה'!$H$35:$I$38,2,FALSE)))</f>
        <v>0</v>
      </c>
      <c r="AI33" s="44">
        <f t="shared" si="65"/>
        <v>12.464721411227444</v>
      </c>
      <c r="AJ33" s="43">
        <f t="shared" si="66"/>
        <v>33.751294580477023</v>
      </c>
      <c r="AK33" s="127">
        <f t="shared" ca="1" si="67"/>
        <v>17.65484875744832</v>
      </c>
      <c r="AL33" s="54">
        <f t="shared" ca="1" si="68"/>
        <v>12.743269141764484</v>
      </c>
      <c r="AM33" s="54">
        <f t="shared" si="69"/>
        <v>0</v>
      </c>
      <c r="AN33" s="54">
        <f t="shared" si="70"/>
        <v>0</v>
      </c>
      <c r="AO33" s="54">
        <f t="shared" si="71"/>
        <v>12.464721411227444</v>
      </c>
      <c r="AP33" s="53">
        <f t="shared" si="72"/>
        <v>33.751294580477023</v>
      </c>
    </row>
    <row r="34" spans="6:42" ht="15.75">
      <c r="F34" s="241">
        <f t="shared" si="73"/>
        <v>2035</v>
      </c>
      <c r="G34" s="42">
        <f ca="1">IF(OR($F34&lt;$D$4,$F34&gt;$D$5),0,IF('התפלגות ייצור וסל דלקים'!C51=0,0,(('הנחות עבודה'!$I$9*'הנחות עבודה'!$D$11*VLOOKUP(G$43,'הנחות עבודה'!$H$27:$I$30,2,FALSE)/('התפלגות ייצור וסל דלקים'!I79*'הנחות עבודה'!$D$14*'הנחות עבודה'!$I$9/('התפלגות ייצור וסל דלקים'!C51*'הנחות עבודה'!$I$10/'הנחות עבודה'!$I$11)))/'הנחות עבודה'!$D$13)*'הנחות עבודה'!$D$15+VLOOKUP(G$43,'הנחות עבודה'!$H$31:$I$34,2,FALSE)+VLOOKUP(G$43,'הנחות עבודה'!$H$35:$I$38,2,FALSE)))</f>
        <v>17.759727338415004</v>
      </c>
      <c r="H34" s="44">
        <f ca="1">IF(OR($F34&lt;$D$4,$F34&gt;$D$5),0,IF('התפלגות ייצור וסל דלקים'!D51=0,0,(('הנחות עבודה'!$I$9*'הנחות עבודה'!$D$11*VLOOKUP(H$43,'הנחות עבודה'!$H$27:$I$30,2,FALSE)/('התפלגות ייצור וסל דלקים'!J79*'הנחות עבודה'!$D$14*'הנחות עבודה'!$I$9/('התפלגות ייצור וסל דלקים'!D51*'הנחות עבודה'!$I$10/'הנחות עבודה'!$I$11)))/'הנחות עבודה'!$D$13)*'הנחות עבודה'!$D$15+VLOOKUP(H$43,'הנחות עבודה'!$H$31:$I$34,2,FALSE)+VLOOKUP(H$43,'הנחות עבודה'!$H$35:$I$38,2,FALSE)))</f>
        <v>12.463444291847621</v>
      </c>
      <c r="I34" s="44">
        <f>IF(OR($F34&lt;$D$4,$F34&gt;$D$5),0,IF('התפלגות ייצור וסל דלקים'!E51=0,0,(('הנחות עבודה'!$I$9*'הנחות עבודה'!$D$11*VLOOKUP(I$43,'הנחות עבודה'!$H$27:$I$30,2,FALSE)/('התפלגות ייצור וסל דלקים'!K79*'הנחות עבודה'!$D$14*'הנחות עבודה'!$I$9/('התפלגות ייצור וסל דלקים'!E51*'הנחות עבודה'!$I$10/'הנחות עבודה'!$I$11)))/'הנחות עבודה'!$D$13)*'הנחות עבודה'!$D$15+VLOOKUP(I$43,'הנחות עבודה'!$H$31:$I$34,2,FALSE)+VLOOKUP(I$43,'הנחות עבודה'!$H$35:$I$38,2,FALSE)))</f>
        <v>0</v>
      </c>
      <c r="J34" s="44">
        <f>IF(OR($F34&lt;$D$4,$F34&gt;$D$5),0,IF('התפלגות ייצור וסל דלקים'!F51=0,0,(('הנחות עבודה'!$I$9*'הנחות עבודה'!$D$11*VLOOKUP(J$43,'הנחות עבודה'!$H$27:$I$30,2,FALSE)/('התפלגות ייצור וסל דלקים'!L79*'הנחות עבודה'!$D$14*'הנחות עבודה'!$I$9/('התפלגות ייצור וסל דלקים'!F51*'הנחות עבודה'!$I$10/'הנחות עבודה'!$I$11)))/'הנחות עבודה'!$D$13)*'הנחות עבודה'!$D$15+VLOOKUP(J$43,'הנחות עבודה'!$H$31:$I$34,2,FALSE)+VLOOKUP(J$43,'הנחות עבודה'!$H$35:$I$38,2,FALSE)))</f>
        <v>0</v>
      </c>
      <c r="K34" s="44">
        <f>IF(OR($F34&lt;$D$4,$F34&gt;$D$5),0,'הנחות עבודה'!$I$47)</f>
        <v>12.464721411227444</v>
      </c>
      <c r="L34" s="43">
        <f>'הנחות עבודה'!$I$48</f>
        <v>33.751294580477023</v>
      </c>
      <c r="M34" s="127">
        <f t="shared" ca="1" si="53"/>
        <v>17.759727338415004</v>
      </c>
      <c r="N34" s="54">
        <f t="shared" ca="1" si="54"/>
        <v>12.463444291847621</v>
      </c>
      <c r="O34" s="54">
        <f t="shared" si="55"/>
        <v>0</v>
      </c>
      <c r="P34" s="54">
        <f t="shared" si="56"/>
        <v>0</v>
      </c>
      <c r="Q34" s="54">
        <f t="shared" si="57"/>
        <v>12.464721411227444</v>
      </c>
      <c r="R34" s="53">
        <f t="shared" si="58"/>
        <v>33.751294580477023</v>
      </c>
      <c r="S34" s="42">
        <f ca="1">IF(OR($F34&lt;$D$4,$F34&gt;$D$5),0,IF('התפלגות ייצור וסל דלקים'!K51=0,0,(('הנחות עבודה'!$I$9*'הנחות עבודה'!$D$11*VLOOKUP(S$43,'הנחות עבודה'!$H$27:$I$30,2,FALSE)/('התפלגות ייצור וסל דלקים'!AG79*'הנחות עבודה'!$D$14*'הנחות עבודה'!$I$9/('התפלגות ייצור וסל דלקים'!K51*'הנחות עבודה'!$I$10/'הנחות עבודה'!$I$11)))/'הנחות עבודה'!$D$13)*'הנחות עבודה'!$D$15+VLOOKUP(S$43,'הנחות עבודה'!$H$31:$I$34,2,FALSE)+VLOOKUP(S$43,'הנחות עבודה'!$H$35:$I$38,2,FALSE)))</f>
        <v>17.673003759436028</v>
      </c>
      <c r="T34" s="44">
        <f ca="1">IF(OR($F34&lt;$D$4,$F34&gt;$D$5),0,IF('התפלגות ייצור וסל דלקים'!L51=0,0,(('הנחות עבודה'!$I$9*'הנחות עבודה'!$D$11*VLOOKUP(T$43,'הנחות עבודה'!$H$27:$I$30,2,FALSE)/('התפלגות ייצור וסל דלקים'!AH79*'הנחות עבודה'!$D$14*'הנחות עבודה'!$I$9/('התפלגות ייצור וסל דלקים'!L51*'הנחות עבודה'!$I$10/'הנחות עבודה'!$I$11)))/'הנחות עבודה'!$D$13)*'הנחות עבודה'!$D$15+VLOOKUP(T$43,'הנחות עבודה'!$H$31:$I$34,2,FALSE)+VLOOKUP(T$43,'הנחות עבודה'!$H$35:$I$38,2,FALSE)))</f>
        <v>12.480520258779061</v>
      </c>
      <c r="U34" s="44">
        <f>IF(OR($F34&lt;$D$4,$F34&gt;$D$5),0,IF('התפלגות ייצור וסל דלקים'!M51=0,0,(('הנחות עבודה'!$I$9*'הנחות עבודה'!$D$11*VLOOKUP(U$43,'הנחות עבודה'!$H$27:$I$30,2,FALSE)/('התפלגות ייצור וסל דלקים'!AI79*'הנחות עבודה'!$D$14*'הנחות עבודה'!$I$9/('התפלגות ייצור וסל דלקים'!M51*'הנחות עבודה'!$I$10/'הנחות עבודה'!$I$11)))/'הנחות עבודה'!$D$13)*'הנחות עבודה'!$D$15+VLOOKUP(U$43,'הנחות עבודה'!$H$31:$I$34,2,FALSE)+VLOOKUP(U$43,'הנחות עבודה'!$H$35:$I$38,2,FALSE)))</f>
        <v>0</v>
      </c>
      <c r="V34" s="44">
        <f>IF(OR($F34&lt;$D$4,$F34&gt;$D$5),0,IF('התפלגות ייצור וסל דלקים'!N51=0,0,(('הנחות עבודה'!$I$9*'הנחות עבודה'!$D$11*VLOOKUP(V$43,'הנחות עבודה'!$H$27:$I$30,2,FALSE)/('התפלגות ייצור וסל דלקים'!AJ79*'הנחות עבודה'!$D$14*'הנחות עבודה'!$I$9/('התפלגות ייצור וסל דלקים'!N51*'הנחות עבודה'!$I$10/'הנחות עבודה'!$I$11)))/'הנחות עבודה'!$D$13)*'הנחות עבודה'!$D$15+VLOOKUP(V$43,'הנחות עבודה'!$H$31:$I$34,2,FALSE)+VLOOKUP(V$43,'הנחות עבודה'!$H$35:$I$38,2,FALSE)))</f>
        <v>0</v>
      </c>
      <c r="W34" s="44">
        <f t="shared" si="50"/>
        <v>12.464721411227444</v>
      </c>
      <c r="X34" s="43">
        <f t="shared" si="50"/>
        <v>33.751294580477023</v>
      </c>
      <c r="Y34" s="52">
        <f t="shared" ca="1" si="59"/>
        <v>17.673003759436028</v>
      </c>
      <c r="Z34" s="54">
        <f t="shared" ca="1" si="60"/>
        <v>12.480520258779061</v>
      </c>
      <c r="AA34" s="54">
        <f t="shared" si="61"/>
        <v>0</v>
      </c>
      <c r="AB34" s="54">
        <f t="shared" si="62"/>
        <v>0</v>
      </c>
      <c r="AC34" s="54">
        <f t="shared" si="63"/>
        <v>12.464721411227444</v>
      </c>
      <c r="AD34" s="53">
        <f t="shared" si="64"/>
        <v>33.751294580477023</v>
      </c>
      <c r="AE34" s="42">
        <f ca="1">IF(OR($F34&lt;$D$4,$F34&gt;$D$5),0,IF('התפלגות ייצור וסל דלקים'!S51=0,0,(('הנחות עבודה'!$I$9*'הנחות עבודה'!$D$11*VLOOKUP(G$43,'הנחות עבודה'!$H$27:$I$30,2,FALSE)/('התפלגות ייצור וסל דלקים'!BE79*'הנחות עבודה'!$D$14*'הנחות עבודה'!$I$9/('התפלגות ייצור וסל דלקים'!S51*'הנחות עבודה'!$I$10/'הנחות עבודה'!$I$11)))/'הנחות עבודה'!$D$13)*'הנחות עבודה'!$D$15+VLOOKUP(G$43,'הנחות עבודה'!$H$31:$I$34,2,FALSE)+VLOOKUP(G$43,'הנחות עבודה'!$H$35:$I$38,2,FALSE)))</f>
        <v>17.635822471342081</v>
      </c>
      <c r="AF34" s="44">
        <f ca="1">IF(OR($F34&lt;$D$4,$F34&gt;$D$5),0,IF('התפלגות ייצור וסל דלקים'!T51=0,0,(('הנחות עבודה'!$I$9*'הנחות עבודה'!$D$11*VLOOKUP(H$43,'הנחות עבודה'!$H$27:$I$30,2,FALSE)/('התפלגות ייצור וסל דלקים'!BF79*'הנחות עבודה'!$D$14*'הנחות עבודה'!$I$9/('התפלגות ייצור וסל דלקים'!T51*'הנחות עבודה'!$I$10/'הנחות עבודה'!$I$11)))/'הנחות עבודה'!$D$13)*'הנחות עבודה'!$D$15+VLOOKUP(H$43,'הנחות עבודה'!$H$31:$I$34,2,FALSE)+VLOOKUP(H$43,'הנחות עבודה'!$H$35:$I$38,2,FALSE)))</f>
        <v>12.530405121704165</v>
      </c>
      <c r="AG34" s="44">
        <f>IF(OR($F34&lt;$D$4,$F34&gt;$D$5),0,IF('התפלגות ייצור וסל דלקים'!U51=0,0,(('הנחות עבודה'!$I$9*'הנחות עבודה'!$D$11*VLOOKUP(I$43,'הנחות עבודה'!$H$27:$I$30,2,FALSE)/('התפלגות ייצור וסל דלקים'!BG79*'הנחות עבודה'!$D$14*'הנחות עבודה'!$I$9/('התפלגות ייצור וסל דלקים'!U51*'הנחות עבודה'!$I$10/'הנחות עבודה'!$I$11)))/'הנחות עבודה'!$D$13)*'הנחות עבודה'!$D$15+VLOOKUP(I$43,'הנחות עבודה'!$H$31:$I$34,2,FALSE)+VLOOKUP(I$43,'הנחות עבודה'!$H$35:$I$38,2,FALSE)))</f>
        <v>0</v>
      </c>
      <c r="AH34" s="44">
        <f>IF(OR($F34&lt;$D$4,$F34&gt;$D$5),0,IF('התפלגות ייצור וסל דלקים'!V51=0,0,(('הנחות עבודה'!$I$9*'הנחות עבודה'!$D$11*VLOOKUP(J$43,'הנחות עבודה'!$H$27:$I$30,2,FALSE)/('התפלגות ייצור וסל דלקים'!BH79*'הנחות עבודה'!$D$14*'הנחות עבודה'!$I$9/('התפלגות ייצור וסל דלקים'!V51*'הנחות עבודה'!$I$10/'הנחות עבודה'!$I$11)))/'הנחות עבודה'!$D$13)*'הנחות עבודה'!$D$15+VLOOKUP(J$43,'הנחות עבודה'!$H$31:$I$34,2,FALSE)+VLOOKUP(J$43,'הנחות עבודה'!$H$35:$I$38,2,FALSE)))</f>
        <v>0</v>
      </c>
      <c r="AI34" s="44">
        <f t="shared" si="65"/>
        <v>12.464721411227444</v>
      </c>
      <c r="AJ34" s="43">
        <f t="shared" si="66"/>
        <v>33.751294580477023</v>
      </c>
      <c r="AK34" s="127">
        <f t="shared" ca="1" si="67"/>
        <v>17.635822471342081</v>
      </c>
      <c r="AL34" s="54">
        <f t="shared" ca="1" si="68"/>
        <v>12.530405121704165</v>
      </c>
      <c r="AM34" s="54">
        <f t="shared" si="69"/>
        <v>0</v>
      </c>
      <c r="AN34" s="54">
        <f t="shared" si="70"/>
        <v>0</v>
      </c>
      <c r="AO34" s="54">
        <f t="shared" si="71"/>
        <v>12.464721411227444</v>
      </c>
      <c r="AP34" s="53">
        <f t="shared" si="72"/>
        <v>33.751294580477023</v>
      </c>
    </row>
    <row r="35" spans="6:42" ht="15.75">
      <c r="F35" s="241">
        <f t="shared" si="73"/>
        <v>2036</v>
      </c>
      <c r="G35" s="42">
        <f ca="1">IF(OR($F35&lt;$D$4,$F35&gt;$D$5),0,IF('התפלגות ייצור וסל דלקים'!C52=0,0,(('הנחות עבודה'!$I$9*'הנחות עבודה'!$D$11*VLOOKUP(G$43,'הנחות עבודה'!$H$27:$I$30,2,FALSE)/('התפלגות ייצור וסל דלקים'!I80*'הנחות עבודה'!$D$14*'הנחות עבודה'!$I$9/('התפלגות ייצור וסל דלקים'!C52*'הנחות עבודה'!$I$10/'הנחות עבודה'!$I$11)))/'הנחות עבודה'!$D$13)*'הנחות עבודה'!$D$15+VLOOKUP(G$43,'הנחות עבודה'!$H$31:$I$34,2,FALSE)+VLOOKUP(G$43,'הנחות עבודה'!$H$35:$I$38,2,FALSE)))</f>
        <v>17.738156235534763</v>
      </c>
      <c r="H35" s="44">
        <f ca="1">IF(OR($F35&lt;$D$4,$F35&gt;$D$5),0,IF('התפלגות ייצור וסל דלקים'!D52=0,0,(('הנחות עבודה'!$I$9*'הנחות עבודה'!$D$11*VLOOKUP(H$43,'הנחות עבודה'!$H$27:$I$30,2,FALSE)/('התפלגות ייצור וסל דלקים'!J80*'הנחות עבודה'!$D$14*'הנחות עבודה'!$I$9/('התפלגות ייצור וסל דלקים'!D52*'הנחות עבודה'!$I$10/'הנחות עבודה'!$I$11)))/'הנחות עבודה'!$D$13)*'הנחות עבודה'!$D$15+VLOOKUP(H$43,'הנחות עבודה'!$H$31:$I$34,2,FALSE)+VLOOKUP(H$43,'הנחות עבודה'!$H$35:$I$38,2,FALSE)))</f>
        <v>12.361621413884144</v>
      </c>
      <c r="I35" s="44">
        <f>IF(OR($F35&lt;$D$4,$F35&gt;$D$5),0,IF('התפלגות ייצור וסל דלקים'!E52=0,0,(('הנחות עבודה'!$I$9*'הנחות עבודה'!$D$11*VLOOKUP(I$43,'הנחות עבודה'!$H$27:$I$30,2,FALSE)/('התפלגות ייצור וסל דלקים'!K80*'הנחות עבודה'!$D$14*'הנחות עבודה'!$I$9/('התפלגות ייצור וסל דלקים'!E52*'הנחות עבודה'!$I$10/'הנחות עבודה'!$I$11)))/'הנחות עבודה'!$D$13)*'הנחות עבודה'!$D$15+VLOOKUP(I$43,'הנחות עבודה'!$H$31:$I$34,2,FALSE)+VLOOKUP(I$43,'הנחות עבודה'!$H$35:$I$38,2,FALSE)))</f>
        <v>0</v>
      </c>
      <c r="J35" s="44">
        <f>IF(OR($F35&lt;$D$4,$F35&gt;$D$5),0,IF('התפלגות ייצור וסל דלקים'!F52=0,0,(('הנחות עבודה'!$I$9*'הנחות עבודה'!$D$11*VLOOKUP(J$43,'הנחות עבודה'!$H$27:$I$30,2,FALSE)/('התפלגות ייצור וסל דלקים'!L80*'הנחות עבודה'!$D$14*'הנחות עבודה'!$I$9/('התפלגות ייצור וסל דלקים'!F52*'הנחות עבודה'!$I$10/'הנחות עבודה'!$I$11)))/'הנחות עבודה'!$D$13)*'הנחות עבודה'!$D$15+VLOOKUP(J$43,'הנחות עבודה'!$H$31:$I$34,2,FALSE)+VLOOKUP(J$43,'הנחות עבודה'!$H$35:$I$38,2,FALSE)))</f>
        <v>0</v>
      </c>
      <c r="K35" s="44">
        <f>IF(OR($F35&lt;$D$4,$F35&gt;$D$5),0,'הנחות עבודה'!$I$47)</f>
        <v>12.464721411227444</v>
      </c>
      <c r="L35" s="43">
        <f>'הנחות עבודה'!$I$48</f>
        <v>33.751294580477023</v>
      </c>
      <c r="M35" s="127">
        <f t="shared" ca="1" si="53"/>
        <v>17.738156235534763</v>
      </c>
      <c r="N35" s="54">
        <f t="shared" ca="1" si="54"/>
        <v>12.361621413884144</v>
      </c>
      <c r="O35" s="54">
        <f t="shared" si="55"/>
        <v>0</v>
      </c>
      <c r="P35" s="54">
        <f t="shared" si="56"/>
        <v>0</v>
      </c>
      <c r="Q35" s="54">
        <f t="shared" si="57"/>
        <v>12.464721411227444</v>
      </c>
      <c r="R35" s="53">
        <f t="shared" si="58"/>
        <v>33.751294580477023</v>
      </c>
      <c r="S35" s="42">
        <f ca="1">IF(OR($F35&lt;$D$4,$F35&gt;$D$5),0,IF('התפלגות ייצור וסל דלקים'!K52=0,0,(('הנחות עבודה'!$I$9*'הנחות עבודה'!$D$11*VLOOKUP(S$43,'הנחות עבודה'!$H$27:$I$30,2,FALSE)/('התפלגות ייצור וסל דלקים'!AG80*'הנחות עבודה'!$D$14*'הנחות עבודה'!$I$9/('התפלגות ייצור וסל דלקים'!K52*'הנחות עבודה'!$I$10/'הנחות עבודה'!$I$11)))/'הנחות עבודה'!$D$13)*'הנחות עבודה'!$D$15+VLOOKUP(S$43,'הנחות עבודה'!$H$31:$I$34,2,FALSE)+VLOOKUP(S$43,'הנחות עבודה'!$H$35:$I$38,2,FALSE)))</f>
        <v>17.667166721389961</v>
      </c>
      <c r="T35" s="44">
        <f ca="1">IF(OR($F35&lt;$D$4,$F35&gt;$D$5),0,IF('התפלגות ייצור וסל דלקים'!L52=0,0,(('הנחות עבודה'!$I$9*'הנחות עבודה'!$D$11*VLOOKUP(T$43,'הנחות עבודה'!$H$27:$I$30,2,FALSE)/('התפלגות ייצור וסל דלקים'!AH80*'הנחות עבודה'!$D$14*'הנחות עבודה'!$I$9/('התפלגות ייצור וסל דלקים'!L52*'הנחות עבודה'!$I$10/'הנחות עבודה'!$I$11)))/'הנחות עבודה'!$D$13)*'הנחות עבודה'!$D$15+VLOOKUP(T$43,'הנחות עבודה'!$H$31:$I$34,2,FALSE)+VLOOKUP(T$43,'הנחות עבודה'!$H$35:$I$38,2,FALSE)))</f>
        <v>12.334990988454265</v>
      </c>
      <c r="U35" s="44">
        <f>IF(OR($F35&lt;$D$4,$F35&gt;$D$5),0,IF('התפלגות ייצור וסל דלקים'!M52=0,0,(('הנחות עבודה'!$I$9*'הנחות עבודה'!$D$11*VLOOKUP(U$43,'הנחות עבודה'!$H$27:$I$30,2,FALSE)/('התפלגות ייצור וסל דלקים'!AI80*'הנחות עבודה'!$D$14*'הנחות עבודה'!$I$9/('התפלגות ייצור וסל דלקים'!M52*'הנחות עבודה'!$I$10/'הנחות עבודה'!$I$11)))/'הנחות עבודה'!$D$13)*'הנחות עבודה'!$D$15+VLOOKUP(U$43,'הנחות עבודה'!$H$31:$I$34,2,FALSE)+VLOOKUP(U$43,'הנחות עבודה'!$H$35:$I$38,2,FALSE)))</f>
        <v>0</v>
      </c>
      <c r="V35" s="44">
        <f>IF(OR($F35&lt;$D$4,$F35&gt;$D$5),0,IF('התפלגות ייצור וסל דלקים'!N52=0,0,(('הנחות עבודה'!$I$9*'הנחות עבודה'!$D$11*VLOOKUP(V$43,'הנחות עבודה'!$H$27:$I$30,2,FALSE)/('התפלגות ייצור וסל דלקים'!AJ80*'הנחות עבודה'!$D$14*'הנחות עבודה'!$I$9/('התפלגות ייצור וסל דלקים'!N52*'הנחות עבודה'!$I$10/'הנחות עבודה'!$I$11)))/'הנחות עבודה'!$D$13)*'הנחות עבודה'!$D$15+VLOOKUP(V$43,'הנחות עבודה'!$H$31:$I$34,2,FALSE)+VLOOKUP(V$43,'הנחות עבודה'!$H$35:$I$38,2,FALSE)))</f>
        <v>0</v>
      </c>
      <c r="W35" s="44">
        <f t="shared" si="50"/>
        <v>12.464721411227444</v>
      </c>
      <c r="X35" s="43">
        <f t="shared" si="50"/>
        <v>33.751294580477023</v>
      </c>
      <c r="Y35" s="52">
        <f t="shared" ca="1" si="59"/>
        <v>17.667166721389961</v>
      </c>
      <c r="Z35" s="54">
        <f t="shared" ca="1" si="60"/>
        <v>12.334990988454265</v>
      </c>
      <c r="AA35" s="54">
        <f t="shared" si="61"/>
        <v>0</v>
      </c>
      <c r="AB35" s="54">
        <f t="shared" si="62"/>
        <v>0</v>
      </c>
      <c r="AC35" s="54">
        <f t="shared" si="63"/>
        <v>12.464721411227444</v>
      </c>
      <c r="AD35" s="53">
        <f t="shared" si="64"/>
        <v>33.751294580477023</v>
      </c>
      <c r="AE35" s="42">
        <f ca="1">IF(OR($F35&lt;$D$4,$F35&gt;$D$5),0,IF('התפלגות ייצור וסל דלקים'!S52=0,0,(('הנחות עבודה'!$I$9*'הנחות עבודה'!$D$11*VLOOKUP(G$43,'הנחות עבודה'!$H$27:$I$30,2,FALSE)/('התפלגות ייצור וסל דלקים'!BE80*'הנחות עבודה'!$D$14*'הנחות עבודה'!$I$9/('התפלגות ייצור וסל דלקים'!S52*'הנחות עבודה'!$I$10/'הנחות עבודה'!$I$11)))/'הנחות עבודה'!$D$13)*'הנחות עבודה'!$D$15+VLOOKUP(G$43,'הנחות עבודה'!$H$31:$I$34,2,FALSE)+VLOOKUP(G$43,'הנחות עבודה'!$H$35:$I$38,2,FALSE)))</f>
        <v>17.632187580468745</v>
      </c>
      <c r="AF35" s="44">
        <f ca="1">IF(OR($F35&lt;$D$4,$F35&gt;$D$5),0,IF('התפלגות ייצור וסל דלקים'!T52=0,0,(('הנחות עבודה'!$I$9*'הנחות עבודה'!$D$11*VLOOKUP(H$43,'הנחות עבודה'!$H$27:$I$30,2,FALSE)/('התפלגות ייצור וסל דלקים'!BF80*'הנחות עבודה'!$D$14*'הנחות עבודה'!$I$9/('התפלגות ייצור וסל דלקים'!T52*'הנחות עבודה'!$I$10/'הנחות עבודה'!$I$11)))/'הנחות עבודה'!$D$13)*'הנחות עבודה'!$D$15+VLOOKUP(H$43,'הנחות עבודה'!$H$31:$I$34,2,FALSE)+VLOOKUP(H$43,'הנחות עבודה'!$H$35:$I$38,2,FALSE)))</f>
        <v>12.365970344179972</v>
      </c>
      <c r="AG35" s="44">
        <f>IF(OR($F35&lt;$D$4,$F35&gt;$D$5),0,IF('התפלגות ייצור וסל דלקים'!U52=0,0,(('הנחות עבודה'!$I$9*'הנחות עבודה'!$D$11*VLOOKUP(I$43,'הנחות עבודה'!$H$27:$I$30,2,FALSE)/('התפלגות ייצור וסל דלקים'!BG80*'הנחות עבודה'!$D$14*'הנחות עבודה'!$I$9/('התפלגות ייצור וסל דלקים'!U52*'הנחות עבודה'!$I$10/'הנחות עבודה'!$I$11)))/'הנחות עבודה'!$D$13)*'הנחות עבודה'!$D$15+VLOOKUP(I$43,'הנחות עבודה'!$H$31:$I$34,2,FALSE)+VLOOKUP(I$43,'הנחות עבודה'!$H$35:$I$38,2,FALSE)))</f>
        <v>0</v>
      </c>
      <c r="AH35" s="44">
        <f>IF(OR($F35&lt;$D$4,$F35&gt;$D$5),0,IF('התפלגות ייצור וסל דלקים'!V52=0,0,(('הנחות עבודה'!$I$9*'הנחות עבודה'!$D$11*VLOOKUP(J$43,'הנחות עבודה'!$H$27:$I$30,2,FALSE)/('התפלגות ייצור וסל דלקים'!BH80*'הנחות עבודה'!$D$14*'הנחות עבודה'!$I$9/('התפלגות ייצור וסל דלקים'!V52*'הנחות עבודה'!$I$10/'הנחות עבודה'!$I$11)))/'הנחות עבודה'!$D$13)*'הנחות עבודה'!$D$15+VLOOKUP(J$43,'הנחות עבודה'!$H$31:$I$34,2,FALSE)+VLOOKUP(J$43,'הנחות עבודה'!$H$35:$I$38,2,FALSE)))</f>
        <v>0</v>
      </c>
      <c r="AI35" s="44">
        <f t="shared" si="65"/>
        <v>12.464721411227444</v>
      </c>
      <c r="AJ35" s="43">
        <f t="shared" si="66"/>
        <v>33.751294580477023</v>
      </c>
      <c r="AK35" s="127">
        <f t="shared" ca="1" si="67"/>
        <v>17.632187580468745</v>
      </c>
      <c r="AL35" s="54">
        <f t="shared" ca="1" si="68"/>
        <v>12.365970344179972</v>
      </c>
      <c r="AM35" s="54">
        <f t="shared" si="69"/>
        <v>0</v>
      </c>
      <c r="AN35" s="54">
        <f t="shared" si="70"/>
        <v>0</v>
      </c>
      <c r="AO35" s="54">
        <f t="shared" si="71"/>
        <v>12.464721411227444</v>
      </c>
      <c r="AP35" s="53">
        <f t="shared" si="72"/>
        <v>33.751294580477023</v>
      </c>
    </row>
    <row r="36" spans="6:42" ht="15.75">
      <c r="F36" s="241">
        <f t="shared" si="73"/>
        <v>2037</v>
      </c>
      <c r="G36" s="42">
        <f ca="1">IF(OR($F36&lt;$D$4,$F36&gt;$D$5),0,IF('התפלגות ייצור וסל דלקים'!C53=0,0,(('הנחות עבודה'!$I$9*'הנחות עבודה'!$D$11*VLOOKUP(G$43,'הנחות עבודה'!$H$27:$I$30,2,FALSE)/('התפלגות ייצור וסל דלקים'!I81*'הנחות עבודה'!$D$14*'הנחות עבודה'!$I$9/('התפלגות ייצור וסל דלקים'!C53*'הנחות עבודה'!$I$10/'הנחות עבודה'!$I$11)))/'הנחות עבודה'!$D$13)*'הנחות עבודה'!$D$15+VLOOKUP(G$43,'הנחות עבודה'!$H$31:$I$34,2,FALSE)+VLOOKUP(G$43,'הנחות עבודה'!$H$35:$I$38,2,FALSE)))</f>
        <v>17.713816643459722</v>
      </c>
      <c r="H36" s="44">
        <f ca="1">IF(OR($F36&lt;$D$4,$F36&gt;$D$5),0,IF('התפלגות ייצור וסל דלקים'!D53=0,0,(('הנחות עבודה'!$I$9*'הנחות עבודה'!$D$11*VLOOKUP(H$43,'הנחות עבודה'!$H$27:$I$30,2,FALSE)/('התפלגות ייצור וסל דלקים'!J81*'הנחות עבודה'!$D$14*'הנחות עבודה'!$I$9/('התפלגות ייצור וסל דלקים'!D53*'הנחות עבודה'!$I$10/'הנחות עבודה'!$I$11)))/'הנחות עבודה'!$D$13)*'הנחות עבודה'!$D$15+VLOOKUP(H$43,'הנחות עבודה'!$H$31:$I$34,2,FALSE)+VLOOKUP(H$43,'הנחות עבודה'!$H$35:$I$38,2,FALSE)))</f>
        <v>12.258157753075597</v>
      </c>
      <c r="I36" s="44">
        <f>IF(OR($F36&lt;$D$4,$F36&gt;$D$5),0,IF('התפלגות ייצור וסל דלקים'!E53=0,0,(('הנחות עבודה'!$I$9*'הנחות עבודה'!$D$11*VLOOKUP(I$43,'הנחות עבודה'!$H$27:$I$30,2,FALSE)/('התפלגות ייצור וסל דלקים'!K81*'הנחות עבודה'!$D$14*'הנחות עבודה'!$I$9/('התפלגות ייצור וסל דלקים'!E53*'הנחות עבודה'!$I$10/'הנחות עבודה'!$I$11)))/'הנחות עבודה'!$D$13)*'הנחות עבודה'!$D$15+VLOOKUP(I$43,'הנחות עבודה'!$H$31:$I$34,2,FALSE)+VLOOKUP(I$43,'הנחות עבודה'!$H$35:$I$38,2,FALSE)))</f>
        <v>0</v>
      </c>
      <c r="J36" s="44">
        <f>IF(OR($F36&lt;$D$4,$F36&gt;$D$5),0,IF('התפלגות ייצור וסל דלקים'!F53=0,0,(('הנחות עבודה'!$I$9*'הנחות עבודה'!$D$11*VLOOKUP(J$43,'הנחות עבודה'!$H$27:$I$30,2,FALSE)/('התפלגות ייצור וסל דלקים'!L81*'הנחות עבודה'!$D$14*'הנחות עבודה'!$I$9/('התפלגות ייצור וסל דלקים'!F53*'הנחות עבודה'!$I$10/'הנחות עבודה'!$I$11)))/'הנחות עבודה'!$D$13)*'הנחות עבודה'!$D$15+VLOOKUP(J$43,'הנחות עבודה'!$H$31:$I$34,2,FALSE)+VLOOKUP(J$43,'הנחות עבודה'!$H$35:$I$38,2,FALSE)))</f>
        <v>0</v>
      </c>
      <c r="K36" s="44">
        <f>IF(OR($F36&lt;$D$4,$F36&gt;$D$5),0,'הנחות עבודה'!$I$47)</f>
        <v>12.464721411227444</v>
      </c>
      <c r="L36" s="43">
        <f>'הנחות עבודה'!$I$48</f>
        <v>33.751294580477023</v>
      </c>
      <c r="M36" s="127">
        <f t="shared" ca="1" si="53"/>
        <v>17.713816643459722</v>
      </c>
      <c r="N36" s="54">
        <f t="shared" ca="1" si="54"/>
        <v>12.258157753075597</v>
      </c>
      <c r="O36" s="54">
        <f t="shared" si="55"/>
        <v>0</v>
      </c>
      <c r="P36" s="54">
        <f t="shared" si="56"/>
        <v>0</v>
      </c>
      <c r="Q36" s="54">
        <f t="shared" si="57"/>
        <v>12.464721411227444</v>
      </c>
      <c r="R36" s="53">
        <f t="shared" si="58"/>
        <v>33.751294580477023</v>
      </c>
      <c r="S36" s="42">
        <f ca="1">IF(OR($F36&lt;$D$4,$F36&gt;$D$5),0,IF('התפלגות ייצור וסל דלקים'!K53=0,0,(('הנחות עבודה'!$I$9*'הנחות עבודה'!$D$11*VLOOKUP(S$43,'הנחות עבודה'!$H$27:$I$30,2,FALSE)/('התפלגות ייצור וסל דלקים'!AG81*'הנחות עבודה'!$D$14*'הנחות עבודה'!$I$9/('התפלגות ייצור וסל דלקים'!K53*'הנחות עבודה'!$I$10/'הנחות עבודה'!$I$11)))/'הנחות עבודה'!$D$13)*'הנחות עבודה'!$D$15+VLOOKUP(S$43,'הנחות עבודה'!$H$31:$I$34,2,FALSE)+VLOOKUP(S$43,'הנחות עבודה'!$H$35:$I$38,2,FALSE)))</f>
        <v>17.663757022682052</v>
      </c>
      <c r="T36" s="44">
        <f ca="1">IF(OR($F36&lt;$D$4,$F36&gt;$D$5),0,IF('התפלגות ייצור וסל דלקים'!L53=0,0,(('הנחות עבודה'!$I$9*'הנחות עבודה'!$D$11*VLOOKUP(T$43,'הנחות עבודה'!$H$27:$I$30,2,FALSE)/('התפלגות ייצור וסל דלקים'!AH81*'הנחות עבודה'!$D$14*'הנחות עבודה'!$I$9/('התפלגות ייצור וסל דלקים'!L53*'הנחות עבודה'!$I$10/'הנחות עבודה'!$I$11)))/'הנחות עבודה'!$D$13)*'הנחות עבודה'!$D$15+VLOOKUP(T$43,'הנחות עבודה'!$H$31:$I$34,2,FALSE)+VLOOKUP(T$43,'הנחות עבודה'!$H$35:$I$38,2,FALSE)))</f>
        <v>12.183126707490255</v>
      </c>
      <c r="U36" s="44">
        <f>IF(OR($F36&lt;$D$4,$F36&gt;$D$5),0,IF('התפלגות ייצור וסל דלקים'!M53=0,0,(('הנחות עבודה'!$I$9*'הנחות עבודה'!$D$11*VLOOKUP(U$43,'הנחות עבודה'!$H$27:$I$30,2,FALSE)/('התפלגות ייצור וסל דלקים'!AI81*'הנחות עבודה'!$D$14*'הנחות עבודה'!$I$9/('התפלגות ייצור וסל דלקים'!M53*'הנחות עבודה'!$I$10/'הנחות עבודה'!$I$11)))/'הנחות עבודה'!$D$13)*'הנחות עבודה'!$D$15+VLOOKUP(U$43,'הנחות עבודה'!$H$31:$I$34,2,FALSE)+VLOOKUP(U$43,'הנחות עבודה'!$H$35:$I$38,2,FALSE)))</f>
        <v>0</v>
      </c>
      <c r="V36" s="44">
        <f>IF(OR($F36&lt;$D$4,$F36&gt;$D$5),0,IF('התפלגות ייצור וסל דלקים'!N53=0,0,(('הנחות עבודה'!$I$9*'הנחות עבודה'!$D$11*VLOOKUP(V$43,'הנחות עבודה'!$H$27:$I$30,2,FALSE)/('התפלגות ייצור וסל דלקים'!AJ81*'הנחות עבודה'!$D$14*'הנחות עבודה'!$I$9/('התפלגות ייצור וסל דלקים'!N53*'הנחות עבודה'!$I$10/'הנחות עבודה'!$I$11)))/'הנחות עבודה'!$D$13)*'הנחות עבודה'!$D$15+VLOOKUP(V$43,'הנחות עבודה'!$H$31:$I$34,2,FALSE)+VLOOKUP(V$43,'הנחות עבודה'!$H$35:$I$38,2,FALSE)))</f>
        <v>0</v>
      </c>
      <c r="W36" s="44">
        <f t="shared" si="50"/>
        <v>12.464721411227444</v>
      </c>
      <c r="X36" s="43">
        <f t="shared" si="50"/>
        <v>33.751294580477023</v>
      </c>
      <c r="Y36" s="52">
        <f t="shared" ca="1" si="59"/>
        <v>17.663757022682052</v>
      </c>
      <c r="Z36" s="54">
        <f t="shared" ca="1" si="60"/>
        <v>12.183126707490255</v>
      </c>
      <c r="AA36" s="54">
        <f t="shared" si="61"/>
        <v>0</v>
      </c>
      <c r="AB36" s="54">
        <f t="shared" si="62"/>
        <v>0</v>
      </c>
      <c r="AC36" s="54">
        <f t="shared" si="63"/>
        <v>12.464721411227444</v>
      </c>
      <c r="AD36" s="53">
        <f t="shared" si="64"/>
        <v>33.751294580477023</v>
      </c>
      <c r="AE36" s="42">
        <f ca="1">IF(OR($F36&lt;$D$4,$F36&gt;$D$5),0,IF('התפלגות ייצור וסל דלקים'!S53=0,0,(('הנחות עבודה'!$I$9*'הנחות עבודה'!$D$11*VLOOKUP(G$43,'הנחות עבודה'!$H$27:$I$30,2,FALSE)/('התפלגות ייצור וסל דלקים'!BE81*'הנחות עבודה'!$D$14*'הנחות עבודה'!$I$9/('התפלגות ייצור וסל דלקים'!S53*'הנחות עבודה'!$I$10/'הנחות עבודה'!$I$11)))/'הנחות עבודה'!$D$13)*'הנחות עבודה'!$D$15+VLOOKUP(G$43,'הנחות עבודה'!$H$31:$I$34,2,FALSE)+VLOOKUP(G$43,'הנחות עבודה'!$H$35:$I$38,2,FALSE)))</f>
        <v>17.634087643154878</v>
      </c>
      <c r="AF36" s="44">
        <f ca="1">IF(OR($F36&lt;$D$4,$F36&gt;$D$5),0,IF('התפלגות ייצור וסל דלקים'!T53=0,0,(('הנחות עבודה'!$I$9*'הנחות עבודה'!$D$11*VLOOKUP(H$43,'הנחות עבודה'!$H$27:$I$30,2,FALSE)/('התפלגות ייצור וסל דלקים'!BF81*'הנחות עבודה'!$D$14*'הנחות עבודה'!$I$9/('התפלגות ייצור וסל דלקים'!T53*'הנחות עבודה'!$I$10/'הנחות עבודה'!$I$11)))/'הנחות עבודה'!$D$13)*'הנחות עבודה'!$D$15+VLOOKUP(H$43,'הנחות עבודה'!$H$31:$I$34,2,FALSE)+VLOOKUP(H$43,'הנחות עבודה'!$H$35:$I$38,2,FALSE)))</f>
        <v>12.205751891820588</v>
      </c>
      <c r="AG36" s="44">
        <f>IF(OR($F36&lt;$D$4,$F36&gt;$D$5),0,IF('התפלגות ייצור וסל דלקים'!U53=0,0,(('הנחות עבודה'!$I$9*'הנחות עבודה'!$D$11*VLOOKUP(I$43,'הנחות עבודה'!$H$27:$I$30,2,FALSE)/('התפלגות ייצור וסל דלקים'!BG81*'הנחות עבודה'!$D$14*'הנחות עבודה'!$I$9/('התפלגות ייצור וסל דלקים'!U53*'הנחות עבודה'!$I$10/'הנחות עבודה'!$I$11)))/'הנחות עבודה'!$D$13)*'הנחות עבודה'!$D$15+VLOOKUP(I$43,'הנחות עבודה'!$H$31:$I$34,2,FALSE)+VLOOKUP(I$43,'הנחות עבודה'!$H$35:$I$38,2,FALSE)))</f>
        <v>0</v>
      </c>
      <c r="AH36" s="44">
        <f>IF(OR($F36&lt;$D$4,$F36&gt;$D$5),0,IF('התפלגות ייצור וסל דלקים'!V53=0,0,(('הנחות עבודה'!$I$9*'הנחות עבודה'!$D$11*VLOOKUP(J$43,'הנחות עבודה'!$H$27:$I$30,2,FALSE)/('התפלגות ייצור וסל דלקים'!BH81*'הנחות עבודה'!$D$14*'הנחות עבודה'!$I$9/('התפלגות ייצור וסל דלקים'!V53*'הנחות עבודה'!$I$10/'הנחות עבודה'!$I$11)))/'הנחות עבודה'!$D$13)*'הנחות עבודה'!$D$15+VLOOKUP(J$43,'הנחות עבודה'!$H$31:$I$34,2,FALSE)+VLOOKUP(J$43,'הנחות עבודה'!$H$35:$I$38,2,FALSE)))</f>
        <v>0</v>
      </c>
      <c r="AI36" s="44">
        <f t="shared" si="65"/>
        <v>12.464721411227444</v>
      </c>
      <c r="AJ36" s="43">
        <f t="shared" si="66"/>
        <v>33.751294580477023</v>
      </c>
      <c r="AK36" s="127">
        <f t="shared" ca="1" si="67"/>
        <v>17.634087643154878</v>
      </c>
      <c r="AL36" s="54">
        <f t="shared" ca="1" si="68"/>
        <v>12.205751891820588</v>
      </c>
      <c r="AM36" s="54">
        <f t="shared" si="69"/>
        <v>0</v>
      </c>
      <c r="AN36" s="54">
        <f t="shared" si="70"/>
        <v>0</v>
      </c>
      <c r="AO36" s="54">
        <f t="shared" si="71"/>
        <v>12.464721411227444</v>
      </c>
      <c r="AP36" s="53">
        <f t="shared" si="72"/>
        <v>33.751294580477023</v>
      </c>
    </row>
    <row r="37" spans="6:42" ht="15.75">
      <c r="F37" s="241">
        <f t="shared" si="73"/>
        <v>2038</v>
      </c>
      <c r="G37" s="42">
        <f ca="1">IF(OR($F37&lt;$D$4,$F37&gt;$D$5),0,IF('התפלגות ייצור וסל דלקים'!C54=0,0,(('הנחות עבודה'!$I$9*'הנחות עבודה'!$D$11*VLOOKUP(G$43,'הנחות עבודה'!$H$27:$I$30,2,FALSE)/('התפלגות ייצור וסל דלקים'!I82*'הנחות עבודה'!$D$14*'הנחות עבודה'!$I$9/('התפלגות ייצור וסל דלקים'!C54*'הנחות עבודה'!$I$10/'הנחות עבודה'!$I$11)))/'הנחות עבודה'!$D$13)*'הנחות עבודה'!$D$15+VLOOKUP(G$43,'הנחות עבודה'!$H$31:$I$34,2,FALSE)+VLOOKUP(G$43,'הנחות עבודה'!$H$35:$I$38,2,FALSE)))</f>
        <v>17.701864118507615</v>
      </c>
      <c r="H37" s="44">
        <f ca="1">IF(OR($F37&lt;$D$4,$F37&gt;$D$5),0,IF('התפלגות ייצור וסל דלקים'!D54=0,0,(('הנחות עבודה'!$I$9*'הנחות עבודה'!$D$11*VLOOKUP(H$43,'הנחות עבודה'!$H$27:$I$30,2,FALSE)/('התפלגות ייצור וסל דלקים'!J82*'הנחות עבודה'!$D$14*'הנחות עבודה'!$I$9/('התפלגות ייצור וסל דלקים'!D54*'הנחות עבודה'!$I$10/'הנחות עבודה'!$I$11)))/'הנחות עבודה'!$D$13)*'הנחות עבודה'!$D$15+VLOOKUP(H$43,'הנחות עבודה'!$H$31:$I$34,2,FALSE)+VLOOKUP(H$43,'הנחות עבודה'!$H$35:$I$38,2,FALSE)))</f>
        <v>12.154218983321426</v>
      </c>
      <c r="I37" s="44">
        <f>IF(OR($F37&lt;$D$4,$F37&gt;$D$5),0,IF('התפלגות ייצור וסל דלקים'!E54=0,0,(('הנחות עבודה'!$I$9*'הנחות עבודה'!$D$11*VLOOKUP(I$43,'הנחות עבודה'!$H$27:$I$30,2,FALSE)/('התפלגות ייצור וסל דלקים'!K82*'הנחות עבודה'!$D$14*'הנחות עבודה'!$I$9/('התפלגות ייצור וסל דלקים'!E54*'הנחות עבודה'!$I$10/'הנחות עבודה'!$I$11)))/'הנחות עבודה'!$D$13)*'הנחות עבודה'!$D$15+VLOOKUP(I$43,'הנחות עבודה'!$H$31:$I$34,2,FALSE)+VLOOKUP(I$43,'הנחות עבודה'!$H$35:$I$38,2,FALSE)))</f>
        <v>0</v>
      </c>
      <c r="J37" s="44">
        <f>IF(OR($F37&lt;$D$4,$F37&gt;$D$5),0,IF('התפלגות ייצור וסל דלקים'!F54=0,0,(('הנחות עבודה'!$I$9*'הנחות עבודה'!$D$11*VLOOKUP(J$43,'הנחות עבודה'!$H$27:$I$30,2,FALSE)/('התפלגות ייצור וסל דלקים'!L82*'הנחות עבודה'!$D$14*'הנחות עבודה'!$I$9/('התפלגות ייצור וסל דלקים'!F54*'הנחות עבודה'!$I$10/'הנחות עבודה'!$I$11)))/'הנחות עבודה'!$D$13)*'הנחות עבודה'!$D$15+VLOOKUP(J$43,'הנחות עבודה'!$H$31:$I$34,2,FALSE)+VLOOKUP(J$43,'הנחות עבודה'!$H$35:$I$38,2,FALSE)))</f>
        <v>0</v>
      </c>
      <c r="K37" s="44">
        <f>IF(OR($F37&lt;$D$4,$F37&gt;$D$5),0,'הנחות עבודה'!$I$47)</f>
        <v>12.464721411227444</v>
      </c>
      <c r="L37" s="43">
        <f>'הנחות עבודה'!$I$48</f>
        <v>33.751294580477023</v>
      </c>
      <c r="M37" s="127">
        <f t="shared" ca="1" si="53"/>
        <v>17.701864118507615</v>
      </c>
      <c r="N37" s="54">
        <f t="shared" ca="1" si="54"/>
        <v>12.154218983321426</v>
      </c>
      <c r="O37" s="54">
        <f t="shared" si="55"/>
        <v>0</v>
      </c>
      <c r="P37" s="54">
        <f t="shared" si="56"/>
        <v>0</v>
      </c>
      <c r="Q37" s="54">
        <f t="shared" si="57"/>
        <v>12.464721411227444</v>
      </c>
      <c r="R37" s="53">
        <f t="shared" si="58"/>
        <v>33.751294580477023</v>
      </c>
      <c r="S37" s="42">
        <f ca="1">IF(OR($F37&lt;$D$4,$F37&gt;$D$5),0,IF('התפלגות ייצור וסל דלקים'!K54=0,0,(('הנחות עבודה'!$I$9*'הנחות עבודה'!$D$11*VLOOKUP(S$43,'הנחות עבודה'!$H$27:$I$30,2,FALSE)/('התפלגות ייצור וסל דלקים'!AG82*'הנחות עבודה'!$D$14*'הנחות עבודה'!$I$9/('התפלגות ייצור וסל דלקים'!K54*'הנחות עבודה'!$I$10/'הנחות עבודה'!$I$11)))/'הנחות עבודה'!$D$13)*'הנחות עבודה'!$D$15+VLOOKUP(S$43,'הנחות עבודה'!$H$31:$I$34,2,FALSE)+VLOOKUP(S$43,'הנחות עבודה'!$H$35:$I$38,2,FALSE)))</f>
        <v>17.649844403689368</v>
      </c>
      <c r="T37" s="44">
        <f ca="1">IF(OR($F37&lt;$D$4,$F37&gt;$D$5),0,IF('התפלגות ייצור וסל דלקים'!L54=0,0,(('הנחות עבודה'!$I$9*'הנחות עבודה'!$D$11*VLOOKUP(T$43,'הנחות עבודה'!$H$27:$I$30,2,FALSE)/('התפלגות ייצור וסל דלקים'!AH82*'הנחות עבודה'!$D$14*'הנחות עבודה'!$I$9/('התפלגות ייצור וסל דלקים'!L54*'הנחות עבודה'!$I$10/'הנחות עבודה'!$I$11)))/'הנחות עבודה'!$D$13)*'הנחות עבודה'!$D$15+VLOOKUP(T$43,'הנחות עבודה'!$H$31:$I$34,2,FALSE)+VLOOKUP(T$43,'הנחות עבודה'!$H$35:$I$38,2,FALSE)))</f>
        <v>12.051475639050633</v>
      </c>
      <c r="U37" s="44">
        <f>IF(OR($F37&lt;$D$4,$F37&gt;$D$5),0,IF('התפלגות ייצור וסל דלקים'!M54=0,0,(('הנחות עבודה'!$I$9*'הנחות עבודה'!$D$11*VLOOKUP(U$43,'הנחות עבודה'!$H$27:$I$30,2,FALSE)/('התפלגות ייצור וסל דלקים'!AI82*'הנחות עבודה'!$D$14*'הנחות עבודה'!$I$9/('התפלגות ייצור וסל דלקים'!M54*'הנחות עבודה'!$I$10/'הנחות עבודה'!$I$11)))/'הנחות עבודה'!$D$13)*'הנחות עבודה'!$D$15+VLOOKUP(U$43,'הנחות עבודה'!$H$31:$I$34,2,FALSE)+VLOOKUP(U$43,'הנחות עבודה'!$H$35:$I$38,2,FALSE)))</f>
        <v>0</v>
      </c>
      <c r="V37" s="44">
        <f>IF(OR($F37&lt;$D$4,$F37&gt;$D$5),0,IF('התפלגות ייצור וסל דלקים'!N54=0,0,(('הנחות עבודה'!$I$9*'הנחות עבודה'!$D$11*VLOOKUP(V$43,'הנחות עבודה'!$H$27:$I$30,2,FALSE)/('התפלגות ייצור וסל דלקים'!AJ82*'הנחות עבודה'!$D$14*'הנחות עבודה'!$I$9/('התפלגות ייצור וסל דלקים'!N54*'הנחות עבודה'!$I$10/'הנחות עבודה'!$I$11)))/'הנחות עבודה'!$D$13)*'הנחות עבודה'!$D$15+VLOOKUP(V$43,'הנחות עבודה'!$H$31:$I$34,2,FALSE)+VLOOKUP(V$43,'הנחות עבודה'!$H$35:$I$38,2,FALSE)))</f>
        <v>0</v>
      </c>
      <c r="W37" s="44">
        <f t="shared" si="50"/>
        <v>12.464721411227444</v>
      </c>
      <c r="X37" s="43">
        <f t="shared" si="50"/>
        <v>33.751294580477023</v>
      </c>
      <c r="Y37" s="52">
        <f t="shared" ca="1" si="59"/>
        <v>17.649844403689368</v>
      </c>
      <c r="Z37" s="54">
        <f t="shared" ca="1" si="60"/>
        <v>12.051475639050633</v>
      </c>
      <c r="AA37" s="54">
        <f t="shared" si="61"/>
        <v>0</v>
      </c>
      <c r="AB37" s="54">
        <f t="shared" si="62"/>
        <v>0</v>
      </c>
      <c r="AC37" s="54">
        <f t="shared" si="63"/>
        <v>12.464721411227444</v>
      </c>
      <c r="AD37" s="53">
        <f t="shared" si="64"/>
        <v>33.751294580477023</v>
      </c>
      <c r="AE37" s="42">
        <f ca="1">IF(OR($F37&lt;$D$4,$F37&gt;$D$5),0,IF('התפלגות ייצור וסל דלקים'!S54=0,0,(('הנחות עבודה'!$I$9*'הנחות עבודה'!$D$11*VLOOKUP(G$43,'הנחות עבודה'!$H$27:$I$30,2,FALSE)/('התפלגות ייצור וסל דלקים'!BE82*'הנחות עבודה'!$D$14*'הנחות עבודה'!$I$9/('התפלגות ייצור וסל דלקים'!S54*'הנחות עבודה'!$I$10/'הנחות עבודה'!$I$11)))/'הנחות עבודה'!$D$13)*'הנחות עבודה'!$D$15+VLOOKUP(G$43,'הנחות עבודה'!$H$31:$I$34,2,FALSE)+VLOOKUP(G$43,'הנחות עבודה'!$H$35:$I$38,2,FALSE)))</f>
        <v>17.640609276341184</v>
      </c>
      <c r="AF37" s="44">
        <f ca="1">IF(OR($F37&lt;$D$4,$F37&gt;$D$5),0,IF('התפלגות ייצור וסל דלקים'!T54=0,0,(('הנחות עבודה'!$I$9*'הנחות עבודה'!$D$11*VLOOKUP(H$43,'הנחות עבודה'!$H$27:$I$30,2,FALSE)/('התפלגות ייצור וסל דלקים'!BF82*'הנחות עבודה'!$D$14*'הנחות עבודה'!$I$9/('התפלגות ייצור וסל דלקים'!T54*'הנחות עבודה'!$I$10/'הנחות עבודה'!$I$11)))/'הנחות עבודה'!$D$13)*'הנחות עבודה'!$D$15+VLOOKUP(H$43,'הנחות עבודה'!$H$31:$I$34,2,FALSE)+VLOOKUP(H$43,'הנחות עבודה'!$H$35:$I$38,2,FALSE)))</f>
        <v>12.062627393254774</v>
      </c>
      <c r="AG37" s="44">
        <f>IF(OR($F37&lt;$D$4,$F37&gt;$D$5),0,IF('התפלגות ייצור וסל דלקים'!U54=0,0,(('הנחות עבודה'!$I$9*'הנחות עבודה'!$D$11*VLOOKUP(I$43,'הנחות עבודה'!$H$27:$I$30,2,FALSE)/('התפלגות ייצור וסל דלקים'!BG82*'הנחות עבודה'!$D$14*'הנחות עבודה'!$I$9/('התפלגות ייצור וסל דלקים'!U54*'הנחות עבודה'!$I$10/'הנחות עבודה'!$I$11)))/'הנחות עבודה'!$D$13)*'הנחות עבודה'!$D$15+VLOOKUP(I$43,'הנחות עבודה'!$H$31:$I$34,2,FALSE)+VLOOKUP(I$43,'הנחות עבודה'!$H$35:$I$38,2,FALSE)))</f>
        <v>0</v>
      </c>
      <c r="AH37" s="44">
        <f>IF(OR($F37&lt;$D$4,$F37&gt;$D$5),0,IF('התפלגות ייצור וסל דלקים'!V54=0,0,(('הנחות עבודה'!$I$9*'הנחות עבודה'!$D$11*VLOOKUP(J$43,'הנחות עבודה'!$H$27:$I$30,2,FALSE)/('התפלגות ייצור וסל דלקים'!BH82*'הנחות עבודה'!$D$14*'הנחות עבודה'!$I$9/('התפלגות ייצור וסל דלקים'!V54*'הנחות עבודה'!$I$10/'הנחות עבודה'!$I$11)))/'הנחות עבודה'!$D$13)*'הנחות עבודה'!$D$15+VLOOKUP(J$43,'הנחות עבודה'!$H$31:$I$34,2,FALSE)+VLOOKUP(J$43,'הנחות עבודה'!$H$35:$I$38,2,FALSE)))</f>
        <v>0</v>
      </c>
      <c r="AI37" s="44">
        <f t="shared" si="65"/>
        <v>12.464721411227444</v>
      </c>
      <c r="AJ37" s="43">
        <f t="shared" si="66"/>
        <v>33.751294580477023</v>
      </c>
      <c r="AK37" s="127">
        <f t="shared" ca="1" si="67"/>
        <v>17.640609276341184</v>
      </c>
      <c r="AL37" s="54">
        <f t="shared" ca="1" si="68"/>
        <v>12.062627393254774</v>
      </c>
      <c r="AM37" s="54">
        <f t="shared" si="69"/>
        <v>0</v>
      </c>
      <c r="AN37" s="54">
        <f t="shared" si="70"/>
        <v>0</v>
      </c>
      <c r="AO37" s="54">
        <f t="shared" si="71"/>
        <v>12.464721411227444</v>
      </c>
      <c r="AP37" s="53">
        <f t="shared" si="72"/>
        <v>33.751294580477023</v>
      </c>
    </row>
    <row r="38" spans="6:42" ht="15.75">
      <c r="F38" s="241">
        <f t="shared" si="73"/>
        <v>2039</v>
      </c>
      <c r="G38" s="42">
        <f ca="1">IF(OR($F38&lt;$D$4,$F38&gt;$D$5),0,IF('התפלגות ייצור וסל דלקים'!C55=0,0,(('הנחות עבודה'!$I$9*'הנחות עבודה'!$D$11*VLOOKUP(G$43,'הנחות עבודה'!$H$27:$I$30,2,FALSE)/('התפלגות ייצור וסל דלקים'!I83*'הנחות עבודה'!$D$14*'הנחות עבודה'!$I$9/('התפלגות ייצור וסל דלקים'!C55*'הנחות עבודה'!$I$10/'הנחות עבודה'!$I$11)))/'הנחות עבודה'!$D$13)*'הנחות עבודה'!$D$15+VLOOKUP(G$43,'הנחות עבודה'!$H$31:$I$34,2,FALSE)+VLOOKUP(G$43,'הנחות עבודה'!$H$35:$I$38,2,FALSE)))</f>
        <v>17.690313456310392</v>
      </c>
      <c r="H38" s="44">
        <f ca="1">IF(OR($F38&lt;$D$4,$F38&gt;$D$5),0,IF('התפלגות ייצור וסל דלקים'!D55=0,0,(('הנחות עבודה'!$I$9*'הנחות עבודה'!$D$11*VLOOKUP(H$43,'הנחות עבודה'!$H$27:$I$30,2,FALSE)/('התפלגות ייצור וסל דלקים'!J83*'הנחות עבודה'!$D$14*'הנחות עבודה'!$I$9/('התפלגות ייצור וסל דלקים'!D55*'הנחות עבודה'!$I$10/'הנחות עבודה'!$I$11)))/'הנחות עבודה'!$D$13)*'הנחות עבודה'!$D$15+VLOOKUP(H$43,'הנחות עבודה'!$H$31:$I$34,2,FALSE)+VLOOKUP(H$43,'הנחות עבודה'!$H$35:$I$38,2,FALSE)))</f>
        <v>12.062258294725051</v>
      </c>
      <c r="I38" s="44">
        <f>IF(OR($F38&lt;$D$4,$F38&gt;$D$5),0,IF('התפלגות ייצור וסל דלקים'!E55=0,0,(('הנחות עבודה'!$I$9*'הנחות עבודה'!$D$11*VLOOKUP(I$43,'הנחות עבודה'!$H$27:$I$30,2,FALSE)/('התפלגות ייצור וסל דלקים'!K83*'הנחות עבודה'!$D$14*'הנחות עבודה'!$I$9/('התפלגות ייצור וסל דלקים'!E55*'הנחות עבודה'!$I$10/'הנחות עבודה'!$I$11)))/'הנחות עבודה'!$D$13)*'הנחות עבודה'!$D$15+VLOOKUP(I$43,'הנחות עבודה'!$H$31:$I$34,2,FALSE)+VLOOKUP(I$43,'הנחות עבודה'!$H$35:$I$38,2,FALSE)))</f>
        <v>0</v>
      </c>
      <c r="J38" s="44">
        <f>IF(OR($F38&lt;$D$4,$F38&gt;$D$5),0,IF('התפלגות ייצור וסל דלקים'!F55=0,0,(('הנחות עבודה'!$I$9*'הנחות עבודה'!$D$11*VLOOKUP(J$43,'הנחות עבודה'!$H$27:$I$30,2,FALSE)/('התפלגות ייצור וסל דלקים'!L83*'הנחות עבודה'!$D$14*'הנחות עבודה'!$I$9/('התפלגות ייצור וסל דלקים'!F55*'הנחות עבודה'!$I$10/'הנחות עבודה'!$I$11)))/'הנחות עבודה'!$D$13)*'הנחות עבודה'!$D$15+VLOOKUP(J$43,'הנחות עבודה'!$H$31:$I$34,2,FALSE)+VLOOKUP(J$43,'הנחות עבודה'!$H$35:$I$38,2,FALSE)))</f>
        <v>0</v>
      </c>
      <c r="K38" s="44">
        <f>IF(OR($F38&lt;$D$4,$F38&gt;$D$5),0,'הנחות עבודה'!$I$47)</f>
        <v>12.464721411227444</v>
      </c>
      <c r="L38" s="43">
        <f>'הנחות עבודה'!$I$48</f>
        <v>33.751294580477023</v>
      </c>
      <c r="M38" s="127">
        <f t="shared" ca="1" si="53"/>
        <v>17.690313456310392</v>
      </c>
      <c r="N38" s="54">
        <f t="shared" ca="1" si="54"/>
        <v>12.062258294725051</v>
      </c>
      <c r="O38" s="54">
        <f t="shared" si="55"/>
        <v>0</v>
      </c>
      <c r="P38" s="54">
        <f t="shared" si="56"/>
        <v>0</v>
      </c>
      <c r="Q38" s="54">
        <f t="shared" si="57"/>
        <v>12.464721411227444</v>
      </c>
      <c r="R38" s="53">
        <f t="shared" si="58"/>
        <v>33.751294580477023</v>
      </c>
      <c r="S38" s="42">
        <f ca="1">IF(OR($F38&lt;$D$4,$F38&gt;$D$5),0,IF('התפלגות ייצור וסל דלקים'!K55=0,0,(('הנחות עבודה'!$I$9*'הנחות עבודה'!$D$11*VLOOKUP(S$43,'הנחות עבודה'!$H$27:$I$30,2,FALSE)/('התפלגות ייצור וסל דלקים'!AG83*'הנחות עבודה'!$D$14*'הנחות עבודה'!$I$9/('התפלגות ייצור וסל דלקים'!K55*'הנחות עבודה'!$I$10/'הנחות עבודה'!$I$11)))/'הנחות עבודה'!$D$13)*'הנחות עבודה'!$D$15+VLOOKUP(S$43,'הנחות עבודה'!$H$31:$I$34,2,FALSE)+VLOOKUP(S$43,'הנחות עבודה'!$H$35:$I$38,2,FALSE)))</f>
        <v>17.654175406783484</v>
      </c>
      <c r="T38" s="44">
        <f ca="1">IF(OR($F38&lt;$D$4,$F38&gt;$D$5),0,IF('התפלגות ייצור וסל דלקים'!L55=0,0,(('הנחות עבודה'!$I$9*'הנחות עבודה'!$D$11*VLOOKUP(T$43,'הנחות עבודה'!$H$27:$I$30,2,FALSE)/('התפלגות ייצור וסל דלקים'!AH83*'הנחות עבודה'!$D$14*'הנחות עבודה'!$I$9/('התפלגות ייצור וסל דלקים'!L55*'הנחות עבודה'!$I$10/'הנחות עבודה'!$I$11)))/'הנחות עבודה'!$D$13)*'הנחות עבודה'!$D$15+VLOOKUP(T$43,'הנחות עבודה'!$H$31:$I$34,2,FALSE)+VLOOKUP(T$43,'הנחות עבודה'!$H$35:$I$38,2,FALSE)))</f>
        <v>11.922145711117153</v>
      </c>
      <c r="U38" s="44">
        <f>IF(OR($F38&lt;$D$4,$F38&gt;$D$5),0,IF('התפלגות ייצור וסל דלקים'!M55=0,0,(('הנחות עבודה'!$I$9*'הנחות עבודה'!$D$11*VLOOKUP(U$43,'הנחות עבודה'!$H$27:$I$30,2,FALSE)/('התפלגות ייצור וסל דלקים'!AI83*'הנחות עבודה'!$D$14*'הנחות עבודה'!$I$9/('התפלגות ייצור וסל דלקים'!M55*'הנחות עבודה'!$I$10/'הנחות עבודה'!$I$11)))/'הנחות עבודה'!$D$13)*'הנחות עבודה'!$D$15+VLOOKUP(U$43,'הנחות עבודה'!$H$31:$I$34,2,FALSE)+VLOOKUP(U$43,'הנחות עבודה'!$H$35:$I$38,2,FALSE)))</f>
        <v>0</v>
      </c>
      <c r="V38" s="44">
        <f>IF(OR($F38&lt;$D$4,$F38&gt;$D$5),0,IF('התפלגות ייצור וסל דלקים'!N55=0,0,(('הנחות עבודה'!$I$9*'הנחות עבודה'!$D$11*VLOOKUP(V$43,'הנחות עבודה'!$H$27:$I$30,2,FALSE)/('התפלגות ייצור וסל דלקים'!AJ83*'הנחות עבודה'!$D$14*'הנחות עבודה'!$I$9/('התפלגות ייצור וסל דלקים'!N55*'הנחות עבודה'!$I$10/'הנחות עבודה'!$I$11)))/'הנחות עבודה'!$D$13)*'הנחות עבודה'!$D$15+VLOOKUP(V$43,'הנחות עבודה'!$H$31:$I$34,2,FALSE)+VLOOKUP(V$43,'הנחות עבודה'!$H$35:$I$38,2,FALSE)))</f>
        <v>0</v>
      </c>
      <c r="W38" s="44">
        <f t="shared" si="50"/>
        <v>12.464721411227444</v>
      </c>
      <c r="X38" s="43">
        <f t="shared" si="50"/>
        <v>33.751294580477023</v>
      </c>
      <c r="Y38" s="52">
        <f t="shared" ca="1" si="59"/>
        <v>17.654175406783484</v>
      </c>
      <c r="Z38" s="54">
        <f t="shared" ca="1" si="60"/>
        <v>11.922145711117153</v>
      </c>
      <c r="AA38" s="54">
        <f t="shared" si="61"/>
        <v>0</v>
      </c>
      <c r="AB38" s="54">
        <f t="shared" si="62"/>
        <v>0</v>
      </c>
      <c r="AC38" s="54">
        <f t="shared" si="63"/>
        <v>12.464721411227444</v>
      </c>
      <c r="AD38" s="53">
        <f t="shared" si="64"/>
        <v>33.751294580477023</v>
      </c>
      <c r="AE38" s="42">
        <f ca="1">IF(OR($F38&lt;$D$4,$F38&gt;$D$5),0,IF('התפלגות ייצור וסל דלקים'!S55=0,0,(('הנחות עבודה'!$I$9*'הנחות עבודה'!$D$11*VLOOKUP(G$43,'הנחות עבודה'!$H$27:$I$30,2,FALSE)/('התפלגות ייצור וסל דלקים'!BE83*'הנחות עבודה'!$D$14*'הנחות עבודה'!$I$9/('התפלגות ייצור וסל דלקים'!S55*'הנחות עבודה'!$I$10/'הנחות עבודה'!$I$11)))/'הנחות עבודה'!$D$13)*'הנחות עבודה'!$D$15+VLOOKUP(G$43,'הנחות עבודה'!$H$31:$I$34,2,FALSE)+VLOOKUP(G$43,'הנחות עבודה'!$H$35:$I$38,2,FALSE)))</f>
        <v>17.614248157767424</v>
      </c>
      <c r="AF38" s="44">
        <f ca="1">IF(OR($F38&lt;$D$4,$F38&gt;$D$5),0,IF('התפלגות ייצור וסל דלקים'!T55=0,0,(('הנחות עבודה'!$I$9*'הנחות עבודה'!$D$11*VLOOKUP(H$43,'הנחות עבודה'!$H$27:$I$30,2,FALSE)/('התפלגות ייצור וסל דלקים'!BF83*'הנחות עבודה'!$D$14*'הנחות עבודה'!$I$9/('התפלגות ייצור וסל דלקים'!T55*'הנחות עבודה'!$I$10/'הנחות עבודה'!$I$11)))/'הנחות עבודה'!$D$13)*'הנחות עבודה'!$D$15+VLOOKUP(H$43,'הנחות עבודה'!$H$31:$I$34,2,FALSE)+VLOOKUP(H$43,'הנחות עבודה'!$H$35:$I$38,2,FALSE)))</f>
        <v>11.945975840512439</v>
      </c>
      <c r="AG38" s="44">
        <f>IF(OR($F38&lt;$D$4,$F38&gt;$D$5),0,IF('התפלגות ייצור וסל דלקים'!U55=0,0,(('הנחות עבודה'!$I$9*'הנחות עבודה'!$D$11*VLOOKUP(I$43,'הנחות עבודה'!$H$27:$I$30,2,FALSE)/('התפלגות ייצור וסל דלקים'!BG83*'הנחות עבודה'!$D$14*'הנחות עבודה'!$I$9/('התפלגות ייצור וסל דלקים'!U55*'הנחות עבודה'!$I$10/'הנחות עבודה'!$I$11)))/'הנחות עבודה'!$D$13)*'הנחות עבודה'!$D$15+VLOOKUP(I$43,'הנחות עבודה'!$H$31:$I$34,2,FALSE)+VLOOKUP(I$43,'הנחות עבודה'!$H$35:$I$38,2,FALSE)))</f>
        <v>0</v>
      </c>
      <c r="AH38" s="44">
        <f>IF(OR($F38&lt;$D$4,$F38&gt;$D$5),0,IF('התפלגות ייצור וסל דלקים'!V55=0,0,(('הנחות עבודה'!$I$9*'הנחות עבודה'!$D$11*VLOOKUP(J$43,'הנחות עבודה'!$H$27:$I$30,2,FALSE)/('התפלגות ייצור וסל דלקים'!BH83*'הנחות עבודה'!$D$14*'הנחות עבודה'!$I$9/('התפלגות ייצור וסל דלקים'!V55*'הנחות עבודה'!$I$10/'הנחות עבודה'!$I$11)))/'הנחות עבודה'!$D$13)*'הנחות עבודה'!$D$15+VLOOKUP(J$43,'הנחות עבודה'!$H$31:$I$34,2,FALSE)+VLOOKUP(J$43,'הנחות עבודה'!$H$35:$I$38,2,FALSE)))</f>
        <v>0</v>
      </c>
      <c r="AI38" s="44">
        <f t="shared" si="65"/>
        <v>12.464721411227444</v>
      </c>
      <c r="AJ38" s="43">
        <f t="shared" si="66"/>
        <v>33.751294580477023</v>
      </c>
      <c r="AK38" s="127">
        <f t="shared" ca="1" si="67"/>
        <v>17.614248157767424</v>
      </c>
      <c r="AL38" s="54">
        <f t="shared" ca="1" si="68"/>
        <v>11.945975840512439</v>
      </c>
      <c r="AM38" s="54">
        <f t="shared" si="69"/>
        <v>0</v>
      </c>
      <c r="AN38" s="54">
        <f t="shared" si="70"/>
        <v>0</v>
      </c>
      <c r="AO38" s="54">
        <f t="shared" si="71"/>
        <v>12.464721411227444</v>
      </c>
      <c r="AP38" s="53">
        <f t="shared" si="72"/>
        <v>33.751294580477023</v>
      </c>
    </row>
    <row r="39" spans="6:42" ht="16.5" thickBot="1">
      <c r="F39" s="242">
        <f t="shared" si="73"/>
        <v>2040</v>
      </c>
      <c r="G39" s="45">
        <f ca="1">IF(OR($F39&lt;$D$4,$F39&gt;$D$5),0,IF('התפלגות ייצור וסל דלקים'!C56=0,0,(('הנחות עבודה'!$I$9*'הנחות עבודה'!$D$11*VLOOKUP(G$43,'הנחות עבודה'!$H$27:$I$30,2,FALSE)/('התפלגות ייצור וסל דלקים'!I84*'הנחות עבודה'!$D$14*'הנחות עבודה'!$I$9/('התפלגות ייצור וסל דלקים'!C56*'הנחות עבודה'!$I$10/'הנחות עבודה'!$I$11)))/'הנחות עבודה'!$D$13)*'הנחות עבודה'!$D$15+VLOOKUP(G$43,'הנחות עבודה'!$H$31:$I$34,2,FALSE)+VLOOKUP(G$43,'הנחות עבודה'!$H$35:$I$38,2,FALSE)))</f>
        <v>17.687761740079189</v>
      </c>
      <c r="H39" s="47">
        <f ca="1">IF(OR($F39&lt;$D$4,$F39&gt;$D$5),0,IF('התפלגות ייצור וסל דלקים'!D56=0,0,(('הנחות עבודה'!$I$9*'הנחות עבודה'!$D$11*VLOOKUP(H$43,'הנחות עבודה'!$H$27:$I$30,2,FALSE)/('התפלגות ייצור וסל דלקים'!J84*'הנחות עבודה'!$D$14*'הנחות עבודה'!$I$9/('התפלגות ייצור וסל דלקים'!D56*'הנחות עבודה'!$I$10/'הנחות עבודה'!$I$11)))/'הנחות עבודה'!$D$13)*'הנחות עבודה'!$D$15+VLOOKUP(H$43,'הנחות עבודה'!$H$31:$I$34,2,FALSE)+VLOOKUP(H$43,'הנחות עבודה'!$H$35:$I$38,2,FALSE)))</f>
        <v>11.976714530267989</v>
      </c>
      <c r="I39" s="47">
        <f>IF(OR($F39&lt;$D$4,$F39&gt;$D$5),0,IF('התפלגות ייצור וסל דלקים'!E56=0,0,(('הנחות עבודה'!$I$9*'הנחות עבודה'!$D$11*VLOOKUP(I$43,'הנחות עבודה'!$H$27:$I$30,2,FALSE)/('התפלגות ייצור וסל דלקים'!K84*'הנחות עבודה'!$D$14*'הנחות עבודה'!$I$9/('התפלגות ייצור וסל דלקים'!E56*'הנחות עבודה'!$I$10/'הנחות עבודה'!$I$11)))/'הנחות עבודה'!$D$13)*'הנחות עבודה'!$D$15+VLOOKUP(I$43,'הנחות עבודה'!$H$31:$I$34,2,FALSE)+VLOOKUP(I$43,'הנחות עבודה'!$H$35:$I$38,2,FALSE)))</f>
        <v>0</v>
      </c>
      <c r="J39" s="47">
        <f>IF(OR($F39&lt;$D$4,$F39&gt;$D$5),0,IF('התפלגות ייצור וסל דלקים'!F56=0,0,(('הנחות עבודה'!$I$9*'הנחות עבודה'!$D$11*VLOOKUP(J$43,'הנחות עבודה'!$H$27:$I$30,2,FALSE)/('התפלגות ייצור וסל דלקים'!L84*'הנחות עבודה'!$D$14*'הנחות עבודה'!$I$9/('התפלגות ייצור וסל דלקים'!F56*'הנחות עבודה'!$I$10/'הנחות עבודה'!$I$11)))/'הנחות עבודה'!$D$13)*'הנחות עבודה'!$D$15+VLOOKUP(J$43,'הנחות עבודה'!$H$31:$I$34,2,FALSE)+VLOOKUP(J$43,'הנחות עבודה'!$H$35:$I$38,2,FALSE)))</f>
        <v>0</v>
      </c>
      <c r="K39" s="47">
        <f>IF(OR($F39&lt;$D$4,$F39&gt;$D$5),0,'הנחות עבודה'!$I$47)</f>
        <v>12.464721411227444</v>
      </c>
      <c r="L39" s="46">
        <f>'הנחות עבודה'!$I$48</f>
        <v>33.751294580477023</v>
      </c>
      <c r="M39" s="128">
        <f t="shared" ca="1" si="53"/>
        <v>17.687761740079189</v>
      </c>
      <c r="N39" s="57">
        <f t="shared" ca="1" si="54"/>
        <v>11.976714530267989</v>
      </c>
      <c r="O39" s="57">
        <f t="shared" si="55"/>
        <v>0</v>
      </c>
      <c r="P39" s="57">
        <f t="shared" si="56"/>
        <v>0</v>
      </c>
      <c r="Q39" s="57">
        <f t="shared" si="57"/>
        <v>12.464721411227444</v>
      </c>
      <c r="R39" s="56">
        <f t="shared" si="58"/>
        <v>33.751294580477023</v>
      </c>
      <c r="S39" s="45">
        <f ca="1">IF(OR($F39&lt;$D$4,$F39&gt;$D$5),0,IF('התפלגות ייצור וסל דלקים'!K56=0,0,(('הנחות עבודה'!$I$9*'הנחות עבודה'!$D$11*VLOOKUP(S$43,'הנחות עבודה'!$H$27:$I$30,2,FALSE)/('התפלגות ייצור וסל דלקים'!AG84*'הנחות עבודה'!$D$14*'הנחות עבודה'!$I$9/('התפלגות ייצור וסל דלקים'!K56*'הנחות עבודה'!$I$10/'הנחות עבודה'!$I$11)))/'הנחות עבודה'!$D$13)*'הנחות עבודה'!$D$15+VLOOKUP(S$43,'הנחות עבודה'!$H$31:$I$34,2,FALSE)+VLOOKUP(S$43,'הנחות עבודה'!$H$35:$I$38,2,FALSE)))</f>
        <v>17.646421301238338</v>
      </c>
      <c r="T39" s="47">
        <f ca="1">IF(OR($F39&lt;$D$4,$F39&gt;$D$5),0,IF('התפלגות ייצור וסל דלקים'!L56=0,0,(('הנחות עבודה'!$I$9*'הנחות עבודה'!$D$11*VLOOKUP(T$43,'הנחות עבודה'!$H$27:$I$30,2,FALSE)/('התפלגות ייצור וסל דלקים'!AH84*'הנחות עבודה'!$D$14*'הנחות עבודה'!$I$9/('התפלגות ייצור וסל דלקים'!L56*'הנחות עבודה'!$I$10/'הנחות עבודה'!$I$11)))/'הנחות עבודה'!$D$13)*'הנחות עבודה'!$D$15+VLOOKUP(T$43,'הנחות עבודה'!$H$31:$I$34,2,FALSE)+VLOOKUP(T$43,'הנחות עבודה'!$H$35:$I$38,2,FALSE)))</f>
        <v>11.80788128192062</v>
      </c>
      <c r="U39" s="47">
        <f>IF(OR($F39&lt;$D$4,$F39&gt;$D$5),0,IF('התפלגות ייצור וסל דלקים'!M56=0,0,(('הנחות עבודה'!$I$9*'הנחות עבודה'!$D$11*VLOOKUP(U$43,'הנחות עבודה'!$H$27:$I$30,2,FALSE)/('התפלגות ייצור וסל דלקים'!AI84*'הנחות עבודה'!$D$14*'הנחות עבודה'!$I$9/('התפלגות ייצור וסל דלקים'!M56*'הנחות עבודה'!$I$10/'הנחות עבודה'!$I$11)))/'הנחות עבודה'!$D$13)*'הנחות עבודה'!$D$15+VLOOKUP(U$43,'הנחות עבודה'!$H$31:$I$34,2,FALSE)+VLOOKUP(U$43,'הנחות עבודה'!$H$35:$I$38,2,FALSE)))</f>
        <v>0</v>
      </c>
      <c r="V39" s="47">
        <f>IF(OR($F39&lt;$D$4,$F39&gt;$D$5),0,IF('התפלגות ייצור וסל דלקים'!N56=0,0,(('הנחות עבודה'!$I$9*'הנחות עבודה'!$D$11*VLOOKUP(V$43,'הנחות עבודה'!$H$27:$I$30,2,FALSE)/('התפלגות ייצור וסל דלקים'!AJ84*'הנחות עבודה'!$D$14*'הנחות עבודה'!$I$9/('התפלגות ייצור וסל דלקים'!N56*'הנחות עבודה'!$I$10/'הנחות עבודה'!$I$11)))/'הנחות עבודה'!$D$13)*'הנחות עבודה'!$D$15+VLOOKUP(V$43,'הנחות עבודה'!$H$31:$I$34,2,FALSE)+VLOOKUP(V$43,'הנחות עבודה'!$H$35:$I$38,2,FALSE)))</f>
        <v>0</v>
      </c>
      <c r="W39" s="47">
        <f t="shared" si="50"/>
        <v>12.464721411227444</v>
      </c>
      <c r="X39" s="46">
        <f t="shared" si="50"/>
        <v>33.751294580477023</v>
      </c>
      <c r="Y39" s="55">
        <f t="shared" ca="1" si="59"/>
        <v>17.646421301238338</v>
      </c>
      <c r="Z39" s="57">
        <f t="shared" ca="1" si="60"/>
        <v>11.80788128192062</v>
      </c>
      <c r="AA39" s="57">
        <f t="shared" si="61"/>
        <v>0</v>
      </c>
      <c r="AB39" s="57">
        <f t="shared" si="62"/>
        <v>0</v>
      </c>
      <c r="AC39" s="57">
        <f t="shared" si="63"/>
        <v>12.464721411227444</v>
      </c>
      <c r="AD39" s="56">
        <f t="shared" si="64"/>
        <v>33.751294580477023</v>
      </c>
      <c r="AE39" s="45">
        <f ca="1">IF(OR($F39&lt;$D$4,$F39&gt;$D$5),0,IF('התפלגות ייצור וסל דלקים'!S56=0,0,(('הנחות עבודה'!$I$9*'הנחות עבודה'!$D$11*VLOOKUP(G$43,'הנחות עבודה'!$H$27:$I$30,2,FALSE)/('התפלגות ייצור וסל דלקים'!BE84*'הנחות עבודה'!$D$14*'הנחות עבודה'!$I$9/('התפלגות ייצור וסל דלקים'!S56*'הנחות עבודה'!$I$10/'הנחות עבודה'!$I$11)))/'הנחות עבודה'!$D$13)*'הנחות עבודה'!$D$15+VLOOKUP(G$43,'הנחות עבודה'!$H$31:$I$34,2,FALSE)+VLOOKUP(G$43,'הנחות עבודה'!$H$35:$I$38,2,FALSE)))</f>
        <v>17.613674703064326</v>
      </c>
      <c r="AF39" s="47">
        <f ca="1">IF(OR($F39&lt;$D$4,$F39&gt;$D$5),0,IF('התפלגות ייצור וסל דלקים'!T56=0,0,(('הנחות עבודה'!$I$9*'הנחות עבודה'!$D$11*VLOOKUP(H$43,'הנחות עבודה'!$H$27:$I$30,2,FALSE)/('התפלגות ייצור וסל דלקים'!BF84*'הנחות עבודה'!$D$14*'הנחות עבודה'!$I$9/('התפלגות ייצור וסל דלקים'!T56*'הנחות עבודה'!$I$10/'הנחות עבודה'!$I$11)))/'הנחות עבודה'!$D$13)*'הנחות עבודה'!$D$15+VLOOKUP(H$43,'הנחות עבודה'!$H$31:$I$34,2,FALSE)+VLOOKUP(H$43,'הנחות עבודה'!$H$35:$I$38,2,FALSE)))</f>
        <v>11.796956839906652</v>
      </c>
      <c r="AG39" s="47">
        <f>IF(OR($F39&lt;$D$4,$F39&gt;$D$5),0,IF('התפלגות ייצור וסל דלקים'!U56=0,0,(('הנחות עבודה'!$I$9*'הנחות עבודה'!$D$11*VLOOKUP(I$43,'הנחות עבודה'!$H$27:$I$30,2,FALSE)/('התפלגות ייצור וסל דלקים'!BG84*'הנחות עבודה'!$D$14*'הנחות עבודה'!$I$9/('התפלגות ייצור וסל דלקים'!U56*'הנחות עבודה'!$I$10/'הנחות עבודה'!$I$11)))/'הנחות עבודה'!$D$13)*'הנחות עבודה'!$D$15+VLOOKUP(I$43,'הנחות עבודה'!$H$31:$I$34,2,FALSE)+VLOOKUP(I$43,'הנחות עבודה'!$H$35:$I$38,2,FALSE)))</f>
        <v>0</v>
      </c>
      <c r="AH39" s="47">
        <f>IF(OR($F39&lt;$D$4,$F39&gt;$D$5),0,IF('התפלגות ייצור וסל דלקים'!V56=0,0,(('הנחות עבודה'!$I$9*'הנחות עבודה'!$D$11*VLOOKUP(J$43,'הנחות עבודה'!$H$27:$I$30,2,FALSE)/('התפלגות ייצור וסל דלקים'!BH84*'הנחות עבודה'!$D$14*'הנחות עבודה'!$I$9/('התפלגות ייצור וסל דלקים'!V56*'הנחות עבודה'!$I$10/'הנחות עבודה'!$I$11)))/'הנחות עבודה'!$D$13)*'הנחות עבודה'!$D$15+VLOOKUP(J$43,'הנחות עבודה'!$H$31:$I$34,2,FALSE)+VLOOKUP(J$43,'הנחות עבודה'!$H$35:$I$38,2,FALSE)))</f>
        <v>0</v>
      </c>
      <c r="AI39" s="47">
        <f t="shared" si="65"/>
        <v>12.464721411227444</v>
      </c>
      <c r="AJ39" s="46">
        <f t="shared" si="66"/>
        <v>33.751294580477023</v>
      </c>
      <c r="AK39" s="128">
        <f t="shared" ca="1" si="67"/>
        <v>17.613674703064326</v>
      </c>
      <c r="AL39" s="57">
        <f t="shared" ca="1" si="68"/>
        <v>11.796956839906652</v>
      </c>
      <c r="AM39" s="57">
        <f t="shared" si="69"/>
        <v>0</v>
      </c>
      <c r="AN39" s="57">
        <f t="shared" si="70"/>
        <v>0</v>
      </c>
      <c r="AO39" s="57">
        <f t="shared" si="71"/>
        <v>12.464721411227444</v>
      </c>
      <c r="AP39" s="56">
        <f t="shared" si="72"/>
        <v>33.751294580477023</v>
      </c>
    </row>
    <row r="40" spans="6:42" ht="15.75" thickBot="1">
      <c r="G40" s="244"/>
      <c r="H40" s="244"/>
      <c r="I40" s="244"/>
    </row>
    <row r="41" spans="6:42" ht="16.5" thickBot="1">
      <c r="G41" s="1243" t="s">
        <v>338</v>
      </c>
      <c r="H41" s="1244"/>
      <c r="I41" s="1244"/>
      <c r="J41" s="1244"/>
      <c r="K41" s="1244"/>
      <c r="L41" s="1244"/>
      <c r="M41" s="1244"/>
      <c r="N41" s="1244"/>
      <c r="O41" s="1244"/>
      <c r="P41" s="1244"/>
      <c r="Q41" s="1244"/>
      <c r="R41" s="1244"/>
      <c r="S41" s="1244"/>
      <c r="T41" s="1244"/>
      <c r="U41" s="1244"/>
      <c r="V41" s="1244"/>
      <c r="W41" s="1244"/>
      <c r="X41" s="1244"/>
      <c r="Y41" s="1244"/>
      <c r="Z41" s="1244"/>
      <c r="AA41" s="1244"/>
      <c r="AB41" s="1244"/>
      <c r="AC41" s="1244"/>
      <c r="AD41" s="1244"/>
      <c r="AE41" s="1244"/>
      <c r="AF41" s="1244"/>
      <c r="AG41" s="1244"/>
      <c r="AH41" s="1244"/>
      <c r="AI41" s="1244"/>
      <c r="AJ41" s="1244"/>
      <c r="AK41" s="1244"/>
      <c r="AL41" s="1244"/>
      <c r="AM41" s="1244"/>
      <c r="AN41" s="1244"/>
      <c r="AO41" s="1244"/>
      <c r="AP41" s="1245"/>
    </row>
    <row r="42" spans="6:42" ht="16.5" thickBot="1">
      <c r="G42" s="1289" t="s">
        <v>337</v>
      </c>
      <c r="H42" s="1290"/>
      <c r="I42" s="1290"/>
      <c r="J42" s="1290"/>
      <c r="K42" s="1290"/>
      <c r="L42" s="1296"/>
      <c r="M42" s="1292" t="s">
        <v>47</v>
      </c>
      <c r="N42" s="1292"/>
      <c r="O42" s="1292"/>
      <c r="P42" s="1292"/>
      <c r="Q42" s="1292"/>
      <c r="R42" s="1293"/>
      <c r="S42" s="1289" t="s">
        <v>346</v>
      </c>
      <c r="T42" s="1290"/>
      <c r="U42" s="1290"/>
      <c r="V42" s="1290"/>
      <c r="W42" s="1290"/>
      <c r="X42" s="1296"/>
      <c r="Y42" s="1291" t="s">
        <v>343</v>
      </c>
      <c r="Z42" s="1292"/>
      <c r="AA42" s="1292"/>
      <c r="AB42" s="1292"/>
      <c r="AC42" s="1292"/>
      <c r="AD42" s="1293"/>
      <c r="AE42" s="1290" t="s">
        <v>344</v>
      </c>
      <c r="AF42" s="1290"/>
      <c r="AG42" s="1290"/>
      <c r="AH42" s="1290"/>
      <c r="AI42" s="1290"/>
      <c r="AJ42" s="1296"/>
      <c r="AK42" s="1292" t="s">
        <v>345</v>
      </c>
      <c r="AL42" s="1292"/>
      <c r="AM42" s="1292"/>
      <c r="AN42" s="1292"/>
      <c r="AO42" s="1292"/>
      <c r="AP42" s="1293"/>
    </row>
    <row r="43" spans="6:42" ht="32.25" thickBot="1">
      <c r="F43" s="7" t="s">
        <v>0</v>
      </c>
      <c r="G43" s="287" t="str">
        <f ca="1">'התפלגות ייצור וסל דלקים'!I62</f>
        <v>גז פחמיות מוסבות</v>
      </c>
      <c r="H43" s="287" t="str">
        <f ca="1">'התפלגות ייצור וסל דלקים'!J62</f>
        <v>גז חח"י מחזמים ופקירים ויח"פים</v>
      </c>
      <c r="I43" s="287" t="str">
        <f ca="1">'התפלגות ייצור וסל דלקים'!K62</f>
        <v>אחר 1</v>
      </c>
      <c r="J43" s="287" t="str">
        <f ca="1">'התפלגות ייצור וסל דלקים'!L62</f>
        <v>אחר 2</v>
      </c>
      <c r="K43" s="287" t="str">
        <f>'התפלגות ייצור וסל דלקים'!M62</f>
        <v>יחידה פחמית</v>
      </c>
      <c r="L43" s="287" t="str">
        <f>'התפלגות ייצור וסל דלקים'!N62</f>
        <v>סולר ופצלי שמן</v>
      </c>
      <c r="M43" s="48" t="str">
        <f t="shared" ref="M43:AP43" ca="1" si="74">G43</f>
        <v>גז פחמיות מוסבות</v>
      </c>
      <c r="N43" s="48" t="str">
        <f t="shared" ca="1" si="74"/>
        <v>גז חח"י מחזמים ופקירים ויח"פים</v>
      </c>
      <c r="O43" s="48" t="str">
        <f t="shared" ca="1" si="74"/>
        <v>אחר 1</v>
      </c>
      <c r="P43" s="48" t="str">
        <f t="shared" ca="1" si="74"/>
        <v>אחר 2</v>
      </c>
      <c r="Q43" s="48" t="str">
        <f t="shared" si="74"/>
        <v>יחידה פחמית</v>
      </c>
      <c r="R43" s="48" t="str">
        <f t="shared" si="74"/>
        <v>סולר ופצלי שמן</v>
      </c>
      <c r="S43" s="287" t="str">
        <f t="shared" ref="S43" ca="1" si="75">M43</f>
        <v>גז פחמיות מוסבות</v>
      </c>
      <c r="T43" s="287" t="str">
        <f t="shared" ref="T43" ca="1" si="76">N43</f>
        <v>גז חח"י מחזמים ופקירים ויח"פים</v>
      </c>
      <c r="U43" s="287" t="str">
        <f t="shared" ref="U43" ca="1" si="77">O43</f>
        <v>אחר 1</v>
      </c>
      <c r="V43" s="287" t="str">
        <f t="shared" ref="V43" ca="1" si="78">P43</f>
        <v>אחר 2</v>
      </c>
      <c r="W43" s="287" t="str">
        <f t="shared" ref="W43" si="79">Q43</f>
        <v>יחידה פחמית</v>
      </c>
      <c r="X43" s="287" t="str">
        <f t="shared" ref="X43" si="80">R43</f>
        <v>סולר ופצלי שמן</v>
      </c>
      <c r="Y43" s="48" t="str">
        <f t="shared" ref="Y43" ca="1" si="81">S43</f>
        <v>גז פחמיות מוסבות</v>
      </c>
      <c r="Z43" s="48" t="str">
        <f t="shared" ref="Z43" ca="1" si="82">T43</f>
        <v>גז חח"י מחזמים ופקירים ויח"פים</v>
      </c>
      <c r="AA43" s="48" t="str">
        <f t="shared" ref="AA43" ca="1" si="83">U43</f>
        <v>אחר 1</v>
      </c>
      <c r="AB43" s="48" t="str">
        <f t="shared" ref="AB43" ca="1" si="84">V43</f>
        <v>אחר 2</v>
      </c>
      <c r="AC43" s="48" t="str">
        <f t="shared" ref="AC43" si="85">W43</f>
        <v>יחידה פחמית</v>
      </c>
      <c r="AD43" s="48" t="str">
        <f t="shared" ref="AD43" si="86">X43</f>
        <v>סולר ופצלי שמן</v>
      </c>
      <c r="AE43" s="287" t="str">
        <f t="shared" ref="AE43:AJ43" ca="1" si="87">M43</f>
        <v>גז פחמיות מוסבות</v>
      </c>
      <c r="AF43" s="287" t="str">
        <f t="shared" ca="1" si="87"/>
        <v>גז חח"י מחזמים ופקירים ויח"פים</v>
      </c>
      <c r="AG43" s="287" t="str">
        <f t="shared" ca="1" si="87"/>
        <v>אחר 1</v>
      </c>
      <c r="AH43" s="287" t="str">
        <f t="shared" ca="1" si="87"/>
        <v>אחר 2</v>
      </c>
      <c r="AI43" s="287" t="str">
        <f t="shared" si="87"/>
        <v>יחידה פחמית</v>
      </c>
      <c r="AJ43" s="287" t="str">
        <f t="shared" si="87"/>
        <v>סולר ופצלי שמן</v>
      </c>
      <c r="AK43" s="48" t="str">
        <f t="shared" ca="1" si="74"/>
        <v>גז פחמיות מוסבות</v>
      </c>
      <c r="AL43" s="48" t="str">
        <f t="shared" ca="1" si="74"/>
        <v>גז חח"י מחזמים ופקירים ויח"פים</v>
      </c>
      <c r="AM43" s="48" t="str">
        <f t="shared" ca="1" si="74"/>
        <v>אחר 1</v>
      </c>
      <c r="AN43" s="48" t="str">
        <f t="shared" ca="1" si="74"/>
        <v>אחר 2</v>
      </c>
      <c r="AO43" s="48" t="str">
        <f t="shared" si="74"/>
        <v>יחידה פחמית</v>
      </c>
      <c r="AP43" s="48" t="str">
        <f t="shared" si="74"/>
        <v>סולר ופצלי שמן</v>
      </c>
    </row>
    <row r="44" spans="6:42" ht="15.75">
      <c r="F44" s="8">
        <f>F19</f>
        <v>2020</v>
      </c>
      <c r="G44" s="39">
        <f>(G19*'התפלגות ייצור וסל דלקים'!I64*$D$10*$D$9/$D$11)/$D$12</f>
        <v>0</v>
      </c>
      <c r="H44" s="271">
        <f ca="1">(H19*'התפלגות ייצור וסל דלקים'!J64*$D$10*$D$9/$D$11)/$D$12</f>
        <v>5861.7551954792034</v>
      </c>
      <c r="I44" s="271">
        <f>(I19*'התפלגות ייצור וסל דלקים'!K64*$D$10*$D$9/$D$11)/$D$12</f>
        <v>0</v>
      </c>
      <c r="J44" s="271">
        <f>(J19*'התפלגות ייצור וסל דלקים'!L64*$D$10*$D$9/$D$11)/$D$12</f>
        <v>0</v>
      </c>
      <c r="K44" s="271">
        <f>(K19*'התפלגות ייצור וסל דלקים'!M64*$D$10*$D$9/$D$11)/$D$12</f>
        <v>2176.3004712917959</v>
      </c>
      <c r="L44" s="555">
        <f>(L19*'התפלגות ייצור וסל דלקים'!N64*$D$10*$D$9/$D$11)/$D$12</f>
        <v>115.7669404110362</v>
      </c>
      <c r="M44" s="49">
        <f>(M19*'התפלגות ייצור וסל דלקים'!U64*$D$10*$D$9/$D$11)/$D$12</f>
        <v>0</v>
      </c>
      <c r="N44" s="51">
        <f ca="1">(N19*'התפלגות ייצור וסל דלקים'!V64*$D$10*$D$9/$D$11)/$D$12</f>
        <v>5861.7551954792034</v>
      </c>
      <c r="O44" s="51">
        <f>(O19*'התפלגות ייצור וסל דלקים'!W64*$D$10*$D$9/$D$11)/$D$12</f>
        <v>0</v>
      </c>
      <c r="P44" s="51">
        <f>(P19*'התפלגות ייצור וסל דלקים'!X64*$D$10*$D$9/$D$11)/$D$12</f>
        <v>0</v>
      </c>
      <c r="Q44" s="51">
        <f>(Q19*'התפלגות ייצור וסל דלקים'!Y64*$D$10*$D$9/$D$11)/$D$12</f>
        <v>2176.3004712917959</v>
      </c>
      <c r="R44" s="50">
        <f>(R19*'התפלגות ייצור וסל דלקים'!Z64*$D$10*$D$9/$D$11)/$D$12</f>
        <v>115.7669404110362</v>
      </c>
      <c r="S44" s="39">
        <f>(S19*'התפלגות ייצור וסל דלקים'!AG64*$D$10*$D$9/$D$11)/$D$12</f>
        <v>0</v>
      </c>
      <c r="T44" s="271">
        <f ca="1">(T19*'התפלגות ייצור וסל דלקים'!AH64*$D$10*$D$9/$D$11)/$D$12</f>
        <v>5861.7551954792034</v>
      </c>
      <c r="U44" s="271">
        <f>(U19*'התפלגות ייצור וסל דלקים'!AI64*$D$10*$D$9/$D$11)/$D$12</f>
        <v>0</v>
      </c>
      <c r="V44" s="271">
        <f>(V19*'התפלגות ייצור וסל דלקים'!AJ64*$D$10*$D$9/$D$11)/$D$12</f>
        <v>0</v>
      </c>
      <c r="W44" s="271">
        <f>(W19*'התפלגות ייצור וסל דלקים'!AK64*$D$10*$D$9/$D$11)/$D$12</f>
        <v>2176.3004712917959</v>
      </c>
      <c r="X44" s="555">
        <f>(X19*'התפלגות ייצור וסל דלקים'!AL64*$D$10*$D$9/$D$11)/$D$12</f>
        <v>115.7669404110362</v>
      </c>
      <c r="Y44" s="49">
        <f>(Y19*'התפלגות ייצור וסל דלקים'!AS64*$D$10*$D$9/$D$11)/$D$12</f>
        <v>0</v>
      </c>
      <c r="Z44" s="51">
        <f ca="1">(Z19*'התפלגות ייצור וסל דלקים'!AT64*$D$10*$D$9/$D$11)/$D$12</f>
        <v>5861.7551954792034</v>
      </c>
      <c r="AA44" s="51">
        <f>(AA19*'התפלגות ייצור וסל דלקים'!AU64*$D$10*$D$9/$D$11)/$D$12</f>
        <v>0</v>
      </c>
      <c r="AB44" s="51">
        <f>(AB19*'התפלגות ייצור וסל דלקים'!AV64*$D$10*$D$9/$D$11)/$D$12</f>
        <v>0</v>
      </c>
      <c r="AC44" s="51">
        <f>(AC19*'התפלגות ייצור וסל דלקים'!AW64*$D$10*$D$9/$D$11)/$D$12</f>
        <v>2176.3004712917959</v>
      </c>
      <c r="AD44" s="50">
        <f>(AD19*'התפלגות ייצור וסל דלקים'!AX64*$D$10*$D$9/$D$11)/$D$12</f>
        <v>115.7669404110362</v>
      </c>
      <c r="AE44" s="39">
        <f>(AE19*'התפלגות ייצור וסל דלקים'!BE64*$D$10*$D$9/$D$11)/$D$12</f>
        <v>0</v>
      </c>
      <c r="AF44" s="271">
        <f ca="1">(AF19*'התפלגות ייצור וסל דלקים'!BF64*$D$10*$D$9/$D$11)/$D$12</f>
        <v>5861.7551954792034</v>
      </c>
      <c r="AG44" s="271">
        <f>(AG19*'התפלגות ייצור וסל דלקים'!BG64*$D$10*$D$9/$D$11)/$D$12</f>
        <v>0</v>
      </c>
      <c r="AH44" s="271">
        <f>(AH19*'התפלגות ייצור וסל דלקים'!BH64*$D$10*$D$9/$D$11)/$D$12</f>
        <v>0</v>
      </c>
      <c r="AI44" s="271">
        <f>(AI19*'התפלגות ייצור וסל דלקים'!BI64*$D$10*$D$9/$D$11)/$D$12</f>
        <v>2176.3004712917959</v>
      </c>
      <c r="AJ44" s="555">
        <f>(AJ19*'התפלגות ייצור וסל דלקים'!BJ64*$D$10*$D$9/$D$11)/$D$12</f>
        <v>115.7669404110362</v>
      </c>
      <c r="AK44" s="49">
        <f>(AK19*'התפלגות ייצור וסל דלקים'!BQ64*$D$10*$D$9/$D$11)/$D$12</f>
        <v>0</v>
      </c>
      <c r="AL44" s="51">
        <f ca="1">(AL19*'התפלגות ייצור וסל דלקים'!BR64*$D$10*$D$9/$D$11)/$D$12</f>
        <v>5861.7551954792034</v>
      </c>
      <c r="AM44" s="51">
        <f>(AM19*'התפלגות ייצור וסל דלקים'!BS64*$D$10*$D$9/$D$11)/$D$12</f>
        <v>0</v>
      </c>
      <c r="AN44" s="51">
        <f>(AN19*'התפלגות ייצור וסל דלקים'!BT64*$D$10*$D$9/$D$11)/$D$12</f>
        <v>0</v>
      </c>
      <c r="AO44" s="51">
        <f>(AO19*'התפלגות ייצור וסל דלקים'!BU64*$D$10*$D$9/$D$11)/$D$12</f>
        <v>2176.3004712917959</v>
      </c>
      <c r="AP44" s="50">
        <f>(AP19*'התפלגות ייצור וסל דלקים'!BV64*$D$10*$D$9/$D$11)/$D$12</f>
        <v>115.7669404110362</v>
      </c>
    </row>
    <row r="45" spans="6:42" ht="15.75">
      <c r="F45" s="10">
        <f t="shared" ref="F45:F64" si="88">F20</f>
        <v>2021</v>
      </c>
      <c r="G45" s="319">
        <f>(G20*'התפלגות ייצור וסל דלקים'!I65*$D$10*$D$9/$D$11)/$D$12</f>
        <v>0</v>
      </c>
      <c r="H45" s="531">
        <f ca="1">(H20*'התפלגות ייצור וסל דלקים'!J65*$D$10*$D$9/$D$11)/$D$12</f>
        <v>5986.9428841459876</v>
      </c>
      <c r="I45" s="531">
        <f>(I20*'התפלגות ייצור וסל דלקים'!K65*$D$10*$D$9/$D$11)/$D$12</f>
        <v>0</v>
      </c>
      <c r="J45" s="531">
        <f>(J20*'התפלגות ייצור וסל דלקים'!L65*$D$10*$D$9/$D$11)/$D$12</f>
        <v>0</v>
      </c>
      <c r="K45" s="531">
        <f>(K20*'התפלגות ייצור וסל דלקים'!M65*$D$10*$D$9/$D$11)/$D$12</f>
        <v>2176.3004712917959</v>
      </c>
      <c r="L45" s="556">
        <f>(L20*'התפלגות ייצור וסל דלקים'!N65*$D$10*$D$9/$D$11)/$D$12</f>
        <v>115.7669404110362</v>
      </c>
      <c r="M45" s="52">
        <f>(M20*'התפלגות ייצור וסל דלקים'!U65*$D$10*$D$9/$D$11)/$D$12</f>
        <v>0</v>
      </c>
      <c r="N45" s="54">
        <f ca="1">(N20*'התפלגות ייצור וסל דלקים'!V65*$D$10*$D$9/$D$11)/$D$12</f>
        <v>5986.9428841459876</v>
      </c>
      <c r="O45" s="54">
        <f>(O20*'התפלגות ייצור וסל דלקים'!W65*$D$10*$D$9/$D$11)/$D$12</f>
        <v>0</v>
      </c>
      <c r="P45" s="54">
        <f>(P20*'התפלגות ייצור וסל דלקים'!X65*$D$10*$D$9/$D$11)/$D$12</f>
        <v>0</v>
      </c>
      <c r="Q45" s="54">
        <f>(Q20*'התפלגות ייצור וסל דלקים'!Y65*$D$10*$D$9/$D$11)/$D$12</f>
        <v>2176.3004712917959</v>
      </c>
      <c r="R45" s="53">
        <f>(R20*'התפלגות ייצור וסל דלקים'!Z65*$D$10*$D$9/$D$11)/$D$12</f>
        <v>115.7669404110362</v>
      </c>
      <c r="S45" s="319">
        <f>(S20*'התפלגות ייצור וסל דלקים'!AG65*$D$10*$D$9/$D$11)/$D$12</f>
        <v>0</v>
      </c>
      <c r="T45" s="531">
        <f ca="1">(T20*'התפלגות ייצור וסל דלקים'!AH65*$D$10*$D$9/$D$11)/$D$12</f>
        <v>5953.1766508805376</v>
      </c>
      <c r="U45" s="531">
        <f>(U20*'התפלגות ייצור וסל דלקים'!AI65*$D$10*$D$9/$D$11)/$D$12</f>
        <v>0</v>
      </c>
      <c r="V45" s="531">
        <f>(V20*'התפלגות ייצור וסל דלקים'!AJ65*$D$10*$D$9/$D$11)/$D$12</f>
        <v>0</v>
      </c>
      <c r="W45" s="531">
        <f>(W20*'התפלגות ייצור וסל דלקים'!AK65*$D$10*$D$9/$D$11)/$D$12</f>
        <v>2176.3004712917959</v>
      </c>
      <c r="X45" s="556">
        <f>(X20*'התפלגות ייצור וסל דלקים'!AL65*$D$10*$D$9/$D$11)/$D$12</f>
        <v>115.7669404110362</v>
      </c>
      <c r="Y45" s="52">
        <f>(Y20*'התפלגות ייצור וסל דלקים'!AS65*$D$10*$D$9/$D$11)/$D$12</f>
        <v>0</v>
      </c>
      <c r="Z45" s="54">
        <f ca="1">(Z20*'התפלגות ייצור וסל דלקים'!AT65*$D$10*$D$9/$D$11)/$D$12</f>
        <v>5953.1766508805376</v>
      </c>
      <c r="AA45" s="54">
        <f>(AA20*'התפלגות ייצור וסל דלקים'!AU65*$D$10*$D$9/$D$11)/$D$12</f>
        <v>0</v>
      </c>
      <c r="AB45" s="54">
        <f>(AB20*'התפלגות ייצור וסל דלקים'!AV65*$D$10*$D$9/$D$11)/$D$12</f>
        <v>0</v>
      </c>
      <c r="AC45" s="54">
        <f>(AC20*'התפלגות ייצור וסל דלקים'!AW65*$D$10*$D$9/$D$11)/$D$12</f>
        <v>2176.3004712917959</v>
      </c>
      <c r="AD45" s="53">
        <f>(AD20*'התפלגות ייצור וסל דלקים'!AX65*$D$10*$D$9/$D$11)/$D$12</f>
        <v>115.7669404110362</v>
      </c>
      <c r="AE45" s="319">
        <f>(AE20*'התפלגות ייצור וסל דלקים'!BE65*$D$10*$D$9/$D$11)/$D$12</f>
        <v>0</v>
      </c>
      <c r="AF45" s="531">
        <f ca="1">(AF20*'התפלגות ייצור וסל דלקים'!BF65*$D$10*$D$9/$D$11)/$D$12</f>
        <v>5974.7105514130017</v>
      </c>
      <c r="AG45" s="531">
        <f>(AG20*'התפלגות ייצור וסל דלקים'!BG65*$D$10*$D$9/$D$11)/$D$12</f>
        <v>0</v>
      </c>
      <c r="AH45" s="531">
        <f>(AH20*'התפלגות ייצור וסל דלקים'!BH65*$D$10*$D$9/$D$11)/$D$12</f>
        <v>0</v>
      </c>
      <c r="AI45" s="531">
        <f>(AI20*'התפלגות ייצור וסל דלקים'!BI65*$D$10*$D$9/$D$11)/$D$12</f>
        <v>2176.3004712917959</v>
      </c>
      <c r="AJ45" s="556">
        <f>(AJ20*'התפלגות ייצור וסל דלקים'!BJ65*$D$10*$D$9/$D$11)/$D$12</f>
        <v>115.7669404110362</v>
      </c>
      <c r="AK45" s="52">
        <f>(AK20*'התפלגות ייצור וסל דלקים'!BQ65*$D$10*$D$9/$D$11)/$D$12</f>
        <v>0</v>
      </c>
      <c r="AL45" s="54">
        <f ca="1">(AL20*'התפלגות ייצור וסל דלקים'!BR65*$D$10*$D$9/$D$11)/$D$12</f>
        <v>5974.7105514130017</v>
      </c>
      <c r="AM45" s="54">
        <f>(AM20*'התפלגות ייצור וסל דלקים'!BS65*$D$10*$D$9/$D$11)/$D$12</f>
        <v>0</v>
      </c>
      <c r="AN45" s="54">
        <f>(AN20*'התפלגות ייצור וסל דלקים'!BT65*$D$10*$D$9/$D$11)/$D$12</f>
        <v>0</v>
      </c>
      <c r="AO45" s="54">
        <f>(AO20*'התפלגות ייצור וסל דלקים'!BU65*$D$10*$D$9/$D$11)/$D$12</f>
        <v>2176.3004712917959</v>
      </c>
      <c r="AP45" s="53">
        <f>(AP20*'התפלגות ייצור וסל דלקים'!BV65*$D$10*$D$9/$D$11)/$D$12</f>
        <v>115.7669404110362</v>
      </c>
    </row>
    <row r="46" spans="6:42" ht="15.75">
      <c r="F46" s="10">
        <f t="shared" si="88"/>
        <v>2022</v>
      </c>
      <c r="G46" s="319">
        <f ca="1">(G21*'התפלגות ייצור וסל דלקים'!I66*$D$10*$D$9/$D$11)/$D$12</f>
        <v>238.64319869458618</v>
      </c>
      <c r="H46" s="531">
        <f ca="1">(H21*'התפלגות ייצור וסל דלקים'!J66*$D$10*$D$9/$D$11)/$D$12</f>
        <v>7053.4655035493206</v>
      </c>
      <c r="I46" s="531">
        <f>(I21*'התפלגות ייצור וסל דלקים'!K66*$D$10*$D$9/$D$11)/$D$12</f>
        <v>0</v>
      </c>
      <c r="J46" s="531">
        <f>(J21*'התפלגות ייצור וסל דלקים'!L66*$D$10*$D$9/$D$11)/$D$12</f>
        <v>0</v>
      </c>
      <c r="K46" s="531">
        <f>(K21*'התפלגות ייצור וסל דלקים'!M66*$D$10*$D$9/$D$11)/$D$12</f>
        <v>2019.6475920119126</v>
      </c>
      <c r="L46" s="556">
        <f>(L21*'התפלגות ייצור וסל דלקים'!N66*$D$10*$D$9/$D$11)/$D$12</f>
        <v>115.94582227231271</v>
      </c>
      <c r="M46" s="52">
        <f ca="1">(M21*'התפלגות ייצור וסל דלקים'!U66*$D$10*$D$9/$D$11)/$D$12</f>
        <v>238.64319869458618</v>
      </c>
      <c r="N46" s="54">
        <f ca="1">(N21*'התפלגות ייצור וסל דלקים'!V66*$D$10*$D$9/$D$11)/$D$12</f>
        <v>7053.4655035493206</v>
      </c>
      <c r="O46" s="54">
        <f>(O21*'התפלגות ייצור וסל דלקים'!W66*$D$10*$D$9/$D$11)/$D$12</f>
        <v>0</v>
      </c>
      <c r="P46" s="54">
        <f>(P21*'התפלגות ייצור וסל דלקים'!X66*$D$10*$D$9/$D$11)/$D$12</f>
        <v>0</v>
      </c>
      <c r="Q46" s="54">
        <f>(Q21*'התפלגות ייצור וסל דלקים'!Y66*$D$10*$D$9/$D$11)/$D$12</f>
        <v>2019.6475920119126</v>
      </c>
      <c r="R46" s="53">
        <f>(R21*'התפלגות ייצור וסל דלקים'!Z66*$D$10*$D$9/$D$11)/$D$12</f>
        <v>115.94582227231271</v>
      </c>
      <c r="S46" s="319">
        <f ca="1">(S21*'התפלגות ייצור וסל דלקים'!AG66*$D$10*$D$9/$D$11)/$D$12</f>
        <v>232.76801546254279</v>
      </c>
      <c r="T46" s="531">
        <f ca="1">(T21*'התפלגות ייצור וסל דלקים'!AH66*$D$10*$D$9/$D$11)/$D$12</f>
        <v>6886.319877831671</v>
      </c>
      <c r="U46" s="531">
        <f>(U21*'התפלגות ייצור וסל דלקים'!AI66*$D$10*$D$9/$D$11)/$D$12</f>
        <v>0</v>
      </c>
      <c r="V46" s="531">
        <f>(V21*'התפלגות ייצור וסל דלקים'!AJ66*$D$10*$D$9/$D$11)/$D$12</f>
        <v>0</v>
      </c>
      <c r="W46" s="531">
        <f>(W21*'התפלגות ייצור וסל דלקים'!AK66*$D$10*$D$9/$D$11)/$D$12</f>
        <v>2019.7198873960976</v>
      </c>
      <c r="X46" s="556">
        <f>(X21*'התפלגות ייצור וסל דלקים'!AL66*$D$10*$D$9/$D$11)/$D$12</f>
        <v>115.76019015212012</v>
      </c>
      <c r="Y46" s="52">
        <f ca="1">(Y21*'התפלגות ייצור וסל דלקים'!AS66*$D$10*$D$9/$D$11)/$D$12</f>
        <v>232.76801546254279</v>
      </c>
      <c r="Z46" s="54">
        <f ca="1">(Z21*'התפלגות ייצור וסל דלקים'!AT66*$D$10*$D$9/$D$11)/$D$12</f>
        <v>6886.319877831671</v>
      </c>
      <c r="AA46" s="54">
        <f>(AA21*'התפלגות ייצור וסל דלקים'!AU66*$D$10*$D$9/$D$11)/$D$12</f>
        <v>0</v>
      </c>
      <c r="AB46" s="54">
        <f>(AB21*'התפלגות ייצור וסל דלקים'!AV66*$D$10*$D$9/$D$11)/$D$12</f>
        <v>0</v>
      </c>
      <c r="AC46" s="54">
        <f>(AC21*'התפלגות ייצור וסל דלקים'!AW66*$D$10*$D$9/$D$11)/$D$12</f>
        <v>2019.7198873960976</v>
      </c>
      <c r="AD46" s="53">
        <f>(AD21*'התפלגות ייצור וסל דלקים'!AX66*$D$10*$D$9/$D$11)/$D$12</f>
        <v>115.76019015212012</v>
      </c>
      <c r="AE46" s="319">
        <f ca="1">(AE21*'התפלגות ייצור וסל דלקים'!BE66*$D$10*$D$9/$D$11)/$D$12</f>
        <v>230.68516805963031</v>
      </c>
      <c r="AF46" s="531">
        <f ca="1">(AF21*'התפלגות ייצור וסל דלקים'!BF66*$D$10*$D$9/$D$11)/$D$12</f>
        <v>6797.4568595159944</v>
      </c>
      <c r="AG46" s="531">
        <f>(AG21*'התפלגות ייצור וסל דלקים'!BG66*$D$10*$D$9/$D$11)/$D$12</f>
        <v>0</v>
      </c>
      <c r="AH46" s="531">
        <f>(AH21*'התפלגות ייצור וסל דלקים'!BH66*$D$10*$D$9/$D$11)/$D$12</f>
        <v>0</v>
      </c>
      <c r="AI46" s="531">
        <f>(AI21*'התפלגות ייצור וסל דלקים'!BI66*$D$10*$D$9/$D$11)/$D$12</f>
        <v>2019.6450990676303</v>
      </c>
      <c r="AJ46" s="556">
        <f>(AJ21*'התפלגות ייצור וסל דלקים'!BJ66*$D$10*$D$9/$D$11)/$D$12</f>
        <v>115.7669404110362</v>
      </c>
      <c r="AK46" s="52">
        <f ca="1">(AK21*'התפלגות ייצור וסל דלקים'!BQ66*$D$10*$D$9/$D$11)/$D$12</f>
        <v>230.68516805963031</v>
      </c>
      <c r="AL46" s="54">
        <f ca="1">(AL21*'התפלגות ייצור וסל דלקים'!BR66*$D$10*$D$9/$D$11)/$D$12</f>
        <v>6797.4568595159944</v>
      </c>
      <c r="AM46" s="54">
        <f>(AM21*'התפלגות ייצור וסל דלקים'!BS66*$D$10*$D$9/$D$11)/$D$12</f>
        <v>0</v>
      </c>
      <c r="AN46" s="54">
        <f>(AN21*'התפלגות ייצור וסל דלקים'!BT66*$D$10*$D$9/$D$11)/$D$12</f>
        <v>0</v>
      </c>
      <c r="AO46" s="54">
        <f>(AO21*'התפלגות ייצור וסל דלקים'!BU66*$D$10*$D$9/$D$11)/$D$12</f>
        <v>2019.6450990676303</v>
      </c>
      <c r="AP46" s="53">
        <f>(AP21*'התפלגות ייצור וסל דלקים'!BV66*$D$10*$D$9/$D$11)/$D$12</f>
        <v>115.7669404110362</v>
      </c>
    </row>
    <row r="47" spans="6:42" ht="15.75">
      <c r="F47" s="10">
        <f t="shared" si="88"/>
        <v>2023</v>
      </c>
      <c r="G47" s="319">
        <f ca="1">(G22*'התפלגות ייצור וסל דלקים'!I67*$D$10*$D$9/$D$11)/$D$12</f>
        <v>369.8486735817994</v>
      </c>
      <c r="H47" s="531">
        <f ca="1">(H22*'התפלגות ייצור וסל דלקים'!J67*$D$10*$D$9/$D$11)/$D$12</f>
        <v>7675.4493595807326</v>
      </c>
      <c r="I47" s="531">
        <f>(I22*'התפלגות ייצור וסל דלקים'!K67*$D$10*$D$9/$D$11)/$D$12</f>
        <v>0</v>
      </c>
      <c r="J47" s="531">
        <f>(J22*'התפלגות ייצור וסל דלקים'!L67*$D$10*$D$9/$D$11)/$D$12</f>
        <v>0</v>
      </c>
      <c r="K47" s="531">
        <f>(K22*'התפלגות ייצור וסל דלקים'!M67*$D$10*$D$9/$D$11)/$D$12</f>
        <v>1403.6198698426535</v>
      </c>
      <c r="L47" s="556">
        <f>(L22*'התפלגות ייצור וסל דלקים'!N67*$D$10*$D$9/$D$11)/$D$12</f>
        <v>115.04466270701397</v>
      </c>
      <c r="M47" s="52">
        <f ca="1">(M22*'התפלגות ייצור וסל דלקים'!U67*$D$10*$D$9/$D$11)/$D$12</f>
        <v>369.8486735817994</v>
      </c>
      <c r="N47" s="54">
        <f ca="1">(N22*'התפלגות ייצור וסל דלקים'!V67*$D$10*$D$9/$D$11)/$D$12</f>
        <v>7675.4493595807326</v>
      </c>
      <c r="O47" s="54">
        <f>(O22*'התפלגות ייצור וסל דלקים'!W67*$D$10*$D$9/$D$11)/$D$12</f>
        <v>0</v>
      </c>
      <c r="P47" s="54">
        <f>(P22*'התפלגות ייצור וסל דלקים'!X67*$D$10*$D$9/$D$11)/$D$12</f>
        <v>0</v>
      </c>
      <c r="Q47" s="54">
        <f>(Q22*'התפלגות ייצור וסל דלקים'!Y67*$D$10*$D$9/$D$11)/$D$12</f>
        <v>1403.6198698426535</v>
      </c>
      <c r="R47" s="53">
        <f>(R22*'התפלגות ייצור וסל דלקים'!Z67*$D$10*$D$9/$D$11)/$D$12</f>
        <v>115.04466270701397</v>
      </c>
      <c r="S47" s="319">
        <f ca="1">(S22*'התפלגות ייצור וסל דלקים'!AG67*$D$10*$D$9/$D$11)/$D$12</f>
        <v>362.10239417531096</v>
      </c>
      <c r="T47" s="531">
        <f ca="1">(T22*'התפלגות ייצור וסל דלקים'!AH67*$D$10*$D$9/$D$11)/$D$12</f>
        <v>7415.1572241750227</v>
      </c>
      <c r="U47" s="531">
        <f>(U22*'התפלגות ייצור וסל דלקים'!AI67*$D$10*$D$9/$D$11)/$D$12</f>
        <v>0</v>
      </c>
      <c r="V47" s="531">
        <f>(V22*'התפלגות ייצור וסל דלקים'!AJ67*$D$10*$D$9/$D$11)/$D$12</f>
        <v>0</v>
      </c>
      <c r="W47" s="531">
        <f>(W22*'התפלגות ייצור וסל דלקים'!AK67*$D$10*$D$9/$D$11)/$D$12</f>
        <v>1403.1487033733088</v>
      </c>
      <c r="X47" s="556">
        <f>(X22*'התפלגות ייצור וסל דלקים'!AL67*$D$10*$D$9/$D$11)/$D$12</f>
        <v>115.13241607292323</v>
      </c>
      <c r="Y47" s="52">
        <f ca="1">(Y22*'התפלגות ייצור וסל דלקים'!AS67*$D$10*$D$9/$D$11)/$D$12</f>
        <v>362.10239417531096</v>
      </c>
      <c r="Z47" s="54">
        <f ca="1">(Z22*'התפלגות ייצור וסל דלקים'!AT67*$D$10*$D$9/$D$11)/$D$12</f>
        <v>7415.1572241750227</v>
      </c>
      <c r="AA47" s="54">
        <f>(AA22*'התפלגות ייצור וסל דלקים'!AU67*$D$10*$D$9/$D$11)/$D$12</f>
        <v>0</v>
      </c>
      <c r="AB47" s="54">
        <f>(AB22*'התפלגות ייצור וסל דלקים'!AV67*$D$10*$D$9/$D$11)/$D$12</f>
        <v>0</v>
      </c>
      <c r="AC47" s="54">
        <f>(AC22*'התפלגות ייצור וסל דלקים'!AW67*$D$10*$D$9/$D$11)/$D$12</f>
        <v>1403.1487033733088</v>
      </c>
      <c r="AD47" s="53">
        <f>(AD22*'התפלגות ייצור וסל דלקים'!AX67*$D$10*$D$9/$D$11)/$D$12</f>
        <v>115.13241607292323</v>
      </c>
      <c r="AE47" s="319">
        <f ca="1">(AE22*'התפלגות ייצור וסל דלקים'!BE67*$D$10*$D$9/$D$11)/$D$12</f>
        <v>359.99935062898032</v>
      </c>
      <c r="AF47" s="531">
        <f ca="1">(AF22*'התפלגות ייצור וסל דלקים'!BF67*$D$10*$D$9/$D$11)/$D$12</f>
        <v>7277.0542674012813</v>
      </c>
      <c r="AG47" s="531">
        <f>(AG22*'התפלגות ייצור וסל דלקים'!BG67*$D$10*$D$9/$D$11)/$D$12</f>
        <v>0</v>
      </c>
      <c r="AH47" s="531">
        <f>(AH22*'התפלגות ייצור וסל דלקים'!BH67*$D$10*$D$9/$D$11)/$D$12</f>
        <v>0</v>
      </c>
      <c r="AI47" s="531">
        <f>(AI22*'התפלגות ייצור וסל דלקים'!BI67*$D$10*$D$9/$D$11)/$D$12</f>
        <v>1403.1786187046957</v>
      </c>
      <c r="AJ47" s="556">
        <f>(AJ22*'התפלגות ייצור וסל דלקים'!BJ67*$D$10*$D$9/$D$11)/$D$12</f>
        <v>115.0244119302657</v>
      </c>
      <c r="AK47" s="52">
        <f ca="1">(AK22*'התפלגות ייצור וסל דלקים'!BQ67*$D$10*$D$9/$D$11)/$D$12</f>
        <v>359.99935062898032</v>
      </c>
      <c r="AL47" s="54">
        <f ca="1">(AL22*'התפלגות ייצור וסל דלקים'!BR67*$D$10*$D$9/$D$11)/$D$12</f>
        <v>7277.0542674012813</v>
      </c>
      <c r="AM47" s="54">
        <f>(AM22*'התפלגות ייצור וסל דלקים'!BS67*$D$10*$D$9/$D$11)/$D$12</f>
        <v>0</v>
      </c>
      <c r="AN47" s="54">
        <f>(AN22*'התפלגות ייצור וסל דלקים'!BT67*$D$10*$D$9/$D$11)/$D$12</f>
        <v>0</v>
      </c>
      <c r="AO47" s="54">
        <f>(AO22*'התפלגות ייצור וסל דלקים'!BU67*$D$10*$D$9/$D$11)/$D$12</f>
        <v>1403.1786187046957</v>
      </c>
      <c r="AP47" s="53">
        <f>(AP22*'התפלגות ייצור וסל דלקים'!BV67*$D$10*$D$9/$D$11)/$D$12</f>
        <v>115.0244119302657</v>
      </c>
    </row>
    <row r="48" spans="6:42" ht="15.75">
      <c r="F48" s="10">
        <f t="shared" si="88"/>
        <v>2024</v>
      </c>
      <c r="G48" s="319">
        <f ca="1">(G23*'התפלגות ייצור וסל דלקים'!I68*$D$10*$D$9/$D$11)/$D$12</f>
        <v>487.64619281027217</v>
      </c>
      <c r="H48" s="531">
        <f ca="1">(H23*'התפלגות ייצור וסל דלקים'!J68*$D$10*$D$9/$D$11)/$D$12</f>
        <v>8120.9381252728881</v>
      </c>
      <c r="I48" s="531">
        <f>(I23*'התפלגות ייצור וסל דלקים'!K68*$D$10*$D$9/$D$11)/$D$12</f>
        <v>0</v>
      </c>
      <c r="J48" s="531">
        <f>(J23*'התפלגות ייצור וסל דלקים'!L68*$D$10*$D$9/$D$11)/$D$12</f>
        <v>0</v>
      </c>
      <c r="K48" s="531">
        <f>(K23*'התפלגות ייצור וסל דלקים'!M68*$D$10*$D$9/$D$11)/$D$12</f>
        <v>1191.0352926463102</v>
      </c>
      <c r="L48" s="556">
        <f>(L23*'התפלגות ייצור וסל דלקים'!N68*$D$10*$D$9/$D$11)/$D$12</f>
        <v>118.514295789887</v>
      </c>
      <c r="M48" s="52">
        <f ca="1">(M23*'התפלגות ייצור וסל דלקים'!U68*$D$10*$D$9/$D$11)/$D$12</f>
        <v>487.64619281027217</v>
      </c>
      <c r="N48" s="54">
        <f ca="1">(N23*'התפלגות ייצור וסל דלקים'!V68*$D$10*$D$9/$D$11)/$D$12</f>
        <v>8120.9381252728881</v>
      </c>
      <c r="O48" s="54">
        <f>(O23*'התפלגות ייצור וסל דלקים'!W68*$D$10*$D$9/$D$11)/$D$12</f>
        <v>0</v>
      </c>
      <c r="P48" s="54">
        <f>(P23*'התפלגות ייצור וסל דלקים'!X68*$D$10*$D$9/$D$11)/$D$12</f>
        <v>0</v>
      </c>
      <c r="Q48" s="54">
        <f>(Q23*'התפלגות ייצור וסל דלקים'!Y68*$D$10*$D$9/$D$11)/$D$12</f>
        <v>1191.0352926463102</v>
      </c>
      <c r="R48" s="53">
        <f>(R23*'התפלגות ייצור וסל דלקים'!Z68*$D$10*$D$9/$D$11)/$D$12</f>
        <v>118.514295789887</v>
      </c>
      <c r="S48" s="319">
        <f ca="1">(S23*'התפלגות ייצור וסל דלקים'!AG68*$D$10*$D$9/$D$11)/$D$12</f>
        <v>477.41306593074552</v>
      </c>
      <c r="T48" s="531">
        <f ca="1">(T23*'התפלגות ייצור וסל דלקים'!AH68*$D$10*$D$9/$D$11)/$D$12</f>
        <v>7772.030857866871</v>
      </c>
      <c r="U48" s="531">
        <f>(U23*'התפלגות ייצור וסל דלקים'!AI68*$D$10*$D$9/$D$11)/$D$12</f>
        <v>0</v>
      </c>
      <c r="V48" s="531">
        <f>(V23*'התפלגות ייצור וסל דלקים'!AJ68*$D$10*$D$9/$D$11)/$D$12</f>
        <v>0</v>
      </c>
      <c r="W48" s="531">
        <f>(W23*'התפלגות ייצור וסל דלקים'!AK68*$D$10*$D$9/$D$11)/$D$12</f>
        <v>1188.2481809387598</v>
      </c>
      <c r="X48" s="556">
        <f>(X23*'התפלגות ייצור וסל דלקים'!AL68*$D$10*$D$9/$D$11)/$D$12</f>
        <v>118.26116108053343</v>
      </c>
      <c r="Y48" s="52">
        <f ca="1">(Y23*'התפלגות ייצור וסל דלקים'!AS68*$D$10*$D$9/$D$11)/$D$12</f>
        <v>477.41306593074552</v>
      </c>
      <c r="Z48" s="54">
        <f ca="1">(Z23*'התפלגות ייצור וסל דלקים'!AT68*$D$10*$D$9/$D$11)/$D$12</f>
        <v>7772.030857866871</v>
      </c>
      <c r="AA48" s="54">
        <f>(AA23*'התפלגות ייצור וסל דלקים'!AU68*$D$10*$D$9/$D$11)/$D$12</f>
        <v>0</v>
      </c>
      <c r="AB48" s="54">
        <f>(AB23*'התפלגות ייצור וסל דלקים'!AV68*$D$10*$D$9/$D$11)/$D$12</f>
        <v>0</v>
      </c>
      <c r="AC48" s="54">
        <f>(AC23*'התפלגות ייצור וסל דלקים'!AW68*$D$10*$D$9/$D$11)/$D$12</f>
        <v>1188.2481809387598</v>
      </c>
      <c r="AD48" s="53">
        <f>(AD23*'התפלגות ייצור וסל דלקים'!AX68*$D$10*$D$9/$D$11)/$D$12</f>
        <v>118.26116108053343</v>
      </c>
      <c r="AE48" s="319">
        <f ca="1">(AE23*'התפלגות ייצור וסל דלקים'!BE68*$D$10*$D$9/$D$11)/$D$12</f>
        <v>475.19522808470703</v>
      </c>
      <c r="AF48" s="531">
        <f ca="1">(AF23*'התפלגות ייצור וסל דלקים'!BF68*$D$10*$D$9/$D$11)/$D$12</f>
        <v>7582.1482172999686</v>
      </c>
      <c r="AG48" s="531">
        <f>(AG23*'התפלגות ייצור וסל דלקים'!BG68*$D$10*$D$9/$D$11)/$D$12</f>
        <v>0</v>
      </c>
      <c r="AH48" s="531">
        <f>(AH23*'התפלגות ייצור וסל דלקים'!BH68*$D$10*$D$9/$D$11)/$D$12</f>
        <v>0</v>
      </c>
      <c r="AI48" s="531">
        <f>(AI23*'התפלגות ייצור וסל דלקים'!BI68*$D$10*$D$9/$D$11)/$D$12</f>
        <v>1187.6361631174689</v>
      </c>
      <c r="AJ48" s="556">
        <f>(AJ23*'התפלגות ייצור וסל דלקים'!BJ68*$D$10*$D$9/$D$11)/$D$12</f>
        <v>118.12615590221154</v>
      </c>
      <c r="AK48" s="52">
        <f ca="1">(AK23*'התפלגות ייצור וסל דלקים'!BQ68*$D$10*$D$9/$D$11)/$D$12</f>
        <v>475.19522808470703</v>
      </c>
      <c r="AL48" s="54">
        <f ca="1">(AL23*'התפלגות ייצור וסל דלקים'!BR68*$D$10*$D$9/$D$11)/$D$12</f>
        <v>7582.1482172999686</v>
      </c>
      <c r="AM48" s="54">
        <f>(AM23*'התפלגות ייצור וסל דלקים'!BS68*$D$10*$D$9/$D$11)/$D$12</f>
        <v>0</v>
      </c>
      <c r="AN48" s="54">
        <f>(AN23*'התפלגות ייצור וסל דלקים'!BT68*$D$10*$D$9/$D$11)/$D$12</f>
        <v>0</v>
      </c>
      <c r="AO48" s="54">
        <f>(AO23*'התפלגות ייצור וסל דלקים'!BU68*$D$10*$D$9/$D$11)/$D$12</f>
        <v>1187.6361631174689</v>
      </c>
      <c r="AP48" s="53">
        <f>(AP23*'התפלגות ייצור וסל דלקים'!BV68*$D$10*$D$9/$D$11)/$D$12</f>
        <v>118.12615590221154</v>
      </c>
    </row>
    <row r="49" spans="6:42" ht="15.75">
      <c r="F49" s="10">
        <f t="shared" si="88"/>
        <v>2025</v>
      </c>
      <c r="G49" s="319">
        <f ca="1">(G24*'התפלגות ייצור וסל דלקים'!I69*$D$10*$D$9/$D$11)/$D$12</f>
        <v>1646.4781529607878</v>
      </c>
      <c r="H49" s="531">
        <f ca="1">(H24*'התפלגות ייצור וסל דלקים'!J69*$D$10*$D$9/$D$11)/$D$12</f>
        <v>8246.8221704821299</v>
      </c>
      <c r="I49" s="531">
        <f>(I24*'התפלגות ייצור וסל דלקים'!K69*$D$10*$D$9/$D$11)/$D$12</f>
        <v>0</v>
      </c>
      <c r="J49" s="531">
        <f>(J24*'התפלגות ייצור וסל דלקים'!L69*$D$10*$D$9/$D$11)/$D$12</f>
        <v>0</v>
      </c>
      <c r="K49" s="531">
        <f>(K24*'התפלגות ייצור וסל דלקים'!M69*$D$10*$D$9/$D$11)/$D$12</f>
        <v>345.27527603528245</v>
      </c>
      <c r="L49" s="556">
        <f>(L24*'התפלגות ייצור וסל דלקים'!N69*$D$10*$D$9/$D$11)/$D$12</f>
        <v>120.8768864105204</v>
      </c>
      <c r="M49" s="52">
        <f ca="1">(M24*'התפלגות ייצור וסל דלקים'!U69*$D$10*$D$9/$D$11)/$D$12</f>
        <v>1646.4781529607878</v>
      </c>
      <c r="N49" s="54">
        <f ca="1">(N24*'התפלגות ייצור וסל דלקים'!V69*$D$10*$D$9/$D$11)/$D$12</f>
        <v>8246.8221704821299</v>
      </c>
      <c r="O49" s="54">
        <f>(O24*'התפלגות ייצור וסל דלקים'!W69*$D$10*$D$9/$D$11)/$D$12</f>
        <v>0</v>
      </c>
      <c r="P49" s="54">
        <f>(P24*'התפלגות ייצור וסל דלקים'!X69*$D$10*$D$9/$D$11)/$D$12</f>
        <v>0</v>
      </c>
      <c r="Q49" s="54">
        <f>(Q24*'התפלגות ייצור וסל דלקים'!Y69*$D$10*$D$9/$D$11)/$D$12</f>
        <v>345.27527603528245</v>
      </c>
      <c r="R49" s="53">
        <f>(R24*'התפלגות ייצור וסל דלקים'!Z69*$D$10*$D$9/$D$11)/$D$12</f>
        <v>120.8768864105204</v>
      </c>
      <c r="S49" s="319">
        <f ca="1">(S24*'התפלגות ייצור וסל דלקים'!AG69*$D$10*$D$9/$D$11)/$D$12</f>
        <v>1591.7406366948817</v>
      </c>
      <c r="T49" s="531">
        <f ca="1">(T24*'התפלגות ייצור וסל דלקים'!AH69*$D$10*$D$9/$D$11)/$D$12</f>
        <v>7817.6842955579477</v>
      </c>
      <c r="U49" s="531">
        <f>(U24*'התפלגות ייצור וסל דלקים'!AI69*$D$10*$D$9/$D$11)/$D$12</f>
        <v>0</v>
      </c>
      <c r="V49" s="531">
        <f>(V24*'התפלגות ייצור וסל דלקים'!AJ69*$D$10*$D$9/$D$11)/$D$12</f>
        <v>0</v>
      </c>
      <c r="W49" s="531">
        <f>(W24*'התפלגות ייצור וסל דלקים'!AK69*$D$10*$D$9/$D$11)/$D$12</f>
        <v>344.75300420815199</v>
      </c>
      <c r="X49" s="556">
        <f>(X24*'התפלגות ייצור וסל דלקים'!AL69*$D$10*$D$9/$D$11)/$D$12</f>
        <v>119.79346985448709</v>
      </c>
      <c r="Y49" s="52">
        <f ca="1">(Y24*'התפלגות ייצור וסל דלקים'!AS69*$D$10*$D$9/$D$11)/$D$12</f>
        <v>1591.7406366948817</v>
      </c>
      <c r="Z49" s="54">
        <f ca="1">(Z24*'התפלגות ייצור וסל דלקים'!AT69*$D$10*$D$9/$D$11)/$D$12</f>
        <v>7817.6842955579477</v>
      </c>
      <c r="AA49" s="54">
        <f>(AA24*'התפלגות ייצור וסל דלקים'!AU69*$D$10*$D$9/$D$11)/$D$12</f>
        <v>0</v>
      </c>
      <c r="AB49" s="54">
        <f>(AB24*'התפלגות ייצור וסל דלקים'!AV69*$D$10*$D$9/$D$11)/$D$12</f>
        <v>0</v>
      </c>
      <c r="AC49" s="54">
        <f>(AC24*'התפלגות ייצור וסל דלקים'!AW69*$D$10*$D$9/$D$11)/$D$12</f>
        <v>344.75300420815199</v>
      </c>
      <c r="AD49" s="53">
        <f>(AD24*'התפלגות ייצור וסל דלקים'!AX69*$D$10*$D$9/$D$11)/$D$12</f>
        <v>119.79346985448709</v>
      </c>
      <c r="AE49" s="319">
        <f ca="1">(AE24*'התפלגות ייצור וסל דלקים'!BE69*$D$10*$D$9/$D$11)/$D$12</f>
        <v>1596.6485708109167</v>
      </c>
      <c r="AF49" s="531">
        <f ca="1">(AF24*'התפלגות ייצור וסל דלקים'!BF69*$D$10*$D$9/$D$11)/$D$12</f>
        <v>7566.125289526417</v>
      </c>
      <c r="AG49" s="531">
        <f>(AG24*'התפלגות ייצור וסל דלקים'!BG69*$D$10*$D$9/$D$11)/$D$12</f>
        <v>0</v>
      </c>
      <c r="AH49" s="531">
        <f>(AH24*'התפלגות ייצור וסל דלקים'!BH69*$D$10*$D$9/$D$11)/$D$12</f>
        <v>0</v>
      </c>
      <c r="AI49" s="531">
        <f>(AI24*'התפלגות ייצור וסל דלקים'!BI69*$D$10*$D$9/$D$11)/$D$12</f>
        <v>344.13849344257841</v>
      </c>
      <c r="AJ49" s="556">
        <f>(AJ24*'התפלגות ייצור וסל דלקים'!BJ69*$D$10*$D$9/$D$11)/$D$12</f>
        <v>119.49645846217892</v>
      </c>
      <c r="AK49" s="52">
        <f ca="1">(AK24*'התפלגות ייצור וסל דלקים'!BQ69*$D$10*$D$9/$D$11)/$D$12</f>
        <v>1596.6485708109167</v>
      </c>
      <c r="AL49" s="54">
        <f ca="1">(AL24*'התפלגות ייצור וסל דלקים'!BR69*$D$10*$D$9/$D$11)/$D$12</f>
        <v>7566.125289526417</v>
      </c>
      <c r="AM49" s="54">
        <f>(AM24*'התפלגות ייצור וסל דלקים'!BS69*$D$10*$D$9/$D$11)/$D$12</f>
        <v>0</v>
      </c>
      <c r="AN49" s="54">
        <f>(AN24*'התפלגות ייצור וסל דלקים'!BT69*$D$10*$D$9/$D$11)/$D$12</f>
        <v>0</v>
      </c>
      <c r="AO49" s="54">
        <f>(AO24*'התפלגות ייצור וסל דלקים'!BU69*$D$10*$D$9/$D$11)/$D$12</f>
        <v>344.13849344257841</v>
      </c>
      <c r="AP49" s="53">
        <f>(AP24*'התפלגות ייצור וסל דלקים'!BV69*$D$10*$D$9/$D$11)/$D$12</f>
        <v>119.49645846217892</v>
      </c>
    </row>
    <row r="50" spans="6:42" ht="15.75">
      <c r="F50" s="10">
        <f t="shared" si="88"/>
        <v>2026</v>
      </c>
      <c r="G50" s="319">
        <f ca="1">(G25*'התפלגות ייצור וסל דלקים'!I70*$D$10*$D$9/$D$11)/$D$12</f>
        <v>2711.6047257820328</v>
      </c>
      <c r="H50" s="531">
        <f ca="1">(H25*'התפלגות ייצור וסל דלקים'!J70*$D$10*$D$9/$D$11)/$D$12</f>
        <v>7948.5061579531221</v>
      </c>
      <c r="I50" s="531">
        <f>(I25*'התפלגות ייצור וסל דלקים'!K70*$D$10*$D$9/$D$11)/$D$12</f>
        <v>0</v>
      </c>
      <c r="J50" s="531">
        <f>(J25*'התפלגות ייצור וסל דלקים'!L70*$D$10*$D$9/$D$11)/$D$12</f>
        <v>0</v>
      </c>
      <c r="K50" s="531">
        <f>(K25*'התפלגות ייצור וסל דלקים'!M70*$D$10*$D$9/$D$11)/$D$12</f>
        <v>0</v>
      </c>
      <c r="L50" s="556">
        <f>(L25*'התפלגות ייצור וסל דלקים'!N70*$D$10*$D$9/$D$11)/$D$12</f>
        <v>121.19414857957688</v>
      </c>
      <c r="M50" s="52">
        <f ca="1">(M25*'התפלגות ייצור וסל דלקים'!U70*$D$10*$D$9/$D$11)/$D$12</f>
        <v>2711.6047257820328</v>
      </c>
      <c r="N50" s="54">
        <f ca="1">(N25*'התפלגות ייצור וסל דלקים'!V70*$D$10*$D$9/$D$11)/$D$12</f>
        <v>7948.5061579531221</v>
      </c>
      <c r="O50" s="54">
        <f>(O25*'התפלגות ייצור וסל דלקים'!W70*$D$10*$D$9/$D$11)/$D$12</f>
        <v>0</v>
      </c>
      <c r="P50" s="54">
        <f>(P25*'התפלגות ייצור וסל דלקים'!X70*$D$10*$D$9/$D$11)/$D$12</f>
        <v>0</v>
      </c>
      <c r="Q50" s="54">
        <f>(Q25*'התפלגות ייצור וסל דלקים'!Y70*$D$10*$D$9/$D$11)/$D$12</f>
        <v>0</v>
      </c>
      <c r="R50" s="53">
        <f>(R25*'התפלגות ייצור וסל דלקים'!Z70*$D$10*$D$9/$D$11)/$D$12</f>
        <v>121.19414857957688</v>
      </c>
      <c r="S50" s="319">
        <f ca="1">(S25*'התפלגות ייצור וסל דלקים'!AG70*$D$10*$D$9/$D$11)/$D$12</f>
        <v>2656.152342817184</v>
      </c>
      <c r="T50" s="531">
        <f ca="1">(T25*'התפלגות ייצור וסל דלקים'!AH70*$D$10*$D$9/$D$11)/$D$12</f>
        <v>7440.4169301516386</v>
      </c>
      <c r="U50" s="531">
        <f>(U25*'התפלגות ייצור וסל דלקים'!AI70*$D$10*$D$9/$D$11)/$D$12</f>
        <v>0</v>
      </c>
      <c r="V50" s="531">
        <f>(V25*'התפלגות ייצור וסל דלקים'!AJ70*$D$10*$D$9/$D$11)/$D$12</f>
        <v>0</v>
      </c>
      <c r="W50" s="531">
        <f>(W25*'התפלגות ייצור וסל דלקים'!AK70*$D$10*$D$9/$D$11)/$D$12</f>
        <v>0</v>
      </c>
      <c r="X50" s="556">
        <f>(X25*'התפלגות ייצור וסל דלקים'!AL70*$D$10*$D$9/$D$11)/$D$12</f>
        <v>120.15460870649822</v>
      </c>
      <c r="Y50" s="52">
        <f ca="1">(Y25*'התפלגות ייצור וסל דלקים'!AS70*$D$10*$D$9/$D$11)/$D$12</f>
        <v>2656.152342817184</v>
      </c>
      <c r="Z50" s="54">
        <f ca="1">(Z25*'התפלגות ייצור וסל דלקים'!AT70*$D$10*$D$9/$D$11)/$D$12</f>
        <v>7440.4169301516386</v>
      </c>
      <c r="AA50" s="54">
        <f>(AA25*'התפלגות ייצור וסל דלקים'!AU70*$D$10*$D$9/$D$11)/$D$12</f>
        <v>0</v>
      </c>
      <c r="AB50" s="54">
        <f>(AB25*'התפלגות ייצור וסל דלקים'!AV70*$D$10*$D$9/$D$11)/$D$12</f>
        <v>0</v>
      </c>
      <c r="AC50" s="54">
        <f>(AC25*'התפלגות ייצור וסל דלקים'!AW70*$D$10*$D$9/$D$11)/$D$12</f>
        <v>0</v>
      </c>
      <c r="AD50" s="53">
        <f>(AD25*'התפלגות ייצור וסל דלקים'!AX70*$D$10*$D$9/$D$11)/$D$12</f>
        <v>120.15460870649822</v>
      </c>
      <c r="AE50" s="319">
        <f ca="1">(AE25*'התפלגות ייצור וסל דלקים'!BE70*$D$10*$D$9/$D$11)/$D$12</f>
        <v>2673.9133833614337</v>
      </c>
      <c r="AF50" s="531">
        <f ca="1">(AF25*'התפלגות ייצור וסל דלקים'!BF70*$D$10*$D$9/$D$11)/$D$12</f>
        <v>7117.1943946164392</v>
      </c>
      <c r="AG50" s="531">
        <f>(AG25*'התפלגות ייצור וסל דלקים'!BG70*$D$10*$D$9/$D$11)/$D$12</f>
        <v>0</v>
      </c>
      <c r="AH50" s="531">
        <f>(AH25*'התפלגות ייצור וסל דלקים'!BH70*$D$10*$D$9/$D$11)/$D$12</f>
        <v>0</v>
      </c>
      <c r="AI50" s="531">
        <f>(AI25*'התפלגות ייצור וסל דלקים'!BI70*$D$10*$D$9/$D$11)/$D$12</f>
        <v>0</v>
      </c>
      <c r="AJ50" s="556">
        <f>(AJ25*'התפלגות ייצור וסל דלקים'!BJ70*$D$10*$D$9/$D$11)/$D$12</f>
        <v>119.91834964443485</v>
      </c>
      <c r="AK50" s="52">
        <f ca="1">(AK25*'התפלגות ייצור וסל דלקים'!BQ70*$D$10*$D$9/$D$11)/$D$12</f>
        <v>2673.9133833614337</v>
      </c>
      <c r="AL50" s="54">
        <f ca="1">(AL25*'התפלגות ייצור וסל דלקים'!BR70*$D$10*$D$9/$D$11)/$D$12</f>
        <v>7117.1943946164392</v>
      </c>
      <c r="AM50" s="54">
        <f>(AM25*'התפלגות ייצור וסל דלקים'!BS70*$D$10*$D$9/$D$11)/$D$12</f>
        <v>0</v>
      </c>
      <c r="AN50" s="54">
        <f>(AN25*'התפלגות ייצור וסל דלקים'!BT70*$D$10*$D$9/$D$11)/$D$12</f>
        <v>0</v>
      </c>
      <c r="AO50" s="54">
        <f>(AO25*'התפלגות ייצור וסל דלקים'!BU70*$D$10*$D$9/$D$11)/$D$12</f>
        <v>0</v>
      </c>
      <c r="AP50" s="53">
        <f>(AP25*'התפלגות ייצור וסל דלקים'!BV70*$D$10*$D$9/$D$11)/$D$12</f>
        <v>119.91834964443485</v>
      </c>
    </row>
    <row r="51" spans="6:42" ht="15.75">
      <c r="F51" s="10">
        <f t="shared" si="88"/>
        <v>2027</v>
      </c>
      <c r="G51" s="319">
        <f ca="1">(G26*'התפלגות ייצור וסל דלקים'!I71*$D$10*$D$9/$D$11)/$D$12</f>
        <v>2651.1358414994675</v>
      </c>
      <c r="H51" s="531">
        <f ca="1">(H26*'התפלגות ייצור וסל דלקים'!J71*$D$10*$D$9/$D$11)/$D$12</f>
        <v>8169.4738606667906</v>
      </c>
      <c r="I51" s="531">
        <f>(I26*'התפלגות ייצור וסל דלקים'!K71*$D$10*$D$9/$D$11)/$D$12</f>
        <v>0</v>
      </c>
      <c r="J51" s="531">
        <f>(J26*'התפלגות ייצור וסל דלקים'!L71*$D$10*$D$9/$D$11)/$D$12</f>
        <v>0</v>
      </c>
      <c r="K51" s="531">
        <f>(K26*'התפלגות ייצור וסל דלקים'!M71*$D$10*$D$9/$D$11)/$D$12</f>
        <v>0</v>
      </c>
      <c r="L51" s="556">
        <f>(L26*'התפלגות ייצור וסל דלקים'!N71*$D$10*$D$9/$D$11)/$D$12</f>
        <v>118.82818282948546</v>
      </c>
      <c r="M51" s="52">
        <f ca="1">(M26*'התפלגות ייצור וסל דלקים'!U71*$D$10*$D$9/$D$11)/$D$12</f>
        <v>2651.1358414994675</v>
      </c>
      <c r="N51" s="54">
        <f ca="1">(N26*'התפלגות ייצור וסל דלקים'!V71*$D$10*$D$9/$D$11)/$D$12</f>
        <v>8169.4738606667906</v>
      </c>
      <c r="O51" s="54">
        <f>(O26*'התפלגות ייצור וסל דלקים'!W71*$D$10*$D$9/$D$11)/$D$12</f>
        <v>0</v>
      </c>
      <c r="P51" s="54">
        <f>(P26*'התפלגות ייצור וסל דלקים'!X71*$D$10*$D$9/$D$11)/$D$12</f>
        <v>0</v>
      </c>
      <c r="Q51" s="54">
        <f>(Q26*'התפלגות ייצור וסל דלקים'!Y71*$D$10*$D$9/$D$11)/$D$12</f>
        <v>0</v>
      </c>
      <c r="R51" s="53">
        <f>(R26*'התפלגות ייצור וסל דלקים'!Z71*$D$10*$D$9/$D$11)/$D$12</f>
        <v>118.82818282948546</v>
      </c>
      <c r="S51" s="319">
        <f ca="1">(S26*'התפלגות ייצור וסל דלקים'!AG71*$D$10*$D$9/$D$11)/$D$12</f>
        <v>2632.21931078647</v>
      </c>
      <c r="T51" s="531">
        <f ca="1">(T26*'התפלגות ייצור וסל דלקים'!AH71*$D$10*$D$9/$D$11)/$D$12</f>
        <v>7548.9136191016023</v>
      </c>
      <c r="U51" s="531">
        <f>(U26*'התפלגות ייצור וסל דלקים'!AI71*$D$10*$D$9/$D$11)/$D$12</f>
        <v>0</v>
      </c>
      <c r="V51" s="531">
        <f>(V26*'התפלגות ייצור וסל דלקים'!AJ71*$D$10*$D$9/$D$11)/$D$12</f>
        <v>0</v>
      </c>
      <c r="W51" s="531">
        <f>(W26*'התפלגות ייצור וסל דלקים'!AK71*$D$10*$D$9/$D$11)/$D$12</f>
        <v>0</v>
      </c>
      <c r="X51" s="556">
        <f>(X26*'התפלגות ייצור וסל דלקים'!AL71*$D$10*$D$9/$D$11)/$D$12</f>
        <v>118.33878905806856</v>
      </c>
      <c r="Y51" s="52">
        <f ca="1">(Y26*'התפלגות ייצור וסל דלקים'!AS71*$D$10*$D$9/$D$11)/$D$12</f>
        <v>2632.21931078647</v>
      </c>
      <c r="Z51" s="54">
        <f ca="1">(Z26*'התפלגות ייצור וסל דלקים'!AT71*$D$10*$D$9/$D$11)/$D$12</f>
        <v>7548.9136191016023</v>
      </c>
      <c r="AA51" s="54">
        <f>(AA26*'התפלגות ייצור וסל דלקים'!AU71*$D$10*$D$9/$D$11)/$D$12</f>
        <v>0</v>
      </c>
      <c r="AB51" s="54">
        <f>(AB26*'התפלגות ייצור וסל דלקים'!AV71*$D$10*$D$9/$D$11)/$D$12</f>
        <v>0</v>
      </c>
      <c r="AC51" s="54">
        <f>(AC26*'התפלגות ייצור וסל דלקים'!AW71*$D$10*$D$9/$D$11)/$D$12</f>
        <v>0</v>
      </c>
      <c r="AD51" s="53">
        <f>(AD26*'התפלגות ייצור וסל דלקים'!AX71*$D$10*$D$9/$D$11)/$D$12</f>
        <v>118.33878905806856</v>
      </c>
      <c r="AE51" s="319">
        <f ca="1">(AE26*'התפלגות ייצור וסל דלקים'!BE71*$D$10*$D$9/$D$11)/$D$12</f>
        <v>2667.2907168835272</v>
      </c>
      <c r="AF51" s="531">
        <f ca="1">(AF26*'התפלגות ייצור וסל דלקים'!BF71*$D$10*$D$9/$D$11)/$D$12</f>
        <v>7167.319282393787</v>
      </c>
      <c r="AG51" s="531">
        <f>(AG26*'התפלגות ייצור וסל דלקים'!BG71*$D$10*$D$9/$D$11)/$D$12</f>
        <v>0</v>
      </c>
      <c r="AH51" s="531">
        <f>(AH26*'התפלגות ייצור וסל דלקים'!BH71*$D$10*$D$9/$D$11)/$D$12</f>
        <v>0</v>
      </c>
      <c r="AI51" s="531">
        <f>(AI26*'התפלגות ייצור וסל דלקים'!BI71*$D$10*$D$9/$D$11)/$D$12</f>
        <v>0</v>
      </c>
      <c r="AJ51" s="556">
        <f>(AJ26*'התפלגות ייצור וסל דלקים'!BJ71*$D$10*$D$9/$D$11)/$D$12</f>
        <v>118.0957797370891</v>
      </c>
      <c r="AK51" s="52">
        <f ca="1">(AK26*'התפלגות ייצור וסל דלקים'!BQ71*$D$10*$D$9/$D$11)/$D$12</f>
        <v>2667.2907168835272</v>
      </c>
      <c r="AL51" s="54">
        <f ca="1">(AL26*'התפלגות ייצור וסל דלקים'!BR71*$D$10*$D$9/$D$11)/$D$12</f>
        <v>7167.319282393787</v>
      </c>
      <c r="AM51" s="54">
        <f>(AM26*'התפלגות ייצור וסל דלקים'!BS71*$D$10*$D$9/$D$11)/$D$12</f>
        <v>0</v>
      </c>
      <c r="AN51" s="54">
        <f>(AN26*'התפלגות ייצור וסל דלקים'!BT71*$D$10*$D$9/$D$11)/$D$12</f>
        <v>0</v>
      </c>
      <c r="AO51" s="54">
        <f>(AO26*'התפלגות ייצור וסל דלקים'!BU71*$D$10*$D$9/$D$11)/$D$12</f>
        <v>0</v>
      </c>
      <c r="AP51" s="53">
        <f>(AP26*'התפלגות ייצור וסל דלקים'!BV71*$D$10*$D$9/$D$11)/$D$12</f>
        <v>118.0957797370891</v>
      </c>
    </row>
    <row r="52" spans="6:42" ht="15.75">
      <c r="F52" s="10">
        <f t="shared" si="88"/>
        <v>2028</v>
      </c>
      <c r="G52" s="319">
        <f ca="1">(G27*'התפלגות ייצור וסל דלקים'!I72*$D$10*$D$9/$D$11)/$D$12</f>
        <v>2601.2936486315189</v>
      </c>
      <c r="H52" s="531">
        <f ca="1">(H27*'התפלגות ייצור וסל דלקים'!J72*$D$10*$D$9/$D$11)/$D$12</f>
        <v>8350.2322289905769</v>
      </c>
      <c r="I52" s="531">
        <f>(I27*'התפלגות ייצור וסל דלקים'!K72*$D$10*$D$9/$D$11)/$D$12</f>
        <v>0</v>
      </c>
      <c r="J52" s="531">
        <f>(J27*'התפלגות ייצור וסל דלקים'!L72*$D$10*$D$9/$D$11)/$D$12</f>
        <v>0</v>
      </c>
      <c r="K52" s="531">
        <f>(K27*'התפלגות ייצור וסל דלקים'!M72*$D$10*$D$9/$D$11)/$D$12</f>
        <v>0</v>
      </c>
      <c r="L52" s="556">
        <f>(L27*'התפלגות ייצור וסל דלקים'!N72*$D$10*$D$9/$D$11)/$D$12</f>
        <v>120.11748228245968</v>
      </c>
      <c r="M52" s="52">
        <f ca="1">(M27*'התפלגות ייצור וסל דלקים'!U72*$D$10*$D$9/$D$11)/$D$12</f>
        <v>2601.2936486315189</v>
      </c>
      <c r="N52" s="54">
        <f ca="1">(N27*'התפלגות ייצור וסל דלקים'!V72*$D$10*$D$9/$D$11)/$D$12</f>
        <v>8350.2322289905769</v>
      </c>
      <c r="O52" s="54">
        <f>(O27*'התפלגות ייצור וסל דלקים'!W72*$D$10*$D$9/$D$11)/$D$12</f>
        <v>0</v>
      </c>
      <c r="P52" s="54">
        <f>(P27*'התפלגות ייצור וסל דלקים'!X72*$D$10*$D$9/$D$11)/$D$12</f>
        <v>0</v>
      </c>
      <c r="Q52" s="54">
        <f>(Q27*'התפלגות ייצור וסל דלקים'!Y72*$D$10*$D$9/$D$11)/$D$12</f>
        <v>0</v>
      </c>
      <c r="R52" s="53">
        <f>(R27*'התפלגות ייצור וסל דלקים'!Z72*$D$10*$D$9/$D$11)/$D$12</f>
        <v>120.11748228245968</v>
      </c>
      <c r="S52" s="319">
        <f ca="1">(S27*'התפלגות ייצור וסל דלקים'!AG72*$D$10*$D$9/$D$11)/$D$12</f>
        <v>2652.9398206350584</v>
      </c>
      <c r="T52" s="531">
        <f ca="1">(T27*'התפלגות ייצור וסל דלקים'!AH72*$D$10*$D$9/$D$11)/$D$12</f>
        <v>7616.2876107988895</v>
      </c>
      <c r="U52" s="531">
        <f>(U27*'התפלגות ייצור וסל דלקים'!AI72*$D$10*$D$9/$D$11)/$D$12</f>
        <v>0</v>
      </c>
      <c r="V52" s="531">
        <f>(V27*'התפלגות ייצור וסל דלקים'!AJ72*$D$10*$D$9/$D$11)/$D$12</f>
        <v>0</v>
      </c>
      <c r="W52" s="531">
        <f>(W27*'התפלגות ייצור וסל דלקים'!AK72*$D$10*$D$9/$D$11)/$D$12</f>
        <v>0</v>
      </c>
      <c r="X52" s="556">
        <f>(X27*'התפלגות ייצור וסל דלקים'!AL72*$D$10*$D$9/$D$11)/$D$12</f>
        <v>120.66087812520537</v>
      </c>
      <c r="Y52" s="52">
        <f ca="1">(Y27*'התפלגות ייצור וסל דלקים'!AS72*$D$10*$D$9/$D$11)/$D$12</f>
        <v>2652.9398206350584</v>
      </c>
      <c r="Z52" s="54">
        <f ca="1">(Z27*'התפלגות ייצור וסל דלקים'!AT72*$D$10*$D$9/$D$11)/$D$12</f>
        <v>7616.2876107988895</v>
      </c>
      <c r="AA52" s="54">
        <f>(AA27*'התפלגות ייצור וסל דלקים'!AU72*$D$10*$D$9/$D$11)/$D$12</f>
        <v>0</v>
      </c>
      <c r="AB52" s="54">
        <f>(AB27*'התפלגות ייצור וסל דלקים'!AV72*$D$10*$D$9/$D$11)/$D$12</f>
        <v>0</v>
      </c>
      <c r="AC52" s="54">
        <f>(AC27*'התפלגות ייצור וסל דלקים'!AW72*$D$10*$D$9/$D$11)/$D$12</f>
        <v>0</v>
      </c>
      <c r="AD52" s="53">
        <f>(AD27*'התפלגות ייצור וסל דלקים'!AX72*$D$10*$D$9/$D$11)/$D$12</f>
        <v>120.66087812520537</v>
      </c>
      <c r="AE52" s="319">
        <f ca="1">(AE27*'התפלגות ייצור וסל דלקים'!BE72*$D$10*$D$9/$D$11)/$D$12</f>
        <v>2706.9018395613748</v>
      </c>
      <c r="AF52" s="531">
        <f ca="1">(AF27*'התפלגות ייצור וסל דלקים'!BF72*$D$10*$D$9/$D$11)/$D$12</f>
        <v>7161.8734015180316</v>
      </c>
      <c r="AG52" s="531">
        <f>(AG27*'התפלגות ייצור וסל דלקים'!BG72*$D$10*$D$9/$D$11)/$D$12</f>
        <v>0</v>
      </c>
      <c r="AH52" s="531">
        <f>(AH27*'התפלגות ייצור וסל דלקים'!BH72*$D$10*$D$9/$D$11)/$D$12</f>
        <v>0</v>
      </c>
      <c r="AI52" s="531">
        <f>(AI27*'התפלגות ייצור וסל דלקים'!BI72*$D$10*$D$9/$D$11)/$D$12</f>
        <v>0</v>
      </c>
      <c r="AJ52" s="556">
        <f>(AJ27*'התפלגות ייצור וסל דלקים'!BJ72*$D$10*$D$9/$D$11)/$D$12</f>
        <v>120.86338589268821</v>
      </c>
      <c r="AK52" s="52">
        <f ca="1">(AK27*'התפלגות ייצור וסל דלקים'!BQ72*$D$10*$D$9/$D$11)/$D$12</f>
        <v>2706.9018395613748</v>
      </c>
      <c r="AL52" s="54">
        <f ca="1">(AL27*'התפלגות ייצור וסל דלקים'!BR72*$D$10*$D$9/$D$11)/$D$12</f>
        <v>7161.8734015180316</v>
      </c>
      <c r="AM52" s="54">
        <f>(AM27*'התפלגות ייצור וסל דלקים'!BS72*$D$10*$D$9/$D$11)/$D$12</f>
        <v>0</v>
      </c>
      <c r="AN52" s="54">
        <f>(AN27*'התפלגות ייצור וסל דלקים'!BT72*$D$10*$D$9/$D$11)/$D$12</f>
        <v>0</v>
      </c>
      <c r="AO52" s="54">
        <f>(AO27*'התפלגות ייצור וסל דלקים'!BU72*$D$10*$D$9/$D$11)/$D$12</f>
        <v>0</v>
      </c>
      <c r="AP52" s="53">
        <f>(AP27*'התפלגות ייצור וסל דלקים'!BV72*$D$10*$D$9/$D$11)/$D$12</f>
        <v>120.86338589268821</v>
      </c>
    </row>
    <row r="53" spans="6:42" ht="15.75">
      <c r="F53" s="10">
        <f t="shared" si="88"/>
        <v>2029</v>
      </c>
      <c r="G53" s="319">
        <f ca="1">(G28*'התפלגות ייצור וסל דלקים'!I73*$D$10*$D$9/$D$11)/$D$12</f>
        <v>2610.8676795469764</v>
      </c>
      <c r="H53" s="531">
        <f ca="1">(H28*'התפלגות ייצור וסל דלקים'!J73*$D$10*$D$9/$D$11)/$D$12</f>
        <v>8516.5386794259921</v>
      </c>
      <c r="I53" s="531">
        <f>(I28*'התפלגות ייצור וסל דלקים'!K73*$D$10*$D$9/$D$11)/$D$12</f>
        <v>0</v>
      </c>
      <c r="J53" s="531">
        <f>(J28*'התפלגות ייצור וסל דלקים'!L73*$D$10*$D$9/$D$11)/$D$12</f>
        <v>0</v>
      </c>
      <c r="K53" s="531">
        <f>(K28*'התפלגות ייצור וסל דלקים'!M73*$D$10*$D$9/$D$11)/$D$12</f>
        <v>0</v>
      </c>
      <c r="L53" s="556">
        <f>(L28*'התפלגות ייצור וסל דלקים'!N73*$D$10*$D$9/$D$11)/$D$12</f>
        <v>121.00514132992622</v>
      </c>
      <c r="M53" s="52">
        <f ca="1">(M28*'התפלגות ייצור וסל דלקים'!U73*$D$10*$D$9/$D$11)/$D$12</f>
        <v>2610.8676795469764</v>
      </c>
      <c r="N53" s="54">
        <f ca="1">(N28*'התפלגות ייצור וסל דלקים'!V73*$D$10*$D$9/$D$11)/$D$12</f>
        <v>8516.5386794259921</v>
      </c>
      <c r="O53" s="54">
        <f>(O28*'התפלגות ייצור וסל דלקים'!W73*$D$10*$D$9/$D$11)/$D$12</f>
        <v>0</v>
      </c>
      <c r="P53" s="54">
        <f>(P28*'התפלגות ייצור וסל דלקים'!X73*$D$10*$D$9/$D$11)/$D$12</f>
        <v>0</v>
      </c>
      <c r="Q53" s="54">
        <f>(Q28*'התפלגות ייצור וסל דלקים'!Y73*$D$10*$D$9/$D$11)/$D$12</f>
        <v>0</v>
      </c>
      <c r="R53" s="53">
        <f>(R28*'התפלגות ייצור וסל דלקים'!Z73*$D$10*$D$9/$D$11)/$D$12</f>
        <v>121.00514132992622</v>
      </c>
      <c r="S53" s="319">
        <f ca="1">(S28*'התפלגות ייצור וסל דלקים'!AG73*$D$10*$D$9/$D$11)/$D$12</f>
        <v>2696.052525790124</v>
      </c>
      <c r="T53" s="531">
        <f ca="1">(T28*'התפלגות ייצור וסל דלקים'!AH73*$D$10*$D$9/$D$11)/$D$12</f>
        <v>7663.245807770486</v>
      </c>
      <c r="U53" s="531">
        <f>(U28*'התפלגות ייצור וסל דלקים'!AI73*$D$10*$D$9/$D$11)/$D$12</f>
        <v>0</v>
      </c>
      <c r="V53" s="531">
        <f>(V28*'התפלגות ייצור וסל דלקים'!AJ73*$D$10*$D$9/$D$11)/$D$12</f>
        <v>0</v>
      </c>
      <c r="W53" s="531">
        <f>(W28*'התפלגות ייצור וסל דלקים'!AK73*$D$10*$D$9/$D$11)/$D$12</f>
        <v>0</v>
      </c>
      <c r="X53" s="556">
        <f>(X28*'התפלגות ייצור וסל דלקים'!AL73*$D$10*$D$9/$D$11)/$D$12</f>
        <v>121.38315582922756</v>
      </c>
      <c r="Y53" s="52">
        <f ca="1">(Y28*'התפלגות ייצור וסל דלקים'!AS73*$D$10*$D$9/$D$11)/$D$12</f>
        <v>2696.052525790124</v>
      </c>
      <c r="Z53" s="54">
        <f ca="1">(Z28*'התפלגות ייצור וסל דלקים'!AT73*$D$10*$D$9/$D$11)/$D$12</f>
        <v>7663.245807770486</v>
      </c>
      <c r="AA53" s="54">
        <f>(AA28*'התפלגות ייצור וסל דלקים'!AU73*$D$10*$D$9/$D$11)/$D$12</f>
        <v>0</v>
      </c>
      <c r="AB53" s="54">
        <f>(AB28*'התפלגות ייצור וסל דלקים'!AV73*$D$10*$D$9/$D$11)/$D$12</f>
        <v>0</v>
      </c>
      <c r="AC53" s="54">
        <f>(AC28*'התפלגות ייצור וסל דלקים'!AW73*$D$10*$D$9/$D$11)/$D$12</f>
        <v>0</v>
      </c>
      <c r="AD53" s="53">
        <f>(AD28*'התפלגות ייצור וסל דלקים'!AX73*$D$10*$D$9/$D$11)/$D$12</f>
        <v>121.38315582922756</v>
      </c>
      <c r="AE53" s="319">
        <f ca="1">(AE28*'התפלגות ייצור וסל דלקים'!BE73*$D$10*$D$9/$D$11)/$D$12</f>
        <v>2759.5085428158595</v>
      </c>
      <c r="AF53" s="531">
        <f ca="1">(AF28*'התפלגות ייצור וסל דלקים'!BF73*$D$10*$D$9/$D$11)/$D$12</f>
        <v>7135.8125769336384</v>
      </c>
      <c r="AG53" s="531">
        <f>(AG28*'התפלגות ייצור וסל דלקים'!BG73*$D$10*$D$9/$D$11)/$D$12</f>
        <v>0</v>
      </c>
      <c r="AH53" s="531">
        <f>(AH28*'התפלגות ייצור וסל דלקים'!BH73*$D$10*$D$9/$D$11)/$D$12</f>
        <v>0</v>
      </c>
      <c r="AI53" s="531">
        <f>(AI28*'התפלגות ייצור וסל דלקים'!BI73*$D$10*$D$9/$D$11)/$D$12</f>
        <v>0</v>
      </c>
      <c r="AJ53" s="556">
        <f>(AJ28*'התפלגות ייצור וסל דלקים'!BJ73*$D$10*$D$9/$D$11)/$D$12</f>
        <v>123.02346874583873</v>
      </c>
      <c r="AK53" s="52">
        <f ca="1">(AK28*'התפלגות ייצור וסל דלקים'!BQ73*$D$10*$D$9/$D$11)/$D$12</f>
        <v>2759.5085428158595</v>
      </c>
      <c r="AL53" s="54">
        <f ca="1">(AL28*'התפלגות ייצור וסל דלקים'!BR73*$D$10*$D$9/$D$11)/$D$12</f>
        <v>7135.8125769336384</v>
      </c>
      <c r="AM53" s="54">
        <f>(AM28*'התפלגות ייצור וסל דלקים'!BS73*$D$10*$D$9/$D$11)/$D$12</f>
        <v>0</v>
      </c>
      <c r="AN53" s="54">
        <f>(AN28*'התפלגות ייצור וסל דלקים'!BT73*$D$10*$D$9/$D$11)/$D$12</f>
        <v>0</v>
      </c>
      <c r="AO53" s="54">
        <f>(AO28*'התפלגות ייצור וסל דלקים'!BU73*$D$10*$D$9/$D$11)/$D$12</f>
        <v>0</v>
      </c>
      <c r="AP53" s="53">
        <f>(AP28*'התפלגות ייצור וסל דלקים'!BV73*$D$10*$D$9/$D$11)/$D$12</f>
        <v>123.02346874583873</v>
      </c>
    </row>
    <row r="54" spans="6:42" ht="15.75">
      <c r="F54" s="10">
        <f t="shared" si="88"/>
        <v>2030</v>
      </c>
      <c r="G54" s="319">
        <f ca="1">(G29*'התפלגות ייצור וסל דלקים'!I74*$D$10*$D$9/$D$11)/$D$12</f>
        <v>2587.3747938945844</v>
      </c>
      <c r="H54" s="531">
        <f ca="1">(H29*'התפלגות ייצור וסל דלקים'!J74*$D$10*$D$9/$D$11)/$D$12</f>
        <v>8690.4316812749785</v>
      </c>
      <c r="I54" s="531">
        <f>(I29*'התפלגות ייצור וסל דלקים'!K74*$D$10*$D$9/$D$11)/$D$12</f>
        <v>0</v>
      </c>
      <c r="J54" s="531">
        <f>(J29*'התפלגות ייצור וסל דלקים'!L74*$D$10*$D$9/$D$11)/$D$12</f>
        <v>0</v>
      </c>
      <c r="K54" s="531">
        <f>(K29*'התפלגות ייצור וסל דלקים'!M74*$D$10*$D$9/$D$11)/$D$12</f>
        <v>0</v>
      </c>
      <c r="L54" s="556">
        <f>(L29*'התפלגות ייצור וסל דלקים'!N74*$D$10*$D$9/$D$11)/$D$12</f>
        <v>119.39857970789551</v>
      </c>
      <c r="M54" s="52">
        <f ca="1">(M29*'התפלגות ייצור וסל דלקים'!U74*$D$10*$D$9/$D$11)/$D$12</f>
        <v>2587.3747938945844</v>
      </c>
      <c r="N54" s="54">
        <f ca="1">(N29*'התפלגות ייצור וסל דלקים'!V74*$D$10*$D$9/$D$11)/$D$12</f>
        <v>8690.4316812749785</v>
      </c>
      <c r="O54" s="54">
        <f>(O29*'התפלגות ייצור וסל דלקים'!W74*$D$10*$D$9/$D$11)/$D$12</f>
        <v>0</v>
      </c>
      <c r="P54" s="54">
        <f>(P29*'התפלגות ייצור וסל דלקים'!X74*$D$10*$D$9/$D$11)/$D$12</f>
        <v>0</v>
      </c>
      <c r="Q54" s="54">
        <f>(Q29*'התפלגות ייצור וסל דלקים'!Y74*$D$10*$D$9/$D$11)/$D$12</f>
        <v>0</v>
      </c>
      <c r="R54" s="53">
        <f>(R29*'התפלגות ייצור וסל דלקים'!Z74*$D$10*$D$9/$D$11)/$D$12</f>
        <v>119.39857970789551</v>
      </c>
      <c r="S54" s="319">
        <f ca="1">(S29*'התפלגות ייצור וסל דלקים'!AG74*$D$10*$D$9/$D$11)/$D$12</f>
        <v>2729.0222006300974</v>
      </c>
      <c r="T54" s="531">
        <f ca="1">(T29*'התפלגות ייצור וסל דלקים'!AH74*$D$10*$D$9/$D$11)/$D$12</f>
        <v>7709.1492249637404</v>
      </c>
      <c r="U54" s="531">
        <f>(U29*'התפלגות ייצור וסל דלקים'!AI74*$D$10*$D$9/$D$11)/$D$12</f>
        <v>0</v>
      </c>
      <c r="V54" s="531">
        <f>(V29*'התפלגות ייצור וסל דלקים'!AJ74*$D$10*$D$9/$D$11)/$D$12</f>
        <v>0</v>
      </c>
      <c r="W54" s="531">
        <f>(W29*'התפלגות ייצור וסל דלקים'!AK74*$D$10*$D$9/$D$11)/$D$12</f>
        <v>0</v>
      </c>
      <c r="X54" s="556">
        <f>(X29*'התפלגות ייצור וסל דלקים'!AL74*$D$10*$D$9/$D$11)/$D$12</f>
        <v>120.77225739732094</v>
      </c>
      <c r="Y54" s="52">
        <f ca="1">(Y29*'התפלגות ייצור וסל דלקים'!AS74*$D$10*$D$9/$D$11)/$D$12</f>
        <v>2729.0222006300974</v>
      </c>
      <c r="Z54" s="54">
        <f ca="1">(Z29*'התפלגות ייצור וסל דלקים'!AT74*$D$10*$D$9/$D$11)/$D$12</f>
        <v>7709.1492249637404</v>
      </c>
      <c r="AA54" s="54">
        <f>(AA29*'התפלגות ייצור וסל דלקים'!AU74*$D$10*$D$9/$D$11)/$D$12</f>
        <v>0</v>
      </c>
      <c r="AB54" s="54">
        <f>(AB29*'התפלגות ייצור וסל דלקים'!AV74*$D$10*$D$9/$D$11)/$D$12</f>
        <v>0</v>
      </c>
      <c r="AC54" s="54">
        <f>(AC29*'התפלגות ייצור וסל דלקים'!AW74*$D$10*$D$9/$D$11)/$D$12</f>
        <v>0</v>
      </c>
      <c r="AD54" s="53">
        <f>(AD29*'התפלגות ייצור וסל דלקים'!AX74*$D$10*$D$9/$D$11)/$D$12</f>
        <v>120.77225739732094</v>
      </c>
      <c r="AE54" s="319">
        <f ca="1">(AE29*'התפלגות ייצור וסל דלקים'!BE74*$D$10*$D$9/$D$11)/$D$12</f>
        <v>2778.9325380199293</v>
      </c>
      <c r="AF54" s="531">
        <f ca="1">(AF29*'התפלגות ייצור וסל דלקים'!BF74*$D$10*$D$9/$D$11)/$D$12</f>
        <v>7164.0498451605736</v>
      </c>
      <c r="AG54" s="531">
        <f>(AG29*'התפלגות ייצור וסל דלקים'!BG74*$D$10*$D$9/$D$11)/$D$12</f>
        <v>0</v>
      </c>
      <c r="AH54" s="531">
        <f>(AH29*'התפלגות ייצור וסל דלקים'!BH74*$D$10*$D$9/$D$11)/$D$12</f>
        <v>0</v>
      </c>
      <c r="AI54" s="531">
        <f>(AI29*'התפלגות ייצור וסל דלקים'!BI74*$D$10*$D$9/$D$11)/$D$12</f>
        <v>0</v>
      </c>
      <c r="AJ54" s="556">
        <f>(AJ29*'התפלגות ייצור וסל דלקים'!BJ74*$D$10*$D$9/$D$11)/$D$12</f>
        <v>120.42461906314202</v>
      </c>
      <c r="AK54" s="52">
        <f ca="1">(AK29*'התפלגות ייצור וסל דלקים'!BQ74*$D$10*$D$9/$D$11)/$D$12</f>
        <v>2778.9325380199293</v>
      </c>
      <c r="AL54" s="54">
        <f ca="1">(AL29*'התפלגות ייצור וסל דלקים'!BR74*$D$10*$D$9/$D$11)/$D$12</f>
        <v>7164.0498451605736</v>
      </c>
      <c r="AM54" s="54">
        <f>(AM29*'התפלגות ייצור וסל דלקים'!BS74*$D$10*$D$9/$D$11)/$D$12</f>
        <v>0</v>
      </c>
      <c r="AN54" s="54">
        <f>(AN29*'התפלגות ייצור וסל דלקים'!BT74*$D$10*$D$9/$D$11)/$D$12</f>
        <v>0</v>
      </c>
      <c r="AO54" s="54">
        <f>(AO29*'התפלגות ייצור וסל דלקים'!BU74*$D$10*$D$9/$D$11)/$D$12</f>
        <v>0</v>
      </c>
      <c r="AP54" s="53">
        <f>(AP29*'התפלגות ייצור וסל דלקים'!BV74*$D$10*$D$9/$D$11)/$D$12</f>
        <v>120.42461906314202</v>
      </c>
    </row>
    <row r="55" spans="6:42" ht="15.75">
      <c r="F55" s="10">
        <f t="shared" si="88"/>
        <v>2031</v>
      </c>
      <c r="G55" s="319">
        <f ca="1">(G30*'התפלגות ייצור וסל דלקים'!I75*$D$10*$D$9/$D$11)/$D$12</f>
        <v>2578.3666712487993</v>
      </c>
      <c r="H55" s="531">
        <f ca="1">(H30*'התפלגות ייצור וסל דלקים'!J75*$D$10*$D$9/$D$11)/$D$12</f>
        <v>8968.344423683031</v>
      </c>
      <c r="I55" s="531">
        <f>(I30*'התפלגות ייצור וסל דלקים'!K75*$D$10*$D$9/$D$11)/$D$12</f>
        <v>0</v>
      </c>
      <c r="J55" s="531">
        <f>(J30*'התפלגות ייצור וסל דלקים'!L75*$D$10*$D$9/$D$11)/$D$12</f>
        <v>0</v>
      </c>
      <c r="K55" s="531">
        <f>(K30*'התפלגות ייצור וסל דלקים'!M75*$D$10*$D$9/$D$11)/$D$12</f>
        <v>0</v>
      </c>
      <c r="L55" s="556">
        <f>(L30*'התפלגות ייצור וסל דלקים'!N75*$D$10*$D$9/$D$11)/$D$12</f>
        <v>117.86289580448381</v>
      </c>
      <c r="M55" s="52">
        <f ca="1">(M30*'התפלגות ייצור וסל דלקים'!U75*$D$10*$D$9/$D$11)/$D$12</f>
        <v>2578.3666712487993</v>
      </c>
      <c r="N55" s="54">
        <f ca="1">(N30*'התפלגות ייצור וסל דלקים'!V75*$D$10*$D$9/$D$11)/$D$12</f>
        <v>8968.344423683031</v>
      </c>
      <c r="O55" s="54">
        <f>(O30*'התפלגות ייצור וסל דלקים'!W75*$D$10*$D$9/$D$11)/$D$12</f>
        <v>0</v>
      </c>
      <c r="P55" s="54">
        <f>(P30*'התפלגות ייצור וסל דלקים'!X75*$D$10*$D$9/$D$11)/$D$12</f>
        <v>0</v>
      </c>
      <c r="Q55" s="54">
        <f>(Q30*'התפלגות ייצור וסל דלקים'!Y75*$D$10*$D$9/$D$11)/$D$12</f>
        <v>0</v>
      </c>
      <c r="R55" s="53">
        <f>(R30*'התפלגות ייצור וסל דלקים'!Z75*$D$10*$D$9/$D$11)/$D$12</f>
        <v>117.86289580448381</v>
      </c>
      <c r="S55" s="319">
        <f ca="1">(S30*'התפלגות ייצור וסל דלקים'!AG75*$D$10*$D$9/$D$11)/$D$12</f>
        <v>2726.2589740578019</v>
      </c>
      <c r="T55" s="531">
        <f ca="1">(T30*'התפלגות ייצור וסל דלקים'!AH75*$D$10*$D$9/$D$11)/$D$12</f>
        <v>7994.0364282078544</v>
      </c>
      <c r="U55" s="531">
        <f>(U30*'התפלגות ייצור וסל דלקים'!AI75*$D$10*$D$9/$D$11)/$D$12</f>
        <v>0</v>
      </c>
      <c r="V55" s="531">
        <f>(V30*'התפלגות ייצור וסל דלקים'!AJ75*$D$10*$D$9/$D$11)/$D$12</f>
        <v>0</v>
      </c>
      <c r="W55" s="531">
        <f>(W30*'התפלגות ייצור וסל דלקים'!AK75*$D$10*$D$9/$D$11)/$D$12</f>
        <v>0</v>
      </c>
      <c r="X55" s="556">
        <f>(X30*'התפלגות ייצור וסל דלקים'!AL75*$D$10*$D$9/$D$11)/$D$12</f>
        <v>117.77176730911654</v>
      </c>
      <c r="Y55" s="52">
        <f ca="1">(Y30*'התפלגות ייצור וסל דלקים'!AS75*$D$10*$D$9/$D$11)/$D$12</f>
        <v>2726.2589740578019</v>
      </c>
      <c r="Z55" s="54">
        <f ca="1">(Z30*'התפלגות ייצור וסל דלקים'!AT75*$D$10*$D$9/$D$11)/$D$12</f>
        <v>7994.0364282078544</v>
      </c>
      <c r="AA55" s="54">
        <f>(AA30*'התפלגות ייצור וסל דלקים'!AU75*$D$10*$D$9/$D$11)/$D$12</f>
        <v>0</v>
      </c>
      <c r="AB55" s="54">
        <f>(AB30*'התפלגות ייצור וסל דלקים'!AV75*$D$10*$D$9/$D$11)/$D$12</f>
        <v>0</v>
      </c>
      <c r="AC55" s="54">
        <f>(AC30*'התפלגות ייצור וסל דלקים'!AW75*$D$10*$D$9/$D$11)/$D$12</f>
        <v>0</v>
      </c>
      <c r="AD55" s="53">
        <f>(AD30*'התפלגות ייצור וסל דלקים'!AX75*$D$10*$D$9/$D$11)/$D$12</f>
        <v>117.77176730911654</v>
      </c>
      <c r="AE55" s="319">
        <f ca="1">(AE30*'התפלגות ייצור וסל דלקים'!BE75*$D$10*$D$9/$D$11)/$D$12</f>
        <v>2779.154540134753</v>
      </c>
      <c r="AF55" s="531">
        <f ca="1">(AF30*'התפלגות ייצור וסל דלקים'!BF75*$D$10*$D$9/$D$11)/$D$12</f>
        <v>7435.1541585959167</v>
      </c>
      <c r="AG55" s="531">
        <f>(AG30*'התפלגות ייצור וסל דלקים'!BG75*$D$10*$D$9/$D$11)/$D$12</f>
        <v>0</v>
      </c>
      <c r="AH55" s="531">
        <f>(AH30*'התפלגות ייצור וסל דלקים'!BH75*$D$10*$D$9/$D$11)/$D$12</f>
        <v>0</v>
      </c>
      <c r="AI55" s="531">
        <f>(AI30*'התפלגות ייצור וסל דלקים'!BI75*$D$10*$D$9/$D$11)/$D$12</f>
        <v>0</v>
      </c>
      <c r="AJ55" s="556">
        <f>(AJ30*'התפלגות ייצור וסל דלקים'!BJ75*$D$10*$D$9/$D$11)/$D$12</f>
        <v>116.88073313219191</v>
      </c>
      <c r="AK55" s="52">
        <f ca="1">(AK30*'התפלגות ייצור וסל דלקים'!BQ75*$D$10*$D$9/$D$11)/$D$12</f>
        <v>2779.154540134753</v>
      </c>
      <c r="AL55" s="54">
        <f ca="1">(AL30*'התפלגות ייצור וסל דלקים'!BR75*$D$10*$D$9/$D$11)/$D$12</f>
        <v>7435.1541585959167</v>
      </c>
      <c r="AM55" s="54">
        <f>(AM30*'התפלגות ייצור וסל דלקים'!BS75*$D$10*$D$9/$D$11)/$D$12</f>
        <v>0</v>
      </c>
      <c r="AN55" s="54">
        <f>(AN30*'התפלגות ייצור וסל דלקים'!BT75*$D$10*$D$9/$D$11)/$D$12</f>
        <v>0</v>
      </c>
      <c r="AO55" s="54">
        <f>(AO30*'התפלגות ייצור וסל דלקים'!BU75*$D$10*$D$9/$D$11)/$D$12</f>
        <v>0</v>
      </c>
      <c r="AP55" s="53">
        <f>(AP30*'התפלגות ייצור וסל דלקים'!BV75*$D$10*$D$9/$D$11)/$D$12</f>
        <v>116.88073313219191</v>
      </c>
    </row>
    <row r="56" spans="6:42" ht="15.75">
      <c r="F56" s="10">
        <f t="shared" si="88"/>
        <v>2032</v>
      </c>
      <c r="G56" s="319">
        <f ca="1">(G31*'התפלגות ייצור וסל דלקים'!I76*$D$10*$D$9/$D$11)/$D$12</f>
        <v>2577.5534757600831</v>
      </c>
      <c r="H56" s="531">
        <f ca="1">(H31*'התפלגות ייצור וסל דלקים'!J76*$D$10*$D$9/$D$11)/$D$12</f>
        <v>9263.2068893881642</v>
      </c>
      <c r="I56" s="531">
        <f>(I31*'התפלגות ייצור וסל דלקים'!K76*$D$10*$D$9/$D$11)/$D$12</f>
        <v>0</v>
      </c>
      <c r="J56" s="531">
        <f>(J31*'התפלגות ייצור וסל דלקים'!L76*$D$10*$D$9/$D$11)/$D$12</f>
        <v>0</v>
      </c>
      <c r="K56" s="531">
        <f>(K31*'התפלגות ייצור וסל דלקים'!M76*$D$10*$D$9/$D$11)/$D$12</f>
        <v>0</v>
      </c>
      <c r="L56" s="556">
        <f>(L31*'התפלגות ייצור וסל דלקים'!N76*$D$10*$D$9/$D$11)/$D$12</f>
        <v>116.47909272668424</v>
      </c>
      <c r="M56" s="52">
        <f ca="1">(M31*'התפלגות ייצור וסל דלקים'!U76*$D$10*$D$9/$D$11)/$D$12</f>
        <v>2577.5534757600831</v>
      </c>
      <c r="N56" s="54">
        <f ca="1">(N31*'התפלגות ייצור וסל דלקים'!V76*$D$10*$D$9/$D$11)/$D$12</f>
        <v>9263.2068893881642</v>
      </c>
      <c r="O56" s="54">
        <f>(O31*'התפלגות ייצור וסל דלקים'!W76*$D$10*$D$9/$D$11)/$D$12</f>
        <v>0</v>
      </c>
      <c r="P56" s="54">
        <f>(P31*'התפלגות ייצור וסל דלקים'!X76*$D$10*$D$9/$D$11)/$D$12</f>
        <v>0</v>
      </c>
      <c r="Q56" s="54">
        <f>(Q31*'התפלגות ייצור וסל דלקים'!Y76*$D$10*$D$9/$D$11)/$D$12</f>
        <v>0</v>
      </c>
      <c r="R56" s="53">
        <f>(R31*'התפלגות ייצור וסל דלקים'!Z76*$D$10*$D$9/$D$11)/$D$12</f>
        <v>116.47909272668424</v>
      </c>
      <c r="S56" s="319">
        <f ca="1">(S31*'התפלגות ייצור וסל דלקים'!AG76*$D$10*$D$9/$D$11)/$D$12</f>
        <v>2736.3399825320666</v>
      </c>
      <c r="T56" s="531">
        <f ca="1">(T31*'התפלגות ייצור וסל דלקים'!AH76*$D$10*$D$9/$D$11)/$D$12</f>
        <v>8264.7714225668151</v>
      </c>
      <c r="U56" s="531">
        <f>(U31*'התפלגות ייצור וסל דלקים'!AI76*$D$10*$D$9/$D$11)/$D$12</f>
        <v>0</v>
      </c>
      <c r="V56" s="531">
        <f>(V31*'התפלגות ייצור וסל דלקים'!AJ76*$D$10*$D$9/$D$11)/$D$12</f>
        <v>0</v>
      </c>
      <c r="W56" s="531">
        <f>(W31*'התפלגות ייצור וסל דלקים'!AK76*$D$10*$D$9/$D$11)/$D$12</f>
        <v>0</v>
      </c>
      <c r="X56" s="556">
        <f>(X31*'התפלגות ייצור וסל דלקים'!AL76*$D$10*$D$9/$D$11)/$D$12</f>
        <v>116.71872691820562</v>
      </c>
      <c r="Y56" s="52">
        <f ca="1">(Y31*'התפלגות ייצור וסל דלקים'!AS76*$D$10*$D$9/$D$11)/$D$12</f>
        <v>2736.3399825320666</v>
      </c>
      <c r="Z56" s="54">
        <f ca="1">(Z31*'התפלגות ייצור וסל דלקים'!AT76*$D$10*$D$9/$D$11)/$D$12</f>
        <v>8264.7714225668151</v>
      </c>
      <c r="AA56" s="54">
        <f>(AA31*'התפלגות ייצור וסל דלקים'!AU76*$D$10*$D$9/$D$11)/$D$12</f>
        <v>0</v>
      </c>
      <c r="AB56" s="54">
        <f>(AB31*'התפלגות ייצור וסל דלקים'!AV76*$D$10*$D$9/$D$11)/$D$12</f>
        <v>0</v>
      </c>
      <c r="AC56" s="54">
        <f>(AC31*'התפלגות ייצור וסל דלקים'!AW76*$D$10*$D$9/$D$11)/$D$12</f>
        <v>0</v>
      </c>
      <c r="AD56" s="53">
        <f>(AD31*'התפלגות ייצור וסל דלקים'!AX76*$D$10*$D$9/$D$11)/$D$12</f>
        <v>116.71872691820562</v>
      </c>
      <c r="AE56" s="319">
        <f ca="1">(AE31*'התפלגות ייצור וסל דלקים'!BE76*$D$10*$D$9/$D$11)/$D$12</f>
        <v>2792.538624412332</v>
      </c>
      <c r="AF56" s="531">
        <f ca="1">(AF31*'התפלגות ייצור וסל דלקים'!BF76*$D$10*$D$9/$D$11)/$D$12</f>
        <v>7688.6391885083267</v>
      </c>
      <c r="AG56" s="531">
        <f>(AG31*'התפלגות ייצור וסל דלקים'!BG76*$D$10*$D$9/$D$11)/$D$12</f>
        <v>0</v>
      </c>
      <c r="AH56" s="531">
        <f>(AH31*'התפלגות ייצור וסל דלקים'!BH76*$D$10*$D$9/$D$11)/$D$12</f>
        <v>0</v>
      </c>
      <c r="AI56" s="531">
        <f>(AI31*'התפלגות ייצור וסל דלקים'!BI76*$D$10*$D$9/$D$11)/$D$12</f>
        <v>0</v>
      </c>
      <c r="AJ56" s="556">
        <f>(AJ31*'התפלגות ייצור וסל דלקים'!BJ76*$D$10*$D$9/$D$11)/$D$12</f>
        <v>114.75440157362186</v>
      </c>
      <c r="AK56" s="52">
        <f ca="1">(AK31*'התפלגות ייצור וסל דלקים'!BQ76*$D$10*$D$9/$D$11)/$D$12</f>
        <v>2792.538624412332</v>
      </c>
      <c r="AL56" s="54">
        <f ca="1">(AL31*'התפלגות ייצור וסל דלקים'!BR76*$D$10*$D$9/$D$11)/$D$12</f>
        <v>7688.6391885083267</v>
      </c>
      <c r="AM56" s="54">
        <f>(AM31*'התפלגות ייצור וסל דלקים'!BS76*$D$10*$D$9/$D$11)/$D$12</f>
        <v>0</v>
      </c>
      <c r="AN56" s="54">
        <f>(AN31*'התפלגות ייצור וסל דלקים'!BT76*$D$10*$D$9/$D$11)/$D$12</f>
        <v>0</v>
      </c>
      <c r="AO56" s="54">
        <f>(AO31*'התפלגות ייצור וסל דלקים'!BU76*$D$10*$D$9/$D$11)/$D$12</f>
        <v>0</v>
      </c>
      <c r="AP56" s="53">
        <f>(AP31*'התפלגות ייצור וסל דלקים'!BV76*$D$10*$D$9/$D$11)/$D$12</f>
        <v>114.75440157362186</v>
      </c>
    </row>
    <row r="57" spans="6:42" ht="15.75">
      <c r="F57" s="10">
        <f t="shared" si="88"/>
        <v>2033</v>
      </c>
      <c r="G57" s="319">
        <f ca="1">(G32*'התפלגות ייצור וסל דלקים'!I77*$D$10*$D$9/$D$11)/$D$12</f>
        <v>2627.3616443090464</v>
      </c>
      <c r="H57" s="531">
        <f ca="1">(H32*'התפלגות ייצור וסל דלקים'!J77*$D$10*$D$9/$D$11)/$D$12</f>
        <v>9509.9288856673593</v>
      </c>
      <c r="I57" s="531">
        <f>(I32*'התפלגות ייצור וסל דלקים'!K77*$D$10*$D$9/$D$11)/$D$12</f>
        <v>0</v>
      </c>
      <c r="J57" s="531">
        <f>(J32*'התפלגות ייצור וסל דלקים'!L77*$D$10*$D$9/$D$11)/$D$12</f>
        <v>0</v>
      </c>
      <c r="K57" s="531">
        <f>(K32*'התפלגות ייצור וסל דלקים'!M77*$D$10*$D$9/$D$11)/$D$12</f>
        <v>0</v>
      </c>
      <c r="L57" s="556">
        <f>(L32*'התפלגות ייצור וסל דלקים'!N77*$D$10*$D$9/$D$11)/$D$12</f>
        <v>118.76405536978254</v>
      </c>
      <c r="M57" s="52">
        <f ca="1">(M32*'התפלגות ייצור וסל דלקים'!U77*$D$10*$D$9/$D$11)/$D$12</f>
        <v>2627.3616443090464</v>
      </c>
      <c r="N57" s="54">
        <f ca="1">(N32*'התפלגות ייצור וסל דלקים'!V77*$D$10*$D$9/$D$11)/$D$12</f>
        <v>9509.9288856673593</v>
      </c>
      <c r="O57" s="54">
        <f>(O32*'התפלגות ייצור וסל דלקים'!W77*$D$10*$D$9/$D$11)/$D$12</f>
        <v>0</v>
      </c>
      <c r="P57" s="54">
        <f>(P32*'התפלגות ייצור וסל דלקים'!X77*$D$10*$D$9/$D$11)/$D$12</f>
        <v>0</v>
      </c>
      <c r="Q57" s="54">
        <f>(Q32*'התפלגות ייצור וסל דלקים'!Y77*$D$10*$D$9/$D$11)/$D$12</f>
        <v>0</v>
      </c>
      <c r="R57" s="53">
        <f>(R32*'התפלגות ייצור וסל דלקים'!Z77*$D$10*$D$9/$D$11)/$D$12</f>
        <v>118.76405536978254</v>
      </c>
      <c r="S57" s="319">
        <f ca="1">(S32*'התפלגות ייצור וסל דלקים'!AG77*$D$10*$D$9/$D$11)/$D$12</f>
        <v>2786.4270277040773</v>
      </c>
      <c r="T57" s="531">
        <f ca="1">(T32*'התפלגות ייצור וסל דלקים'!AH77*$D$10*$D$9/$D$11)/$D$12</f>
        <v>8490.7541778820796</v>
      </c>
      <c r="U57" s="531">
        <f>(U32*'התפלגות ייצור וסל דלקים'!AI77*$D$10*$D$9/$D$11)/$D$12</f>
        <v>0</v>
      </c>
      <c r="V57" s="531">
        <f>(V32*'התפלגות ייצור וסל דלקים'!AJ77*$D$10*$D$9/$D$11)/$D$12</f>
        <v>0</v>
      </c>
      <c r="W57" s="531">
        <f>(W32*'התפלגות ייצור וסל דלקים'!AK77*$D$10*$D$9/$D$11)/$D$12</f>
        <v>0</v>
      </c>
      <c r="X57" s="556">
        <f>(X32*'התפלגות ייצור וסל דלקים'!AL77*$D$10*$D$9/$D$11)/$D$12</f>
        <v>120.12423254137578</v>
      </c>
      <c r="Y57" s="52">
        <f ca="1">(Y32*'התפלגות ייצור וסל דלקים'!AS77*$D$10*$D$9/$D$11)/$D$12</f>
        <v>2786.4270277040773</v>
      </c>
      <c r="Z57" s="54">
        <f ca="1">(Z32*'התפלגות ייצור וסל דלקים'!AT77*$D$10*$D$9/$D$11)/$D$12</f>
        <v>8490.7541778820796</v>
      </c>
      <c r="AA57" s="54">
        <f>(AA32*'התפלגות ייצור וסל דלקים'!AU77*$D$10*$D$9/$D$11)/$D$12</f>
        <v>0</v>
      </c>
      <c r="AB57" s="54">
        <f>(AB32*'התפלגות ייצור וסל דלקים'!AV77*$D$10*$D$9/$D$11)/$D$12</f>
        <v>0</v>
      </c>
      <c r="AC57" s="54">
        <f>(AC32*'התפלגות ייצור וסל דלקים'!AW77*$D$10*$D$9/$D$11)/$D$12</f>
        <v>0</v>
      </c>
      <c r="AD57" s="53">
        <f>(AD32*'התפלגות ייצור וסל דלקים'!AX77*$D$10*$D$9/$D$11)/$D$12</f>
        <v>120.12423254137578</v>
      </c>
      <c r="AE57" s="319">
        <f ca="1">(AE32*'התפלגות ייצור וסל דלקים'!BE77*$D$10*$D$9/$D$11)/$D$12</f>
        <v>2851.6708682194849</v>
      </c>
      <c r="AF57" s="531">
        <f ca="1">(AF32*'התפלגות ייצור וסל דלקים'!BF77*$D$10*$D$9/$D$11)/$D$12</f>
        <v>7915.4648243076745</v>
      </c>
      <c r="AG57" s="531">
        <f>(AG32*'התפלגות ייצור וסל דלקים'!BG77*$D$10*$D$9/$D$11)/$D$12</f>
        <v>0</v>
      </c>
      <c r="AH57" s="531">
        <f>(AH32*'התפלגות ייצור וסל דלקים'!BH77*$D$10*$D$9/$D$11)/$D$12</f>
        <v>0</v>
      </c>
      <c r="AI57" s="531">
        <f>(AI32*'התפלגות ייצור וסל דלקים'!BI77*$D$10*$D$9/$D$11)/$D$12</f>
        <v>0</v>
      </c>
      <c r="AJ57" s="556">
        <f>(AJ32*'התפלגות ייצור וסל דלקים'!BJ77*$D$10*$D$9/$D$11)/$D$12</f>
        <v>118.16328232625006</v>
      </c>
      <c r="AK57" s="52">
        <f ca="1">(AK32*'התפלגות ייצור וסל דלקים'!BQ77*$D$10*$D$9/$D$11)/$D$12</f>
        <v>2851.6708682194849</v>
      </c>
      <c r="AL57" s="54">
        <f ca="1">(AL32*'התפלגות ייצור וסל דלקים'!BR77*$D$10*$D$9/$D$11)/$D$12</f>
        <v>7915.4648243076745</v>
      </c>
      <c r="AM57" s="54">
        <f>(AM32*'התפלגות ייצור וסל דלקים'!BS77*$D$10*$D$9/$D$11)/$D$12</f>
        <v>0</v>
      </c>
      <c r="AN57" s="54">
        <f>(AN32*'התפלגות ייצור וסל דלקים'!BT77*$D$10*$D$9/$D$11)/$D$12</f>
        <v>0</v>
      </c>
      <c r="AO57" s="54">
        <f>(AO32*'התפלגות ייצור וסל דלקים'!BU77*$D$10*$D$9/$D$11)/$D$12</f>
        <v>0</v>
      </c>
      <c r="AP57" s="53">
        <f>(AP32*'התפלגות ייצור וסל דלקים'!BV77*$D$10*$D$9/$D$11)/$D$12</f>
        <v>118.16328232625006</v>
      </c>
    </row>
    <row r="58" spans="6:42" ht="15.75">
      <c r="F58" s="10">
        <f t="shared" si="88"/>
        <v>2034</v>
      </c>
      <c r="G58" s="319">
        <f ca="1">(G33*'התפלגות ייצור וסל דלקים'!I78*$D$10*$D$9/$D$11)/$D$12</f>
        <v>2614.601107613918</v>
      </c>
      <c r="H58" s="531">
        <f ca="1">(H33*'התפלגות ייצור וסל דלקים'!J78*$D$10*$D$9/$D$11)/$D$12</f>
        <v>9832.7709162169995</v>
      </c>
      <c r="I58" s="531">
        <f>(I33*'התפלגות ייצור וסל דלקים'!K78*$D$10*$D$9/$D$11)/$D$12</f>
        <v>0</v>
      </c>
      <c r="J58" s="531">
        <f>(J33*'התפלגות ייצור וסל דלקים'!L78*$D$10*$D$9/$D$11)/$D$12</f>
        <v>0</v>
      </c>
      <c r="K58" s="531">
        <f>(K33*'התפלגות ייצור וסל דלקים'!M78*$D$10*$D$9/$D$11)/$D$12</f>
        <v>0</v>
      </c>
      <c r="L58" s="556">
        <f>(L33*'התפלגות ייצור וסל דלקים'!N78*$D$10*$D$9/$D$11)/$D$12</f>
        <v>116.90098390894022</v>
      </c>
      <c r="M58" s="52">
        <f ca="1">(M33*'התפלגות ייצור וסל דלקים'!U78*$D$10*$D$9/$D$11)/$D$12</f>
        <v>2614.601107613918</v>
      </c>
      <c r="N58" s="54">
        <f ca="1">(N33*'התפלגות ייצור וסל דלקים'!V78*$D$10*$D$9/$D$11)/$D$12</f>
        <v>9832.7709162169995</v>
      </c>
      <c r="O58" s="54">
        <f>(O33*'התפלגות ייצור וסל דלקים'!W78*$D$10*$D$9/$D$11)/$D$12</f>
        <v>0</v>
      </c>
      <c r="P58" s="54">
        <f>(P33*'התפלגות ייצור וסל דלקים'!X78*$D$10*$D$9/$D$11)/$D$12</f>
        <v>0</v>
      </c>
      <c r="Q58" s="54">
        <f>(Q33*'התפלגות ייצור וסל דלקים'!Y78*$D$10*$D$9/$D$11)/$D$12</f>
        <v>0</v>
      </c>
      <c r="R58" s="53">
        <f>(R33*'התפלגות ייצור וסל דלקים'!Z78*$D$10*$D$9/$D$11)/$D$12</f>
        <v>116.90098390894022</v>
      </c>
      <c r="S58" s="319">
        <f ca="1">(S33*'התפלגות ייצור וסל דלקים'!AG78*$D$10*$D$9/$D$11)/$D$12</f>
        <v>2775.3462094505467</v>
      </c>
      <c r="T58" s="531">
        <f ca="1">(T33*'התפלגות ייצור וסל דלקים'!AH78*$D$10*$D$9/$D$11)/$D$12</f>
        <v>8793.679320843481</v>
      </c>
      <c r="U58" s="531">
        <f>(U33*'התפלגות ייצור וסל דלקים'!AI78*$D$10*$D$9/$D$11)/$D$12</f>
        <v>0</v>
      </c>
      <c r="V58" s="531">
        <f>(V33*'התפלגות ייצור וסל דלקים'!AJ78*$D$10*$D$9/$D$11)/$D$12</f>
        <v>0</v>
      </c>
      <c r="W58" s="531">
        <f>(W33*'התפלגות ייצור וסל דלקים'!AK78*$D$10*$D$9/$D$11)/$D$12</f>
        <v>0</v>
      </c>
      <c r="X58" s="556">
        <f>(X33*'התפלגות ייצור וסל דלקים'!AL78*$D$10*$D$9/$D$11)/$D$12</f>
        <v>118.60204915579627</v>
      </c>
      <c r="Y58" s="52">
        <f ca="1">(Y33*'התפלגות ייצור וסל דלקים'!AS78*$D$10*$D$9/$D$11)/$D$12</f>
        <v>2775.3462094505467</v>
      </c>
      <c r="Z58" s="54">
        <f ca="1">(Z33*'התפלגות ייצור וסל דלקים'!AT78*$D$10*$D$9/$D$11)/$D$12</f>
        <v>8793.679320843481</v>
      </c>
      <c r="AA58" s="54">
        <f>(AA33*'התפלגות ייצור וסל דלקים'!AU78*$D$10*$D$9/$D$11)/$D$12</f>
        <v>0</v>
      </c>
      <c r="AB58" s="54">
        <f>(AB33*'התפלגות ייצור וסל דלקים'!AV78*$D$10*$D$9/$D$11)/$D$12</f>
        <v>0</v>
      </c>
      <c r="AC58" s="54">
        <f>(AC33*'התפלגות ייצור וסל דלקים'!AW78*$D$10*$D$9/$D$11)/$D$12</f>
        <v>0</v>
      </c>
      <c r="AD58" s="53">
        <f>(AD33*'התפלגות ייצור וסל דלקים'!AX78*$D$10*$D$9/$D$11)/$D$12</f>
        <v>118.60204915579627</v>
      </c>
      <c r="AE58" s="319">
        <f ca="1">(AE33*'התפלגות ייצור וסל דלקים'!BE78*$D$10*$D$9/$D$11)/$D$12</f>
        <v>2838.3700347349672</v>
      </c>
      <c r="AF58" s="531">
        <f ca="1">(AF33*'התפלגות ייצור וסל דלקים'!BF78*$D$10*$D$9/$D$11)/$D$12</f>
        <v>8216.233841686344</v>
      </c>
      <c r="AG58" s="531">
        <f>(AG33*'התפלגות ייצור וסל דלקים'!BG78*$D$10*$D$9/$D$11)/$D$12</f>
        <v>0</v>
      </c>
      <c r="AH58" s="531">
        <f>(AH33*'התפלגות ייצור וסל דלקים'!BH78*$D$10*$D$9/$D$11)/$D$12</f>
        <v>0</v>
      </c>
      <c r="AI58" s="531">
        <f>(AI33*'התפלגות ייצור וסל דלקים'!BI78*$D$10*$D$9/$D$11)/$D$12</f>
        <v>0</v>
      </c>
      <c r="AJ58" s="556">
        <f>(AJ33*'התפלגות ייצור וסל דלקים'!BJ78*$D$10*$D$9/$D$11)/$D$12</f>
        <v>115.86819429477762</v>
      </c>
      <c r="AK58" s="52">
        <f ca="1">(AK33*'התפלגות ייצור וסל דלקים'!BQ78*$D$10*$D$9/$D$11)/$D$12</f>
        <v>2838.3700347349672</v>
      </c>
      <c r="AL58" s="54">
        <f ca="1">(AL33*'התפלגות ייצור וסל דלקים'!BR78*$D$10*$D$9/$D$11)/$D$12</f>
        <v>8216.233841686344</v>
      </c>
      <c r="AM58" s="54">
        <f>(AM33*'התפלגות ייצור וסל דלקים'!BS78*$D$10*$D$9/$D$11)/$D$12</f>
        <v>0</v>
      </c>
      <c r="AN58" s="54">
        <f>(AN33*'התפלגות ייצור וסל דלקים'!BT78*$D$10*$D$9/$D$11)/$D$12</f>
        <v>0</v>
      </c>
      <c r="AO58" s="54">
        <f>(AO33*'התפלגות ייצור וסל דלקים'!BU78*$D$10*$D$9/$D$11)/$D$12</f>
        <v>0</v>
      </c>
      <c r="AP58" s="53">
        <f>(AP33*'התפלגות ייצור וסל דלקים'!BV78*$D$10*$D$9/$D$11)/$D$12</f>
        <v>115.86819429477762</v>
      </c>
    </row>
    <row r="59" spans="6:42" ht="15.75">
      <c r="F59" s="10">
        <f t="shared" si="88"/>
        <v>2035</v>
      </c>
      <c r="G59" s="319">
        <f ca="1">(G34*'התפלגות ייצור וסל דלקים'!I79*$D$10*$D$9/$D$11)/$D$12</f>
        <v>2630.4571511110644</v>
      </c>
      <c r="H59" s="531">
        <f ca="1">(H34*'התפלגות ייצור וסל דלקים'!J79*$D$10*$D$9/$D$11)/$D$12</f>
        <v>10150.380247980625</v>
      </c>
      <c r="I59" s="531">
        <f>(I34*'התפלגות ייצור וסל דלקים'!K79*$D$10*$D$9/$D$11)/$D$12</f>
        <v>0</v>
      </c>
      <c r="J59" s="531">
        <f>(J34*'התפלגות ייצור וסל דלקים'!L79*$D$10*$D$9/$D$11)/$D$12</f>
        <v>0</v>
      </c>
      <c r="K59" s="531">
        <f>(K34*'התפלגות ייצור וסל דלקים'!M79*$D$10*$D$9/$D$11)/$D$12</f>
        <v>0</v>
      </c>
      <c r="L59" s="556">
        <f>(L34*'התפלגות ייצור וסל דלקים'!N79*$D$10*$D$9/$D$11)/$D$12</f>
        <v>116.55334557476129</v>
      </c>
      <c r="M59" s="52">
        <f ca="1">(M34*'התפלגות ייצור וסל דלקים'!U79*$D$10*$D$9/$D$11)/$D$12</f>
        <v>2630.4571511110644</v>
      </c>
      <c r="N59" s="54">
        <f ca="1">(N34*'התפלגות ייצור וסל דלקים'!V79*$D$10*$D$9/$D$11)/$D$12</f>
        <v>10150.380247980625</v>
      </c>
      <c r="O59" s="54">
        <f>(O34*'התפלגות ייצור וסל דלקים'!W79*$D$10*$D$9/$D$11)/$D$12</f>
        <v>0</v>
      </c>
      <c r="P59" s="54">
        <f>(P34*'התפלגות ייצור וסל דלקים'!X79*$D$10*$D$9/$D$11)/$D$12</f>
        <v>0</v>
      </c>
      <c r="Q59" s="54">
        <f>(Q34*'התפלגות ייצור וסל דלקים'!Y79*$D$10*$D$9/$D$11)/$D$12</f>
        <v>0</v>
      </c>
      <c r="R59" s="53">
        <f>(R34*'התפלגות ייצור וסל דלקים'!Z79*$D$10*$D$9/$D$11)/$D$12</f>
        <v>116.55334557476129</v>
      </c>
      <c r="S59" s="319">
        <f ca="1">(S34*'התפלגות ייצור וסל דלקים'!AG79*$D$10*$D$9/$D$11)/$D$12</f>
        <v>2797.8909863728591</v>
      </c>
      <c r="T59" s="531">
        <f ca="1">(T34*'התפלגות ייצור וסל דלקים'!AH79*$D$10*$D$9/$D$11)/$D$12</f>
        <v>9094.5358341942392</v>
      </c>
      <c r="U59" s="531">
        <f>(U34*'התפלגות ייצור וסל דלקים'!AI79*$D$10*$D$9/$D$11)/$D$12</f>
        <v>0</v>
      </c>
      <c r="V59" s="531">
        <f>(V34*'התפלגות ייצור וסל דלקים'!AJ79*$D$10*$D$9/$D$11)/$D$12</f>
        <v>0</v>
      </c>
      <c r="W59" s="531">
        <f>(W34*'התפלגות ייצור וסל דלקים'!AK79*$D$10*$D$9/$D$11)/$D$12</f>
        <v>0</v>
      </c>
      <c r="X59" s="556">
        <f>(X34*'התפלגות ייצור וסל דלקים'!AL79*$D$10*$D$9/$D$11)/$D$12</f>
        <v>117.03261395780407</v>
      </c>
      <c r="Y59" s="52">
        <f ca="1">(Y34*'התפלגות ייצור וסל דלקים'!AS79*$D$10*$D$9/$D$11)/$D$12</f>
        <v>2797.8909863728591</v>
      </c>
      <c r="Z59" s="54">
        <f ca="1">(Z34*'התפלגות ייצור וסל דלקים'!AT79*$D$10*$D$9/$D$11)/$D$12</f>
        <v>9094.5358341942392</v>
      </c>
      <c r="AA59" s="54">
        <f>(AA34*'התפלגות ייצור וסל דלקים'!AU79*$D$10*$D$9/$D$11)/$D$12</f>
        <v>0</v>
      </c>
      <c r="AB59" s="54">
        <f>(AB34*'התפלגות ייצור וסל דלקים'!AV79*$D$10*$D$9/$D$11)/$D$12</f>
        <v>0</v>
      </c>
      <c r="AC59" s="54">
        <f>(AC34*'התפלגות ייצור וסל דלקים'!AW79*$D$10*$D$9/$D$11)/$D$12</f>
        <v>0</v>
      </c>
      <c r="AD59" s="53">
        <f>(AD34*'התפלגות ייצור וסל דלקים'!AX79*$D$10*$D$9/$D$11)/$D$12</f>
        <v>117.03261395780407</v>
      </c>
      <c r="AE59" s="319">
        <f ca="1">(AE34*'התפלגות ייצור וסל דלקים'!BE79*$D$10*$D$9/$D$11)/$D$12</f>
        <v>2851.7124936160149</v>
      </c>
      <c r="AF59" s="531">
        <f ca="1">(AF34*'התפלגות ייצור וסל דלקים'!BF79*$D$10*$D$9/$D$11)/$D$12</f>
        <v>8497.6030208572774</v>
      </c>
      <c r="AG59" s="531">
        <f>(AG34*'התפלגות ייצור וסל דלקים'!BG79*$D$10*$D$9/$D$11)/$D$12</f>
        <v>0</v>
      </c>
      <c r="AH59" s="531">
        <f>(AH34*'התפלגות ייצור וסל דלקים'!BH79*$D$10*$D$9/$D$11)/$D$12</f>
        <v>0</v>
      </c>
      <c r="AI59" s="531">
        <f>(AI34*'התפלגות ייצור וסל דלקים'!BI79*$D$10*$D$9/$D$11)/$D$12</f>
        <v>0</v>
      </c>
      <c r="AJ59" s="556">
        <f>(AJ34*'התפלגות ייצור וסל דלקים'!BJ79*$D$10*$D$9/$D$11)/$D$12</f>
        <v>115.93569688393858</v>
      </c>
      <c r="AK59" s="52">
        <f ca="1">(AK34*'התפלגות ייצור וסל דלקים'!BQ79*$D$10*$D$9/$D$11)/$D$12</f>
        <v>2851.7124936160149</v>
      </c>
      <c r="AL59" s="54">
        <f ca="1">(AL34*'התפלגות ייצור וסל דלקים'!BR79*$D$10*$D$9/$D$11)/$D$12</f>
        <v>8497.6030208572774</v>
      </c>
      <c r="AM59" s="54">
        <f>(AM34*'התפלגות ייצור וסל דלקים'!BS79*$D$10*$D$9/$D$11)/$D$12</f>
        <v>0</v>
      </c>
      <c r="AN59" s="54">
        <f>(AN34*'התפלגות ייצור וסל דלקים'!BT79*$D$10*$D$9/$D$11)/$D$12</f>
        <v>0</v>
      </c>
      <c r="AO59" s="54">
        <f>(AO34*'התפלגות ייצור וסל דלקים'!BU79*$D$10*$D$9/$D$11)/$D$12</f>
        <v>0</v>
      </c>
      <c r="AP59" s="53">
        <f>(AP34*'התפלגות ייצור וסל דלקים'!BV79*$D$10*$D$9/$D$11)/$D$12</f>
        <v>115.93569688393858</v>
      </c>
    </row>
    <row r="60" spans="6:42" ht="15.75">
      <c r="F60" s="10">
        <f t="shared" si="88"/>
        <v>2036</v>
      </c>
      <c r="G60" s="319">
        <f ca="1">(G35*'התפלגות ייצור וסל דלקים'!I80*$D$10*$D$9/$D$11)/$D$12</f>
        <v>2681.4203160258367</v>
      </c>
      <c r="H60" s="531">
        <f ca="1">(H35*'התפלגות ייצור וסל דלקים'!J80*$D$10*$D$9/$D$11)/$D$12</f>
        <v>10456.843810065886</v>
      </c>
      <c r="I60" s="531">
        <f>(I35*'התפלגות ייצור וסל דלקים'!K80*$D$10*$D$9/$D$11)/$D$12</f>
        <v>0</v>
      </c>
      <c r="J60" s="531">
        <f>(J35*'התפלגות ייצור וסל דלקים'!L80*$D$10*$D$9/$D$11)/$D$12</f>
        <v>0</v>
      </c>
      <c r="K60" s="531">
        <f>(K35*'התפלגות ייצור וסל דלקים'!M80*$D$10*$D$9/$D$11)/$D$12</f>
        <v>0</v>
      </c>
      <c r="L60" s="556">
        <f>(L35*'התפלגות ייצור וסל דלקים'!N80*$D$10*$D$9/$D$11)/$D$12</f>
        <v>117.45788026951809</v>
      </c>
      <c r="M60" s="52">
        <f ca="1">(M35*'התפלגות ייצור וסל דלקים'!U80*$D$10*$D$9/$D$11)/$D$12</f>
        <v>2681.4203160258367</v>
      </c>
      <c r="N60" s="54">
        <f ca="1">(N35*'התפלגות ייצור וסל דלקים'!V80*$D$10*$D$9/$D$11)/$D$12</f>
        <v>10456.843810065886</v>
      </c>
      <c r="O60" s="54">
        <f>(O35*'התפלגות ייצור וסל דלקים'!W80*$D$10*$D$9/$D$11)/$D$12</f>
        <v>0</v>
      </c>
      <c r="P60" s="54">
        <f>(P35*'התפלגות ייצור וסל דלקים'!X80*$D$10*$D$9/$D$11)/$D$12</f>
        <v>0</v>
      </c>
      <c r="Q60" s="54">
        <f>(Q35*'התפלגות ייצור וסל דלקים'!Y80*$D$10*$D$9/$D$11)/$D$12</f>
        <v>0</v>
      </c>
      <c r="R60" s="53">
        <f>(R35*'התפלגות ייצור וסל דלקים'!Z80*$D$10*$D$9/$D$11)/$D$12</f>
        <v>117.45788026951809</v>
      </c>
      <c r="S60" s="319">
        <f ca="1">(S35*'התפלגות ייצור וסל דלקים'!AG80*$D$10*$D$9/$D$11)/$D$12</f>
        <v>2825.4587389684038</v>
      </c>
      <c r="T60" s="531">
        <f ca="1">(T35*'התפלגות ייצור וסל דלקים'!AH80*$D$10*$D$9/$D$11)/$D$12</f>
        <v>9400.3758458896664</v>
      </c>
      <c r="U60" s="531">
        <f>(U35*'התפלגות ייצור וסל דלקים'!AI80*$D$10*$D$9/$D$11)/$D$12</f>
        <v>0</v>
      </c>
      <c r="V60" s="531">
        <f>(V35*'התפלגות ייצור וסל דלקים'!AJ80*$D$10*$D$9/$D$11)/$D$12</f>
        <v>0</v>
      </c>
      <c r="W60" s="531">
        <f>(W35*'התפלגות ייצור וסל דלקים'!AK80*$D$10*$D$9/$D$11)/$D$12</f>
        <v>0</v>
      </c>
      <c r="X60" s="556">
        <f>(X35*'התפלגות ייצור וסל דלקים'!AL80*$D$10*$D$9/$D$11)/$D$12</f>
        <v>117.99115072388963</v>
      </c>
      <c r="Y60" s="52">
        <f ca="1">(Y35*'התפלגות ייצור וסל דלקים'!AS80*$D$10*$D$9/$D$11)/$D$12</f>
        <v>2825.4587389684038</v>
      </c>
      <c r="Z60" s="54">
        <f ca="1">(Z35*'התפלגות ייצור וסל דלקים'!AT80*$D$10*$D$9/$D$11)/$D$12</f>
        <v>9400.3758458896664</v>
      </c>
      <c r="AA60" s="54">
        <f>(AA35*'התפלגות ייצור וסל דלקים'!AU80*$D$10*$D$9/$D$11)/$D$12</f>
        <v>0</v>
      </c>
      <c r="AB60" s="54">
        <f>(AB35*'התפלגות ייצור וסל דלקים'!AV80*$D$10*$D$9/$D$11)/$D$12</f>
        <v>0</v>
      </c>
      <c r="AC60" s="54">
        <f>(AC35*'התפלגות ייצור וסל דלקים'!AW80*$D$10*$D$9/$D$11)/$D$12</f>
        <v>0</v>
      </c>
      <c r="AD60" s="53">
        <f>(AD35*'התפלגות ייצור וסל דלקים'!AX80*$D$10*$D$9/$D$11)/$D$12</f>
        <v>117.99115072388963</v>
      </c>
      <c r="AE60" s="319">
        <f ca="1">(AE35*'התפלגות ייצור וסל דלקים'!BE80*$D$10*$D$9/$D$11)/$D$12</f>
        <v>2877.9256568841079</v>
      </c>
      <c r="AF60" s="531">
        <f ca="1">(AF35*'התפלגות ייצור וסל דלקים'!BF80*$D$10*$D$9/$D$11)/$D$12</f>
        <v>8803.5649681415634</v>
      </c>
      <c r="AG60" s="531">
        <f>(AG35*'התפלגות ייצור וסל דלקים'!BG80*$D$10*$D$9/$D$11)/$D$12</f>
        <v>0</v>
      </c>
      <c r="AH60" s="531">
        <f>(AH35*'התפלגות ייצור וסל דלקים'!BH80*$D$10*$D$9/$D$11)/$D$12</f>
        <v>0</v>
      </c>
      <c r="AI60" s="531">
        <f>(AI35*'התפלגות ייצור וסל דלקים'!BI80*$D$10*$D$9/$D$11)/$D$12</f>
        <v>0</v>
      </c>
      <c r="AJ60" s="556">
        <f>(AJ35*'התפלגות ייצור וסל דלקים'!BJ80*$D$10*$D$9/$D$11)/$D$12</f>
        <v>117.15074348883577</v>
      </c>
      <c r="AK60" s="52">
        <f ca="1">(AK35*'התפלגות ייצור וסל דלקים'!BQ80*$D$10*$D$9/$D$11)/$D$12</f>
        <v>2877.9256568841079</v>
      </c>
      <c r="AL60" s="54">
        <f ca="1">(AL35*'התפלגות ייצור וסל דלקים'!BR80*$D$10*$D$9/$D$11)/$D$12</f>
        <v>8803.5649681415634</v>
      </c>
      <c r="AM60" s="54">
        <f>(AM35*'התפלגות ייצור וסל דלקים'!BS80*$D$10*$D$9/$D$11)/$D$12</f>
        <v>0</v>
      </c>
      <c r="AN60" s="54">
        <f>(AN35*'התפלגות ייצור וסל דלקים'!BT80*$D$10*$D$9/$D$11)/$D$12</f>
        <v>0</v>
      </c>
      <c r="AO60" s="54">
        <f>(AO35*'התפלגות ייצור וסל דלקים'!BU80*$D$10*$D$9/$D$11)/$D$12</f>
        <v>0</v>
      </c>
      <c r="AP60" s="53">
        <f>(AP35*'התפלגות ייצור וסל דלקים'!BV80*$D$10*$D$9/$D$11)/$D$12</f>
        <v>117.15074348883577</v>
      </c>
    </row>
    <row r="61" spans="6:42" ht="15.75">
      <c r="F61" s="10">
        <f t="shared" si="88"/>
        <v>2037</v>
      </c>
      <c r="G61" s="319">
        <f ca="1">(G36*'התפלגות ייצור וסל דלקים'!I81*$D$10*$D$9/$D$11)/$D$12</f>
        <v>2707.8154956758135</v>
      </c>
      <c r="H61" s="531">
        <f ca="1">(H36*'התפלגות ייצור וסל דלקים'!J81*$D$10*$D$9/$D$11)/$D$12</f>
        <v>10784.754626140857</v>
      </c>
      <c r="I61" s="531">
        <f>(I36*'התפלגות ייצור וסל דלקים'!K81*$D$10*$D$9/$D$11)/$D$12</f>
        <v>0</v>
      </c>
      <c r="J61" s="531">
        <f>(J36*'התפלגות ייצור וסל דלקים'!L81*$D$10*$D$9/$D$11)/$D$12</f>
        <v>0</v>
      </c>
      <c r="K61" s="531">
        <f>(K36*'התפלגות ייצור וסל דלקים'!M81*$D$10*$D$9/$D$11)/$D$12</f>
        <v>0</v>
      </c>
      <c r="L61" s="556">
        <f>(L36*'התפלגות ייצור וסל דלקים'!N81*$D$10*$D$9/$D$11)/$D$12</f>
        <v>117.52538285867904</v>
      </c>
      <c r="M61" s="52">
        <f ca="1">(M36*'התפלגות ייצור וסל דלקים'!U81*$D$10*$D$9/$D$11)/$D$12</f>
        <v>2707.8154956758135</v>
      </c>
      <c r="N61" s="54">
        <f ca="1">(N36*'התפלגות ייצור וסל דלקים'!V81*$D$10*$D$9/$D$11)/$D$12</f>
        <v>10784.754626140857</v>
      </c>
      <c r="O61" s="54">
        <f>(O36*'התפלגות ייצור וסל דלקים'!W81*$D$10*$D$9/$D$11)/$D$12</f>
        <v>0</v>
      </c>
      <c r="P61" s="54">
        <f>(P36*'התפלגות ייצור וסל דלקים'!X81*$D$10*$D$9/$D$11)/$D$12</f>
        <v>0</v>
      </c>
      <c r="Q61" s="54">
        <f>(Q36*'התפלגות ייצור וסל דלקים'!Y81*$D$10*$D$9/$D$11)/$D$12</f>
        <v>0</v>
      </c>
      <c r="R61" s="53">
        <f>(R36*'התפלגות ייצור וסל דלקים'!Z81*$D$10*$D$9/$D$11)/$D$12</f>
        <v>117.52538285867904</v>
      </c>
      <c r="S61" s="319">
        <f ca="1">(S36*'התפלגות ייצור וסל דלקים'!AG81*$D$10*$D$9/$D$11)/$D$12</f>
        <v>2819.5118588446394</v>
      </c>
      <c r="T61" s="531">
        <f ca="1">(T36*'התפלגות ייצור וסל דלקים'!AH81*$D$10*$D$9/$D$11)/$D$12</f>
        <v>9727.1268658825538</v>
      </c>
      <c r="U61" s="531">
        <f>(U36*'התפלגות ייצור וסל דלקים'!AI81*$D$10*$D$9/$D$11)/$D$12</f>
        <v>0</v>
      </c>
      <c r="V61" s="531">
        <f>(V36*'התפלגות ייצור וסל דלקים'!AJ81*$D$10*$D$9/$D$11)/$D$12</f>
        <v>0</v>
      </c>
      <c r="W61" s="531">
        <f>(W36*'התפלגות ייצור וסל דלקים'!AK81*$D$10*$D$9/$D$11)/$D$12</f>
        <v>0</v>
      </c>
      <c r="X61" s="556">
        <f>(X36*'התפלגות ייצור וסל דלקים'!AL81*$D$10*$D$9/$D$11)/$D$12</f>
        <v>118.88893515973029</v>
      </c>
      <c r="Y61" s="52">
        <f ca="1">(Y36*'התפלגות ייצור וסל דלקים'!AS81*$D$10*$D$9/$D$11)/$D$12</f>
        <v>2819.5118588446394</v>
      </c>
      <c r="Z61" s="54">
        <f ca="1">(Z36*'התפלגות ייצור וסל דלקים'!AT81*$D$10*$D$9/$D$11)/$D$12</f>
        <v>9727.1268658825538</v>
      </c>
      <c r="AA61" s="54">
        <f>(AA36*'התפלגות ייצור וסל דלקים'!AU81*$D$10*$D$9/$D$11)/$D$12</f>
        <v>0</v>
      </c>
      <c r="AB61" s="54">
        <f>(AB36*'התפלגות ייצור וסל דלקים'!AV81*$D$10*$D$9/$D$11)/$D$12</f>
        <v>0</v>
      </c>
      <c r="AC61" s="54">
        <f>(AC36*'התפלגות ייצור וסל דלקים'!AW81*$D$10*$D$9/$D$11)/$D$12</f>
        <v>0</v>
      </c>
      <c r="AD61" s="53">
        <f>(AD36*'התפלגות ייצור וסל דלקים'!AX81*$D$10*$D$9/$D$11)/$D$12</f>
        <v>118.88893515973029</v>
      </c>
      <c r="AE61" s="319">
        <f ca="1">(AE36*'התפלגות ייצור וסל דלקים'!BE81*$D$10*$D$9/$D$11)/$D$12</f>
        <v>2871.3584909349088</v>
      </c>
      <c r="AF61" s="531">
        <f ca="1">(AF36*'התפלגות ייצור וסל דלקים'!BF81*$D$10*$D$9/$D$11)/$D$12</f>
        <v>9137.7433255137912</v>
      </c>
      <c r="AG61" s="531">
        <f>(AG36*'התפלגות ייצור וסל דלקים'!BG81*$D$10*$D$9/$D$11)/$D$12</f>
        <v>0</v>
      </c>
      <c r="AH61" s="531">
        <f>(AH36*'התפלגות ייצור וסל דלקים'!BH81*$D$10*$D$9/$D$11)/$D$12</f>
        <v>0</v>
      </c>
      <c r="AI61" s="531">
        <f>(AI36*'התפלגות ייצור וסל דלקים'!BI81*$D$10*$D$9/$D$11)/$D$12</f>
        <v>0</v>
      </c>
      <c r="AJ61" s="556">
        <f>(AJ36*'התפלגות ייצור וסל דלקים'!BJ81*$D$10*$D$9/$D$11)/$D$12</f>
        <v>116.74572795387003</v>
      </c>
      <c r="AK61" s="52">
        <f ca="1">(AK36*'התפלגות ייצור וסל דלקים'!BQ81*$D$10*$D$9/$D$11)/$D$12</f>
        <v>2871.3584909349088</v>
      </c>
      <c r="AL61" s="54">
        <f ca="1">(AL36*'התפלגות ייצור וסל דלקים'!BR81*$D$10*$D$9/$D$11)/$D$12</f>
        <v>9137.7433255137912</v>
      </c>
      <c r="AM61" s="54">
        <f>(AM36*'התפלגות ייצור וסל דלקים'!BS81*$D$10*$D$9/$D$11)/$D$12</f>
        <v>0</v>
      </c>
      <c r="AN61" s="54">
        <f>(AN36*'התפלגות ייצור וסל דלקים'!BT81*$D$10*$D$9/$D$11)/$D$12</f>
        <v>0</v>
      </c>
      <c r="AO61" s="54">
        <f>(AO36*'התפלגות ייצור וסל דלקים'!BU81*$D$10*$D$9/$D$11)/$D$12</f>
        <v>0</v>
      </c>
      <c r="AP61" s="53">
        <f>(AP36*'התפלגות ייצור וסל דלקים'!BV81*$D$10*$D$9/$D$11)/$D$12</f>
        <v>116.74572795387003</v>
      </c>
    </row>
    <row r="62" spans="6:42" ht="15.75">
      <c r="F62" s="10">
        <f t="shared" si="88"/>
        <v>2038</v>
      </c>
      <c r="G62" s="319">
        <f ca="1">(G37*'התפלגות ייצור וסל דלקים'!I82*$D$10*$D$9/$D$11)/$D$12</f>
        <v>2735.6744038567563</v>
      </c>
      <c r="H62" s="531">
        <f ca="1">(H37*'התפלגות ייצור וסל דלקים'!J82*$D$10*$D$9/$D$11)/$D$12</f>
        <v>11118.808800137782</v>
      </c>
      <c r="I62" s="531">
        <f>(I37*'התפלגות ייצור וסל דלקים'!K82*$D$10*$D$9/$D$11)/$D$12</f>
        <v>0</v>
      </c>
      <c r="J62" s="531">
        <f>(J37*'התפלגות ייצור וסל דלקים'!L82*$D$10*$D$9/$D$11)/$D$12</f>
        <v>0</v>
      </c>
      <c r="K62" s="531">
        <f>(K37*'התפלגות ייצור וסל דלקים'!M82*$D$10*$D$9/$D$11)/$D$12</f>
        <v>0</v>
      </c>
      <c r="L62" s="556">
        <f>(L37*'התפלגות ייצור וסל דלקים'!N82*$D$10*$D$9/$D$11)/$D$12</f>
        <v>115.67918704512698</v>
      </c>
      <c r="M62" s="52">
        <f ca="1">(M37*'התפלגות ייצור וסל דלקים'!U82*$D$10*$D$9/$D$11)/$D$12</f>
        <v>2735.6744038567563</v>
      </c>
      <c r="N62" s="54">
        <f ca="1">(N37*'התפלגות ייצור וסל דלקים'!V82*$D$10*$D$9/$D$11)/$D$12</f>
        <v>11118.808800137782</v>
      </c>
      <c r="O62" s="54">
        <f>(O37*'התפלגות ייצור וסל דלקים'!W82*$D$10*$D$9/$D$11)/$D$12</f>
        <v>0</v>
      </c>
      <c r="P62" s="54">
        <f>(P37*'התפלגות ייצור וסל דלקים'!X82*$D$10*$D$9/$D$11)/$D$12</f>
        <v>0</v>
      </c>
      <c r="Q62" s="54">
        <f>(Q37*'התפלגות ייצור וסל דלקים'!Y82*$D$10*$D$9/$D$11)/$D$12</f>
        <v>0</v>
      </c>
      <c r="R62" s="53">
        <f>(R37*'התפלגות ייצור וסל דלקים'!Z82*$D$10*$D$9/$D$11)/$D$12</f>
        <v>115.67918704512698</v>
      </c>
      <c r="S62" s="319">
        <f ca="1">(S37*'התפלגות ייצור וסל דלקים'!AG82*$D$10*$D$9/$D$11)/$D$12</f>
        <v>2851.8618587481287</v>
      </c>
      <c r="T62" s="531">
        <f ca="1">(T37*'התפלגות ייצור וסל דלקים'!AH82*$D$10*$D$9/$D$11)/$D$12</f>
        <v>10045.934108729107</v>
      </c>
      <c r="U62" s="531">
        <f>(U37*'התפלגות ייצור וסל דלקים'!AI82*$D$10*$D$9/$D$11)/$D$12</f>
        <v>0</v>
      </c>
      <c r="V62" s="531">
        <f>(V37*'התפלגות ייצור וסל דלקים'!AJ82*$D$10*$D$9/$D$11)/$D$12</f>
        <v>0</v>
      </c>
      <c r="W62" s="531">
        <f>(W37*'התפלגות ייצור וסל דלקים'!AK82*$D$10*$D$9/$D$11)/$D$12</f>
        <v>0</v>
      </c>
      <c r="X62" s="556">
        <f>(X37*'התפלגות ייצור וסל דלקים'!AL82*$D$10*$D$9/$D$11)/$D$12</f>
        <v>116.99548753376558</v>
      </c>
      <c r="Y62" s="52">
        <f ca="1">(Y37*'התפלגות ייצור וסל דלקים'!AS82*$D$10*$D$9/$D$11)/$D$12</f>
        <v>2851.8618587481287</v>
      </c>
      <c r="Z62" s="54">
        <f ca="1">(Z37*'התפלגות ייצור וסל דלקים'!AT82*$D$10*$D$9/$D$11)/$D$12</f>
        <v>10045.934108729107</v>
      </c>
      <c r="AA62" s="54">
        <f>(AA37*'התפלגות ייצור וסל דלקים'!AU82*$D$10*$D$9/$D$11)/$D$12</f>
        <v>0</v>
      </c>
      <c r="AB62" s="54">
        <f>(AB37*'התפלגות ייצור וסל דלקים'!AV82*$D$10*$D$9/$D$11)/$D$12</f>
        <v>0</v>
      </c>
      <c r="AC62" s="54">
        <f>(AC37*'התפלגות ייצור וסל דלקים'!AW82*$D$10*$D$9/$D$11)/$D$12</f>
        <v>0</v>
      </c>
      <c r="AD62" s="53">
        <f>(AD37*'התפלגות ייצור וסל דלקים'!AX82*$D$10*$D$9/$D$11)/$D$12</f>
        <v>116.99548753376558</v>
      </c>
      <c r="AE62" s="319">
        <f ca="1">(AE37*'התפלגות ייצור וסל דלקים'!BE82*$D$10*$D$9/$D$11)/$D$12</f>
        <v>2917.0511499357781</v>
      </c>
      <c r="AF62" s="531">
        <f ca="1">(AF37*'התפלגות ייצור וסל דלקים'!BF82*$D$10*$D$9/$D$11)/$D$12</f>
        <v>9451.2784285335511</v>
      </c>
      <c r="AG62" s="531">
        <f>(AG37*'התפלגות ייצור וסל דלקים'!BG82*$D$10*$D$9/$D$11)/$D$12</f>
        <v>0</v>
      </c>
      <c r="AH62" s="531">
        <f>(AH37*'התפלגות ייצור וסל דלקים'!BH82*$D$10*$D$9/$D$11)/$D$12</f>
        <v>0</v>
      </c>
      <c r="AI62" s="531">
        <f>(AI37*'התפלגות ייצור וסל דלקים'!BI82*$D$10*$D$9/$D$11)/$D$12</f>
        <v>0</v>
      </c>
      <c r="AJ62" s="556">
        <f>(AJ37*'התפלגות ייצור וסל דלקים'!BJ82*$D$10*$D$9/$D$11)/$D$12</f>
        <v>115.1594171085876</v>
      </c>
      <c r="AK62" s="52">
        <f ca="1">(AK37*'התפלגות ייצור וסל דלקים'!BQ82*$D$10*$D$9/$D$11)/$D$12</f>
        <v>2917.0511499357781</v>
      </c>
      <c r="AL62" s="54">
        <f ca="1">(AL37*'התפלגות ייצור וסל דלקים'!BR82*$D$10*$D$9/$D$11)/$D$12</f>
        <v>9451.2784285335511</v>
      </c>
      <c r="AM62" s="54">
        <f>(AM37*'התפלגות ייצור וסל דלקים'!BS82*$D$10*$D$9/$D$11)/$D$12</f>
        <v>0</v>
      </c>
      <c r="AN62" s="54">
        <f>(AN37*'התפלגות ייצור וסל דלקים'!BT82*$D$10*$D$9/$D$11)/$D$12</f>
        <v>0</v>
      </c>
      <c r="AO62" s="54">
        <f>(AO37*'התפלגות ייצור וסל דלקים'!BU82*$D$10*$D$9/$D$11)/$D$12</f>
        <v>0</v>
      </c>
      <c r="AP62" s="53">
        <f>(AP37*'התפלגות ייצור וסל דלקים'!BV82*$D$10*$D$9/$D$11)/$D$12</f>
        <v>115.1594171085876</v>
      </c>
    </row>
    <row r="63" spans="6:42" ht="15.75">
      <c r="F63" s="10">
        <f t="shared" si="88"/>
        <v>2039</v>
      </c>
      <c r="G63" s="319">
        <f ca="1">(G38*'התפלגות ייצור וסל דלקים'!I83*$D$10*$D$9/$D$11)/$D$12</f>
        <v>2759.501381861784</v>
      </c>
      <c r="H63" s="531">
        <f ca="1">(H38*'התפלגות ייצור וסל דלקים'!J83*$D$10*$D$9/$D$11)/$D$12</f>
        <v>11471.636684521409</v>
      </c>
      <c r="I63" s="531">
        <f>(I38*'התפלגות ייצור וסל דלקים'!K83*$D$10*$D$9/$D$11)/$D$12</f>
        <v>0</v>
      </c>
      <c r="J63" s="531">
        <f>(J38*'התפלגות ייצור וסל דלקים'!L83*$D$10*$D$9/$D$11)/$D$12</f>
        <v>0</v>
      </c>
      <c r="K63" s="531">
        <f>(K38*'התפלגות ייצור וסל דלקים'!M83*$D$10*$D$9/$D$11)/$D$12</f>
        <v>0</v>
      </c>
      <c r="L63" s="556">
        <f>(L38*'התפלגות ייצור וסל דלקים'!N83*$D$10*$D$9/$D$11)/$D$12</f>
        <v>116.69172588254125</v>
      </c>
      <c r="M63" s="52">
        <f ca="1">(M38*'התפלגות ייצור וסל דלקים'!U83*$D$10*$D$9/$D$11)/$D$12</f>
        <v>2759.501381861784</v>
      </c>
      <c r="N63" s="54">
        <f ca="1">(N38*'התפלגות ייצור וסל דלקים'!V83*$D$10*$D$9/$D$11)/$D$12</f>
        <v>11471.636684521409</v>
      </c>
      <c r="O63" s="54">
        <f>(O38*'התפלגות ייצור וסל דלקים'!W83*$D$10*$D$9/$D$11)/$D$12</f>
        <v>0</v>
      </c>
      <c r="P63" s="54">
        <f>(P38*'התפלגות ייצור וסל דלקים'!X83*$D$10*$D$9/$D$11)/$D$12</f>
        <v>0</v>
      </c>
      <c r="Q63" s="54">
        <f>(Q38*'התפלגות ייצור וסל דלקים'!Y83*$D$10*$D$9/$D$11)/$D$12</f>
        <v>0</v>
      </c>
      <c r="R63" s="53">
        <f>(R38*'התפלגות ייצור וסל דלקים'!Z83*$D$10*$D$9/$D$11)/$D$12</f>
        <v>116.69172588254125</v>
      </c>
      <c r="S63" s="319">
        <f ca="1">(S38*'התפלגות ייצור וסל דלקים'!AG83*$D$10*$D$9/$D$11)/$D$12</f>
        <v>2850.2489652497866</v>
      </c>
      <c r="T63" s="531">
        <f ca="1">(T38*'התפלגות ייצור וסל דלקים'!AH83*$D$10*$D$9/$D$11)/$D$12</f>
        <v>10393.805525703354</v>
      </c>
      <c r="U63" s="531">
        <f>(U38*'התפלגות ייצור וסל דלקים'!AI83*$D$10*$D$9/$D$11)/$D$12</f>
        <v>0</v>
      </c>
      <c r="V63" s="531">
        <f>(V38*'התפלגות ייצור וסל דלקים'!AJ83*$D$10*$D$9/$D$11)/$D$12</f>
        <v>0</v>
      </c>
      <c r="W63" s="531">
        <f>(W38*'התפלגות ייצור וסל דלקים'!AK83*$D$10*$D$9/$D$11)/$D$12</f>
        <v>0</v>
      </c>
      <c r="X63" s="556">
        <f>(X38*'התפלגות ייצור וסל דלקים'!AL83*$D$10*$D$9/$D$11)/$D$12</f>
        <v>118.93281184268494</v>
      </c>
      <c r="Y63" s="52">
        <f ca="1">(Y38*'התפלגות ייצור וסל דלקים'!AS83*$D$10*$D$9/$D$11)/$D$12</f>
        <v>2850.2489652497866</v>
      </c>
      <c r="Z63" s="54">
        <f ca="1">(Z38*'התפלגות ייצור וסל דלקים'!AT83*$D$10*$D$9/$D$11)/$D$12</f>
        <v>10393.805525703354</v>
      </c>
      <c r="AA63" s="54">
        <f>(AA38*'התפלגות ייצור וסל דלקים'!AU83*$D$10*$D$9/$D$11)/$D$12</f>
        <v>0</v>
      </c>
      <c r="AB63" s="54">
        <f>(AB38*'התפלגות ייצור וסל דלקים'!AV83*$D$10*$D$9/$D$11)/$D$12</f>
        <v>0</v>
      </c>
      <c r="AC63" s="54">
        <f>(AC38*'התפלגות ייצור וסל דלקים'!AW83*$D$10*$D$9/$D$11)/$D$12</f>
        <v>0</v>
      </c>
      <c r="AD63" s="53">
        <f>(AD38*'התפלגות ייצור וסל דלקים'!AX83*$D$10*$D$9/$D$11)/$D$12</f>
        <v>118.93281184268494</v>
      </c>
      <c r="AE63" s="319">
        <f ca="1">(AE38*'התפלגות ייצור וסל דלקים'!BE83*$D$10*$D$9/$D$11)/$D$12</f>
        <v>2923.9651941893922</v>
      </c>
      <c r="AF63" s="531">
        <f ca="1">(AF38*'התפלגות ייצור וסל דלקים'!BF83*$D$10*$D$9/$D$11)/$D$12</f>
        <v>9811.0038516752466</v>
      </c>
      <c r="AG63" s="531">
        <f>(AG38*'התפלגות ייצור וסל דלקים'!BG83*$D$10*$D$9/$D$11)/$D$12</f>
        <v>0</v>
      </c>
      <c r="AH63" s="531">
        <f>(AH38*'התפלגות ייצור וסל דלקים'!BH83*$D$10*$D$9/$D$11)/$D$12</f>
        <v>0</v>
      </c>
      <c r="AI63" s="531">
        <f>(AI38*'התפלגות ייצור וסל דלקים'!BI83*$D$10*$D$9/$D$11)/$D$12</f>
        <v>0</v>
      </c>
      <c r="AJ63" s="556">
        <f>(AJ38*'התפלגות ייצור וסל דלקים'!BJ83*$D$10*$D$9/$D$11)/$D$12</f>
        <v>115.90194558935812</v>
      </c>
      <c r="AK63" s="52">
        <f ca="1">(AK38*'התפלגות ייצור וסל דלקים'!BQ83*$D$10*$D$9/$D$11)/$D$12</f>
        <v>2923.9651941893922</v>
      </c>
      <c r="AL63" s="54">
        <f ca="1">(AL38*'התפלגות ייצור וסל דלקים'!BR83*$D$10*$D$9/$D$11)/$D$12</f>
        <v>9811.0038516752466</v>
      </c>
      <c r="AM63" s="54">
        <f>(AM38*'התפלגות ייצור וסל דלקים'!BS83*$D$10*$D$9/$D$11)/$D$12</f>
        <v>0</v>
      </c>
      <c r="AN63" s="54">
        <f>(AN38*'התפלגות ייצור וסל דלקים'!BT83*$D$10*$D$9/$D$11)/$D$12</f>
        <v>0</v>
      </c>
      <c r="AO63" s="54">
        <f>(AO38*'התפלגות ייצור וסל דלקים'!BU83*$D$10*$D$9/$D$11)/$D$12</f>
        <v>0</v>
      </c>
      <c r="AP63" s="53">
        <f>(AP38*'התפלגות ייצור וסל דלקים'!BV83*$D$10*$D$9/$D$11)/$D$12</f>
        <v>115.90194558935812</v>
      </c>
    </row>
    <row r="64" spans="6:42" ht="16.5" thickBot="1">
      <c r="F64" s="10">
        <f t="shared" si="88"/>
        <v>2040</v>
      </c>
      <c r="G64" s="553">
        <f ca="1">(G39*'התפלגות ייצור וסל דלקים'!I84*$D$10*$D$9/$D$11)/$D$12</f>
        <v>2778.8375769513154</v>
      </c>
      <c r="H64" s="554">
        <f ca="1">(H39*'התפלגות ייצור וסל דלקים'!J84*$D$10*$D$9/$D$11)/$D$12</f>
        <v>11841.458617851302</v>
      </c>
      <c r="I64" s="554">
        <f>(I39*'התפלגות ייצור וסל דלקים'!K84*$D$10*$D$9/$D$11)/$D$12</f>
        <v>0</v>
      </c>
      <c r="J64" s="554">
        <f>(J39*'התפלגות ייצור וסל דלקים'!L84*$D$10*$D$9/$D$11)/$D$12</f>
        <v>0</v>
      </c>
      <c r="K64" s="554">
        <f>(K39*'התפלגות ייצור וסל דלקים'!M84*$D$10*$D$9/$D$11)/$D$12</f>
        <v>0</v>
      </c>
      <c r="L64" s="557">
        <f>(L39*'התפלגות ייצור וסל דלקים'!N84*$D$10*$D$9/$D$11)/$D$12</f>
        <v>117.3735020330669</v>
      </c>
      <c r="M64" s="55">
        <f ca="1">(M39*'התפלגות ייצור וסל דלקים'!U84*$D$10*$D$9/$D$11)/$D$12</f>
        <v>2778.8375769513154</v>
      </c>
      <c r="N64" s="57">
        <f ca="1">(N39*'התפלגות ייצור וסל דלקים'!V84*$D$10*$D$9/$D$11)/$D$12</f>
        <v>11841.458617851302</v>
      </c>
      <c r="O64" s="57">
        <f>(O39*'התפלגות ייצור וסל דלקים'!W84*$D$10*$D$9/$D$11)/$D$12</f>
        <v>0</v>
      </c>
      <c r="P64" s="57">
        <f>(P39*'התפלגות ייצור וסל דלקים'!X84*$D$10*$D$9/$D$11)/$D$12</f>
        <v>0</v>
      </c>
      <c r="Q64" s="57">
        <f>(Q39*'התפלגות ייצור וסל דלקים'!Y84*$D$10*$D$9/$D$11)/$D$12</f>
        <v>0</v>
      </c>
      <c r="R64" s="56">
        <f>(R39*'התפלגות ייצור וסל דלקים'!Z84*$D$10*$D$9/$D$11)/$D$12</f>
        <v>117.3735020330669</v>
      </c>
      <c r="S64" s="553">
        <f ca="1">(S39*'התפלגות ייצור וסל דלקים'!AG84*$D$10*$D$9/$D$11)/$D$12</f>
        <v>2878.7242339876943</v>
      </c>
      <c r="T64" s="554">
        <f ca="1">(T39*'התפלגות ייצור וסל דלקים'!AH84*$D$10*$D$9/$D$11)/$D$12</f>
        <v>10737.904520570142</v>
      </c>
      <c r="U64" s="554">
        <f>(U39*'התפלגות ייצור וסל דלקים'!AI84*$D$10*$D$9/$D$11)/$D$12</f>
        <v>0</v>
      </c>
      <c r="V64" s="554">
        <f>(V39*'התפלגות ייצור וסל דלקים'!AJ84*$D$10*$D$9/$D$11)/$D$12</f>
        <v>0</v>
      </c>
      <c r="W64" s="554">
        <f>(W39*'התפלגות ייצור וסל דלקים'!AK84*$D$10*$D$9/$D$11)/$D$12</f>
        <v>0</v>
      </c>
      <c r="X64" s="557">
        <f>(X39*'התפלגות ייצור וסל דלקים'!AL84*$D$10*$D$9/$D$11)/$D$12</f>
        <v>118.48729475422265</v>
      </c>
      <c r="Y64" s="55">
        <f ca="1">(Y39*'התפלגות ייצור וסל דלקים'!AS84*$D$10*$D$9/$D$11)/$D$12</f>
        <v>2878.7242339876943</v>
      </c>
      <c r="Z64" s="57">
        <f ca="1">(Z39*'התפלגות ייצור וסל דלקים'!AT84*$D$10*$D$9/$D$11)/$D$12</f>
        <v>10737.904520570142</v>
      </c>
      <c r="AA64" s="57">
        <f>(AA39*'התפלגות ייצור וסל דלקים'!AU84*$D$10*$D$9/$D$11)/$D$12</f>
        <v>0</v>
      </c>
      <c r="AB64" s="57">
        <f>(AB39*'התפלגות ייצור וסל דלקים'!AV84*$D$10*$D$9/$D$11)/$D$12</f>
        <v>0</v>
      </c>
      <c r="AC64" s="57">
        <f>(AC39*'התפלגות ייצור וסל דלקים'!AW84*$D$10*$D$9/$D$11)/$D$12</f>
        <v>0</v>
      </c>
      <c r="AD64" s="56">
        <f>(AD39*'התפלגות ייצור וסל דלקים'!AX84*$D$10*$D$9/$D$11)/$D$12</f>
        <v>118.48729475422265</v>
      </c>
      <c r="AE64" s="553">
        <f ca="1">(AE39*'התפלגות ייצור וסל דלקים'!BE84*$D$10*$D$9/$D$11)/$D$12</f>
        <v>2943.5973163761096</v>
      </c>
      <c r="AF64" s="554">
        <f ca="1">(AF39*'התפלגות ייצור וסל דלקים'!BF84*$D$10*$D$9/$D$11)/$D$12</f>
        <v>10141.463544074953</v>
      </c>
      <c r="AG64" s="554">
        <f>(AG39*'התפלגות ייצור וסל דלקים'!BG84*$D$10*$D$9/$D$11)/$D$12</f>
        <v>0</v>
      </c>
      <c r="AH64" s="554">
        <f>(AH39*'התפלגות ייצור וסל דלקים'!BH84*$D$10*$D$9/$D$11)/$D$12</f>
        <v>0</v>
      </c>
      <c r="AI64" s="554">
        <f>(AI39*'התפלגות ייצור וסל דלקים'!BI84*$D$10*$D$9/$D$11)/$D$12</f>
        <v>0</v>
      </c>
      <c r="AJ64" s="557">
        <f>(AJ39*'התפלגות ייצור וסל דלקים'!BJ84*$D$10*$D$9/$D$11)/$D$12</f>
        <v>116.54322018638715</v>
      </c>
      <c r="AK64" s="55">
        <f ca="1">(AK39*'התפלגות ייצור וסל דלקים'!BQ84*$D$10*$D$9/$D$11)/$D$12</f>
        <v>2943.5973163761096</v>
      </c>
      <c r="AL64" s="57">
        <f ca="1">(AL39*'התפלגות ייצור וסל דלקים'!BR84*$D$10*$D$9/$D$11)/$D$12</f>
        <v>10141.463544074953</v>
      </c>
      <c r="AM64" s="57">
        <f>(AM39*'התפלגות ייצור וסל דלקים'!BS84*$D$10*$D$9/$D$11)/$D$12</f>
        <v>0</v>
      </c>
      <c r="AN64" s="57">
        <f>(AN39*'התפלגות ייצור וסל דלקים'!BT84*$D$10*$D$9/$D$11)/$D$12</f>
        <v>0</v>
      </c>
      <c r="AO64" s="57">
        <f>(AO39*'התפלגות ייצור וסל דלקים'!BU84*$D$10*$D$9/$D$11)/$D$12</f>
        <v>0</v>
      </c>
      <c r="AP64" s="56">
        <f>(AP39*'התפלגות ייצור וסל דלקים'!BV84*$D$10*$D$9/$D$11)/$D$12</f>
        <v>116.54322018638715</v>
      </c>
    </row>
    <row r="65" spans="6:42" ht="16.5" thickBot="1">
      <c r="F65" s="81" t="s">
        <v>27</v>
      </c>
      <c r="G65" s="318">
        <f t="shared" ref="G65:H65" ca="1" si="89">SUM(G44:G64)</f>
        <v>42596.48213181644</v>
      </c>
      <c r="H65" s="318">
        <f t="shared" ca="1" si="89"/>
        <v>188018.68974847512</v>
      </c>
      <c r="I65" s="318">
        <f t="shared" ref="I65:AK65" si="90">SUM(I44:I64)</f>
        <v>0</v>
      </c>
      <c r="J65" s="318">
        <f t="shared" si="90"/>
        <v>0</v>
      </c>
      <c r="K65" s="318">
        <f t="shared" si="90"/>
        <v>9312.1789731197514</v>
      </c>
      <c r="L65" s="318">
        <f t="shared" si="90"/>
        <v>2473.7471342047343</v>
      </c>
      <c r="M65" s="76">
        <f t="shared" ref="M65:O65" ca="1" si="91">SUM(M44:M64)</f>
        <v>42596.48213181644</v>
      </c>
      <c r="N65" s="76">
        <f t="shared" ca="1" si="91"/>
        <v>188018.68974847512</v>
      </c>
      <c r="O65" s="76">
        <f t="shared" si="91"/>
        <v>0</v>
      </c>
      <c r="P65" s="76">
        <f t="shared" si="90"/>
        <v>0</v>
      </c>
      <c r="Q65" s="76">
        <f t="shared" si="90"/>
        <v>9312.1789731197514</v>
      </c>
      <c r="R65" s="76">
        <f t="shared" si="90"/>
        <v>2473.7471342047343</v>
      </c>
      <c r="S65" s="318">
        <f t="shared" ref="S65:AD65" ca="1" si="92">SUM(S44:S64)</f>
        <v>44078.479148838436</v>
      </c>
      <c r="T65" s="318">
        <f t="shared" ca="1" si="92"/>
        <v>172627.06134504688</v>
      </c>
      <c r="U65" s="318">
        <f t="shared" si="92"/>
        <v>0</v>
      </c>
      <c r="V65" s="318">
        <f t="shared" si="92"/>
        <v>0</v>
      </c>
      <c r="W65" s="318">
        <f t="shared" si="92"/>
        <v>9308.4707184999097</v>
      </c>
      <c r="X65" s="318">
        <f t="shared" si="92"/>
        <v>2483.3358769950482</v>
      </c>
      <c r="Y65" s="76">
        <f t="shared" ca="1" si="92"/>
        <v>44078.479148838436</v>
      </c>
      <c r="Z65" s="76">
        <f t="shared" ca="1" si="92"/>
        <v>172627.06134504688</v>
      </c>
      <c r="AA65" s="76">
        <f t="shared" si="92"/>
        <v>0</v>
      </c>
      <c r="AB65" s="76">
        <f t="shared" si="92"/>
        <v>0</v>
      </c>
      <c r="AC65" s="76">
        <f t="shared" si="92"/>
        <v>9308.4707184999097</v>
      </c>
      <c r="AD65" s="76">
        <f t="shared" si="92"/>
        <v>2483.3358769950482</v>
      </c>
      <c r="AE65" s="318">
        <f t="shared" ca="1" si="90"/>
        <v>44896.419707664209</v>
      </c>
      <c r="AF65" s="318">
        <f t="shared" ref="AF65:AH65" ca="1" si="93">SUM(AF44:AF64)</f>
        <v>163903.64903315299</v>
      </c>
      <c r="AG65" s="318">
        <f t="shared" si="93"/>
        <v>0</v>
      </c>
      <c r="AH65" s="318">
        <f t="shared" si="93"/>
        <v>0</v>
      </c>
      <c r="AI65" s="318">
        <f t="shared" ref="AI65:AJ65" si="94">SUM(AI44:AI64)</f>
        <v>9307.199316915965</v>
      </c>
      <c r="AJ65" s="318">
        <f t="shared" si="94"/>
        <v>2465.3768131487764</v>
      </c>
      <c r="AK65" s="76">
        <f t="shared" ca="1" si="90"/>
        <v>44896.419707664209</v>
      </c>
      <c r="AL65" s="76">
        <f t="shared" ref="AL65:AP65" ca="1" si="95">SUM(AL44:AL64)</f>
        <v>163903.64903315299</v>
      </c>
      <c r="AM65" s="76">
        <f t="shared" si="95"/>
        <v>0</v>
      </c>
      <c r="AN65" s="76">
        <f t="shared" si="95"/>
        <v>0</v>
      </c>
      <c r="AO65" s="76">
        <f t="shared" si="95"/>
        <v>9307.199316915965</v>
      </c>
      <c r="AP65" s="76">
        <f t="shared" si="95"/>
        <v>2465.3768131487764</v>
      </c>
    </row>
    <row r="66" spans="6:42" ht="16.5" thickBot="1">
      <c r="F66" s="81" t="s">
        <v>4</v>
      </c>
      <c r="G66" s="65">
        <f ca="1">NPV($D$6,G44:G64)*(1+$D$6)^($D$4-$F$19)</f>
        <v>28862.372831024284</v>
      </c>
      <c r="H66" s="65">
        <f ca="1">NPV($D$6,H44:H64)*(1+$D$6)^($D$4-$F$19)</f>
        <v>133688.62290646893</v>
      </c>
      <c r="I66" s="65">
        <f t="shared" ref="I66:L66" si="96">NPV($D$6,I44:I64)*(1+$D$6)^($D$4-$F$19)</f>
        <v>0</v>
      </c>
      <c r="J66" s="65">
        <f t="shared" si="96"/>
        <v>0</v>
      </c>
      <c r="K66" s="65">
        <f t="shared" si="96"/>
        <v>8576.2068372742015</v>
      </c>
      <c r="L66" s="65">
        <f t="shared" si="96"/>
        <v>1815.9424936297614</v>
      </c>
      <c r="M66" s="76">
        <f ca="1">NPV($D$6,M44:M64)*(1+$D$6)^($D$4-$F$19)</f>
        <v>28862.372831024284</v>
      </c>
      <c r="N66" s="76">
        <f t="shared" ref="N66:AP66" ca="1" si="97">NPV($D$6,N44:N64)*(1+$D$6)^($D$4-$F$19)</f>
        <v>133688.62290646893</v>
      </c>
      <c r="O66" s="76">
        <f t="shared" si="97"/>
        <v>0</v>
      </c>
      <c r="P66" s="76">
        <f t="shared" si="97"/>
        <v>0</v>
      </c>
      <c r="Q66" s="76">
        <f t="shared" si="97"/>
        <v>8576.2068372742015</v>
      </c>
      <c r="R66" s="76">
        <f t="shared" si="97"/>
        <v>1815.9424936297614</v>
      </c>
      <c r="S66" s="65">
        <f t="shared" ref="S66:AD66" ca="1" si="98">NPV($D$6,S44:S64)*(1+$D$6)^($D$4-$F$19)</f>
        <v>29788.206311686401</v>
      </c>
      <c r="T66" s="65">
        <f t="shared" ca="1" si="98"/>
        <v>123378.64867733838</v>
      </c>
      <c r="U66" s="65">
        <f t="shared" si="98"/>
        <v>0</v>
      </c>
      <c r="V66" s="65">
        <f t="shared" si="98"/>
        <v>0</v>
      </c>
      <c r="W66" s="65">
        <f t="shared" si="98"/>
        <v>8573.0127910117008</v>
      </c>
      <c r="X66" s="65">
        <f t="shared" si="98"/>
        <v>1821.2862440859603</v>
      </c>
      <c r="Y66" s="76">
        <f t="shared" ca="1" si="98"/>
        <v>29788.206311686401</v>
      </c>
      <c r="Z66" s="76">
        <f t="shared" ca="1" si="98"/>
        <v>123378.64867733838</v>
      </c>
      <c r="AA66" s="76">
        <f t="shared" si="98"/>
        <v>0</v>
      </c>
      <c r="AB66" s="76">
        <f t="shared" si="98"/>
        <v>0</v>
      </c>
      <c r="AC66" s="76">
        <f t="shared" si="98"/>
        <v>8573.0127910117008</v>
      </c>
      <c r="AD66" s="76">
        <f t="shared" si="98"/>
        <v>1821.2862440859603</v>
      </c>
      <c r="AE66" s="65">
        <f t="shared" ca="1" si="97"/>
        <v>30320.94319801989</v>
      </c>
      <c r="AF66" s="65">
        <f t="shared" ca="1" si="97"/>
        <v>117524.91045927869</v>
      </c>
      <c r="AG66" s="65">
        <f t="shared" si="97"/>
        <v>0</v>
      </c>
      <c r="AH66" s="65">
        <f t="shared" si="97"/>
        <v>0</v>
      </c>
      <c r="AI66" s="65">
        <f t="shared" si="97"/>
        <v>8571.9283534405804</v>
      </c>
      <c r="AJ66" s="65">
        <f t="shared" si="97"/>
        <v>1810.3370297809106</v>
      </c>
      <c r="AK66" s="76">
        <f t="shared" ca="1" si="97"/>
        <v>30320.94319801989</v>
      </c>
      <c r="AL66" s="76">
        <f t="shared" ca="1" si="97"/>
        <v>117524.91045927869</v>
      </c>
      <c r="AM66" s="76">
        <f t="shared" si="97"/>
        <v>0</v>
      </c>
      <c r="AN66" s="76">
        <f t="shared" si="97"/>
        <v>0</v>
      </c>
      <c r="AO66" s="76">
        <f t="shared" si="97"/>
        <v>8571.9283534405804</v>
      </c>
      <c r="AP66" s="76">
        <f t="shared" si="97"/>
        <v>1810.3370297809106</v>
      </c>
    </row>
    <row r="67" spans="6:42" ht="16.5" thickBot="1">
      <c r="F67" s="7" t="s">
        <v>27</v>
      </c>
      <c r="G67" s="1306">
        <f ca="1">SUM(G65:L65)</f>
        <v>242401.09798761606</v>
      </c>
      <c r="H67" s="1307"/>
      <c r="I67" s="1307"/>
      <c r="J67" s="1307"/>
      <c r="K67" s="1307"/>
      <c r="L67" s="1308"/>
      <c r="M67" s="1306">
        <f ca="1">SUM(M65:R65)</f>
        <v>242401.09798761606</v>
      </c>
      <c r="N67" s="1307"/>
      <c r="O67" s="1307"/>
      <c r="P67" s="1307"/>
      <c r="Q67" s="1307"/>
      <c r="R67" s="1308"/>
      <c r="S67" s="1309">
        <f t="shared" ref="S67:S68" ca="1" si="99">SUM(S65:X65)</f>
        <v>228497.34708938029</v>
      </c>
      <c r="T67" s="1310"/>
      <c r="U67" s="1310"/>
      <c r="V67" s="1310"/>
      <c r="W67" s="1310"/>
      <c r="X67" s="1311"/>
      <c r="Y67" s="1309">
        <f t="shared" ref="Y67:Y68" ca="1" si="100">SUM(Y65:AD65)</f>
        <v>228497.34708938029</v>
      </c>
      <c r="Z67" s="1310"/>
      <c r="AA67" s="1310"/>
      <c r="AB67" s="1310"/>
      <c r="AC67" s="1310"/>
      <c r="AD67" s="1311"/>
      <c r="AE67" s="1306">
        <f ca="1">SUM(AE65:AJ65)</f>
        <v>220572.64487088195</v>
      </c>
      <c r="AF67" s="1307"/>
      <c r="AG67" s="1307"/>
      <c r="AH67" s="1307"/>
      <c r="AI67" s="1307"/>
      <c r="AJ67" s="1308"/>
      <c r="AK67" s="1306">
        <f ca="1">SUM(AK65:AP65)</f>
        <v>220572.64487088195</v>
      </c>
      <c r="AL67" s="1307"/>
      <c r="AM67" s="1307"/>
      <c r="AN67" s="1307"/>
      <c r="AO67" s="1307"/>
      <c r="AP67" s="1308"/>
    </row>
    <row r="68" spans="6:42" ht="16.5" thickBot="1">
      <c r="F68" s="7" t="s">
        <v>4</v>
      </c>
      <c r="G68" s="1309">
        <f ca="1">SUM(G66:L66)</f>
        <v>172943.14506839716</v>
      </c>
      <c r="H68" s="1310"/>
      <c r="I68" s="1310"/>
      <c r="J68" s="1310"/>
      <c r="K68" s="1310"/>
      <c r="L68" s="1311"/>
      <c r="M68" s="1309">
        <f ca="1">SUM(M66:R66)</f>
        <v>172943.14506839716</v>
      </c>
      <c r="N68" s="1310"/>
      <c r="O68" s="1310"/>
      <c r="P68" s="1310"/>
      <c r="Q68" s="1310"/>
      <c r="R68" s="1311"/>
      <c r="S68" s="1309">
        <f t="shared" ca="1" si="99"/>
        <v>163561.15402412243</v>
      </c>
      <c r="T68" s="1310"/>
      <c r="U68" s="1310"/>
      <c r="V68" s="1310"/>
      <c r="W68" s="1310"/>
      <c r="X68" s="1311"/>
      <c r="Y68" s="1309">
        <f t="shared" ca="1" si="100"/>
        <v>163561.15402412243</v>
      </c>
      <c r="Z68" s="1310"/>
      <c r="AA68" s="1310"/>
      <c r="AB68" s="1310"/>
      <c r="AC68" s="1310"/>
      <c r="AD68" s="1311"/>
      <c r="AE68" s="1309">
        <f ca="1">SUM(AE66:AJ66)</f>
        <v>158228.11904052005</v>
      </c>
      <c r="AF68" s="1310"/>
      <c r="AG68" s="1310"/>
      <c r="AH68" s="1310"/>
      <c r="AI68" s="1310"/>
      <c r="AJ68" s="1311"/>
      <c r="AK68" s="1309">
        <f ca="1">SUM(AK66:AP66)</f>
        <v>158228.11904052005</v>
      </c>
      <c r="AL68" s="1310"/>
      <c r="AM68" s="1310"/>
      <c r="AN68" s="1310"/>
      <c r="AO68" s="1310"/>
      <c r="AP68" s="1311"/>
    </row>
    <row r="69" spans="6:42">
      <c r="G69" s="243"/>
      <c r="H69" s="243"/>
      <c r="I69" s="243"/>
      <c r="J69" s="243"/>
      <c r="K69" s="243"/>
      <c r="L69" s="243"/>
      <c r="M69" s="243"/>
      <c r="N69" s="243"/>
      <c r="O69" s="243"/>
      <c r="P69" s="243"/>
      <c r="Q69" s="243"/>
      <c r="R69" s="243"/>
      <c r="S69" s="243"/>
      <c r="T69" s="243"/>
      <c r="U69" s="243"/>
      <c r="V69" s="243"/>
      <c r="W69" s="243"/>
      <c r="X69" s="243"/>
      <c r="Y69" s="243"/>
      <c r="Z69" s="243"/>
      <c r="AA69" s="243"/>
      <c r="AB69" s="243"/>
      <c r="AC69" s="243"/>
      <c r="AD69" s="243"/>
      <c r="AE69" s="243"/>
      <c r="AF69" s="243"/>
      <c r="AG69" s="243"/>
      <c r="AH69" s="243"/>
      <c r="AI69" s="243"/>
      <c r="AJ69" s="243"/>
      <c r="AK69" s="243"/>
      <c r="AL69" s="243"/>
      <c r="AM69" s="243"/>
      <c r="AN69" s="243"/>
      <c r="AO69" s="243"/>
      <c r="AP69" s="243"/>
    </row>
    <row r="70" spans="6:42">
      <c r="G70" s="551"/>
      <c r="H70" s="551"/>
      <c r="I70" s="551"/>
      <c r="J70" s="551"/>
      <c r="L70" s="552"/>
    </row>
    <row r="71" spans="6:42">
      <c r="G71" s="551"/>
      <c r="H71" s="551"/>
      <c r="I71" s="551"/>
      <c r="J71" s="551"/>
      <c r="L71" s="552"/>
    </row>
    <row r="72" spans="6:42">
      <c r="G72" s="551"/>
      <c r="H72" s="551"/>
      <c r="I72" s="551"/>
      <c r="J72" s="551"/>
      <c r="L72" s="552"/>
    </row>
    <row r="73" spans="6:42">
      <c r="G73" s="551"/>
      <c r="H73" s="551"/>
      <c r="I73" s="551"/>
      <c r="J73" s="551"/>
      <c r="L73" s="552"/>
    </row>
    <row r="74" spans="6:42">
      <c r="G74" s="551"/>
      <c r="H74" s="551"/>
      <c r="I74" s="551"/>
      <c r="J74" s="551"/>
      <c r="L74" s="552"/>
    </row>
    <row r="75" spans="6:42">
      <c r="G75" s="551"/>
      <c r="H75" s="551"/>
      <c r="I75" s="551"/>
      <c r="J75" s="551"/>
      <c r="L75" s="552"/>
      <c r="Q75" s="243"/>
    </row>
    <row r="76" spans="6:42">
      <c r="G76" s="551"/>
      <c r="H76" s="551"/>
      <c r="I76" s="551"/>
      <c r="J76" s="551"/>
      <c r="L76" s="552"/>
    </row>
    <row r="77" spans="6:42">
      <c r="G77" s="551"/>
      <c r="H77" s="551"/>
      <c r="I77" s="551"/>
      <c r="J77" s="551"/>
      <c r="L77" s="552"/>
    </row>
    <row r="78" spans="6:42">
      <c r="G78" s="551"/>
      <c r="H78" s="551"/>
      <c r="I78" s="551"/>
      <c r="J78" s="551"/>
      <c r="L78" s="552"/>
    </row>
    <row r="79" spans="6:42">
      <c r="G79" s="551"/>
      <c r="H79" s="551"/>
      <c r="I79" s="551"/>
      <c r="J79" s="551"/>
      <c r="L79" s="552"/>
    </row>
    <row r="80" spans="6:42">
      <c r="G80" s="551"/>
      <c r="H80" s="551"/>
      <c r="I80" s="551"/>
      <c r="J80" s="551"/>
      <c r="L80" s="552"/>
    </row>
    <row r="81" spans="7:12">
      <c r="G81" s="551"/>
      <c r="H81" s="551"/>
      <c r="I81" s="551"/>
      <c r="J81" s="551"/>
      <c r="L81" s="552"/>
    </row>
    <row r="82" spans="7:12">
      <c r="G82" s="551"/>
      <c r="H82" s="551"/>
      <c r="I82" s="551"/>
      <c r="J82" s="551"/>
      <c r="L82" s="552"/>
    </row>
    <row r="83" spans="7:12">
      <c r="G83" s="551"/>
      <c r="H83" s="551"/>
      <c r="I83" s="551"/>
      <c r="J83" s="551"/>
      <c r="L83" s="552"/>
    </row>
    <row r="84" spans="7:12">
      <c r="G84" s="551"/>
      <c r="H84" s="551"/>
      <c r="I84" s="551"/>
      <c r="J84" s="551"/>
      <c r="L84" s="552"/>
    </row>
    <row r="85" spans="7:12">
      <c r="G85" s="551"/>
      <c r="H85" s="551"/>
      <c r="I85" s="551"/>
      <c r="J85" s="551"/>
      <c r="L85" s="552"/>
    </row>
    <row r="86" spans="7:12">
      <c r="G86" s="551"/>
      <c r="H86" s="551"/>
      <c r="I86" s="551"/>
      <c r="J86" s="551"/>
      <c r="L86" s="552"/>
    </row>
  </sheetData>
  <mergeCells count="28">
    <mergeCell ref="AK42:AP42"/>
    <mergeCell ref="G41:AP41"/>
    <mergeCell ref="B6:B12"/>
    <mergeCell ref="B13:B15"/>
    <mergeCell ref="G42:L42"/>
    <mergeCell ref="M42:R42"/>
    <mergeCell ref="AE42:AJ42"/>
    <mergeCell ref="G17:L17"/>
    <mergeCell ref="G16:AP16"/>
    <mergeCell ref="M17:R17"/>
    <mergeCell ref="AE17:AJ17"/>
    <mergeCell ref="AK17:AP17"/>
    <mergeCell ref="S42:X42"/>
    <mergeCell ref="Y42:AD42"/>
    <mergeCell ref="S17:X17"/>
    <mergeCell ref="Y17:AD17"/>
    <mergeCell ref="AE67:AJ67"/>
    <mergeCell ref="AE68:AJ68"/>
    <mergeCell ref="AK67:AP67"/>
    <mergeCell ref="AK68:AP68"/>
    <mergeCell ref="G67:L67"/>
    <mergeCell ref="G68:L68"/>
    <mergeCell ref="M67:R67"/>
    <mergeCell ref="M68:R68"/>
    <mergeCell ref="S67:X67"/>
    <mergeCell ref="Y67:AD67"/>
    <mergeCell ref="S68:X68"/>
    <mergeCell ref="Y68:AD68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Y122"/>
  <sheetViews>
    <sheetView rightToLeft="1" topLeftCell="A22" zoomScaleNormal="100" workbookViewId="0">
      <selection activeCell="AI43" sqref="AI43"/>
    </sheetView>
  </sheetViews>
  <sheetFormatPr defaultColWidth="12.42578125" defaultRowHeight="15.75"/>
  <cols>
    <col min="1" max="1" width="2.28515625" style="3" bestFit="1" customWidth="1"/>
    <col min="2" max="2" width="16.5703125" style="3" bestFit="1" customWidth="1"/>
    <col min="3" max="3" width="23.28515625" style="3" customWidth="1"/>
    <col min="4" max="4" width="11.5703125" style="3" bestFit="1" customWidth="1"/>
    <col min="5" max="5" width="2.28515625" style="3" bestFit="1" customWidth="1"/>
    <col min="6" max="6" width="16.7109375" style="3" bestFit="1" customWidth="1"/>
    <col min="7" max="7" width="18.140625" style="3" bestFit="1" customWidth="1"/>
    <col min="8" max="8" width="11" style="3" bestFit="1" customWidth="1"/>
    <col min="9" max="9" width="11.7109375" style="3" bestFit="1" customWidth="1"/>
    <col min="10" max="10" width="11" style="3" bestFit="1" customWidth="1"/>
    <col min="11" max="14" width="11" style="3" customWidth="1"/>
    <col min="15" max="15" width="11.7109375" style="3" bestFit="1" customWidth="1"/>
    <col min="16" max="16" width="11" style="3" bestFit="1" customWidth="1"/>
    <col min="17" max="17" width="11.7109375" style="3" bestFit="1" customWidth="1"/>
    <col min="18" max="18" width="11" style="3" bestFit="1" customWidth="1"/>
    <col min="19" max="19" width="3.28515625" style="3" bestFit="1" customWidth="1"/>
    <col min="20" max="20" width="5.7109375" style="3" bestFit="1" customWidth="1"/>
    <col min="21" max="21" width="11.7109375" style="3" bestFit="1" customWidth="1"/>
    <col min="22" max="22" width="11" style="3" bestFit="1" customWidth="1"/>
    <col min="23" max="23" width="11.7109375" style="3" bestFit="1" customWidth="1"/>
    <col min="24" max="24" width="11" style="3" bestFit="1" customWidth="1"/>
    <col min="25" max="28" width="11" style="3" customWidth="1"/>
    <col min="29" max="29" width="11.7109375" style="3" bestFit="1" customWidth="1"/>
    <col min="30" max="30" width="11" style="3" bestFit="1" customWidth="1"/>
    <col min="31" max="31" width="11.7109375" style="3" bestFit="1" customWidth="1"/>
    <col min="32" max="32" width="11" style="3" bestFit="1" customWidth="1"/>
    <col min="33" max="33" width="13.140625" style="3" customWidth="1"/>
    <col min="34" max="34" width="9.140625" style="3" bestFit="1" customWidth="1"/>
    <col min="35" max="35" width="11.7109375" style="3" bestFit="1" customWidth="1"/>
    <col min="36" max="36" width="11" style="3" bestFit="1" customWidth="1"/>
    <col min="37" max="37" width="11.7109375" style="3" bestFit="1" customWidth="1"/>
    <col min="38" max="38" width="11" style="3" bestFit="1" customWidth="1"/>
    <col min="39" max="42" width="11" style="3" customWidth="1"/>
    <col min="43" max="43" width="11.7109375" style="3" bestFit="1" customWidth="1"/>
    <col min="44" max="44" width="11" style="3" bestFit="1" customWidth="1"/>
    <col min="45" max="45" width="11.7109375" style="3" bestFit="1" customWidth="1"/>
    <col min="46" max="46" width="11" style="3" bestFit="1" customWidth="1"/>
    <col min="47" max="47" width="3.28515625" style="3" bestFit="1" customWidth="1"/>
    <col min="48" max="48" width="16.42578125" style="3" bestFit="1" customWidth="1"/>
    <col min="49" max="49" width="11.7109375" style="3" bestFit="1" customWidth="1"/>
    <col min="50" max="50" width="11" style="3" bestFit="1" customWidth="1"/>
    <col min="51" max="51" width="11.7109375" style="3" bestFit="1" customWidth="1"/>
    <col min="52" max="52" width="11" style="3" bestFit="1" customWidth="1"/>
    <col min="53" max="56" width="11" style="3" customWidth="1"/>
    <col min="57" max="57" width="11.7109375" style="3" bestFit="1" customWidth="1"/>
    <col min="58" max="58" width="11" style="3" bestFit="1" customWidth="1"/>
    <col min="59" max="59" width="11.7109375" style="3" bestFit="1" customWidth="1"/>
    <col min="60" max="60" width="11" style="3" bestFit="1" customWidth="1"/>
    <col min="61" max="61" width="12.42578125" style="3"/>
    <col min="62" max="62" width="5.7109375" style="3" bestFit="1" customWidth="1"/>
    <col min="63" max="63" width="11.7109375" style="3" bestFit="1" customWidth="1"/>
    <col min="64" max="64" width="11" style="3" bestFit="1" customWidth="1"/>
    <col min="65" max="65" width="11.7109375" style="3" bestFit="1" customWidth="1"/>
    <col min="66" max="66" width="11" style="3" bestFit="1" customWidth="1"/>
    <col min="67" max="70" width="11" style="3" customWidth="1"/>
    <col min="71" max="71" width="11.7109375" style="3" bestFit="1" customWidth="1"/>
    <col min="72" max="72" width="11" style="3" bestFit="1" customWidth="1"/>
    <col min="73" max="73" width="11.7109375" style="3" bestFit="1" customWidth="1"/>
    <col min="74" max="74" width="11" style="3" bestFit="1" customWidth="1"/>
    <col min="75" max="16384" width="12.42578125" style="3"/>
  </cols>
  <sheetData>
    <row r="1" spans="1:77" ht="16.5" thickBot="1"/>
    <row r="2" spans="1:77" ht="16.5" thickBot="1">
      <c r="A2" s="2">
        <v>1</v>
      </c>
      <c r="B2" s="2">
        <f>+A2+1</f>
        <v>2</v>
      </c>
      <c r="C2" s="2">
        <f t="shared" ref="C2" si="0">+B2+1</f>
        <v>3</v>
      </c>
      <c r="D2" s="2">
        <f t="shared" ref="D2" si="1">+C2+1</f>
        <v>4</v>
      </c>
      <c r="E2" s="2">
        <f t="shared" ref="E2" si="2">+D2+1</f>
        <v>5</v>
      </c>
      <c r="F2" s="2">
        <f t="shared" ref="F2" si="3">+E2+1</f>
        <v>6</v>
      </c>
      <c r="G2" s="2">
        <f t="shared" ref="G2" si="4">+F2+1</f>
        <v>7</v>
      </c>
      <c r="H2" s="2">
        <f t="shared" ref="H2" si="5">+G2+1</f>
        <v>8</v>
      </c>
      <c r="I2" s="2">
        <f t="shared" ref="I2" si="6">+H2+1</f>
        <v>9</v>
      </c>
      <c r="J2" s="2">
        <f t="shared" ref="J2" si="7">+I2+1</f>
        <v>10</v>
      </c>
      <c r="K2" s="2">
        <f t="shared" ref="K2" si="8">+J2+1</f>
        <v>11</v>
      </c>
      <c r="L2" s="2">
        <f t="shared" ref="L2" si="9">+K2+1</f>
        <v>12</v>
      </c>
      <c r="M2" s="2">
        <f t="shared" ref="M2" si="10">+L2+1</f>
        <v>13</v>
      </c>
      <c r="N2" s="2">
        <f t="shared" ref="N2" si="11">+M2+1</f>
        <v>14</v>
      </c>
      <c r="O2" s="2">
        <f t="shared" ref="O2" si="12">+N2+1</f>
        <v>15</v>
      </c>
      <c r="P2" s="2">
        <f t="shared" ref="P2" si="13">+O2+1</f>
        <v>16</v>
      </c>
      <c r="Q2" s="2">
        <f t="shared" ref="Q2" si="14">+P2+1</f>
        <v>17</v>
      </c>
      <c r="R2" s="2">
        <f t="shared" ref="R2" si="15">+Q2+1</f>
        <v>18</v>
      </c>
      <c r="S2" s="2">
        <f t="shared" ref="S2" si="16">+R2+1</f>
        <v>19</v>
      </c>
      <c r="T2" s="2">
        <f t="shared" ref="T2" si="17">+S2+1</f>
        <v>20</v>
      </c>
      <c r="U2" s="2">
        <f t="shared" ref="U2" si="18">+T2+1</f>
        <v>21</v>
      </c>
      <c r="V2" s="2">
        <f t="shared" ref="V2" si="19">+U2+1</f>
        <v>22</v>
      </c>
      <c r="W2" s="2">
        <f t="shared" ref="W2" si="20">+V2+1</f>
        <v>23</v>
      </c>
      <c r="X2" s="2">
        <f t="shared" ref="X2" si="21">+W2+1</f>
        <v>24</v>
      </c>
      <c r="Y2" s="2">
        <f t="shared" ref="Y2" si="22">+X2+1</f>
        <v>25</v>
      </c>
      <c r="Z2" s="2">
        <f t="shared" ref="Z2" si="23">+Y2+1</f>
        <v>26</v>
      </c>
      <c r="AA2" s="2">
        <f t="shared" ref="AA2" si="24">+Z2+1</f>
        <v>27</v>
      </c>
      <c r="AB2" s="2">
        <f t="shared" ref="AB2" si="25">+AA2+1</f>
        <v>28</v>
      </c>
      <c r="AC2" s="2">
        <f t="shared" ref="AC2" si="26">+AB2+1</f>
        <v>29</v>
      </c>
      <c r="AD2" s="2">
        <f t="shared" ref="AD2" si="27">+AC2+1</f>
        <v>30</v>
      </c>
      <c r="AE2" s="2">
        <f t="shared" ref="AE2" si="28">+AD2+1</f>
        <v>31</v>
      </c>
      <c r="AF2" s="2">
        <f t="shared" ref="AF2" si="29">+AE2+1</f>
        <v>32</v>
      </c>
      <c r="AG2" s="2">
        <f t="shared" ref="AG2" si="30">+AF2+1</f>
        <v>33</v>
      </c>
      <c r="AH2" s="2">
        <f t="shared" ref="AH2" si="31">+AG2+1</f>
        <v>34</v>
      </c>
      <c r="AI2" s="2">
        <f t="shared" ref="AI2" si="32">+AH2+1</f>
        <v>35</v>
      </c>
      <c r="AJ2" s="2">
        <f t="shared" ref="AJ2" si="33">+AI2+1</f>
        <v>36</v>
      </c>
      <c r="AK2" s="2">
        <f t="shared" ref="AK2" si="34">+AJ2+1</f>
        <v>37</v>
      </c>
      <c r="AL2" s="2">
        <f t="shared" ref="AL2" si="35">+AK2+1</f>
        <v>38</v>
      </c>
      <c r="AM2" s="2">
        <f t="shared" ref="AM2" si="36">+AL2+1</f>
        <v>39</v>
      </c>
      <c r="AN2" s="2">
        <f t="shared" ref="AN2" si="37">+AM2+1</f>
        <v>40</v>
      </c>
      <c r="AO2" s="2">
        <f t="shared" ref="AO2" si="38">+AN2+1</f>
        <v>41</v>
      </c>
      <c r="AP2" s="2">
        <f t="shared" ref="AP2" si="39">+AO2+1</f>
        <v>42</v>
      </c>
      <c r="AQ2" s="2">
        <f t="shared" ref="AQ2" si="40">+AP2+1</f>
        <v>43</v>
      </c>
      <c r="AR2" s="2">
        <f t="shared" ref="AR2" si="41">+AQ2+1</f>
        <v>44</v>
      </c>
      <c r="AS2" s="2">
        <f t="shared" ref="AS2" si="42">+AR2+1</f>
        <v>45</v>
      </c>
      <c r="AT2" s="2">
        <f t="shared" ref="AT2" si="43">+AS2+1</f>
        <v>46</v>
      </c>
      <c r="AU2" s="2">
        <f t="shared" ref="AU2" si="44">+AT2+1</f>
        <v>47</v>
      </c>
      <c r="AV2" s="2">
        <f t="shared" ref="AV2" si="45">+AU2+1</f>
        <v>48</v>
      </c>
      <c r="AW2" s="2">
        <f t="shared" ref="AW2" si="46">+AV2+1</f>
        <v>49</v>
      </c>
      <c r="AX2" s="2">
        <f t="shared" ref="AX2" si="47">+AW2+1</f>
        <v>50</v>
      </c>
      <c r="AY2" s="2">
        <f t="shared" ref="AY2" si="48">+AX2+1</f>
        <v>51</v>
      </c>
      <c r="AZ2" s="2">
        <f t="shared" ref="AZ2" si="49">+AY2+1</f>
        <v>52</v>
      </c>
      <c r="BA2" s="2">
        <f t="shared" ref="BA2" si="50">+AZ2+1</f>
        <v>53</v>
      </c>
      <c r="BB2" s="2">
        <f t="shared" ref="BB2" si="51">+BA2+1</f>
        <v>54</v>
      </c>
      <c r="BC2" s="2">
        <f t="shared" ref="BC2" si="52">+BB2+1</f>
        <v>55</v>
      </c>
      <c r="BD2" s="2">
        <f t="shared" ref="BD2" si="53">+BC2+1</f>
        <v>56</v>
      </c>
      <c r="BE2" s="2">
        <f t="shared" ref="BE2" si="54">+BD2+1</f>
        <v>57</v>
      </c>
      <c r="BF2" s="2">
        <f t="shared" ref="BF2" si="55">+BE2+1</f>
        <v>58</v>
      </c>
      <c r="BG2" s="2">
        <f t="shared" ref="BG2" si="56">+BF2+1</f>
        <v>59</v>
      </c>
      <c r="BH2" s="2">
        <f t="shared" ref="BH2" si="57">+BG2+1</f>
        <v>60</v>
      </c>
      <c r="BI2" s="2">
        <f t="shared" ref="BI2" si="58">+BH2+1</f>
        <v>61</v>
      </c>
      <c r="BJ2" s="2">
        <f t="shared" ref="BJ2" si="59">+BI2+1</f>
        <v>62</v>
      </c>
      <c r="BK2" s="2">
        <f t="shared" ref="BK2" si="60">+BJ2+1</f>
        <v>63</v>
      </c>
      <c r="BL2" s="2">
        <f t="shared" ref="BL2" si="61">+BK2+1</f>
        <v>64</v>
      </c>
      <c r="BM2" s="2">
        <f t="shared" ref="BM2" si="62">+BL2+1</f>
        <v>65</v>
      </c>
      <c r="BN2" s="2">
        <f t="shared" ref="BN2" si="63">+BM2+1</f>
        <v>66</v>
      </c>
      <c r="BO2" s="2">
        <f t="shared" ref="BO2" si="64">+BN2+1</f>
        <v>67</v>
      </c>
      <c r="BP2" s="2">
        <f t="shared" ref="BP2" si="65">+BO2+1</f>
        <v>68</v>
      </c>
      <c r="BQ2" s="2">
        <f t="shared" ref="BQ2" si="66">+BP2+1</f>
        <v>69</v>
      </c>
      <c r="BR2" s="2">
        <f t="shared" ref="BR2" si="67">+BQ2+1</f>
        <v>70</v>
      </c>
      <c r="BS2" s="2">
        <f t="shared" ref="BS2" si="68">+BR2+1</f>
        <v>71</v>
      </c>
      <c r="BT2" s="2">
        <f t="shared" ref="BT2" si="69">+BS2+1</f>
        <v>72</v>
      </c>
      <c r="BU2" s="2">
        <f t="shared" ref="BU2" si="70">+BT2+1</f>
        <v>73</v>
      </c>
      <c r="BV2" s="2">
        <f t="shared" ref="BV2" si="71">+BU2+1</f>
        <v>74</v>
      </c>
      <c r="BW2" s="2">
        <f t="shared" ref="BW2" si="72">+BV2+1</f>
        <v>75</v>
      </c>
      <c r="BX2" s="2">
        <f t="shared" ref="BX2" si="73">+BW2+1</f>
        <v>76</v>
      </c>
      <c r="BY2" s="2">
        <f t="shared" ref="BY2" si="74">+BX2+1</f>
        <v>77</v>
      </c>
    </row>
    <row r="3" spans="1:77" ht="16.5" thickBot="1">
      <c r="A3" s="172"/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172"/>
      <c r="Z3" s="172"/>
      <c r="AA3" s="172"/>
      <c r="AB3" s="172"/>
      <c r="AC3" s="172"/>
      <c r="AD3" s="172"/>
      <c r="AE3" s="172"/>
      <c r="AF3" s="172"/>
      <c r="AG3" s="172"/>
      <c r="AH3" s="172"/>
      <c r="AI3" s="172"/>
      <c r="AJ3" s="172"/>
      <c r="AK3" s="172"/>
      <c r="AL3" s="172"/>
      <c r="AM3" s="172"/>
      <c r="AN3" s="172"/>
      <c r="AO3" s="172"/>
      <c r="AP3" s="172"/>
      <c r="AQ3" s="172"/>
      <c r="AR3" s="172"/>
      <c r="AS3" s="172"/>
      <c r="AT3" s="172"/>
      <c r="AU3" s="172"/>
      <c r="AV3" s="172"/>
      <c r="AW3" s="172"/>
      <c r="AX3" s="172"/>
      <c r="AY3" s="172"/>
      <c r="AZ3" s="172"/>
      <c r="BA3" s="172"/>
      <c r="BB3" s="172"/>
      <c r="BC3" s="172"/>
      <c r="BD3" s="172"/>
      <c r="BE3" s="172"/>
      <c r="BF3" s="172"/>
      <c r="BG3" s="172"/>
      <c r="BH3" s="172"/>
      <c r="BI3" s="172"/>
      <c r="BJ3" s="172"/>
      <c r="BK3" s="172"/>
      <c r="BL3" s="172"/>
      <c r="BM3" s="172"/>
      <c r="BN3" s="172"/>
      <c r="BO3" s="172"/>
      <c r="BP3" s="172"/>
      <c r="BQ3" s="172"/>
      <c r="BR3" s="172"/>
      <c r="BS3" s="172"/>
      <c r="BT3" s="172"/>
      <c r="BU3" s="172"/>
      <c r="BV3" s="172"/>
      <c r="BW3" s="172"/>
      <c r="BX3" s="172"/>
      <c r="BY3" s="172"/>
    </row>
    <row r="4" spans="1:77">
      <c r="A4" s="172"/>
      <c r="B4" s="172"/>
      <c r="C4" s="295" t="str">
        <f>'הנחות עבודה'!B6</f>
        <v>שנת התחלת חישוב תזרים</v>
      </c>
      <c r="D4" s="297">
        <f>'הנחות עבודה'!C6</f>
        <v>2020</v>
      </c>
      <c r="E4" s="172"/>
      <c r="F4" s="172"/>
      <c r="G4" s="172"/>
      <c r="H4" s="172"/>
      <c r="I4" s="172"/>
      <c r="J4" s="172"/>
      <c r="K4" s="172"/>
      <c r="L4" s="172"/>
      <c r="M4" s="172"/>
      <c r="N4" s="172"/>
      <c r="O4" s="172"/>
      <c r="P4" s="172"/>
      <c r="Q4" s="172"/>
      <c r="R4" s="172"/>
      <c r="S4" s="172"/>
      <c r="T4" s="172"/>
      <c r="U4" s="172"/>
      <c r="V4" s="172"/>
      <c r="W4" s="172"/>
      <c r="X4" s="172"/>
      <c r="Y4" s="172"/>
      <c r="Z4" s="172"/>
      <c r="AA4" s="172"/>
      <c r="AB4" s="172"/>
      <c r="AC4" s="172"/>
      <c r="AD4" s="172"/>
      <c r="AE4" s="172"/>
      <c r="AF4" s="172"/>
      <c r="AG4" s="172"/>
      <c r="AH4" s="172"/>
      <c r="AI4" s="172"/>
      <c r="AJ4" s="172"/>
      <c r="AK4" s="172"/>
      <c r="AL4" s="172"/>
      <c r="AM4" s="172"/>
      <c r="AN4" s="172"/>
      <c r="AO4" s="172"/>
      <c r="AP4" s="172"/>
      <c r="AQ4" s="172"/>
      <c r="AR4" s="172"/>
      <c r="AS4" s="172"/>
      <c r="AT4" s="172"/>
      <c r="AU4" s="172"/>
      <c r="AV4" s="172"/>
      <c r="AW4" s="172"/>
      <c r="AX4" s="172"/>
      <c r="AY4" s="172"/>
      <c r="AZ4" s="172"/>
      <c r="BA4" s="172"/>
      <c r="BB4" s="172"/>
      <c r="BC4" s="172"/>
      <c r="BD4" s="172"/>
      <c r="BE4" s="172"/>
      <c r="BF4" s="172"/>
      <c r="BG4" s="172"/>
      <c r="BH4" s="172"/>
      <c r="BI4" s="172"/>
      <c r="BJ4" s="172"/>
      <c r="BK4" s="172"/>
      <c r="BL4" s="172"/>
      <c r="BM4" s="172"/>
      <c r="BN4" s="172"/>
      <c r="BO4" s="172"/>
      <c r="BP4" s="172"/>
      <c r="BQ4" s="172"/>
      <c r="BR4" s="172"/>
      <c r="BS4" s="172"/>
      <c r="BT4" s="172"/>
      <c r="BU4" s="172"/>
      <c r="BV4" s="172"/>
      <c r="BW4" s="172"/>
      <c r="BX4" s="172"/>
      <c r="BY4" s="172"/>
    </row>
    <row r="5" spans="1:77" ht="16.5" thickBot="1">
      <c r="A5" s="172"/>
      <c r="B5" s="172"/>
      <c r="C5" s="296" t="str">
        <f>'הנחות עבודה'!B8</f>
        <v>שנת היוון מקסימלית - השקעות</v>
      </c>
      <c r="D5" s="298">
        <f>'הנחות עבודה'!C8</f>
        <v>2040</v>
      </c>
      <c r="E5" s="172"/>
      <c r="F5" s="172"/>
      <c r="G5" s="172"/>
      <c r="H5" s="172"/>
      <c r="I5" s="172"/>
      <c r="J5" s="172"/>
      <c r="K5" s="172"/>
      <c r="L5" s="172"/>
      <c r="M5" s="172"/>
      <c r="N5" s="172"/>
      <c r="O5" s="172"/>
      <c r="P5" s="172"/>
      <c r="Q5" s="172"/>
      <c r="R5" s="172"/>
      <c r="S5" s="172"/>
      <c r="T5" s="172"/>
      <c r="U5" s="172"/>
      <c r="V5" s="172"/>
      <c r="W5" s="172"/>
      <c r="X5" s="172"/>
      <c r="Y5" s="172"/>
      <c r="Z5" s="172"/>
      <c r="AA5" s="172"/>
      <c r="AB5" s="172"/>
      <c r="AC5" s="172"/>
      <c r="AD5" s="172"/>
      <c r="AE5" s="172"/>
      <c r="AF5" s="172"/>
      <c r="AG5" s="172"/>
      <c r="AH5" s="172"/>
      <c r="AI5" s="172"/>
      <c r="AJ5" s="172"/>
      <c r="AK5" s="172"/>
      <c r="AL5" s="172"/>
      <c r="AM5" s="172"/>
      <c r="AN5" s="172"/>
      <c r="AO5" s="172"/>
      <c r="AP5" s="172"/>
      <c r="AQ5" s="172"/>
      <c r="AR5" s="172"/>
      <c r="AS5" s="172"/>
      <c r="AT5" s="172"/>
      <c r="AU5" s="172"/>
      <c r="AV5" s="172"/>
      <c r="AW5" s="172"/>
      <c r="AX5" s="172"/>
      <c r="AY5" s="172"/>
      <c r="AZ5" s="172"/>
      <c r="BA5" s="172"/>
      <c r="BB5" s="172"/>
      <c r="BC5" s="172"/>
      <c r="BD5" s="172"/>
      <c r="BE5" s="172"/>
      <c r="BF5" s="172"/>
      <c r="BG5" s="172"/>
      <c r="BH5" s="172"/>
      <c r="BI5" s="172"/>
      <c r="BJ5" s="172"/>
      <c r="BK5" s="172"/>
      <c r="BL5" s="172"/>
      <c r="BM5" s="172"/>
      <c r="BN5" s="172"/>
      <c r="BO5" s="172"/>
      <c r="BP5" s="172"/>
      <c r="BQ5" s="172"/>
      <c r="BR5" s="172"/>
      <c r="BS5" s="172"/>
      <c r="BT5" s="172"/>
      <c r="BU5" s="172"/>
      <c r="BV5" s="172"/>
      <c r="BW5" s="172"/>
      <c r="BX5" s="172"/>
      <c r="BY5" s="172"/>
    </row>
    <row r="6" spans="1:77">
      <c r="B6" s="1294" t="s">
        <v>11</v>
      </c>
      <c r="C6" s="36" t="str">
        <f>'הנחות עבודה'!C9</f>
        <v>ריבית שנתית להיוון</v>
      </c>
      <c r="D6" s="294">
        <f>VLOOKUP(C6,'הנחות עבודה'!$C$9:$D$16,2,FALSE)</f>
        <v>0.03</v>
      </c>
    </row>
    <row r="7" spans="1:77" ht="16.5" thickBot="1">
      <c r="B7" s="1320"/>
      <c r="C7" s="13" t="str">
        <f>'הנחות עבודה'!C13</f>
        <v>MW TO KW / KW TO W</v>
      </c>
      <c r="D7" s="15">
        <f>VLOOKUP(C7,'הנחות עבודה'!$C$9:$D$16,2,FALSE)</f>
        <v>1000</v>
      </c>
    </row>
    <row r="8" spans="1:77" ht="16.5" thickBot="1">
      <c r="B8" s="1295"/>
      <c r="C8" s="32" t="str">
        <f>'הנחות עבודה'!C16</f>
        <v>מלש"ח ל- ₪ / טון לגר' / מיליון טון לטון</v>
      </c>
      <c r="D8" s="129">
        <f>VLOOKUP(C8,'הנחות עבודה'!$C$9:$D$16,2,FALSE)</f>
        <v>1000000</v>
      </c>
      <c r="F8" s="4" t="s">
        <v>18</v>
      </c>
    </row>
    <row r="9" spans="1:77">
      <c r="B9" s="1323" t="str">
        <f>'הנחות עבודה'!G49</f>
        <v>WACC</v>
      </c>
      <c r="C9" s="12" t="str">
        <f>F9</f>
        <v>גז במחזמים חדשים</v>
      </c>
      <c r="D9" s="34">
        <f>VLOOKUP(C9,'הנחות עבודה'!$H$49:$I$58,2,FALSE)</f>
        <v>3.3520000000000001E-2</v>
      </c>
      <c r="F9" s="58" t="s">
        <v>209</v>
      </c>
    </row>
    <row r="10" spans="1:77" ht="16.5" thickBot="1">
      <c r="B10" s="1324"/>
      <c r="C10" s="16" t="str">
        <f>F10</f>
        <v>גז בפיקרים חדשים</v>
      </c>
      <c r="D10" s="292">
        <f>VLOOKUP(C10,'הנחות עבודה'!$H$49:$I$58,2,FALSE)</f>
        <v>3.1520000000000006E-2</v>
      </c>
      <c r="F10" s="59" t="s">
        <v>82</v>
      </c>
    </row>
    <row r="11" spans="1:77">
      <c r="B11" s="1321" t="s">
        <v>16</v>
      </c>
      <c r="C11" s="36" t="str">
        <f>F9</f>
        <v>גז במחזמים חדשים</v>
      </c>
      <c r="D11" s="291">
        <f>VLOOKUP(C11,'הנחות עבודה'!$C$17:$E$24,2,FALSE)</f>
        <v>25</v>
      </c>
    </row>
    <row r="12" spans="1:77" ht="16.5" thickBot="1">
      <c r="B12" s="1322"/>
      <c r="C12" s="16" t="str">
        <f>F10</f>
        <v>גז בפיקרים חדשים</v>
      </c>
      <c r="D12" s="33">
        <f>VLOOKUP(C12,'הנחות עבודה'!$C$17:$E$24,2,FALSE)</f>
        <v>25</v>
      </c>
    </row>
    <row r="13" spans="1:77" ht="16.5" thickBot="1">
      <c r="B13" s="31"/>
    </row>
    <row r="14" spans="1:77" ht="16.5" thickBot="1">
      <c r="B14" s="31"/>
      <c r="G14" s="1243" t="s">
        <v>7</v>
      </c>
      <c r="H14" s="1245"/>
      <c r="K14" s="1243" t="s">
        <v>211</v>
      </c>
      <c r="L14" s="1245"/>
    </row>
    <row r="15" spans="1:77" ht="48" thickBot="1">
      <c r="B15" s="31"/>
      <c r="F15" s="7" t="s">
        <v>0</v>
      </c>
      <c r="G15" s="4" t="str">
        <f ca="1">OFFSET($F$9,COUNT($A$2:A2)-1,0)</f>
        <v>גז במחזמים חדשים</v>
      </c>
      <c r="H15" s="4" t="str">
        <f ca="1">OFFSET($F$9,COUNT($A$2:B2)-1,0)</f>
        <v>גז בפיקרים חדשים</v>
      </c>
      <c r="J15" s="7" t="s">
        <v>0</v>
      </c>
      <c r="K15" s="4" t="str">
        <f ca="1">G15</f>
        <v>גז במחזמים חדשים</v>
      </c>
      <c r="L15" s="4" t="str">
        <f ca="1">H15</f>
        <v>גז בפיקרים חדשים</v>
      </c>
    </row>
    <row r="16" spans="1:77">
      <c r="B16" s="31"/>
      <c r="F16" s="8">
        <f>D4</f>
        <v>2020</v>
      </c>
      <c r="G16" s="20">
        <f ca="1">IF($F16&gt;MAX('הנחות עבודה'!$B$69:$B$89),0,VLOOKUP($F16,'הנחות עבודה'!$B$69:$M$89,MATCH(G$15,'הנחות עבודה'!$B$68:$M$68,0),FALSE))</f>
        <v>3864.0711600000004</v>
      </c>
      <c r="H16" s="21">
        <f ca="1">IF($F16&gt;MAX('הנחות עבודה'!$B$69:$B$89),0,VLOOKUP($F16,'הנחות עבודה'!$B$69:$M$89,MATCH(H$15,'הנחות עבודה'!$B$68:$M$68,0),FALSE))</f>
        <v>3100.1669999999999</v>
      </c>
      <c r="J16" s="8">
        <f>F16</f>
        <v>2020</v>
      </c>
      <c r="K16" s="20">
        <f ca="1">IF($J16&gt;MAX('הנחות עבודה'!$B$69:$B$89),0,VLOOKUP($J16,'הנחות עבודה'!$B$94:$M$114,MATCH(K$15,'הנחות עבודה'!$B$93:$M$93,0),FALSE))</f>
        <v>148.5</v>
      </c>
      <c r="L16" s="21">
        <f ca="1">IF($J16&gt;MAX('הנחות עבודה'!$B$69:$B$89),0,VLOOKUP($J16,'הנחות עבודה'!$B$94:$M$114,MATCH(L$15,'הנחות עבודה'!$B$93:$M$93,0),FALSE))</f>
        <v>146.70000000000002</v>
      </c>
    </row>
    <row r="17" spans="2:12">
      <c r="B17" s="31"/>
      <c r="F17" s="10">
        <f t="shared" ref="F17:F18" si="75">+F16+1</f>
        <v>2021</v>
      </c>
      <c r="G17" s="22">
        <f ca="1">IF($F17&gt;MAX('הנחות עבודה'!$B$69:$B$89),0,VLOOKUP($F17,'הנחות עבודה'!$B$69:$M$89,MATCH(G$15,'הנחות עבודה'!$B$68:$M$68,0),FALSE))</f>
        <v>3864.0711600000004</v>
      </c>
      <c r="H17" s="15">
        <f ca="1">IF($F17&gt;MAX('הנחות עבודה'!$B$69:$B$89),0,VLOOKUP($F17,'הנחות עבודה'!$B$69:$M$89,MATCH(H$15,'הנחות עבודה'!$B$68:$M$68,0),FALSE))</f>
        <v>3100.1669999999999</v>
      </c>
      <c r="J17" s="10">
        <f t="shared" ref="J17:J18" si="76">+J16+1</f>
        <v>2021</v>
      </c>
      <c r="K17" s="22">
        <f ca="1">IF($J17&gt;MAX('הנחות עבודה'!$B$69:$B$89),0,VLOOKUP($J17,'הנחות עבודה'!$B$94:$M$114,MATCH(K$15,'הנחות עבודה'!$B$93:$M$93,0),FALSE))</f>
        <v>148.5</v>
      </c>
      <c r="L17" s="15">
        <f ca="1">IF($J17&gt;MAX('הנחות עבודה'!$B$69:$B$89),0,VLOOKUP($J17,'הנחות עבודה'!$B$94:$M$114,MATCH(L$15,'הנחות עבודה'!$B$93:$M$93,0),FALSE))</f>
        <v>146.70000000000002</v>
      </c>
    </row>
    <row r="18" spans="2:12">
      <c r="B18" s="31"/>
      <c r="F18" s="10">
        <f t="shared" si="75"/>
        <v>2022</v>
      </c>
      <c r="G18" s="22">
        <f ca="1">IF($F18&gt;MAX('הנחות עבודה'!$B$69:$B$89),0,VLOOKUP($F18,'הנחות עבודה'!$B$69:$M$89,MATCH(G$15,'הנחות עבודה'!$B$68:$M$68,0),FALSE))</f>
        <v>3864.0711600000004</v>
      </c>
      <c r="H18" s="15">
        <f ca="1">IF($F18&gt;MAX('הנחות עבודה'!$B$69:$B$89),0,VLOOKUP($F18,'הנחות עבודה'!$B$69:$M$89,MATCH(H$15,'הנחות עבודה'!$B$68:$M$68,0),FALSE))</f>
        <v>3100.1669999999999</v>
      </c>
      <c r="J18" s="10">
        <f t="shared" si="76"/>
        <v>2022</v>
      </c>
      <c r="K18" s="22">
        <f ca="1">IF($J18&gt;MAX('הנחות עבודה'!$B$69:$B$89),0,VLOOKUP($J18,'הנחות עבודה'!$B$94:$M$114,MATCH(K$15,'הנחות עבודה'!$B$93:$M$93,0),FALSE))</f>
        <v>148.5</v>
      </c>
      <c r="L18" s="15">
        <f ca="1">IF($J18&gt;MAX('הנחות עבודה'!$B$69:$B$89),0,VLOOKUP($J18,'הנחות עבודה'!$B$94:$M$114,MATCH(L$15,'הנחות עבודה'!$B$93:$M$93,0),FALSE))</f>
        <v>146.70000000000002</v>
      </c>
    </row>
    <row r="19" spans="2:12">
      <c r="B19" s="31"/>
      <c r="F19" s="10">
        <f>+F18+1</f>
        <v>2023</v>
      </c>
      <c r="G19" s="22">
        <f ca="1">IF($F19&gt;MAX('הנחות עבודה'!$B$69:$B$89),0,VLOOKUP($F19,'הנחות עבודה'!$B$69:$M$89,MATCH(G$15,'הנחות עבודה'!$B$68:$M$68,0),FALSE))</f>
        <v>3864.0711600000004</v>
      </c>
      <c r="H19" s="15">
        <f ca="1">IF($F19&gt;MAX('הנחות עבודה'!$B$69:$B$89),0,VLOOKUP($F19,'הנחות עבודה'!$B$69:$M$89,MATCH(H$15,'הנחות עבודה'!$B$68:$M$68,0),FALSE))</f>
        <v>3100.1669999999999</v>
      </c>
      <c r="J19" s="10">
        <f>+J18+1</f>
        <v>2023</v>
      </c>
      <c r="K19" s="22">
        <f ca="1">IF($J19&gt;MAX('הנחות עבודה'!$B$69:$B$89),0,VLOOKUP($J19,'הנחות עבודה'!$B$94:$M$114,MATCH(K$15,'הנחות עבודה'!$B$93:$M$93,0),FALSE))</f>
        <v>148.5</v>
      </c>
      <c r="L19" s="15">
        <f ca="1">IF($J19&gt;MAX('הנחות עבודה'!$B$69:$B$89),0,VLOOKUP($J19,'הנחות עבודה'!$B$94:$M$114,MATCH(L$15,'הנחות עבודה'!$B$93:$M$93,0),FALSE))</f>
        <v>146.70000000000002</v>
      </c>
    </row>
    <row r="20" spans="2:12">
      <c r="B20" s="31"/>
      <c r="F20" s="10">
        <f t="shared" ref="F20:F36" si="77">+F19+1</f>
        <v>2024</v>
      </c>
      <c r="G20" s="22">
        <f ca="1">IF($F20&gt;MAX('הנחות עבודה'!$B$69:$B$89),0,VLOOKUP($F20,'הנחות עבודה'!$B$69:$M$89,MATCH(G$15,'הנחות עבודה'!$B$68:$M$68,0),FALSE))</f>
        <v>3864.0711600000004</v>
      </c>
      <c r="H20" s="15">
        <f ca="1">IF($F20&gt;MAX('הנחות עבודה'!$B$69:$B$89),0,VLOOKUP($F20,'הנחות עבודה'!$B$69:$M$89,MATCH(H$15,'הנחות עבודה'!$B$68:$M$68,0),FALSE))</f>
        <v>3100.1669999999999</v>
      </c>
      <c r="J20" s="10">
        <f t="shared" ref="J20:J36" si="78">+J19+1</f>
        <v>2024</v>
      </c>
      <c r="K20" s="22">
        <f ca="1">IF($J20&gt;MAX('הנחות עבודה'!$B$69:$B$89),0,VLOOKUP($J20,'הנחות עבודה'!$B$94:$M$114,MATCH(K$15,'הנחות עבודה'!$B$93:$M$93,0),FALSE))</f>
        <v>148.5</v>
      </c>
      <c r="L20" s="15">
        <f ca="1">IF($J20&gt;MAX('הנחות עבודה'!$B$69:$B$89),0,VLOOKUP($J20,'הנחות עבודה'!$B$94:$M$114,MATCH(L$15,'הנחות עבודה'!$B$93:$M$93,0),FALSE))</f>
        <v>146.70000000000002</v>
      </c>
    </row>
    <row r="21" spans="2:12">
      <c r="B21" s="31"/>
      <c r="F21" s="10">
        <f t="shared" si="77"/>
        <v>2025</v>
      </c>
      <c r="G21" s="22">
        <f ca="1">IF($F21&gt;MAX('הנחות עבודה'!$B$69:$B$89),0,VLOOKUP($F21,'הנחות עבודה'!$B$69:$M$89,MATCH(G$15,'הנחות עבודה'!$B$68:$M$68,0),FALSE))</f>
        <v>3864.0711600000004</v>
      </c>
      <c r="H21" s="15">
        <f ca="1">IF($F21&gt;MAX('הנחות עבודה'!$B$69:$B$89),0,VLOOKUP($F21,'הנחות עבודה'!$B$69:$M$89,MATCH(H$15,'הנחות עבודה'!$B$68:$M$68,0),FALSE))</f>
        <v>3100.1669999999999</v>
      </c>
      <c r="J21" s="10">
        <f t="shared" si="78"/>
        <v>2025</v>
      </c>
      <c r="K21" s="22">
        <f ca="1">IF($J21&gt;MAX('הנחות עבודה'!$B$69:$B$89),0,VLOOKUP($J21,'הנחות עבודה'!$B$94:$M$114,MATCH(K$15,'הנחות עבודה'!$B$93:$M$93,0),FALSE))</f>
        <v>148.5</v>
      </c>
      <c r="L21" s="15">
        <f ca="1">IF($J21&gt;MAX('הנחות עבודה'!$B$69:$B$89),0,VLOOKUP($J21,'הנחות עבודה'!$B$94:$M$114,MATCH(L$15,'הנחות עבודה'!$B$93:$M$93,0),FALSE))</f>
        <v>146.70000000000002</v>
      </c>
    </row>
    <row r="22" spans="2:12">
      <c r="B22" s="31"/>
      <c r="F22" s="10">
        <f t="shared" si="77"/>
        <v>2026</v>
      </c>
      <c r="G22" s="22">
        <f ca="1">IF($F22&gt;MAX('הנחות עבודה'!$B$69:$B$89),0,VLOOKUP($F22,'הנחות עבודה'!$B$69:$M$89,MATCH(G$15,'הנחות עבודה'!$B$68:$M$68,0),FALSE))</f>
        <v>3864.0711600000004</v>
      </c>
      <c r="H22" s="15">
        <f ca="1">IF($F22&gt;MAX('הנחות עבודה'!$B$69:$B$89),0,VLOOKUP($F22,'הנחות עבודה'!$B$69:$M$89,MATCH(H$15,'הנחות עבודה'!$B$68:$M$68,0),FALSE))</f>
        <v>3100.1669999999999</v>
      </c>
      <c r="J22" s="10">
        <f t="shared" si="78"/>
        <v>2026</v>
      </c>
      <c r="K22" s="22">
        <f ca="1">IF($J22&gt;MAX('הנחות עבודה'!$B$69:$B$89),0,VLOOKUP($J22,'הנחות עבודה'!$B$94:$M$114,MATCH(K$15,'הנחות עבודה'!$B$93:$M$93,0),FALSE))</f>
        <v>148.5</v>
      </c>
      <c r="L22" s="15">
        <f ca="1">IF($J22&gt;MAX('הנחות עבודה'!$B$69:$B$89),0,VLOOKUP($J22,'הנחות עבודה'!$B$94:$M$114,MATCH(L$15,'הנחות עבודה'!$B$93:$M$93,0),FALSE))</f>
        <v>146.70000000000002</v>
      </c>
    </row>
    <row r="23" spans="2:12">
      <c r="B23" s="31"/>
      <c r="F23" s="10">
        <f t="shared" si="77"/>
        <v>2027</v>
      </c>
      <c r="G23" s="22">
        <f ca="1">IF($F23&gt;MAX('הנחות עבודה'!$B$69:$B$89),0,VLOOKUP($F23,'הנחות עבודה'!$B$69:$M$89,MATCH(G$15,'הנחות עבודה'!$B$68:$M$68,0),FALSE))</f>
        <v>3864.0711600000004</v>
      </c>
      <c r="H23" s="15">
        <f ca="1">IF($F23&gt;MAX('הנחות עבודה'!$B$69:$B$89),0,VLOOKUP($F23,'הנחות עבודה'!$B$69:$M$89,MATCH(H$15,'הנחות עבודה'!$B$68:$M$68,0),FALSE))</f>
        <v>3100.1669999999999</v>
      </c>
      <c r="J23" s="10">
        <f t="shared" si="78"/>
        <v>2027</v>
      </c>
      <c r="K23" s="22">
        <f ca="1">IF($J23&gt;MAX('הנחות עבודה'!$B$69:$B$89),0,VLOOKUP($J23,'הנחות עבודה'!$B$94:$M$114,MATCH(K$15,'הנחות עבודה'!$B$93:$M$93,0),FALSE))</f>
        <v>148.5</v>
      </c>
      <c r="L23" s="15">
        <f ca="1">IF($J23&gt;MAX('הנחות עבודה'!$B$69:$B$89),0,VLOOKUP($J23,'הנחות עבודה'!$B$94:$M$114,MATCH(L$15,'הנחות עבודה'!$B$93:$M$93,0),FALSE))</f>
        <v>146.70000000000002</v>
      </c>
    </row>
    <row r="24" spans="2:12">
      <c r="B24" s="31"/>
      <c r="F24" s="10">
        <f t="shared" si="77"/>
        <v>2028</v>
      </c>
      <c r="G24" s="22">
        <f ca="1">IF($F24&gt;MAX('הנחות עבודה'!$B$69:$B$89),0,VLOOKUP($F24,'הנחות עבודה'!$B$69:$M$89,MATCH(G$15,'הנחות עבודה'!$B$68:$M$68,0),FALSE))</f>
        <v>3864.0711600000004</v>
      </c>
      <c r="H24" s="15">
        <f ca="1">IF($F24&gt;MAX('הנחות עבודה'!$B$69:$B$89),0,VLOOKUP($F24,'הנחות עבודה'!$B$69:$M$89,MATCH(H$15,'הנחות עבודה'!$B$68:$M$68,0),FALSE))</f>
        <v>3100.1669999999999</v>
      </c>
      <c r="J24" s="10">
        <f t="shared" si="78"/>
        <v>2028</v>
      </c>
      <c r="K24" s="22">
        <f ca="1">IF($J24&gt;MAX('הנחות עבודה'!$B$69:$B$89),0,VLOOKUP($J24,'הנחות עבודה'!$B$94:$M$114,MATCH(K$15,'הנחות עבודה'!$B$93:$M$93,0),FALSE))</f>
        <v>148.5</v>
      </c>
      <c r="L24" s="15">
        <f ca="1">IF($J24&gt;MAX('הנחות עבודה'!$B$69:$B$89),0,VLOOKUP($J24,'הנחות עבודה'!$B$94:$M$114,MATCH(L$15,'הנחות עבודה'!$B$93:$M$93,0),FALSE))</f>
        <v>146.70000000000002</v>
      </c>
    </row>
    <row r="25" spans="2:12">
      <c r="B25" s="31"/>
      <c r="F25" s="10">
        <f t="shared" si="77"/>
        <v>2029</v>
      </c>
      <c r="G25" s="22">
        <f ca="1">IF($F25&gt;MAX('הנחות עבודה'!$B$69:$B$89),0,VLOOKUP($F25,'הנחות עבודה'!$B$69:$M$89,MATCH(G$15,'הנחות עבודה'!$B$68:$M$68,0),FALSE))</f>
        <v>3864.0711600000004</v>
      </c>
      <c r="H25" s="15">
        <f ca="1">IF($F25&gt;MAX('הנחות עבודה'!$B$69:$B$89),0,VLOOKUP($F25,'הנחות עבודה'!$B$69:$M$89,MATCH(H$15,'הנחות עבודה'!$B$68:$M$68,0),FALSE))</f>
        <v>3100.1669999999999</v>
      </c>
      <c r="J25" s="10">
        <f t="shared" si="78"/>
        <v>2029</v>
      </c>
      <c r="K25" s="22">
        <f ca="1">IF($J25&gt;MAX('הנחות עבודה'!$B$69:$B$89),0,VLOOKUP($J25,'הנחות עבודה'!$B$94:$M$114,MATCH(K$15,'הנחות עבודה'!$B$93:$M$93,0),FALSE))</f>
        <v>148.5</v>
      </c>
      <c r="L25" s="15">
        <f ca="1">IF($J25&gt;MAX('הנחות עבודה'!$B$69:$B$89),0,VLOOKUP($J25,'הנחות עבודה'!$B$94:$M$114,MATCH(L$15,'הנחות עבודה'!$B$93:$M$93,0),FALSE))</f>
        <v>146.70000000000002</v>
      </c>
    </row>
    <row r="26" spans="2:12">
      <c r="B26" s="31"/>
      <c r="F26" s="10">
        <f t="shared" si="77"/>
        <v>2030</v>
      </c>
      <c r="G26" s="22">
        <f ca="1">IF($F26&gt;MAX('הנחות עבודה'!$B$69:$B$89),0,VLOOKUP($F26,'הנחות עבודה'!$B$69:$M$89,MATCH(G$15,'הנחות עבודה'!$B$68:$M$68,0),FALSE))</f>
        <v>3864.0711600000004</v>
      </c>
      <c r="H26" s="15">
        <f ca="1">IF($F26&gt;MAX('הנחות עבודה'!$B$69:$B$89),0,VLOOKUP($F26,'הנחות עבודה'!$B$69:$M$89,MATCH(H$15,'הנחות עבודה'!$B$68:$M$68,0),FALSE))</f>
        <v>3100.1669999999999</v>
      </c>
      <c r="J26" s="10">
        <f t="shared" si="78"/>
        <v>2030</v>
      </c>
      <c r="K26" s="22">
        <f ca="1">IF($J26&gt;MAX('הנחות עבודה'!$B$69:$B$89),0,VLOOKUP($J26,'הנחות עבודה'!$B$94:$M$114,MATCH(K$15,'הנחות עבודה'!$B$93:$M$93,0),FALSE))</f>
        <v>148.5</v>
      </c>
      <c r="L26" s="15">
        <f ca="1">IF($J26&gt;MAX('הנחות עבודה'!$B$69:$B$89),0,VLOOKUP($J26,'הנחות עבודה'!$B$94:$M$114,MATCH(L$15,'הנחות עבודה'!$B$93:$M$93,0),FALSE))</f>
        <v>146.70000000000002</v>
      </c>
    </row>
    <row r="27" spans="2:12">
      <c r="B27" s="31"/>
      <c r="F27" s="10">
        <f t="shared" si="77"/>
        <v>2031</v>
      </c>
      <c r="G27" s="22">
        <f ca="1">IF($F27&gt;MAX('הנחות עבודה'!$B$69:$B$89),0,VLOOKUP($F27,'הנחות עבודה'!$B$69:$M$89,MATCH(G$15,'הנחות עבודה'!$B$68:$M$68,0),FALSE))</f>
        <v>3864.0711600000004</v>
      </c>
      <c r="H27" s="15">
        <f ca="1">IF($F27&gt;MAX('הנחות עבודה'!$B$69:$B$89),0,VLOOKUP($F27,'הנחות עבודה'!$B$69:$M$89,MATCH(H$15,'הנחות עבודה'!$B$68:$M$68,0),FALSE))</f>
        <v>3100.1669999999999</v>
      </c>
      <c r="J27" s="10">
        <f t="shared" si="78"/>
        <v>2031</v>
      </c>
      <c r="K27" s="22">
        <f ca="1">IF($J27&gt;MAX('הנחות עבודה'!$B$69:$B$89),0,VLOOKUP($J27,'הנחות עבודה'!$B$94:$M$114,MATCH(K$15,'הנחות עבודה'!$B$93:$M$93,0),FALSE))</f>
        <v>148.5</v>
      </c>
      <c r="L27" s="15">
        <f ca="1">IF($J27&gt;MAX('הנחות עבודה'!$B$69:$B$89),0,VLOOKUP($J27,'הנחות עבודה'!$B$94:$M$114,MATCH(L$15,'הנחות עבודה'!$B$93:$M$93,0),FALSE))</f>
        <v>146.70000000000002</v>
      </c>
    </row>
    <row r="28" spans="2:12">
      <c r="B28" s="31"/>
      <c r="F28" s="10">
        <f t="shared" si="77"/>
        <v>2032</v>
      </c>
      <c r="G28" s="22">
        <f ca="1">IF($F28&gt;MAX('הנחות עבודה'!$B$69:$B$89),0,VLOOKUP($F28,'הנחות עבודה'!$B$69:$M$89,MATCH(G$15,'הנחות עבודה'!$B$68:$M$68,0),FALSE))</f>
        <v>3864.0711600000004</v>
      </c>
      <c r="H28" s="15">
        <f ca="1">IF($F28&gt;MAX('הנחות עבודה'!$B$69:$B$89),0,VLOOKUP($F28,'הנחות עבודה'!$B$69:$M$89,MATCH(H$15,'הנחות עבודה'!$B$68:$M$68,0),FALSE))</f>
        <v>3100.1669999999999</v>
      </c>
      <c r="J28" s="10">
        <f t="shared" si="78"/>
        <v>2032</v>
      </c>
      <c r="K28" s="22">
        <f ca="1">IF($J28&gt;MAX('הנחות עבודה'!$B$69:$B$89),0,VLOOKUP($J28,'הנחות עבודה'!$B$94:$M$114,MATCH(K$15,'הנחות עבודה'!$B$93:$M$93,0),FALSE))</f>
        <v>148.5</v>
      </c>
      <c r="L28" s="15">
        <f ca="1">IF($J28&gt;MAX('הנחות עבודה'!$B$69:$B$89),0,VLOOKUP($J28,'הנחות עבודה'!$B$94:$M$114,MATCH(L$15,'הנחות עבודה'!$B$93:$M$93,0),FALSE))</f>
        <v>146.70000000000002</v>
      </c>
    </row>
    <row r="29" spans="2:12">
      <c r="B29" s="31"/>
      <c r="F29" s="10">
        <f t="shared" si="77"/>
        <v>2033</v>
      </c>
      <c r="G29" s="22">
        <f ca="1">IF($F29&gt;MAX('הנחות עבודה'!$B$69:$B$89),0,VLOOKUP($F29,'הנחות עבודה'!$B$69:$M$89,MATCH(G$15,'הנחות עבודה'!$B$68:$M$68,0),FALSE))</f>
        <v>3864.0711600000004</v>
      </c>
      <c r="H29" s="15">
        <f ca="1">IF($F29&gt;MAX('הנחות עבודה'!$B$69:$B$89),0,VLOOKUP($F29,'הנחות עבודה'!$B$69:$M$89,MATCH(H$15,'הנחות עבודה'!$B$68:$M$68,0),FALSE))</f>
        <v>3100.1669999999999</v>
      </c>
      <c r="J29" s="10">
        <f t="shared" si="78"/>
        <v>2033</v>
      </c>
      <c r="K29" s="22">
        <f ca="1">IF($J29&gt;MAX('הנחות עבודה'!$B$69:$B$89),0,VLOOKUP($J29,'הנחות עבודה'!$B$94:$M$114,MATCH(K$15,'הנחות עבודה'!$B$93:$M$93,0),FALSE))</f>
        <v>148.5</v>
      </c>
      <c r="L29" s="15">
        <f ca="1">IF($J29&gt;MAX('הנחות עבודה'!$B$69:$B$89),0,VLOOKUP($J29,'הנחות עבודה'!$B$94:$M$114,MATCH(L$15,'הנחות עבודה'!$B$93:$M$93,0),FALSE))</f>
        <v>146.70000000000002</v>
      </c>
    </row>
    <row r="30" spans="2:12">
      <c r="B30" s="31"/>
      <c r="F30" s="10">
        <f t="shared" si="77"/>
        <v>2034</v>
      </c>
      <c r="G30" s="22">
        <f ca="1">IF($F30&gt;MAX('הנחות עבודה'!$B$69:$B$89),0,VLOOKUP($F30,'הנחות עבודה'!$B$69:$M$89,MATCH(G$15,'הנחות עבודה'!$B$68:$M$68,0),FALSE))</f>
        <v>3864.0711600000004</v>
      </c>
      <c r="H30" s="15">
        <f ca="1">IF($F30&gt;MAX('הנחות עבודה'!$B$69:$B$89),0,VLOOKUP($F30,'הנחות עבודה'!$B$69:$M$89,MATCH(H$15,'הנחות עבודה'!$B$68:$M$68,0),FALSE))</f>
        <v>3100.1669999999999</v>
      </c>
      <c r="J30" s="10">
        <f t="shared" si="78"/>
        <v>2034</v>
      </c>
      <c r="K30" s="22">
        <f ca="1">IF($J30&gt;MAX('הנחות עבודה'!$B$69:$B$89),0,VLOOKUP($J30,'הנחות עבודה'!$B$94:$M$114,MATCH(K$15,'הנחות עבודה'!$B$93:$M$93,0),FALSE))</f>
        <v>148.5</v>
      </c>
      <c r="L30" s="15">
        <f ca="1">IF($J30&gt;MAX('הנחות עבודה'!$B$69:$B$89),0,VLOOKUP($J30,'הנחות עבודה'!$B$94:$M$114,MATCH(L$15,'הנחות עבודה'!$B$93:$M$93,0),FALSE))</f>
        <v>146.70000000000002</v>
      </c>
    </row>
    <row r="31" spans="2:12">
      <c r="B31" s="31"/>
      <c r="F31" s="10">
        <f t="shared" si="77"/>
        <v>2035</v>
      </c>
      <c r="G31" s="22">
        <f ca="1">IF($F31&gt;MAX('הנחות עבודה'!$B$69:$B$89),0,VLOOKUP($F31,'הנחות עבודה'!$B$69:$M$89,MATCH(G$15,'הנחות עבודה'!$B$68:$M$68,0),FALSE))</f>
        <v>3864.0711600000004</v>
      </c>
      <c r="H31" s="15">
        <f ca="1">IF($F31&gt;MAX('הנחות עבודה'!$B$69:$B$89),0,VLOOKUP($F31,'הנחות עבודה'!$B$69:$M$89,MATCH(H$15,'הנחות עבודה'!$B$68:$M$68,0),FALSE))</f>
        <v>3100.1669999999999</v>
      </c>
      <c r="J31" s="10">
        <f t="shared" si="78"/>
        <v>2035</v>
      </c>
      <c r="K31" s="22">
        <f ca="1">IF($J31&gt;MAX('הנחות עבודה'!$B$69:$B$89),0,VLOOKUP($J31,'הנחות עבודה'!$B$94:$M$114,MATCH(K$15,'הנחות עבודה'!$B$93:$M$93,0),FALSE))</f>
        <v>148.5</v>
      </c>
      <c r="L31" s="15">
        <f ca="1">IF($J31&gt;MAX('הנחות עבודה'!$B$69:$B$89),0,VLOOKUP($J31,'הנחות עבודה'!$B$94:$M$114,MATCH(L$15,'הנחות עבודה'!$B$93:$M$93,0),FALSE))</f>
        <v>146.70000000000002</v>
      </c>
    </row>
    <row r="32" spans="2:12">
      <c r="B32" s="31"/>
      <c r="F32" s="10">
        <f t="shared" si="77"/>
        <v>2036</v>
      </c>
      <c r="G32" s="22">
        <f ca="1">IF($F32&gt;MAX('הנחות עבודה'!$B$69:$B$89),0,VLOOKUP($F32,'הנחות עבודה'!$B$69:$M$89,MATCH(G$15,'הנחות עבודה'!$B$68:$M$68,0),FALSE))</f>
        <v>3864.0711600000004</v>
      </c>
      <c r="H32" s="15">
        <f ca="1">IF($F32&gt;MAX('הנחות עבודה'!$B$69:$B$89),0,VLOOKUP($F32,'הנחות עבודה'!$B$69:$M$89,MATCH(H$15,'הנחות עבודה'!$B$68:$M$68,0),FALSE))</f>
        <v>3100.1669999999999</v>
      </c>
      <c r="J32" s="10">
        <f t="shared" si="78"/>
        <v>2036</v>
      </c>
      <c r="K32" s="22">
        <f ca="1">IF($J32&gt;MAX('הנחות עבודה'!$B$69:$B$89),0,VLOOKUP($J32,'הנחות עבודה'!$B$94:$M$114,MATCH(K$15,'הנחות עבודה'!$B$93:$M$93,0),FALSE))</f>
        <v>148.5</v>
      </c>
      <c r="L32" s="15">
        <f ca="1">IF($J32&gt;MAX('הנחות עבודה'!$B$69:$B$89),0,VLOOKUP($J32,'הנחות עבודה'!$B$94:$M$114,MATCH(L$15,'הנחות עבודה'!$B$93:$M$93,0),FALSE))</f>
        <v>146.70000000000002</v>
      </c>
    </row>
    <row r="33" spans="2:74">
      <c r="B33" s="31"/>
      <c r="F33" s="10">
        <f t="shared" si="77"/>
        <v>2037</v>
      </c>
      <c r="G33" s="22">
        <f ca="1">IF($F33&gt;MAX('הנחות עבודה'!$B$69:$B$89),0,VLOOKUP($F33,'הנחות עבודה'!$B$69:$M$89,MATCH(G$15,'הנחות עבודה'!$B$68:$M$68,0),FALSE))</f>
        <v>3864.0711600000004</v>
      </c>
      <c r="H33" s="15">
        <f ca="1">IF($F33&gt;MAX('הנחות עבודה'!$B$69:$B$89),0,VLOOKUP($F33,'הנחות עבודה'!$B$69:$M$89,MATCH(H$15,'הנחות עבודה'!$B$68:$M$68,0),FALSE))</f>
        <v>3100.1669999999999</v>
      </c>
      <c r="J33" s="10">
        <f t="shared" si="78"/>
        <v>2037</v>
      </c>
      <c r="K33" s="22">
        <f ca="1">IF($J33&gt;MAX('הנחות עבודה'!$B$69:$B$89),0,VLOOKUP($J33,'הנחות עבודה'!$B$94:$M$114,MATCH(K$15,'הנחות עבודה'!$B$93:$M$93,0),FALSE))</f>
        <v>148.5</v>
      </c>
      <c r="L33" s="15">
        <f ca="1">IF($J33&gt;MAX('הנחות עבודה'!$B$69:$B$89),0,VLOOKUP($J33,'הנחות עבודה'!$B$94:$M$114,MATCH(L$15,'הנחות עבודה'!$B$93:$M$93,0),FALSE))</f>
        <v>146.70000000000002</v>
      </c>
    </row>
    <row r="34" spans="2:74">
      <c r="B34" s="31"/>
      <c r="F34" s="10">
        <f t="shared" si="77"/>
        <v>2038</v>
      </c>
      <c r="G34" s="22">
        <f ca="1">IF($F34&gt;MAX('הנחות עבודה'!$B$69:$B$89),0,VLOOKUP($F34,'הנחות עבודה'!$B$69:$M$89,MATCH(G$15,'הנחות עבודה'!$B$68:$M$68,0),FALSE))</f>
        <v>3864.0711600000004</v>
      </c>
      <c r="H34" s="15">
        <f ca="1">IF($F34&gt;MAX('הנחות עבודה'!$B$69:$B$89),0,VLOOKUP($F34,'הנחות עבודה'!$B$69:$M$89,MATCH(H$15,'הנחות עבודה'!$B$68:$M$68,0),FALSE))</f>
        <v>3100.1669999999999</v>
      </c>
      <c r="J34" s="10">
        <f t="shared" si="78"/>
        <v>2038</v>
      </c>
      <c r="K34" s="22">
        <f ca="1">IF($J34&gt;MAX('הנחות עבודה'!$B$69:$B$89),0,VLOOKUP($J34,'הנחות עבודה'!$B$94:$M$114,MATCH(K$15,'הנחות עבודה'!$B$93:$M$93,0),FALSE))</f>
        <v>148.5</v>
      </c>
      <c r="L34" s="15">
        <f ca="1">IF($J34&gt;MAX('הנחות עבודה'!$B$69:$B$89),0,VLOOKUP($J34,'הנחות עבודה'!$B$94:$M$114,MATCH(L$15,'הנחות עבודה'!$B$93:$M$93,0),FALSE))</f>
        <v>146.70000000000002</v>
      </c>
    </row>
    <row r="35" spans="2:74">
      <c r="B35" s="31"/>
      <c r="F35" s="10">
        <f t="shared" si="77"/>
        <v>2039</v>
      </c>
      <c r="G35" s="22">
        <f ca="1">IF($F35&gt;MAX('הנחות עבודה'!$B$69:$B$89),0,VLOOKUP($F35,'הנחות עבודה'!$B$69:$M$89,MATCH(G$15,'הנחות עבודה'!$B$68:$M$68,0),FALSE))</f>
        <v>3864.0711600000004</v>
      </c>
      <c r="H35" s="15">
        <f ca="1">IF($F35&gt;MAX('הנחות עבודה'!$B$69:$B$89),0,VLOOKUP($F35,'הנחות עבודה'!$B$69:$M$89,MATCH(H$15,'הנחות עבודה'!$B$68:$M$68,0),FALSE))</f>
        <v>3100.1669999999999</v>
      </c>
      <c r="J35" s="10">
        <f t="shared" si="78"/>
        <v>2039</v>
      </c>
      <c r="K35" s="22">
        <f ca="1">IF($J35&gt;MAX('הנחות עבודה'!$B$69:$B$89),0,VLOOKUP($J35,'הנחות עבודה'!$B$94:$M$114,MATCH(K$15,'הנחות עבודה'!$B$93:$M$93,0),FALSE))</f>
        <v>148.5</v>
      </c>
      <c r="L35" s="15">
        <f ca="1">IF($J35&gt;MAX('הנחות עבודה'!$B$69:$B$89),0,VLOOKUP($J35,'הנחות עבודה'!$B$94:$M$114,MATCH(L$15,'הנחות עבודה'!$B$93:$M$93,0),FALSE))</f>
        <v>146.70000000000002</v>
      </c>
    </row>
    <row r="36" spans="2:74" ht="16.5" thickBot="1">
      <c r="B36" s="31"/>
      <c r="F36" s="11">
        <f t="shared" si="77"/>
        <v>2040</v>
      </c>
      <c r="G36" s="23">
        <f ca="1">IF($F36&gt;MAX('הנחות עבודה'!$B$69:$B$89),0,VLOOKUP($F36,'הנחות עבודה'!$B$69:$M$89,MATCH(G$15,'הנחות עבודה'!$B$68:$M$68,0),FALSE))</f>
        <v>3864.0711600000004</v>
      </c>
      <c r="H36" s="17">
        <f ca="1">IF($F36&gt;MAX('הנחות עבודה'!$B$69:$B$89),0,VLOOKUP($F36,'הנחות עבודה'!$B$69:$M$89,MATCH(H$15,'הנחות עבודה'!$B$68:$M$68,0),FALSE))</f>
        <v>3100.1669999999999</v>
      </c>
      <c r="J36" s="11">
        <f t="shared" si="78"/>
        <v>2040</v>
      </c>
      <c r="K36" s="23">
        <f ca="1">IF($J36&gt;MAX('הנחות עבודה'!$B$69:$B$89),0,VLOOKUP($J36,'הנחות עבודה'!$B$94:$M$114,MATCH(K$15,'הנחות עבודה'!$B$93:$M$93,0),FALSE))</f>
        <v>148.5</v>
      </c>
      <c r="L36" s="17">
        <f ca="1">IF($J36&gt;MAX('הנחות עבודה'!$B$69:$B$89),0,VLOOKUP($J36,'הנחות עבודה'!$B$94:$M$114,MATCH(L$15,'הנחות עבודה'!$B$93:$M$93,0),FALSE))</f>
        <v>146.70000000000002</v>
      </c>
    </row>
    <row r="37" spans="2:74" ht="16.5" thickBot="1">
      <c r="S37" s="5"/>
    </row>
    <row r="38" spans="2:74" ht="16.5" thickBot="1">
      <c r="F38" s="7"/>
      <c r="G38" s="1303" t="s">
        <v>1</v>
      </c>
      <c r="H38" s="1304"/>
      <c r="I38" s="1304"/>
      <c r="J38" s="1304"/>
      <c r="K38" s="1304"/>
      <c r="L38" s="1304"/>
      <c r="M38" s="1304"/>
      <c r="N38" s="1304"/>
      <c r="O38" s="1304"/>
      <c r="P38" s="1304"/>
      <c r="Q38" s="1304"/>
      <c r="R38" s="1305"/>
      <c r="S38" s="1"/>
      <c r="T38" s="1317" t="s">
        <v>5</v>
      </c>
      <c r="U38" s="1318"/>
      <c r="V38" s="1318"/>
      <c r="W38" s="1318"/>
      <c r="X38" s="1318"/>
      <c r="Y38" s="1318"/>
      <c r="Z38" s="1318"/>
      <c r="AA38" s="1318"/>
      <c r="AB38" s="1318"/>
      <c r="AC38" s="1318"/>
      <c r="AD38" s="1318"/>
      <c r="AE38" s="1318"/>
      <c r="AF38" s="1319"/>
      <c r="AH38" s="1243" t="s">
        <v>14</v>
      </c>
      <c r="AI38" s="1244"/>
      <c r="AJ38" s="1244"/>
      <c r="AK38" s="1244"/>
      <c r="AL38" s="1244"/>
      <c r="AM38" s="1244"/>
      <c r="AN38" s="1244"/>
      <c r="AO38" s="1244"/>
      <c r="AP38" s="1244"/>
      <c r="AQ38" s="1244"/>
      <c r="AR38" s="1244"/>
      <c r="AS38" s="1244"/>
      <c r="AT38" s="1245"/>
      <c r="AV38" s="1243" t="s">
        <v>13</v>
      </c>
      <c r="AW38" s="1244"/>
      <c r="AX38" s="1244"/>
      <c r="AY38" s="1244"/>
      <c r="AZ38" s="1244"/>
      <c r="BA38" s="1244"/>
      <c r="BB38" s="1244"/>
      <c r="BC38" s="1244"/>
      <c r="BD38" s="1244"/>
      <c r="BE38" s="1244"/>
      <c r="BF38" s="1244"/>
      <c r="BG38" s="1244"/>
      <c r="BH38" s="1245"/>
      <c r="BJ38" s="1317" t="s">
        <v>70</v>
      </c>
      <c r="BK38" s="1318"/>
      <c r="BL38" s="1318"/>
      <c r="BM38" s="1318"/>
      <c r="BN38" s="1318"/>
      <c r="BO38" s="1318"/>
      <c r="BP38" s="1318"/>
      <c r="BQ38" s="1318"/>
      <c r="BR38" s="1318"/>
      <c r="BS38" s="1318"/>
      <c r="BT38" s="1318"/>
      <c r="BU38" s="1318"/>
      <c r="BV38" s="1319"/>
    </row>
    <row r="39" spans="2:74" s="290" customFormat="1" ht="16.5" customHeight="1" thickBot="1">
      <c r="F39" s="7"/>
      <c r="G39" s="1312" t="s">
        <v>46</v>
      </c>
      <c r="H39" s="1313"/>
      <c r="I39" s="1314" t="s">
        <v>47</v>
      </c>
      <c r="J39" s="1316"/>
      <c r="K39" s="1312" t="s">
        <v>342</v>
      </c>
      <c r="L39" s="1313"/>
      <c r="M39" s="1314" t="s">
        <v>343</v>
      </c>
      <c r="N39" s="1316"/>
      <c r="O39" s="1312" t="s">
        <v>344</v>
      </c>
      <c r="P39" s="1313"/>
      <c r="Q39" s="1314" t="s">
        <v>345</v>
      </c>
      <c r="R39" s="1315"/>
      <c r="S39" s="28"/>
      <c r="T39" s="293"/>
      <c r="U39" s="1312" t="s">
        <v>46</v>
      </c>
      <c r="V39" s="1313"/>
      <c r="W39" s="1314" t="s">
        <v>47</v>
      </c>
      <c r="X39" s="1316"/>
      <c r="Y39" s="1312" t="s">
        <v>342</v>
      </c>
      <c r="Z39" s="1313"/>
      <c r="AA39" s="1314" t="s">
        <v>343</v>
      </c>
      <c r="AB39" s="1316"/>
      <c r="AC39" s="1312" t="s">
        <v>344</v>
      </c>
      <c r="AD39" s="1313"/>
      <c r="AE39" s="1314" t="s">
        <v>345</v>
      </c>
      <c r="AF39" s="1315"/>
      <c r="AH39" s="289"/>
      <c r="AI39" s="1312" t="s">
        <v>46</v>
      </c>
      <c r="AJ39" s="1313"/>
      <c r="AK39" s="1314" t="s">
        <v>47</v>
      </c>
      <c r="AL39" s="1316"/>
      <c r="AM39" s="1312" t="s">
        <v>342</v>
      </c>
      <c r="AN39" s="1313"/>
      <c r="AO39" s="1314" t="s">
        <v>343</v>
      </c>
      <c r="AP39" s="1316"/>
      <c r="AQ39" s="1312" t="s">
        <v>344</v>
      </c>
      <c r="AR39" s="1313"/>
      <c r="AS39" s="1314" t="s">
        <v>345</v>
      </c>
      <c r="AT39" s="1315"/>
      <c r="AV39" s="289"/>
      <c r="AW39" s="1312" t="s">
        <v>46</v>
      </c>
      <c r="AX39" s="1313"/>
      <c r="AY39" s="1314" t="s">
        <v>47</v>
      </c>
      <c r="AZ39" s="1316"/>
      <c r="BA39" s="1312" t="s">
        <v>342</v>
      </c>
      <c r="BB39" s="1313"/>
      <c r="BC39" s="1314" t="s">
        <v>343</v>
      </c>
      <c r="BD39" s="1316"/>
      <c r="BE39" s="1312" t="s">
        <v>344</v>
      </c>
      <c r="BF39" s="1313"/>
      <c r="BG39" s="1314" t="s">
        <v>345</v>
      </c>
      <c r="BH39" s="1315"/>
      <c r="BJ39" s="289"/>
      <c r="BK39" s="1312" t="s">
        <v>46</v>
      </c>
      <c r="BL39" s="1313"/>
      <c r="BM39" s="1314" t="s">
        <v>47</v>
      </c>
      <c r="BN39" s="1316"/>
      <c r="BO39" s="1312" t="s">
        <v>342</v>
      </c>
      <c r="BP39" s="1313"/>
      <c r="BQ39" s="1314" t="s">
        <v>343</v>
      </c>
      <c r="BR39" s="1316"/>
      <c r="BS39" s="1312" t="s">
        <v>344</v>
      </c>
      <c r="BT39" s="1313"/>
      <c r="BU39" s="1314" t="s">
        <v>345</v>
      </c>
      <c r="BV39" s="1315"/>
    </row>
    <row r="40" spans="2:74" ht="48" thickBot="1">
      <c r="F40" s="7" t="s">
        <v>0</v>
      </c>
      <c r="G40" s="38" t="str">
        <f ca="1">G15</f>
        <v>גז במחזמים חדשים</v>
      </c>
      <c r="H40" s="77" t="str">
        <f ca="1">H15</f>
        <v>גז בפיקרים חדשים</v>
      </c>
      <c r="I40" s="72" t="str">
        <f t="shared" ref="I40:R40" ca="1" si="79">G40</f>
        <v>גז במחזמים חדשים</v>
      </c>
      <c r="J40" s="72" t="str">
        <f t="shared" ca="1" si="79"/>
        <v>גז בפיקרים חדשים</v>
      </c>
      <c r="K40" s="38" t="str">
        <f t="shared" ref="K40" ca="1" si="80">I40</f>
        <v>גז במחזמים חדשים</v>
      </c>
      <c r="L40" s="77" t="str">
        <f t="shared" ref="L40" ca="1" si="81">J40</f>
        <v>גז בפיקרים חדשים</v>
      </c>
      <c r="M40" s="72" t="str">
        <f t="shared" ref="M40" ca="1" si="82">K40</f>
        <v>גז במחזמים חדשים</v>
      </c>
      <c r="N40" s="72" t="str">
        <f t="shared" ref="N40" ca="1" si="83">L40</f>
        <v>גז בפיקרים חדשים</v>
      </c>
      <c r="O40" s="77" t="str">
        <f ca="1">I40</f>
        <v>גז במחזמים חדשים</v>
      </c>
      <c r="P40" s="77" t="str">
        <f ca="1">J40</f>
        <v>גז בפיקרים חדשים</v>
      </c>
      <c r="Q40" s="48" t="str">
        <f t="shared" ca="1" si="79"/>
        <v>גז במחזמים חדשים</v>
      </c>
      <c r="R40" s="72" t="str">
        <f t="shared" ca="1" si="79"/>
        <v>גז בפיקרים חדשים</v>
      </c>
      <c r="S40" s="5"/>
      <c r="T40" s="81" t="s">
        <v>0</v>
      </c>
      <c r="U40" s="38" t="str">
        <f ca="1">G40</f>
        <v>גז במחזמים חדשים</v>
      </c>
      <c r="V40" s="38" t="str">
        <f ca="1">H40</f>
        <v>גז בפיקרים חדשים</v>
      </c>
      <c r="W40" s="72" t="str">
        <f ca="1">I40</f>
        <v>גז במחזמים חדשים</v>
      </c>
      <c r="X40" s="72" t="str">
        <f ca="1">J40</f>
        <v>גז בפיקרים חדשים</v>
      </c>
      <c r="Y40" s="38" t="str">
        <f t="shared" ref="Y40:AF40" ca="1" si="84">K40</f>
        <v>גז במחזמים חדשים</v>
      </c>
      <c r="Z40" s="38" t="str">
        <f t="shared" ca="1" si="84"/>
        <v>גז בפיקרים חדשים</v>
      </c>
      <c r="AA40" s="72" t="str">
        <f t="shared" ca="1" si="84"/>
        <v>גז במחזמים חדשים</v>
      </c>
      <c r="AB40" s="72" t="str">
        <f t="shared" ca="1" si="84"/>
        <v>גז בפיקרים חדשים</v>
      </c>
      <c r="AC40" s="38" t="str">
        <f t="shared" ca="1" si="84"/>
        <v>גז במחזמים חדשים</v>
      </c>
      <c r="AD40" s="38" t="str">
        <f t="shared" ca="1" si="84"/>
        <v>גז בפיקרים חדשים</v>
      </c>
      <c r="AE40" s="72" t="str">
        <f t="shared" ca="1" si="84"/>
        <v>גז במחזמים חדשים</v>
      </c>
      <c r="AF40" s="72" t="str">
        <f t="shared" ca="1" si="84"/>
        <v>גז בפיקרים חדשים</v>
      </c>
      <c r="AH40" s="81" t="s">
        <v>0</v>
      </c>
      <c r="AI40" s="287" t="str">
        <f ca="1">G40</f>
        <v>גז במחזמים חדשים</v>
      </c>
      <c r="AJ40" s="287" t="str">
        <f ca="1">H40</f>
        <v>גז בפיקרים חדשים</v>
      </c>
      <c r="AK40" s="288" t="str">
        <f ca="1">I40</f>
        <v>גז במחזמים חדשים</v>
      </c>
      <c r="AL40" s="288" t="str">
        <f ca="1">J40</f>
        <v>גז בפיקרים חדשים</v>
      </c>
      <c r="AM40" s="287" t="str">
        <f t="shared" ref="AM40:AP40" ca="1" si="85">K40</f>
        <v>גז במחזמים חדשים</v>
      </c>
      <c r="AN40" s="287" t="str">
        <f t="shared" ca="1" si="85"/>
        <v>גז בפיקרים חדשים</v>
      </c>
      <c r="AO40" s="288" t="str">
        <f t="shared" ca="1" si="85"/>
        <v>גז במחזמים חדשים</v>
      </c>
      <c r="AP40" s="288" t="str">
        <f t="shared" ca="1" si="85"/>
        <v>גז בפיקרים חדשים</v>
      </c>
      <c r="AQ40" s="287" t="str">
        <f ca="1">O40</f>
        <v>גז במחזמים חדשים</v>
      </c>
      <c r="AR40" s="287" t="str">
        <f ca="1">P40</f>
        <v>גז בפיקרים חדשים</v>
      </c>
      <c r="AS40" s="288" t="str">
        <f ca="1">Q40</f>
        <v>גז במחזמים חדשים</v>
      </c>
      <c r="AT40" s="288" t="str">
        <f ca="1">R40</f>
        <v>גז בפיקרים חדשים</v>
      </c>
      <c r="AV40" s="81" t="s">
        <v>0</v>
      </c>
      <c r="AW40" s="38" t="str">
        <f ca="1">G40</f>
        <v>גז במחזמים חדשים</v>
      </c>
      <c r="AX40" s="38" t="str">
        <f ca="1">H40</f>
        <v>גז בפיקרים חדשים</v>
      </c>
      <c r="AY40" s="72" t="str">
        <f ca="1">I40</f>
        <v>גז במחזמים חדשים</v>
      </c>
      <c r="AZ40" s="72" t="str">
        <f ca="1">J40</f>
        <v>גז בפיקרים חדשים</v>
      </c>
      <c r="BA40" s="38" t="str">
        <f t="shared" ref="BA40:BD40" ca="1" si="86">K40</f>
        <v>גז במחזמים חדשים</v>
      </c>
      <c r="BB40" s="38" t="str">
        <f t="shared" ca="1" si="86"/>
        <v>גז בפיקרים חדשים</v>
      </c>
      <c r="BC40" s="72" t="str">
        <f t="shared" ca="1" si="86"/>
        <v>גז במחזמים חדשים</v>
      </c>
      <c r="BD40" s="72" t="str">
        <f t="shared" ca="1" si="86"/>
        <v>גז בפיקרים חדשים</v>
      </c>
      <c r="BE40" s="38" t="str">
        <f ca="1">O40</f>
        <v>גז במחזמים חדשים</v>
      </c>
      <c r="BF40" s="38" t="str">
        <f ca="1">P40</f>
        <v>גז בפיקרים חדשים</v>
      </c>
      <c r="BG40" s="72" t="str">
        <f ca="1">Q40</f>
        <v>גז במחזמים חדשים</v>
      </c>
      <c r="BH40" s="72" t="str">
        <f ca="1">R40</f>
        <v>גז בפיקרים חדשים</v>
      </c>
      <c r="BJ40" s="81" t="s">
        <v>0</v>
      </c>
      <c r="BK40" s="38" t="str">
        <f ca="1">AW40</f>
        <v>גז במחזמים חדשים</v>
      </c>
      <c r="BL40" s="38" t="str">
        <f ca="1">AX40</f>
        <v>גז בפיקרים חדשים</v>
      </c>
      <c r="BM40" s="72" t="str">
        <f ca="1">AY40</f>
        <v>גז במחזמים חדשים</v>
      </c>
      <c r="BN40" s="72" t="str">
        <f ca="1">AZ40</f>
        <v>גז בפיקרים חדשים</v>
      </c>
      <c r="BO40" s="38" t="str">
        <f t="shared" ref="BO40:BR40" ca="1" si="87">BA40</f>
        <v>גז במחזמים חדשים</v>
      </c>
      <c r="BP40" s="38" t="str">
        <f t="shared" ca="1" si="87"/>
        <v>גז בפיקרים חדשים</v>
      </c>
      <c r="BQ40" s="72" t="str">
        <f t="shared" ca="1" si="87"/>
        <v>גז במחזמים חדשים</v>
      </c>
      <c r="BR40" s="72" t="str">
        <f t="shared" ca="1" si="87"/>
        <v>גז בפיקרים חדשים</v>
      </c>
      <c r="BS40" s="38" t="str">
        <f ca="1">BE40</f>
        <v>גז במחזמים חדשים</v>
      </c>
      <c r="BT40" s="38" t="str">
        <f ca="1">BF40</f>
        <v>גז בפיקרים חדשים</v>
      </c>
      <c r="BU40" s="72" t="str">
        <f ca="1">BG40</f>
        <v>גז במחזמים חדשים</v>
      </c>
      <c r="BV40" s="72" t="str">
        <f ca="1">BH40</f>
        <v>גז בפיקרים חדשים</v>
      </c>
    </row>
    <row r="41" spans="2:74">
      <c r="F41" s="8">
        <f>F16</f>
        <v>2020</v>
      </c>
      <c r="G41" s="83">
        <f ca="1">IF(OR($F41&gt;MAX('הנחות עבודה'!$B$69:$B$89),$F41&gt;$D$5),0,VLOOKUP($F41,'הספק נוסף נדרש'!$B$8:$AX$28,MATCH(G$40,'הספק נוסף נדרש'!$B$6:$AX$6,0)+(ROUNDUP((G$2-$F$2)/COUNTA($F$9:$F$10),0)-1)*COUNTA('הספק נוסף נדרש'!$C$6:$J$6),FALSE))</f>
        <v>0</v>
      </c>
      <c r="H41" s="83">
        <f ca="1">IF(OR($F41&gt;MAX('הנחות עבודה'!$B$69:$B$89),$F41&gt;$D$5),0,VLOOKUP($F41,'הספק נוסף נדרש'!$B$8:$AX$28,MATCH(H$40,'הספק נוסף נדרש'!$B$6:$AX$6,0)+(ROUNDUP((H$2-$F$2)/COUNTA($F$9:$F$10),0)-1)*COUNTA('הספק נוסף נדרש'!$C$6:$J$6),FALSE))</f>
        <v>0</v>
      </c>
      <c r="I41" s="94">
        <f ca="1">IF(OR($F41&gt;MAX('הנחות עבודה'!$B$69:$B$89),$F41&gt;$D$5),0,VLOOKUP($F41,'הספק נוסף נדרש'!$B$8:$AX$28,MATCH(I$40,'הספק נוסף נדרש'!$B$6:$AX$6,0)+(ROUNDUP((I$2-$F$2)/COUNTA($F$9:$F$10),0)-1)*COUNTA('הספק נוסף נדרש'!$C$6:$J$6),FALSE))</f>
        <v>0</v>
      </c>
      <c r="J41" s="94">
        <f ca="1">IF(OR($F41&gt;MAX('הנחות עבודה'!$B$69:$B$89),$F41&gt;$D$5),0,VLOOKUP($F41,'הספק נוסף נדרש'!$B$8:$AX$28,MATCH(J$40,'הספק נוסף נדרש'!$B$6:$AX$6,0)+(ROUNDUP((J$2-$F$2)/COUNTA($F$9:$F$10),0)-1)*COUNTA('הספק נוסף נדרש'!$C$6:$J$6),FALSE))</f>
        <v>0</v>
      </c>
      <c r="K41" s="83">
        <f ca="1">IF(OR($F41&gt;MAX('הנחות עבודה'!$B$69:$B$89),$F41&gt;$D$5),0,VLOOKUP($F41,'הספק נוסף נדרש'!$B$8:$AX$28,MATCH(K$40,'הספק נוסף נדרש'!$B$6:$AX$6,0)+(ROUNDUP((K$2-$F$2)/COUNTA($F$9:$F$10),0)-1)*COUNTA('הספק נוסף נדרש'!$C$6:$J$6),FALSE))</f>
        <v>0</v>
      </c>
      <c r="L41" s="83">
        <f ca="1">IF(OR($F41&gt;MAX('הנחות עבודה'!$B$69:$B$89),$F41&gt;$D$5),0,VLOOKUP($F41,'הספק נוסף נדרש'!$B$8:$AX$28,MATCH(L$40,'הספק נוסף נדרש'!$B$6:$AX$6,0)+(ROUNDUP((L$2-$F$2)/COUNTA($F$9:$F$10),0)-1)*COUNTA('הספק נוסף נדרש'!$C$6:$J$6),FALSE))</f>
        <v>0</v>
      </c>
      <c r="M41" s="94">
        <f ca="1">IF(OR($F41&gt;MAX('הנחות עבודה'!$B$69:$B$89),$F41&gt;$D$5),0,VLOOKUP($F41,'הספק נוסף נדרש'!$B$8:$AX$28,MATCH(M$40,'הספק נוסף נדרש'!$B$6:$AX$6,0)+(ROUNDUP((M$2-$F$2)/COUNTA($F$9:$F$10),0)-1)*COUNTA('הספק נוסף נדרש'!$C$6:$J$6),FALSE))</f>
        <v>0</v>
      </c>
      <c r="N41" s="94">
        <f ca="1">IF(OR($F41&gt;MAX('הנחות עבודה'!$B$69:$B$89),$F41&gt;$D$5),0,VLOOKUP($F41,'הספק נוסף נדרש'!$B$8:$AX$28,MATCH(N$40,'הספק נוסף נדרש'!$B$6:$AX$6,0)+(ROUNDUP((N$2-$F$2)/COUNTA($F$9:$F$10),0)-1)*COUNTA('הספק נוסף נדרש'!$C$6:$J$6),FALSE))</f>
        <v>0</v>
      </c>
      <c r="O41" s="90">
        <f ca="1">IF(OR($F41&gt;MAX('הנחות עבודה'!$B$69:$B$89),$F41&gt;$D$5),0,VLOOKUP($F41,'הספק נוסף נדרש'!$B$8:$AX$28,MATCH(O$40,'הספק נוסף נדרש'!$B$6:$AX$6,0)+(ROUNDUP((O$2-$F$2)/COUNTA($F$9:$F$10),0)-1)*COUNTA('הספק נוסף נדרש'!$C$6:$J$6),FALSE))</f>
        <v>0</v>
      </c>
      <c r="P41" s="90">
        <f ca="1">IF(OR($F41&gt;MAX('הנחות עבודה'!$B$69:$B$89),$F41&gt;$D$5),0,VLOOKUP($F41,'הספק נוסף נדרש'!$B$8:$AX$28,MATCH(P$40,'הספק נוסף נדרש'!$B$6:$AX$6,0)+(ROUNDUP((P$2-$F$2)/COUNTA($F$9:$F$10),0)-1)*COUNTA('הספק נוסף נדרש'!$C$6:$J$6),FALSE))</f>
        <v>0</v>
      </c>
      <c r="Q41" s="94">
        <f ca="1">IF(OR($F41&gt;MAX('הנחות עבודה'!$B$69:$B$89),$F41&gt;$D$5),0,VLOOKUP($F41,'הספק נוסף נדרש'!$B$8:$AX$28,MATCH(Q$40,'הספק נוסף נדרש'!$B$6:$AX$6,0)+(ROUNDUP((Q$2-$F$2)/COUNTA($F$9:$F$10),0)-1)*COUNTA('הספק נוסף נדרש'!$C$6:$J$6),FALSE))</f>
        <v>0</v>
      </c>
      <c r="R41" s="94">
        <f ca="1">IF(OR($F41&gt;MAX('הנחות עבודה'!$B$69:$B$89),$F41&gt;$D$5),0,VLOOKUP($F41,'הספק נוסף נדרש'!$B$8:$AX$28,MATCH(R$40,'הספק נוסף נדרש'!$B$6:$AX$6,0)+(ROUNDUP((R$2-$F$2)/COUNTA($F$9:$F$10),0)-1)*COUNTA('הספק נוסף נדרש'!$C$6:$J$6),FALSE))</f>
        <v>0</v>
      </c>
      <c r="S41" s="9"/>
      <c r="T41" s="8">
        <f>$F$41</f>
        <v>2020</v>
      </c>
      <c r="U41" s="83">
        <f ca="1">HLOOKUP(U$40,$G$15:$H$36,COUNTA($F$16:$F16)+1,FALSE)*G41*$D$7/$D$8</f>
        <v>0</v>
      </c>
      <c r="V41" s="83">
        <f ca="1">HLOOKUP(V$40,$G$15:$H$36,COUNTA($F$16:$F16)+1,FALSE)*H41*$D$7/$D$8</f>
        <v>0</v>
      </c>
      <c r="W41" s="94">
        <f ca="1">HLOOKUP(W$40,$G$15:$H$36,COUNTA($F$16:$F16)+1,FALSE)*I41*$D$7/$D$8</f>
        <v>0</v>
      </c>
      <c r="X41" s="94">
        <f ca="1">HLOOKUP(X$40,$G$15:$H$36,COUNTA($F$16:$F16)+1,FALSE)*J41*$D$7/$D$8</f>
        <v>0</v>
      </c>
      <c r="Y41" s="83">
        <f ca="1">HLOOKUP(Y$40,$G$15:$H$36,COUNTA($F$16:$F16)+1,FALSE)*K41*$D$7/$D$8</f>
        <v>0</v>
      </c>
      <c r="Z41" s="83">
        <f ca="1">HLOOKUP(Z$40,$G$15:$H$36,COUNTA($F$16:$F16)+1,FALSE)*L41*$D$7/$D$8</f>
        <v>0</v>
      </c>
      <c r="AA41" s="94">
        <f ca="1">HLOOKUP(AA$40,$G$15:$H$36,COUNTA($F$16:$F16)+1,FALSE)*M41*$D$7/$D$8</f>
        <v>0</v>
      </c>
      <c r="AB41" s="94">
        <f ca="1">HLOOKUP(AB$40,$G$15:$H$36,COUNTA($F$16:$F16)+1,FALSE)*N41*$D$7/$D$8</f>
        <v>0</v>
      </c>
      <c r="AC41" s="90">
        <f ca="1">HLOOKUP(AC$40,$G$15:$H$36,COUNTA($F$16:$F16)+1,FALSE)*O41*$D$7/$D$8</f>
        <v>0</v>
      </c>
      <c r="AD41" s="90">
        <f ca="1">HLOOKUP(AD$40,$G$15:$H$36,COUNTA($F$16:$F16)+1,FALSE)*P41*$D$7/$D$8</f>
        <v>0</v>
      </c>
      <c r="AE41" s="94">
        <f ca="1">HLOOKUP(AE$40,$G$15:$H$36,COUNTA($F$16:$F16)+1,FALSE)*Q41*$D$7/$D$8</f>
        <v>0</v>
      </c>
      <c r="AF41" s="94">
        <f ca="1">HLOOKUP(AF$40,$G$15:$H$36,COUNTA($F$16:$F16)+1,FALSE)*R41*$D$7/$D$8</f>
        <v>0</v>
      </c>
      <c r="AH41" s="8">
        <f>$F$41</f>
        <v>2020</v>
      </c>
      <c r="AI41" s="83">
        <f ca="1">IF($AH41&gt;$D$5,0,-PMT(VLOOKUP(AI$40,$C$9:$D$10,2,FALSE),VLOOKUP(AI$40,$C$11:$D$12,2,FALSE),SUMIFS(U$41:U$61,$T$41:$T$61,"&gt;"&amp;($AH41-VLOOKUP(AI$40,$C$11:$D$12,2,FALSE)),$T$41:$T$61,"&lt;="&amp;($AH41))))</f>
        <v>0</v>
      </c>
      <c r="AJ41" s="84">
        <f ca="1">IF($AH41&gt;$D$5,0,-PMT(VLOOKUP(AJ$40,$C$9:$D$10,2,FALSE),VLOOKUP(AJ$40,$C$11:$D$12,2,FALSE),SUMIFS(V$41:V$61,$T$41:$T$61,"&gt;"&amp;($AH41-VLOOKUP(AJ$40,$C$11:$D$12,2,FALSE)),$T$41:$T$61,"&lt;="&amp;($AH41))))</f>
        <v>0</v>
      </c>
      <c r="AK41" s="150">
        <f ca="1">IF($AH41&gt;$D$5,0,-PMT(VLOOKUP(AK$40,$C$9:$D$10,2,FALSE),VLOOKUP(AK$40,$C$11:$D$12,2,FALSE),SUMIFS(W$41:W$61,$T$41:$T$61,"&gt;"&amp;($AH41-VLOOKUP(AK$40,$C$11:$D$12,2,FALSE)),$T$41:$T$61,"&lt;="&amp;($AH41))))</f>
        <v>0</v>
      </c>
      <c r="AL41" s="94">
        <f ca="1">IF($AH41&gt;$D$5,0,-PMT(VLOOKUP(AL$40,$C$9:$D$10,2,FALSE),VLOOKUP(AL$40,$C$11:$D$12,2,FALSE),SUMIFS(X$41:X$61,$T$41:$T$61,"&gt;"&amp;($AH41-VLOOKUP(AL$40,$C$11:$D$12,2,FALSE)),$T$41:$T$61,"&lt;="&amp;($AH41))))</f>
        <v>0</v>
      </c>
      <c r="AM41" s="83">
        <f t="shared" ref="AM41:AP56" ca="1" si="88">IF($AH41&gt;$D$5,0,-PMT(VLOOKUP(AM$40,$C$9:$D$10,2,FALSE),VLOOKUP(AM$40,$C$11:$D$12,2,FALSE),SUMIFS(Y$41:Y$61,$T$41:$T$61,"&gt;"&amp;($AH41-VLOOKUP(AM$40,$C$11:$D$12,2,FALSE)),$T$41:$T$61,"&lt;="&amp;($AH41))))</f>
        <v>0</v>
      </c>
      <c r="AN41" s="84">
        <f t="shared" ca="1" si="88"/>
        <v>0</v>
      </c>
      <c r="AO41" s="150">
        <f t="shared" ca="1" si="88"/>
        <v>0</v>
      </c>
      <c r="AP41" s="94">
        <f t="shared" ca="1" si="88"/>
        <v>0</v>
      </c>
      <c r="AQ41" s="144">
        <f ca="1">IF($AH41&gt;$D$5,0,-PMT(VLOOKUP(AQ$40,$C$9:$D$10,2,FALSE),VLOOKUP(AQ$40,$C$11:$D$12,2,FALSE),SUMIFS(AC$41:AC$61,$T$41:$T$61,"&gt;"&amp;($AH41-VLOOKUP(AQ$40,$C$11:$D$12,2,FALSE)),$T$41:$T$61,"&lt;="&amp;($AH41))))</f>
        <v>0</v>
      </c>
      <c r="AR41" s="141">
        <f ca="1">IF($AH41&gt;$D$5,0,-PMT(VLOOKUP(AR$40,$C$9:$D$10,2,FALSE),VLOOKUP(AR$40,$C$11:$D$12,2,FALSE),SUMIFS(AD$41:AD$61,$T$41:$T$61,"&gt;"&amp;($AH41-VLOOKUP(AR$40,$C$11:$D$12,2,FALSE)),$T$41:$T$61,"&lt;="&amp;($AH41))))</f>
        <v>0</v>
      </c>
      <c r="AS41" s="150">
        <f ca="1">IF($AH41&gt;$D$5,0,-PMT(VLOOKUP(AS$40,$C$9:$D$10,2,FALSE),VLOOKUP(AS$40,$C$11:$D$12,2,FALSE),SUMIFS(AE$41:AE$61,$T$41:$T$61,"&gt;"&amp;($AH41-VLOOKUP(AS$40,$C$11:$D$12,2,FALSE)),$T$41:$T$61,"&lt;="&amp;($AH41))))</f>
        <v>0</v>
      </c>
      <c r="AT41" s="94">
        <f ca="1">IF($AH41&gt;$D$5,0,-PMT(VLOOKUP(AT$40,$C$9:$D$10,2,FALSE),VLOOKUP(AT$40,$C$11:$D$12,2,FALSE),SUMIFS(AF$41:AF$61,$T$41:$T$61,"&gt;"&amp;($AH41-VLOOKUP(AT$40,$C$11:$D$12,2,FALSE)),$T$41:$T$61,"&lt;="&amp;($AH41))))</f>
        <v>0</v>
      </c>
      <c r="AV41" s="8">
        <f>$F$41</f>
        <v>2020</v>
      </c>
      <c r="AW41" s="83">
        <f ca="1">IF($AV41&gt;$D$5,0,SUMIFS(BK$41:BK$61,$BJ$41:$BJ$61,"&gt;"&amp;($AV41-VLOOKUP(AW$40,$C$11:$D$12,2,FALSE)),$BJ$41:$BJ$61,"&lt;="&amp;($AV41)))</f>
        <v>0</v>
      </c>
      <c r="AX41" s="84">
        <f ca="1">IF($AV41&gt;$D$5,0,SUMIFS(BL$41:BL$61,$BJ$41:$BJ$61,"&gt;"&amp;($AV41-VLOOKUP(AX$40,$C$11:$D$12,2,FALSE)),$BJ$41:$BJ$61,"&lt;="&amp;($AV41)))</f>
        <v>0</v>
      </c>
      <c r="AY41" s="150">
        <f ca="1">IF($AV41&gt;$D$5,0,SUMIFS(BM$41:BM$61,$BJ$41:$BJ$61,"&gt;"&amp;($AV41-VLOOKUP(AY$40,$C$11:$D$12,2,FALSE)),$BJ$41:$BJ$61,"&lt;="&amp;($AV41)))</f>
        <v>0</v>
      </c>
      <c r="AZ41" s="94">
        <f ca="1">IF($AV41&gt;$D$5,0,SUMIFS(BN$41:BN$61,$BJ$41:$BJ$61,"&gt;"&amp;($AV41-VLOOKUP(AZ$40,$C$11:$D$12,2,FALSE)),$BJ$41:$BJ$61,"&lt;="&amp;($AV41)))</f>
        <v>0</v>
      </c>
      <c r="BA41" s="83">
        <f t="shared" ref="BA41:BD56" ca="1" si="89">IF($AV41&gt;$D$5,0,SUMIFS(BO$41:BO$61,$BJ$41:$BJ$61,"&gt;"&amp;($AV41-VLOOKUP(BA$40,$C$11:$D$12,2,FALSE)),$BJ$41:$BJ$61,"&lt;="&amp;($AV41)))</f>
        <v>0</v>
      </c>
      <c r="BB41" s="84">
        <f t="shared" ca="1" si="89"/>
        <v>0</v>
      </c>
      <c r="BC41" s="150">
        <f t="shared" ca="1" si="89"/>
        <v>0</v>
      </c>
      <c r="BD41" s="94">
        <f t="shared" ca="1" si="89"/>
        <v>0</v>
      </c>
      <c r="BE41" s="144">
        <f ca="1">IF($AV41&gt;$D$5,0,SUMIFS(BS$41:BS$61,$BJ$41:$BJ$61,"&gt;"&amp;($AV41-VLOOKUP(BE$40,$C$11:$D$12,2,FALSE)),$BJ$41:$BJ$61,"&lt;="&amp;($AV41)))</f>
        <v>0</v>
      </c>
      <c r="BF41" s="141">
        <f ca="1">IF($AV41&gt;$D$5,0,SUMIFS(BT$41:BT$61,$BJ$41:$BJ$61,"&gt;"&amp;($AV41-VLOOKUP(BF$40,$C$11:$D$12,2,FALSE)),$BJ$41:$BJ$61,"&lt;="&amp;($AV41)))</f>
        <v>0</v>
      </c>
      <c r="BG41" s="150">
        <f ca="1">IF($AV41&gt;$D$5,0,SUMIFS(BU$41:BU$61,$BJ$41:$BJ$61,"&gt;"&amp;($AV41-VLOOKUP(BG$40,$C$11:$D$12,2,FALSE)),$BJ$41:$BJ$61,"&lt;="&amp;($AV41)))</f>
        <v>0</v>
      </c>
      <c r="BH41" s="94">
        <f ca="1">IF($AV41&gt;$D$5,0,SUMIFS(BV$41:BV$61,$BJ$41:$BJ$61,"&gt;"&amp;($AV41-VLOOKUP(BH$40,$C$11:$D$12,2,FALSE)),$BJ$41:$BJ$61,"&lt;="&amp;($AV41)))</f>
        <v>0</v>
      </c>
      <c r="BJ41" s="8">
        <f>$F$41</f>
        <v>2020</v>
      </c>
      <c r="BK41" s="83">
        <f ca="1">HLOOKUP(BK$40,$K$15:$L$36,COUNTA($J$16:$J16)+1,FALSE)*G41*$D$7/$D$8</f>
        <v>0</v>
      </c>
      <c r="BL41" s="84">
        <f ca="1">HLOOKUP(BL$40,$K$15:$L$36,COUNTA($J$16:$J16)+1,FALSE)*H41*$D$7/$D$8</f>
        <v>0</v>
      </c>
      <c r="BM41" s="150">
        <f ca="1">HLOOKUP(BM$40,$K$15:$L$36,COUNTA($J$16:$J16)+1,FALSE)*I41*$D$7/$D$8</f>
        <v>0</v>
      </c>
      <c r="BN41" s="98">
        <f ca="1">HLOOKUP(BN$40,$K$15:$L$36,COUNTA($J$16:$J16)+1,FALSE)*J41*$D$7/$D$8</f>
        <v>0</v>
      </c>
      <c r="BO41" s="83">
        <f ca="1">HLOOKUP(BO$40,$K$15:$L$36,COUNTA($J$16:$J16)+1,FALSE)*K41*$D$7/$D$8</f>
        <v>0</v>
      </c>
      <c r="BP41" s="84">
        <f ca="1">HLOOKUP(BP$40,$K$15:$L$36,COUNTA($J$16:$J16)+1,FALSE)*L41*$D$7/$D$8</f>
        <v>0</v>
      </c>
      <c r="BQ41" s="150">
        <f ca="1">HLOOKUP(BQ$40,$K$15:$L$36,COUNTA($J$16:$J16)+1,FALSE)*M41*$D$7/$D$8</f>
        <v>0</v>
      </c>
      <c r="BR41" s="98">
        <f ca="1">HLOOKUP(BR$40,$K$15:$L$36,COUNTA($J$16:$J16)+1,FALSE)*N41*$D$7/$D$8</f>
        <v>0</v>
      </c>
      <c r="BS41" s="83">
        <f ca="1">HLOOKUP(BS$40,$K$15:$L$36,COUNTA($J$16:$J16)+1,FALSE)*O41*$D$7/$D$8</f>
        <v>0</v>
      </c>
      <c r="BT41" s="84">
        <f ca="1">HLOOKUP(BT$40,$K$15:$L$36,COUNTA($J$16:$J16)+1,FALSE)*P41*$D$7/$D$8</f>
        <v>0</v>
      </c>
      <c r="BU41" s="150">
        <f ca="1">HLOOKUP(BU$40,$K$15:$L$36,COUNTA($J$16:$J16)+1,FALSE)*Q41*$D$7/$D$8</f>
        <v>0</v>
      </c>
      <c r="BV41" s="98">
        <f ca="1">HLOOKUP(BV$40,$K$15:$L$36,COUNTA($J$16:$J16)+1,FALSE)*R41*$D$7/$D$8</f>
        <v>0</v>
      </c>
    </row>
    <row r="42" spans="2:74">
      <c r="F42" s="10">
        <f t="shared" ref="F42:F43" si="90">+F41+1</f>
        <v>2021</v>
      </c>
      <c r="G42" s="85">
        <f ca="1">IF(OR($F42&gt;MAX('הנחות עבודה'!$B$69:$B$89),$F42&gt;$D$5),0,VLOOKUP($F42,'הספק נוסף נדרש'!$B$8:$AX$28,MATCH(G$40,'הספק נוסף נדרש'!$B$6:$AX$6,0)+(ROUNDUP((G$2-$F$2)/COUNTA($F$9:$F$10),0)-1)*COUNTA('הספק נוסף נדרש'!$C$6:$J$6),FALSE))</f>
        <v>0</v>
      </c>
      <c r="H42" s="85">
        <f ca="1">IF(OR($F42&gt;MAX('הנחות עבודה'!$B$69:$B$89),$F42&gt;$D$5),0,VLOOKUP($F42,'הספק נוסף נדרש'!$B$8:$AX$28,MATCH(H$40,'הספק נוסף נדרש'!$B$6:$AX$6,0)+(ROUNDUP((H$2-$F$2)/COUNTA($F$9:$F$10),0)-1)*COUNTA('הספק נוסף נדרש'!$C$6:$J$6),FALSE))</f>
        <v>0</v>
      </c>
      <c r="I42" s="95">
        <f ca="1">IF(OR($F42&gt;MAX('הנחות עבודה'!$B$69:$B$89),$F42&gt;$D$5),0,VLOOKUP($F42,'הספק נוסף נדרש'!$B$8:$AX$28,MATCH(I$40,'הספק נוסף נדרש'!$B$6:$AX$6,0)+(ROUNDUP((I$2-$F$2)/COUNTA($F$9:$F$10),0)-1)*COUNTA('הספק נוסף נדרש'!$C$6:$J$6),FALSE))</f>
        <v>0</v>
      </c>
      <c r="J42" s="95">
        <f ca="1">IF(OR($F42&gt;MAX('הנחות עבודה'!$B$69:$B$89),$F42&gt;$D$5),0,VLOOKUP($F42,'הספק נוסף נדרש'!$B$8:$AX$28,MATCH(J$40,'הספק נוסף נדרש'!$B$6:$AX$6,0)+(ROUNDUP((J$2-$F$2)/COUNTA($F$9:$F$10),0)-1)*COUNTA('הספק נוסף נדרש'!$C$6:$J$6),FALSE))</f>
        <v>0</v>
      </c>
      <c r="K42" s="85">
        <f ca="1">IF(OR($F42&gt;MAX('הנחות עבודה'!$B$69:$B$89),$F42&gt;$D$5),0,VLOOKUP($F42,'הספק נוסף נדרש'!$B$8:$AX$28,MATCH(K$40,'הספק נוסף נדרש'!$B$6:$AX$6,0)+(ROUNDUP((K$2-$F$2)/COUNTA($F$9:$F$10),0)-1)*COUNTA('הספק נוסף נדרש'!$C$6:$J$6),FALSE))</f>
        <v>0</v>
      </c>
      <c r="L42" s="85">
        <f ca="1">IF(OR($F42&gt;MAX('הנחות עבודה'!$B$69:$B$89),$F42&gt;$D$5),0,VLOOKUP($F42,'הספק נוסף נדרש'!$B$8:$AX$28,MATCH(L$40,'הספק נוסף נדרש'!$B$6:$AX$6,0)+(ROUNDUP((L$2-$F$2)/COUNTA($F$9:$F$10),0)-1)*COUNTA('הספק נוסף נדרש'!$C$6:$J$6),FALSE))</f>
        <v>0</v>
      </c>
      <c r="M42" s="95">
        <f ca="1">IF(OR($F42&gt;MAX('הנחות עבודה'!$B$69:$B$89),$F42&gt;$D$5),0,VLOOKUP($F42,'הספק נוסף נדרש'!$B$8:$AX$28,MATCH(M$40,'הספק נוסף נדרש'!$B$6:$AX$6,0)+(ROUNDUP((M$2-$F$2)/COUNTA($F$9:$F$10),0)-1)*COUNTA('הספק נוסף נדרש'!$C$6:$J$6),FALSE))</f>
        <v>0</v>
      </c>
      <c r="N42" s="95">
        <f ca="1">IF(OR($F42&gt;MAX('הנחות עבודה'!$B$69:$B$89),$F42&gt;$D$5),0,VLOOKUP($F42,'הספק נוסף נדרש'!$B$8:$AX$28,MATCH(N$40,'הספק נוסף נדרש'!$B$6:$AX$6,0)+(ROUNDUP((N$2-$F$2)/COUNTA($F$9:$F$10),0)-1)*COUNTA('הספק נוסף נדרש'!$C$6:$J$6),FALSE))</f>
        <v>0</v>
      </c>
      <c r="O42" s="91">
        <f ca="1">IF(OR($F42&gt;MAX('הנחות עבודה'!$B$69:$B$89),$F42&gt;$D$5),0,VLOOKUP($F42,'הספק נוסף נדרש'!$B$8:$AX$28,MATCH(O$40,'הספק נוסף נדרש'!$B$6:$AX$6,0)+(ROUNDUP((O$2-$F$2)/COUNTA($F$9:$F$10),0)-1)*COUNTA('הספק נוסף נדרש'!$C$6:$J$6),FALSE))</f>
        <v>0</v>
      </c>
      <c r="P42" s="91">
        <f ca="1">IF(OR($F42&gt;MAX('הנחות עבודה'!$B$69:$B$89),$F42&gt;$D$5),0,VLOOKUP($F42,'הספק נוסף נדרש'!$B$8:$AX$28,MATCH(P$40,'הספק נוסף נדרש'!$B$6:$AX$6,0)+(ROUNDUP((P$2-$F$2)/COUNTA($F$9:$F$10),0)-1)*COUNTA('הספק נוסף נדרש'!$C$6:$J$6),FALSE))</f>
        <v>0</v>
      </c>
      <c r="Q42" s="95">
        <f ca="1">IF(OR($F42&gt;MAX('הנחות עבודה'!$B$69:$B$89),$F42&gt;$D$5),0,VLOOKUP($F42,'הספק נוסף נדרש'!$B$8:$AX$28,MATCH(Q$40,'הספק נוסף נדרש'!$B$6:$AX$6,0)+(ROUNDUP((Q$2-$F$2)/COUNTA($F$9:$F$10),0)-1)*COUNTA('הספק נוסף נדרש'!$C$6:$J$6),FALSE))</f>
        <v>0</v>
      </c>
      <c r="R42" s="95">
        <f ca="1">IF(OR($F42&gt;MAX('הנחות עבודה'!$B$69:$B$89),$F42&gt;$D$5),0,VLOOKUP($F42,'הספק נוסף נדרש'!$B$8:$AX$28,MATCH(R$40,'הספק נוסף נדרש'!$B$6:$AX$6,0)+(ROUNDUP((R$2-$F$2)/COUNTA($F$9:$F$10),0)-1)*COUNTA('הספק נוסף נדרש'!$C$6:$J$6),FALSE))</f>
        <v>0</v>
      </c>
      <c r="S42" s="9"/>
      <c r="T42" s="10">
        <f t="shared" ref="T42:T61" si="91">+T41+1</f>
        <v>2021</v>
      </c>
      <c r="U42" s="85">
        <f ca="1">HLOOKUP(U$40,$G$15:$H$36,COUNTA($F$16:$F17)+1,FALSE)*G42*$D$7/$D$8</f>
        <v>0</v>
      </c>
      <c r="V42" s="85">
        <f ca="1">HLOOKUP(V$40,$G$15:$H$36,COUNTA($F$16:$F17)+1,FALSE)*H42*$D$7/$D$8</f>
        <v>0</v>
      </c>
      <c r="W42" s="95">
        <f ca="1">HLOOKUP(W$40,$G$15:$H$36,COUNTA($F$16:$F17)+1,FALSE)*I42*$D$7/$D$8</f>
        <v>0</v>
      </c>
      <c r="X42" s="95">
        <f ca="1">HLOOKUP(X$40,$G$15:$H$36,COUNTA($F$16:$F17)+1,FALSE)*J42*$D$7/$D$8</f>
        <v>0</v>
      </c>
      <c r="Y42" s="85">
        <f ca="1">HLOOKUP(Y$40,$G$15:$H$36,COUNTA($F$16:$F17)+1,FALSE)*K42*$D$7/$D$8</f>
        <v>0</v>
      </c>
      <c r="Z42" s="85">
        <f ca="1">HLOOKUP(Z$40,$G$15:$H$36,COUNTA($F$16:$F17)+1,FALSE)*L42*$D$7/$D$8</f>
        <v>0</v>
      </c>
      <c r="AA42" s="95">
        <f ca="1">HLOOKUP(AA$40,$G$15:$H$36,COUNTA($F$16:$F17)+1,FALSE)*M42*$D$7/$D$8</f>
        <v>0</v>
      </c>
      <c r="AB42" s="95">
        <f ca="1">HLOOKUP(AB$40,$G$15:$H$36,COUNTA($F$16:$F17)+1,FALSE)*N42*$D$7/$D$8</f>
        <v>0</v>
      </c>
      <c r="AC42" s="91">
        <f ca="1">HLOOKUP(AC$40,$G$15:$H$36,COUNTA($F$16:$F17)+1,FALSE)*O42*$D$7/$D$8</f>
        <v>0</v>
      </c>
      <c r="AD42" s="91">
        <f ca="1">HLOOKUP(AD$40,$G$15:$H$36,COUNTA($F$16:$F17)+1,FALSE)*P42*$D$7/$D$8</f>
        <v>0</v>
      </c>
      <c r="AE42" s="95">
        <f ca="1">HLOOKUP(AE$40,$G$15:$H$36,COUNTA($F$16:$F17)+1,FALSE)*Q42*$D$7/$D$8</f>
        <v>0</v>
      </c>
      <c r="AF42" s="95">
        <f ca="1">HLOOKUP(AF$40,$G$15:$H$36,COUNTA($F$16:$F17)+1,FALSE)*R42*$D$7/$D$8</f>
        <v>0</v>
      </c>
      <c r="AH42" s="10">
        <f t="shared" ref="AH42:AH105" si="92">+AH41+1</f>
        <v>2021</v>
      </c>
      <c r="AI42" s="85">
        <f t="shared" ref="AI42:AI47" ca="1" si="93">IF($AH42&gt;$D$5,0,-PMT(VLOOKUP(AI$40,$C$9:$D$10,2,FALSE),VLOOKUP(AI$40,$C$11:$D$12,2,FALSE),SUMIFS(U$41:U$61,$T$41:$T$61,"&gt;"&amp;($AH42-VLOOKUP(AI$40,$C$11:$D$12,2,FALSE)),$T$41:$T$61,"&lt;="&amp;($AH42))))</f>
        <v>0</v>
      </c>
      <c r="AJ42" s="86">
        <f t="shared" ref="AJ42:AJ48" ca="1" si="94">IF($AH42&gt;$D$5,0,-PMT(VLOOKUP(AJ$40,$C$9:$D$10,2,FALSE),VLOOKUP(AJ$40,$C$11:$D$12,2,FALSE),SUMIFS(V$41:V$61,$T$41:$T$61,"&gt;"&amp;($AH42-VLOOKUP(AJ$40,$C$11:$D$12,2,FALSE)),$T$41:$T$61,"&lt;="&amp;($AH42))))</f>
        <v>0</v>
      </c>
      <c r="AK42" s="151">
        <f t="shared" ref="AK42:AK48" ca="1" si="95">IF($AH42&gt;$D$5,0,-PMT(VLOOKUP(AK$40,$C$9:$D$10,2,FALSE),VLOOKUP(AK$40,$C$11:$D$12,2,FALSE),SUMIFS(W$41:W$61,$T$41:$T$61,"&gt;"&amp;($AH42-VLOOKUP(AK$40,$C$11:$D$12,2,FALSE)),$T$41:$T$61,"&lt;="&amp;($AH42))))</f>
        <v>0</v>
      </c>
      <c r="AL42" s="95">
        <f t="shared" ref="AL42:AL48" ca="1" si="96">IF($AH42&gt;$D$5,0,-PMT(VLOOKUP(AL$40,$C$9:$D$10,2,FALSE),VLOOKUP(AL$40,$C$11:$D$12,2,FALSE),SUMIFS(X$41:X$61,$T$41:$T$61,"&gt;"&amp;($AH42-VLOOKUP(AL$40,$C$11:$D$12,2,FALSE)),$T$41:$T$61,"&lt;="&amp;($AH42))))</f>
        <v>0</v>
      </c>
      <c r="AM42" s="85">
        <f t="shared" ca="1" si="88"/>
        <v>0</v>
      </c>
      <c r="AN42" s="86">
        <f t="shared" ca="1" si="88"/>
        <v>0</v>
      </c>
      <c r="AO42" s="151">
        <f t="shared" ca="1" si="88"/>
        <v>0</v>
      </c>
      <c r="AP42" s="95">
        <f t="shared" ca="1" si="88"/>
        <v>0</v>
      </c>
      <c r="AQ42" s="145">
        <f t="shared" ref="AQ42:AQ48" ca="1" si="97">IF($AH42&gt;$D$5,0,-PMT(VLOOKUP(AQ$40,$C$9:$D$10,2,FALSE),VLOOKUP(AQ$40,$C$11:$D$12,2,FALSE),SUMIFS(AC$41:AC$61,$T$41:$T$61,"&gt;"&amp;($AH42-VLOOKUP(AQ$40,$C$11:$D$12,2,FALSE)),$T$41:$T$61,"&lt;="&amp;($AH42))))</f>
        <v>0</v>
      </c>
      <c r="AR42" s="142">
        <f t="shared" ref="AR42:AR48" ca="1" si="98">IF($AH42&gt;$D$5,0,-PMT(VLOOKUP(AR$40,$C$9:$D$10,2,FALSE),VLOOKUP(AR$40,$C$11:$D$12,2,FALSE),SUMIFS(AD$41:AD$61,$T$41:$T$61,"&gt;"&amp;($AH42-VLOOKUP(AR$40,$C$11:$D$12,2,FALSE)),$T$41:$T$61,"&lt;="&amp;($AH42))))</f>
        <v>0</v>
      </c>
      <c r="AS42" s="151">
        <f t="shared" ref="AS42:AS48" ca="1" si="99">IF($AH42&gt;$D$5,0,-PMT(VLOOKUP(AS$40,$C$9:$D$10,2,FALSE),VLOOKUP(AS$40,$C$11:$D$12,2,FALSE),SUMIFS(AE$41:AE$61,$T$41:$T$61,"&gt;"&amp;($AH42-VLOOKUP(AS$40,$C$11:$D$12,2,FALSE)),$T$41:$T$61,"&lt;="&amp;($AH42))))</f>
        <v>0</v>
      </c>
      <c r="AT42" s="95">
        <f t="shared" ref="AT42:AT48" ca="1" si="100">IF($AH42&gt;$D$5,0,-PMT(VLOOKUP(AT$40,$C$9:$D$10,2,FALSE),VLOOKUP(AT$40,$C$11:$D$12,2,FALSE),SUMIFS(AF$41:AF$61,$T$41:$T$61,"&gt;"&amp;($AH42-VLOOKUP(AT$40,$C$11:$D$12,2,FALSE)),$T$41:$T$61,"&lt;="&amp;($AH42))))</f>
        <v>0</v>
      </c>
      <c r="AV42" s="10">
        <f t="shared" ref="AV42:AV105" si="101">+AV41+1</f>
        <v>2021</v>
      </c>
      <c r="AW42" s="85">
        <f ca="1">IF($AV42&gt;$D$5,0,SUMIFS(BK$41:BK$61,$BJ$41:$BJ$61,"&gt;"&amp;($AV42-VLOOKUP(AW$40,$C$11:$D$12,2,FALSE)),$BJ$41:$BJ$61,"&lt;="&amp;($AV42)))</f>
        <v>0</v>
      </c>
      <c r="AX42" s="86">
        <f t="shared" ref="AX42" ca="1" si="102">IF($AV42&gt;$D$5,0,SUMIFS(BL$41:BL$61,$BJ$41:$BJ$61,"&gt;"&amp;($AV42-VLOOKUP(AX$40,$C$11:$D$12,2,FALSE)),$BJ$41:$BJ$61,"&lt;="&amp;($AV42)))</f>
        <v>0</v>
      </c>
      <c r="AY42" s="151">
        <f t="shared" ref="AY42" ca="1" si="103">IF($AV42&gt;$D$5,0,SUMIFS(BM$41:BM$61,$BJ$41:$BJ$61,"&gt;"&amp;($AV42-VLOOKUP(AY$40,$C$11:$D$12,2,FALSE)),$BJ$41:$BJ$61,"&lt;="&amp;($AV42)))</f>
        <v>0</v>
      </c>
      <c r="AZ42" s="95">
        <f t="shared" ref="AZ42" ca="1" si="104">IF($AV42&gt;$D$5,0,SUMIFS(BN$41:BN$61,$BJ$41:$BJ$61,"&gt;"&amp;($AV42-VLOOKUP(AZ$40,$C$11:$D$12,2,FALSE)),$BJ$41:$BJ$61,"&lt;="&amp;($AV42)))</f>
        <v>0</v>
      </c>
      <c r="BA42" s="85">
        <f t="shared" ca="1" si="89"/>
        <v>0</v>
      </c>
      <c r="BB42" s="86">
        <f t="shared" ca="1" si="89"/>
        <v>0</v>
      </c>
      <c r="BC42" s="151">
        <f t="shared" ca="1" si="89"/>
        <v>0</v>
      </c>
      <c r="BD42" s="95">
        <f t="shared" ca="1" si="89"/>
        <v>0</v>
      </c>
      <c r="BE42" s="145">
        <f t="shared" ref="BE42" ca="1" si="105">IF($AV42&gt;$D$5,0,SUMIFS(BS$41:BS$61,$BJ$41:$BJ$61,"&gt;"&amp;($AV42-VLOOKUP(BE$40,$C$11:$D$12,2,FALSE)),$BJ$41:$BJ$61,"&lt;="&amp;($AV42)))</f>
        <v>0</v>
      </c>
      <c r="BF42" s="142">
        <f t="shared" ref="BF42" ca="1" si="106">IF($AV42&gt;$D$5,0,SUMIFS(BT$41:BT$61,$BJ$41:$BJ$61,"&gt;"&amp;($AV42-VLOOKUP(BF$40,$C$11:$D$12,2,FALSE)),$BJ$41:$BJ$61,"&lt;="&amp;($AV42)))</f>
        <v>0</v>
      </c>
      <c r="BG42" s="151">
        <f t="shared" ref="BG42" ca="1" si="107">IF($AV42&gt;$D$5,0,SUMIFS(BU$41:BU$61,$BJ$41:$BJ$61,"&gt;"&amp;($AV42-VLOOKUP(BG$40,$C$11:$D$12,2,FALSE)),$BJ$41:$BJ$61,"&lt;="&amp;($AV42)))</f>
        <v>0</v>
      </c>
      <c r="BH42" s="95">
        <f t="shared" ref="BH42" ca="1" si="108">IF($AV42&gt;$D$5,0,SUMIFS(BV$41:BV$61,$BJ$41:$BJ$61,"&gt;"&amp;($AV42-VLOOKUP(BH$40,$C$11:$D$12,2,FALSE)),$BJ$41:$BJ$61,"&lt;="&amp;($AV42)))</f>
        <v>0</v>
      </c>
      <c r="BJ42" s="10">
        <f t="shared" ref="BJ42:BJ61" si="109">+BJ41+1</f>
        <v>2021</v>
      </c>
      <c r="BK42" s="85">
        <f ca="1">HLOOKUP(BK$40,$K$15:$L$36,COUNTA($J$16:$J17)+1,FALSE)*G42*$D$7/$D$8</f>
        <v>0</v>
      </c>
      <c r="BL42" s="86">
        <f ca="1">HLOOKUP(BL$40,$K$15:$L$36,COUNTA($J$16:$J17)+1,FALSE)*H42*$D$7/$D$8</f>
        <v>0</v>
      </c>
      <c r="BM42" s="151">
        <f ca="1">HLOOKUP(BM$40,$K$15:$L$36,COUNTA($J$16:$J17)+1,FALSE)*I42*$D$7/$D$8</f>
        <v>0</v>
      </c>
      <c r="BN42" s="99">
        <f ca="1">HLOOKUP(BN$40,$K$15:$L$36,COUNTA($J$16:$J17)+1,FALSE)*J42*$D$7/$D$8</f>
        <v>0</v>
      </c>
      <c r="BO42" s="85">
        <f ca="1">HLOOKUP(BO$40,$K$15:$L$36,COUNTA($J$16:$J17)+1,FALSE)*K42*$D$7/$D$8</f>
        <v>0</v>
      </c>
      <c r="BP42" s="86">
        <f ca="1">HLOOKUP(BP$40,$K$15:$L$36,COUNTA($J$16:$J17)+1,FALSE)*L42*$D$7/$D$8</f>
        <v>0</v>
      </c>
      <c r="BQ42" s="151">
        <f ca="1">HLOOKUP(BQ$40,$K$15:$L$36,COUNTA($J$16:$J17)+1,FALSE)*M42*$D$7/$D$8</f>
        <v>0</v>
      </c>
      <c r="BR42" s="99">
        <f ca="1">HLOOKUP(BR$40,$K$15:$L$36,COUNTA($J$16:$J17)+1,FALSE)*N42*$D$7/$D$8</f>
        <v>0</v>
      </c>
      <c r="BS42" s="85">
        <f ca="1">HLOOKUP(BS$40,$K$15:$L$36,COUNTA($J$16:$J17)+1,FALSE)*O42*$D$7/$D$8</f>
        <v>0</v>
      </c>
      <c r="BT42" s="86">
        <f ca="1">HLOOKUP(BT$40,$K$15:$L$36,COUNTA($J$16:$J17)+1,FALSE)*P42*$D$7/$D$8</f>
        <v>0</v>
      </c>
      <c r="BU42" s="151">
        <f ca="1">HLOOKUP(BU$40,$K$15:$L$36,COUNTA($J$16:$J17)+1,FALSE)*Q42*$D$7/$D$8</f>
        <v>0</v>
      </c>
      <c r="BV42" s="99">
        <f ca="1">HLOOKUP(BV$40,$K$15:$L$36,COUNTA($J$16:$J17)+1,FALSE)*R42*$D$7/$D$8</f>
        <v>0</v>
      </c>
    </row>
    <row r="43" spans="2:74">
      <c r="F43" s="10">
        <f t="shared" si="90"/>
        <v>2022</v>
      </c>
      <c r="G43" s="85">
        <f ca="1">IF(OR($F43&gt;MAX('הנחות עבודה'!$B$69:$B$89),$F43&gt;$D$5),0,VLOOKUP($F43,'הספק נוסף נדרש'!$B$8:$AX$28,MATCH(G$40,'הספק נוסף נדרש'!$B$6:$AX$6,0)+(ROUNDUP((G$2-$F$2)/COUNTA($F$9:$F$10),0)-1)*COUNTA('הספק נוסף נדרש'!$C$6:$J$6),FALSE))</f>
        <v>1739</v>
      </c>
      <c r="H43" s="85">
        <f ca="1">IF(OR($F43&gt;MAX('הנחות עבודה'!$B$69:$B$89),$F43&gt;$D$5),0,VLOOKUP($F43,'הספק נוסף נדרש'!$B$8:$AX$28,MATCH(H$40,'הספק נוסף נדרש'!$B$6:$AX$6,0)+(ROUNDUP((H$2-$F$2)/COUNTA($F$9:$F$10),0)-1)*COUNTA('הספק נוסף נדרש'!$C$6:$J$6),FALSE))</f>
        <v>0</v>
      </c>
      <c r="I43" s="95">
        <f ca="1">IF(OR($F43&gt;MAX('הנחות עבודה'!$B$69:$B$89),$F43&gt;$D$5),0,VLOOKUP($F43,'הספק נוסף נדרש'!$B$8:$AX$28,MATCH(I$40,'הספק נוסף נדרש'!$B$6:$AX$6,0)+(ROUNDUP((I$2-$F$2)/COUNTA($F$9:$F$10),0)-1)*COUNTA('הספק נוסף נדרש'!$C$6:$J$6),FALSE))</f>
        <v>1739</v>
      </c>
      <c r="J43" s="95">
        <f ca="1">IF(OR($F43&gt;MAX('הנחות עבודה'!$B$69:$B$89),$F43&gt;$D$5),0,VLOOKUP($F43,'הספק נוסף נדרש'!$B$8:$AX$28,MATCH(J$40,'הספק נוסף נדרש'!$B$6:$AX$6,0)+(ROUNDUP((J$2-$F$2)/COUNTA($F$9:$F$10),0)-1)*COUNTA('הספק נוסף נדרש'!$C$6:$J$6),FALSE))</f>
        <v>0</v>
      </c>
      <c r="K43" s="85">
        <f ca="1">IF(OR($F43&gt;MAX('הנחות עבודה'!$B$69:$B$89),$F43&gt;$D$5),0,VLOOKUP($F43,'הספק נוסף נדרש'!$B$8:$AX$28,MATCH(K$40,'הספק נוסף נדרש'!$B$6:$AX$6,0)+(ROUNDUP((K$2-$F$2)/COUNTA($F$9:$F$10),0)-1)*COUNTA('הספק נוסף נדרש'!$C$6:$J$6),FALSE))</f>
        <v>1739</v>
      </c>
      <c r="L43" s="85">
        <f ca="1">IF(OR($F43&gt;MAX('הנחות עבודה'!$B$69:$B$89),$F43&gt;$D$5),0,VLOOKUP($F43,'הספק נוסף נדרש'!$B$8:$AX$28,MATCH(L$40,'הספק נוסף נדרש'!$B$6:$AX$6,0)+(ROUNDUP((L$2-$F$2)/COUNTA($F$9:$F$10),0)-1)*COUNTA('הספק נוסף נדרש'!$C$6:$J$6),FALSE))</f>
        <v>0</v>
      </c>
      <c r="M43" s="95">
        <f ca="1">IF(OR($F43&gt;MAX('הנחות עבודה'!$B$69:$B$89),$F43&gt;$D$5),0,VLOOKUP($F43,'הספק נוסף נדרש'!$B$8:$AX$28,MATCH(M$40,'הספק נוסף נדרש'!$B$6:$AX$6,0)+(ROUNDUP((M$2-$F$2)/COUNTA($F$9:$F$10),0)-1)*COUNTA('הספק נוסף נדרש'!$C$6:$J$6),FALSE))</f>
        <v>1739</v>
      </c>
      <c r="N43" s="95">
        <f ca="1">IF(OR($F43&gt;MAX('הנחות עבודה'!$B$69:$B$89),$F43&gt;$D$5),0,VLOOKUP($F43,'הספק נוסף נדרש'!$B$8:$AX$28,MATCH(N$40,'הספק נוסף נדרש'!$B$6:$AX$6,0)+(ROUNDUP((N$2-$F$2)/COUNTA($F$9:$F$10),0)-1)*COUNTA('הספק נוסף נדרש'!$C$6:$J$6),FALSE))</f>
        <v>0</v>
      </c>
      <c r="O43" s="91">
        <f ca="1">IF(OR($F43&gt;MAX('הנחות עבודה'!$B$69:$B$89),$F43&gt;$D$5),0,VLOOKUP($F43,'הספק נוסף נדרש'!$B$8:$AX$28,MATCH(O$40,'הספק נוסף נדרש'!$B$6:$AX$6,0)+(ROUNDUP((O$2-$F$2)/COUNTA($F$9:$F$10),0)-1)*COUNTA('הספק נוסף נדרש'!$C$6:$J$6),FALSE))</f>
        <v>1739</v>
      </c>
      <c r="P43" s="91">
        <f ca="1">IF(OR($F43&gt;MAX('הנחות עבודה'!$B$69:$B$89),$F43&gt;$D$5),0,VLOOKUP($F43,'הספק נוסף נדרש'!$B$8:$AX$28,MATCH(P$40,'הספק נוסף נדרש'!$B$6:$AX$6,0)+(ROUNDUP((P$2-$F$2)/COUNTA($F$9:$F$10),0)-1)*COUNTA('הספק נוסף נדרש'!$C$6:$J$6),FALSE))</f>
        <v>0</v>
      </c>
      <c r="Q43" s="95">
        <f ca="1">IF(OR($F43&gt;MAX('הנחות עבודה'!$B$69:$B$89),$F43&gt;$D$5),0,VLOOKUP($F43,'הספק נוסף נדרש'!$B$8:$AX$28,MATCH(Q$40,'הספק נוסף נדרש'!$B$6:$AX$6,0)+(ROUNDUP((Q$2-$F$2)/COUNTA($F$9:$F$10),0)-1)*COUNTA('הספק נוסף נדרש'!$C$6:$J$6),FALSE))</f>
        <v>1739</v>
      </c>
      <c r="R43" s="95">
        <f ca="1">IF(OR($F43&gt;MAX('הנחות עבודה'!$B$69:$B$89),$F43&gt;$D$5),0,VLOOKUP($F43,'הספק נוסף נדרש'!$B$8:$AX$28,MATCH(R$40,'הספק נוסף נדרש'!$B$6:$AX$6,0)+(ROUNDUP((R$2-$F$2)/COUNTA($F$9:$F$10),0)-1)*COUNTA('הספק נוסף נדרש'!$C$6:$J$6),FALSE))</f>
        <v>0</v>
      </c>
      <c r="S43" s="9"/>
      <c r="T43" s="10">
        <f t="shared" si="91"/>
        <v>2022</v>
      </c>
      <c r="U43" s="85">
        <f ca="1">HLOOKUP(U$40,$G$15:$H$36,COUNTA($F$16:$F18)+1,FALSE)*G43*$D$7/$D$8</f>
        <v>6719.6197472400008</v>
      </c>
      <c r="V43" s="85">
        <f ca="1">HLOOKUP(V$40,$G$15:$H$36,COUNTA($F$16:$F18)+1,FALSE)*H43*$D$7/$D$8</f>
        <v>0</v>
      </c>
      <c r="W43" s="95">
        <f ca="1">HLOOKUP(W$40,$G$15:$H$36,COUNTA($F$16:$F18)+1,FALSE)*I43*$D$7/$D$8</f>
        <v>6719.6197472400008</v>
      </c>
      <c r="X43" s="95">
        <f ca="1">HLOOKUP(X$40,$G$15:$H$36,COUNTA($F$16:$F18)+1,FALSE)*J43*$D$7/$D$8</f>
        <v>0</v>
      </c>
      <c r="Y43" s="85">
        <f ca="1">HLOOKUP(Y$40,$G$15:$H$36,COUNTA($F$16:$F18)+1,FALSE)*K43*$D$7/$D$8</f>
        <v>6719.6197472400008</v>
      </c>
      <c r="Z43" s="85">
        <f ca="1">HLOOKUP(Z$40,$G$15:$H$36,COUNTA($F$16:$F18)+1,FALSE)*L43*$D$7/$D$8</f>
        <v>0</v>
      </c>
      <c r="AA43" s="95">
        <f ca="1">HLOOKUP(AA$40,$G$15:$H$36,COUNTA($F$16:$F18)+1,FALSE)*M43*$D$7/$D$8</f>
        <v>6719.6197472400008</v>
      </c>
      <c r="AB43" s="95">
        <f ca="1">HLOOKUP(AB$40,$G$15:$H$36,COUNTA($F$16:$F18)+1,FALSE)*N43*$D$7/$D$8</f>
        <v>0</v>
      </c>
      <c r="AC43" s="91">
        <f ca="1">HLOOKUP(AC$40,$G$15:$H$36,COUNTA($F$16:$F18)+1,FALSE)*O43*$D$7/$D$8</f>
        <v>6719.6197472400008</v>
      </c>
      <c r="AD43" s="91">
        <f ca="1">HLOOKUP(AD$40,$G$15:$H$36,COUNTA($F$16:$F18)+1,FALSE)*P43*$D$7/$D$8</f>
        <v>0</v>
      </c>
      <c r="AE43" s="95">
        <f ca="1">HLOOKUP(AE$40,$G$15:$H$36,COUNTA($F$16:$F18)+1,FALSE)*Q43*$D$7/$D$8</f>
        <v>6719.6197472400008</v>
      </c>
      <c r="AF43" s="95">
        <f ca="1">HLOOKUP(AF$40,$G$15:$H$36,COUNTA($F$16:$F18)+1,FALSE)*R43*$D$7/$D$8</f>
        <v>0</v>
      </c>
      <c r="AH43" s="10">
        <f t="shared" si="92"/>
        <v>2022</v>
      </c>
      <c r="AI43" s="85">
        <f t="shared" ca="1" si="93"/>
        <v>401.18479000598887</v>
      </c>
      <c r="AJ43" s="86">
        <f t="shared" ca="1" si="94"/>
        <v>0</v>
      </c>
      <c r="AK43" s="151">
        <f t="shared" ca="1" si="95"/>
        <v>401.18479000598887</v>
      </c>
      <c r="AL43" s="95">
        <f t="shared" ca="1" si="96"/>
        <v>0</v>
      </c>
      <c r="AM43" s="85">
        <f t="shared" ca="1" si="88"/>
        <v>401.18479000598887</v>
      </c>
      <c r="AN43" s="86">
        <f t="shared" ca="1" si="88"/>
        <v>0</v>
      </c>
      <c r="AO43" s="151">
        <f t="shared" ca="1" si="88"/>
        <v>401.18479000598887</v>
      </c>
      <c r="AP43" s="95">
        <f t="shared" ca="1" si="88"/>
        <v>0</v>
      </c>
      <c r="AQ43" s="145">
        <f t="shared" ca="1" si="97"/>
        <v>401.18479000598887</v>
      </c>
      <c r="AR43" s="142">
        <f t="shared" ca="1" si="98"/>
        <v>0</v>
      </c>
      <c r="AS43" s="151">
        <f t="shared" ca="1" si="99"/>
        <v>401.18479000598887</v>
      </c>
      <c r="AT43" s="95">
        <f t="shared" ca="1" si="100"/>
        <v>0</v>
      </c>
      <c r="AV43" s="10">
        <f t="shared" si="101"/>
        <v>2022</v>
      </c>
      <c r="AW43" s="85">
        <f t="shared" ref="AW43:AW49" ca="1" si="110">IF($AV43&gt;$D$5,0,SUMIFS(BK$41:BK$61,$BJ$41:$BJ$61,"&gt;"&amp;($AV43-VLOOKUP(AW$40,$C$11:$D$12,2,FALSE)),$BJ$41:$BJ$61,"&lt;="&amp;($AV43)))</f>
        <v>258.24149999999997</v>
      </c>
      <c r="AX43" s="86">
        <f t="shared" ref="AX43:AX49" ca="1" si="111">IF($AV43&gt;$D$5,0,SUMIFS(BL$41:BL$61,$BJ$41:$BJ$61,"&gt;"&amp;($AV43-VLOOKUP(AX$40,$C$11:$D$12,2,FALSE)),$BJ$41:$BJ$61,"&lt;="&amp;($AV43)))</f>
        <v>0</v>
      </c>
      <c r="AY43" s="151">
        <f t="shared" ref="AY43:AY49" ca="1" si="112">IF($AV43&gt;$D$5,0,SUMIFS(BM$41:BM$61,$BJ$41:$BJ$61,"&gt;"&amp;($AV43-VLOOKUP(AY$40,$C$11:$D$12,2,FALSE)),$BJ$41:$BJ$61,"&lt;="&amp;($AV43)))</f>
        <v>258.24149999999997</v>
      </c>
      <c r="AZ43" s="95">
        <f t="shared" ref="AZ43:AZ49" ca="1" si="113">IF($AV43&gt;$D$5,0,SUMIFS(BN$41:BN$61,$BJ$41:$BJ$61,"&gt;"&amp;($AV43-VLOOKUP(AZ$40,$C$11:$D$12,2,FALSE)),$BJ$41:$BJ$61,"&lt;="&amp;($AV43)))</f>
        <v>0</v>
      </c>
      <c r="BA43" s="85">
        <f t="shared" ca="1" si="89"/>
        <v>258.24149999999997</v>
      </c>
      <c r="BB43" s="86">
        <f t="shared" ca="1" si="89"/>
        <v>0</v>
      </c>
      <c r="BC43" s="151">
        <f t="shared" ca="1" si="89"/>
        <v>258.24149999999997</v>
      </c>
      <c r="BD43" s="95">
        <f t="shared" ca="1" si="89"/>
        <v>0</v>
      </c>
      <c r="BE43" s="145">
        <f t="shared" ref="BE43:BE49" ca="1" si="114">IF($AV43&gt;$D$5,0,SUMIFS(BS$41:BS$61,$BJ$41:$BJ$61,"&gt;"&amp;($AV43-VLOOKUP(BE$40,$C$11:$D$12,2,FALSE)),$BJ$41:$BJ$61,"&lt;="&amp;($AV43)))</f>
        <v>258.24149999999997</v>
      </c>
      <c r="BF43" s="142">
        <f t="shared" ref="BF43:BF49" ca="1" si="115">IF($AV43&gt;$D$5,0,SUMIFS(BT$41:BT$61,$BJ$41:$BJ$61,"&gt;"&amp;($AV43-VLOOKUP(BF$40,$C$11:$D$12,2,FALSE)),$BJ$41:$BJ$61,"&lt;="&amp;($AV43)))</f>
        <v>0</v>
      </c>
      <c r="BG43" s="151">
        <f t="shared" ref="BG43:BG49" ca="1" si="116">IF($AV43&gt;$D$5,0,SUMIFS(BU$41:BU$61,$BJ$41:$BJ$61,"&gt;"&amp;($AV43-VLOOKUP(BG$40,$C$11:$D$12,2,FALSE)),$BJ$41:$BJ$61,"&lt;="&amp;($AV43)))</f>
        <v>258.24149999999997</v>
      </c>
      <c r="BH43" s="95">
        <f t="shared" ref="BH43:BH49" ca="1" si="117">IF($AV43&gt;$D$5,0,SUMIFS(BV$41:BV$61,$BJ$41:$BJ$61,"&gt;"&amp;($AV43-VLOOKUP(BH$40,$C$11:$D$12,2,FALSE)),$BJ$41:$BJ$61,"&lt;="&amp;($AV43)))</f>
        <v>0</v>
      </c>
      <c r="BJ43" s="10">
        <f t="shared" si="109"/>
        <v>2022</v>
      </c>
      <c r="BK43" s="85">
        <f ca="1">HLOOKUP(BK$40,$K$15:$L$36,COUNTA($J$16:$J18)+1,FALSE)*G43*$D$7/$D$8</f>
        <v>258.24149999999997</v>
      </c>
      <c r="BL43" s="86">
        <f ca="1">HLOOKUP(BL$40,$K$15:$L$36,COUNTA($J$16:$J18)+1,FALSE)*H43*$D$7/$D$8</f>
        <v>0</v>
      </c>
      <c r="BM43" s="151">
        <f ca="1">HLOOKUP(BM$40,$K$15:$L$36,COUNTA($J$16:$J18)+1,FALSE)*I43*$D$7/$D$8</f>
        <v>258.24149999999997</v>
      </c>
      <c r="BN43" s="99">
        <f ca="1">HLOOKUP(BN$40,$K$15:$L$36,COUNTA($J$16:$J18)+1,FALSE)*J43*$D$7/$D$8</f>
        <v>0</v>
      </c>
      <c r="BO43" s="85">
        <f ca="1">HLOOKUP(BO$40,$K$15:$L$36,COUNTA($J$16:$J18)+1,FALSE)*K43*$D$7/$D$8</f>
        <v>258.24149999999997</v>
      </c>
      <c r="BP43" s="86">
        <f ca="1">HLOOKUP(BP$40,$K$15:$L$36,COUNTA($J$16:$J18)+1,FALSE)*L43*$D$7/$D$8</f>
        <v>0</v>
      </c>
      <c r="BQ43" s="151">
        <f ca="1">HLOOKUP(BQ$40,$K$15:$L$36,COUNTA($J$16:$J18)+1,FALSE)*M43*$D$7/$D$8</f>
        <v>258.24149999999997</v>
      </c>
      <c r="BR43" s="99">
        <f ca="1">HLOOKUP(BR$40,$K$15:$L$36,COUNTA($J$16:$J18)+1,FALSE)*N43*$D$7/$D$8</f>
        <v>0</v>
      </c>
      <c r="BS43" s="85">
        <f ca="1">HLOOKUP(BS$40,$K$15:$L$36,COUNTA($J$16:$J18)+1,FALSE)*O43*$D$7/$D$8</f>
        <v>258.24149999999997</v>
      </c>
      <c r="BT43" s="86">
        <f ca="1">HLOOKUP(BT$40,$K$15:$L$36,COUNTA($J$16:$J18)+1,FALSE)*P43*$D$7/$D$8</f>
        <v>0</v>
      </c>
      <c r="BU43" s="151">
        <f ca="1">HLOOKUP(BU$40,$K$15:$L$36,COUNTA($J$16:$J18)+1,FALSE)*Q43*$D$7/$D$8</f>
        <v>258.24149999999997</v>
      </c>
      <c r="BV43" s="99">
        <f ca="1">HLOOKUP(BV$40,$K$15:$L$36,COUNTA($J$16:$J18)+1,FALSE)*R43*$D$7/$D$8</f>
        <v>0</v>
      </c>
    </row>
    <row r="44" spans="2:74">
      <c r="F44" s="10">
        <f>+F43+1</f>
        <v>2023</v>
      </c>
      <c r="G44" s="85">
        <f ca="1">IF(OR($F44&gt;MAX('הנחות עבודה'!$B$69:$B$89),$F44&gt;$D$5),0,VLOOKUP($F44,'הספק נוסף נדרש'!$B$8:$AX$28,MATCH(G$40,'הספק נוסף נדרש'!$B$6:$AX$6,0)+(ROUNDUP((G$2-$F$2)/COUNTA($F$9:$F$10),0)-1)*COUNTA('הספק נוסף נדרש'!$C$6:$J$6),FALSE))</f>
        <v>0</v>
      </c>
      <c r="H44" s="85">
        <f ca="1">IF(OR($F44&gt;MAX('הנחות עבודה'!$B$69:$B$89),$F44&gt;$D$5),0,VLOOKUP($F44,'הספק נוסף נדרש'!$B$8:$AX$28,MATCH(H$40,'הספק נוסף נדרש'!$B$6:$AX$6,0)+(ROUNDUP((H$2-$F$2)/COUNTA($F$9:$F$10),0)-1)*COUNTA('הספק נוסף נדרש'!$C$6:$J$6),FALSE))</f>
        <v>650</v>
      </c>
      <c r="I44" s="95">
        <f ca="1">IF(OR($F44&gt;MAX('הנחות עבודה'!$B$69:$B$89),$F44&gt;$D$5),0,VLOOKUP($F44,'הספק נוסף נדרש'!$B$8:$AX$28,MATCH(I$40,'הספק נוסף נדרש'!$B$6:$AX$6,0)+(ROUNDUP((I$2-$F$2)/COUNTA($F$9:$F$10),0)-1)*COUNTA('הספק נוסף נדרש'!$C$6:$J$6),FALSE))</f>
        <v>0</v>
      </c>
      <c r="J44" s="95">
        <f ca="1">IF(OR($F44&gt;MAX('הנחות עבודה'!$B$69:$B$89),$F44&gt;$D$5),0,VLOOKUP($F44,'הספק נוסף נדרש'!$B$8:$AX$28,MATCH(J$40,'הספק נוסף נדרש'!$B$6:$AX$6,0)+(ROUNDUP((J$2-$F$2)/COUNTA($F$9:$F$10),0)-1)*COUNTA('הספק נוסף נדרש'!$C$6:$J$6),FALSE))</f>
        <v>650</v>
      </c>
      <c r="K44" s="85">
        <f ca="1">IF(OR($F44&gt;MAX('הנחות עבודה'!$B$69:$B$89),$F44&gt;$D$5),0,VLOOKUP($F44,'הספק נוסף נדרש'!$B$8:$AX$28,MATCH(K$40,'הספק נוסף נדרש'!$B$6:$AX$6,0)+(ROUNDUP((K$2-$F$2)/COUNTA($F$9:$F$10),0)-1)*COUNTA('הספק נוסף נדרש'!$C$6:$J$6),FALSE))</f>
        <v>0</v>
      </c>
      <c r="L44" s="85">
        <f ca="1">IF(OR($F44&gt;MAX('הנחות עבודה'!$B$69:$B$89),$F44&gt;$D$5),0,VLOOKUP($F44,'הספק נוסף נדרש'!$B$8:$AX$28,MATCH(L$40,'הספק נוסף נדרש'!$B$6:$AX$6,0)+(ROUNDUP((L$2-$F$2)/COUNTA($F$9:$F$10),0)-1)*COUNTA('הספק נוסף נדרש'!$C$6:$J$6),FALSE))</f>
        <v>650</v>
      </c>
      <c r="M44" s="95">
        <f ca="1">IF(OR($F44&gt;MAX('הנחות עבודה'!$B$69:$B$89),$F44&gt;$D$5),0,VLOOKUP($F44,'הספק נוסף נדרש'!$B$8:$AX$28,MATCH(M$40,'הספק נוסף נדרש'!$B$6:$AX$6,0)+(ROUNDUP((M$2-$F$2)/COUNTA($F$9:$F$10),0)-1)*COUNTA('הספק נוסף נדרש'!$C$6:$J$6),FALSE))</f>
        <v>0</v>
      </c>
      <c r="N44" s="95">
        <f ca="1">IF(OR($F44&gt;MAX('הנחות עבודה'!$B$69:$B$89),$F44&gt;$D$5),0,VLOOKUP($F44,'הספק נוסף נדרש'!$B$8:$AX$28,MATCH(N$40,'הספק נוסף נדרש'!$B$6:$AX$6,0)+(ROUNDUP((N$2-$F$2)/COUNTA($F$9:$F$10),0)-1)*COUNTA('הספק נוסף נדרש'!$C$6:$J$6),FALSE))</f>
        <v>650</v>
      </c>
      <c r="O44" s="91">
        <f ca="1">IF(OR($F44&gt;MAX('הנחות עבודה'!$B$69:$B$89),$F44&gt;$D$5),0,VLOOKUP($F44,'הספק נוסף נדרש'!$B$8:$AX$28,MATCH(O$40,'הספק נוסף נדרש'!$B$6:$AX$6,0)+(ROUNDUP((O$2-$F$2)/COUNTA($F$9:$F$10),0)-1)*COUNTA('הספק נוסף נדרש'!$C$6:$J$6),FALSE))</f>
        <v>0</v>
      </c>
      <c r="P44" s="91">
        <f ca="1">IF(OR($F44&gt;MAX('הנחות עבודה'!$B$69:$B$89),$F44&gt;$D$5),0,VLOOKUP($F44,'הספק נוסף נדרש'!$B$8:$AX$28,MATCH(P$40,'הספק נוסף נדרש'!$B$6:$AX$6,0)+(ROUNDUP((P$2-$F$2)/COUNTA($F$9:$F$10),0)-1)*COUNTA('הספק נוסף נדרש'!$C$6:$J$6),FALSE))</f>
        <v>650</v>
      </c>
      <c r="Q44" s="95">
        <f ca="1">IF(OR($F44&gt;MAX('הנחות עבודה'!$B$69:$B$89),$F44&gt;$D$5),0,VLOOKUP($F44,'הספק נוסף נדרש'!$B$8:$AX$28,MATCH(Q$40,'הספק נוסף נדרש'!$B$6:$AX$6,0)+(ROUNDUP((Q$2-$F$2)/COUNTA($F$9:$F$10),0)-1)*COUNTA('הספק נוסף נדרש'!$C$6:$J$6),FALSE))</f>
        <v>0</v>
      </c>
      <c r="R44" s="95">
        <f ca="1">IF(OR($F44&gt;MAX('הנחות עבודה'!$B$69:$B$89),$F44&gt;$D$5),0,VLOOKUP($F44,'הספק נוסף נדרש'!$B$8:$AX$28,MATCH(R$40,'הספק נוסף נדרש'!$B$6:$AX$6,0)+(ROUNDUP((R$2-$F$2)/COUNTA($F$9:$F$10),0)-1)*COUNTA('הספק נוסף נדרש'!$C$6:$J$6),FALSE))</f>
        <v>650</v>
      </c>
      <c r="S44" s="9"/>
      <c r="T44" s="10">
        <f t="shared" si="91"/>
        <v>2023</v>
      </c>
      <c r="U44" s="85">
        <f ca="1">HLOOKUP(U$40,$G$15:$H$36,COUNTA($F$16:$F19)+1,FALSE)*G44*$D$7/$D$8</f>
        <v>0</v>
      </c>
      <c r="V44" s="85">
        <f ca="1">HLOOKUP(V$40,$G$15:$H$36,COUNTA($F$16:$F19)+1,FALSE)*H44*$D$7/$D$8</f>
        <v>2015.1085499999999</v>
      </c>
      <c r="W44" s="95">
        <f ca="1">HLOOKUP(W$40,$G$15:$H$36,COUNTA($F$16:$F19)+1,FALSE)*I44*$D$7/$D$8</f>
        <v>0</v>
      </c>
      <c r="X44" s="95">
        <f ca="1">HLOOKUP(X$40,$G$15:$H$36,COUNTA($F$16:$F19)+1,FALSE)*J44*$D$7/$D$8</f>
        <v>2015.1085499999999</v>
      </c>
      <c r="Y44" s="85">
        <f ca="1">HLOOKUP(Y$40,$G$15:$H$36,COUNTA($F$16:$F19)+1,FALSE)*K44*$D$7/$D$8</f>
        <v>0</v>
      </c>
      <c r="Z44" s="85">
        <f ca="1">HLOOKUP(Z$40,$G$15:$H$36,COUNTA($F$16:$F19)+1,FALSE)*L44*$D$7/$D$8</f>
        <v>2015.1085499999999</v>
      </c>
      <c r="AA44" s="95">
        <f ca="1">HLOOKUP(AA$40,$G$15:$H$36,COUNTA($F$16:$F19)+1,FALSE)*M44*$D$7/$D$8</f>
        <v>0</v>
      </c>
      <c r="AB44" s="95">
        <f ca="1">HLOOKUP(AB$40,$G$15:$H$36,COUNTA($F$16:$F19)+1,FALSE)*N44*$D$7/$D$8</f>
        <v>2015.1085499999999</v>
      </c>
      <c r="AC44" s="91">
        <f ca="1">HLOOKUP(AC$40,$G$15:$H$36,COUNTA($F$16:$F19)+1,FALSE)*O44*$D$7/$D$8</f>
        <v>0</v>
      </c>
      <c r="AD44" s="91">
        <f ca="1">HLOOKUP(AD$40,$G$15:$H$36,COUNTA($F$16:$F19)+1,FALSE)*P44*$D$7/$D$8</f>
        <v>2015.1085499999999</v>
      </c>
      <c r="AE44" s="95">
        <f ca="1">HLOOKUP(AE$40,$G$15:$H$36,COUNTA($F$16:$F19)+1,FALSE)*Q44*$D$7/$D$8</f>
        <v>0</v>
      </c>
      <c r="AF44" s="95">
        <f ca="1">HLOOKUP(AF$40,$G$15:$H$36,COUNTA($F$16:$F19)+1,FALSE)*R44*$D$7/$D$8</f>
        <v>2015.1085499999999</v>
      </c>
      <c r="AH44" s="10">
        <f t="shared" si="92"/>
        <v>2023</v>
      </c>
      <c r="AI44" s="85">
        <f t="shared" ca="1" si="93"/>
        <v>401.18479000598887</v>
      </c>
      <c r="AJ44" s="86">
        <f t="shared" ca="1" si="94"/>
        <v>117.69210646294721</v>
      </c>
      <c r="AK44" s="151">
        <f t="shared" ca="1" si="95"/>
        <v>401.18479000598887</v>
      </c>
      <c r="AL44" s="95">
        <f t="shared" ca="1" si="96"/>
        <v>117.69210646294721</v>
      </c>
      <c r="AM44" s="85">
        <f t="shared" ca="1" si="88"/>
        <v>401.18479000598887</v>
      </c>
      <c r="AN44" s="86">
        <f t="shared" ca="1" si="88"/>
        <v>117.69210646294721</v>
      </c>
      <c r="AO44" s="151">
        <f t="shared" ca="1" si="88"/>
        <v>401.18479000598887</v>
      </c>
      <c r="AP44" s="95">
        <f t="shared" ca="1" si="88"/>
        <v>117.69210646294721</v>
      </c>
      <c r="AQ44" s="145">
        <f t="shared" ca="1" si="97"/>
        <v>401.18479000598887</v>
      </c>
      <c r="AR44" s="142">
        <f t="shared" ca="1" si="98"/>
        <v>117.69210646294721</v>
      </c>
      <c r="AS44" s="151">
        <f t="shared" ca="1" si="99"/>
        <v>401.18479000598887</v>
      </c>
      <c r="AT44" s="95">
        <f t="shared" ca="1" si="100"/>
        <v>117.69210646294721</v>
      </c>
      <c r="AV44" s="10">
        <f t="shared" si="101"/>
        <v>2023</v>
      </c>
      <c r="AW44" s="85">
        <f t="shared" ca="1" si="110"/>
        <v>258.24149999999997</v>
      </c>
      <c r="AX44" s="86">
        <f t="shared" ca="1" si="111"/>
        <v>95.355000000000018</v>
      </c>
      <c r="AY44" s="151">
        <f t="shared" ca="1" si="112"/>
        <v>258.24149999999997</v>
      </c>
      <c r="AZ44" s="95">
        <f t="shared" ca="1" si="113"/>
        <v>95.355000000000018</v>
      </c>
      <c r="BA44" s="85">
        <f t="shared" ca="1" si="89"/>
        <v>258.24149999999997</v>
      </c>
      <c r="BB44" s="86">
        <f t="shared" ca="1" si="89"/>
        <v>95.355000000000018</v>
      </c>
      <c r="BC44" s="151">
        <f t="shared" ca="1" si="89"/>
        <v>258.24149999999997</v>
      </c>
      <c r="BD44" s="95">
        <f t="shared" ca="1" si="89"/>
        <v>95.355000000000018</v>
      </c>
      <c r="BE44" s="145">
        <f t="shared" ca="1" si="114"/>
        <v>258.24149999999997</v>
      </c>
      <c r="BF44" s="142">
        <f t="shared" ca="1" si="115"/>
        <v>95.355000000000018</v>
      </c>
      <c r="BG44" s="151">
        <f t="shared" ca="1" si="116"/>
        <v>258.24149999999997</v>
      </c>
      <c r="BH44" s="95">
        <f t="shared" ca="1" si="117"/>
        <v>95.355000000000018</v>
      </c>
      <c r="BJ44" s="10">
        <f t="shared" si="109"/>
        <v>2023</v>
      </c>
      <c r="BK44" s="85">
        <f ca="1">HLOOKUP(BK$40,$K$15:$L$36,COUNTA($J$16:$J19)+1,FALSE)*G44*$D$7/$D$8</f>
        <v>0</v>
      </c>
      <c r="BL44" s="86">
        <f ca="1">HLOOKUP(BL$40,$K$15:$L$36,COUNTA($J$16:$J19)+1,FALSE)*H44*$D$7/$D$8</f>
        <v>95.355000000000018</v>
      </c>
      <c r="BM44" s="151">
        <f ca="1">HLOOKUP(BM$40,$K$15:$L$36,COUNTA($J$16:$J19)+1,FALSE)*I44*$D$7/$D$8</f>
        <v>0</v>
      </c>
      <c r="BN44" s="99">
        <f ca="1">HLOOKUP(BN$40,$K$15:$L$36,COUNTA($J$16:$J19)+1,FALSE)*J44*$D$7/$D$8</f>
        <v>95.355000000000018</v>
      </c>
      <c r="BO44" s="85">
        <f ca="1">HLOOKUP(BO$40,$K$15:$L$36,COUNTA($J$16:$J19)+1,FALSE)*K44*$D$7/$D$8</f>
        <v>0</v>
      </c>
      <c r="BP44" s="86">
        <f ca="1">HLOOKUP(BP$40,$K$15:$L$36,COUNTA($J$16:$J19)+1,FALSE)*L44*$D$7/$D$8</f>
        <v>95.355000000000018</v>
      </c>
      <c r="BQ44" s="151">
        <f ca="1">HLOOKUP(BQ$40,$K$15:$L$36,COUNTA($J$16:$J19)+1,FALSE)*M44*$D$7/$D$8</f>
        <v>0</v>
      </c>
      <c r="BR44" s="99">
        <f ca="1">HLOOKUP(BR$40,$K$15:$L$36,COUNTA($J$16:$J19)+1,FALSE)*N44*$D$7/$D$8</f>
        <v>95.355000000000018</v>
      </c>
      <c r="BS44" s="85">
        <f ca="1">HLOOKUP(BS$40,$K$15:$L$36,COUNTA($J$16:$J19)+1,FALSE)*O44*$D$7/$D$8</f>
        <v>0</v>
      </c>
      <c r="BT44" s="86">
        <f ca="1">HLOOKUP(BT$40,$K$15:$L$36,COUNTA($J$16:$J19)+1,FALSE)*P44*$D$7/$D$8</f>
        <v>95.355000000000018</v>
      </c>
      <c r="BU44" s="151">
        <f ca="1">HLOOKUP(BU$40,$K$15:$L$36,COUNTA($J$16:$J19)+1,FALSE)*Q44*$D$7/$D$8</f>
        <v>0</v>
      </c>
      <c r="BV44" s="99">
        <f ca="1">HLOOKUP(BV$40,$K$15:$L$36,COUNTA($J$16:$J19)+1,FALSE)*R44*$D$7/$D$8</f>
        <v>95.355000000000018</v>
      </c>
    </row>
    <row r="45" spans="2:74">
      <c r="F45" s="10">
        <f t="shared" ref="F45:F61" si="118">+F44+1</f>
        <v>2024</v>
      </c>
      <c r="G45" s="85">
        <f ca="1">IF(OR($F45&gt;MAX('הנחות עבודה'!$B$69:$B$89),$F45&gt;$D$5),0,VLOOKUP($F45,'הספק נוסף נדרש'!$B$8:$AX$28,MATCH(G$40,'הספק נוסף נדרש'!$B$6:$AX$6,0)+(ROUNDUP((G$2-$F$2)/COUNTA($F$9:$F$10),0)-1)*COUNTA('הספק נוסף נדרש'!$C$6:$J$6),FALSE))</f>
        <v>200</v>
      </c>
      <c r="H45" s="85">
        <f ca="1">IF(OR($F45&gt;MAX('הנחות עבודה'!$B$69:$B$89),$F45&gt;$D$5),0,VLOOKUP($F45,'הספק נוסף נדרש'!$B$8:$AX$28,MATCH(H$40,'הספק נוסף נדרש'!$B$6:$AX$6,0)+(ROUNDUP((H$2-$F$2)/COUNTA($F$9:$F$10),0)-1)*COUNTA('הספק נוסף נדרש'!$C$6:$J$6),FALSE))</f>
        <v>0</v>
      </c>
      <c r="I45" s="95">
        <f ca="1">IF(OR($F45&gt;MAX('הנחות עבודה'!$B$69:$B$89),$F45&gt;$D$5),0,VLOOKUP($F45,'הספק נוסף נדרש'!$B$8:$AX$28,MATCH(I$40,'הספק נוסף נדרש'!$B$6:$AX$6,0)+(ROUNDUP((I$2-$F$2)/COUNTA($F$9:$F$10),0)-1)*COUNTA('הספק נוסף נדרש'!$C$6:$J$6),FALSE))</f>
        <v>200</v>
      </c>
      <c r="J45" s="95">
        <f ca="1">IF(OR($F45&gt;MAX('הנחות עבודה'!$B$69:$B$89),$F45&gt;$D$5),0,VLOOKUP($F45,'הספק נוסף נדרש'!$B$8:$AX$28,MATCH(J$40,'הספק נוסף נדרש'!$B$6:$AX$6,0)+(ROUNDUP((J$2-$F$2)/COUNTA($F$9:$F$10),0)-1)*COUNTA('הספק נוסף נדרש'!$C$6:$J$6),FALSE))</f>
        <v>0</v>
      </c>
      <c r="K45" s="85">
        <f ca="1">IF(OR($F45&gt;MAX('הנחות עבודה'!$B$69:$B$89),$F45&gt;$D$5),0,VLOOKUP($F45,'הספק נוסף נדרש'!$B$8:$AX$28,MATCH(K$40,'הספק נוסף נדרש'!$B$6:$AX$6,0)+(ROUNDUP((K$2-$F$2)/COUNTA($F$9:$F$10),0)-1)*COUNTA('הספק נוסף נדרש'!$C$6:$J$6),FALSE))</f>
        <v>200</v>
      </c>
      <c r="L45" s="85">
        <f ca="1">IF(OR($F45&gt;MAX('הנחות עבודה'!$B$69:$B$89),$F45&gt;$D$5),0,VLOOKUP($F45,'הספק נוסף נדרש'!$B$8:$AX$28,MATCH(L$40,'הספק נוסף נדרש'!$B$6:$AX$6,0)+(ROUNDUP((L$2-$F$2)/COUNTA($F$9:$F$10),0)-1)*COUNTA('הספק נוסף נדרש'!$C$6:$J$6),FALSE))</f>
        <v>0</v>
      </c>
      <c r="M45" s="95">
        <f ca="1">IF(OR($F45&gt;MAX('הנחות עבודה'!$B$69:$B$89),$F45&gt;$D$5),0,VLOOKUP($F45,'הספק נוסף נדרש'!$B$8:$AX$28,MATCH(M$40,'הספק נוסף נדרש'!$B$6:$AX$6,0)+(ROUNDUP((M$2-$F$2)/COUNTA($F$9:$F$10),0)-1)*COUNTA('הספק נוסף נדרש'!$C$6:$J$6),FALSE))</f>
        <v>200</v>
      </c>
      <c r="N45" s="95">
        <f ca="1">IF(OR($F45&gt;MAX('הנחות עבודה'!$B$69:$B$89),$F45&gt;$D$5),0,VLOOKUP($F45,'הספק נוסף נדרש'!$B$8:$AX$28,MATCH(N$40,'הספק נוסף נדרש'!$B$6:$AX$6,0)+(ROUNDUP((N$2-$F$2)/COUNTA($F$9:$F$10),0)-1)*COUNTA('הספק נוסף נדרש'!$C$6:$J$6),FALSE))</f>
        <v>0</v>
      </c>
      <c r="O45" s="91">
        <f ca="1">IF(OR($F45&gt;MAX('הנחות עבודה'!$B$69:$B$89),$F45&gt;$D$5),0,VLOOKUP($F45,'הספק נוסף נדרש'!$B$8:$AX$28,MATCH(O$40,'הספק נוסף נדרש'!$B$6:$AX$6,0)+(ROUNDUP((O$2-$F$2)/COUNTA($F$9:$F$10),0)-1)*COUNTA('הספק נוסף נדרש'!$C$6:$J$6),FALSE))</f>
        <v>200</v>
      </c>
      <c r="P45" s="91">
        <f ca="1">IF(OR($F45&gt;MAX('הנחות עבודה'!$B$69:$B$89),$F45&gt;$D$5),0,VLOOKUP($F45,'הספק נוסף נדרש'!$B$8:$AX$28,MATCH(P$40,'הספק נוסף נדרש'!$B$6:$AX$6,0)+(ROUNDUP((P$2-$F$2)/COUNTA($F$9:$F$10),0)-1)*COUNTA('הספק נוסף נדרש'!$C$6:$J$6),FALSE))</f>
        <v>0</v>
      </c>
      <c r="Q45" s="95">
        <f ca="1">IF(OR($F45&gt;MAX('הנחות עבודה'!$B$69:$B$89),$F45&gt;$D$5),0,VLOOKUP($F45,'הספק נוסף נדרש'!$B$8:$AX$28,MATCH(Q$40,'הספק נוסף נדרש'!$B$6:$AX$6,0)+(ROUNDUP((Q$2-$F$2)/COUNTA($F$9:$F$10),0)-1)*COUNTA('הספק נוסף נדרש'!$C$6:$J$6),FALSE))</f>
        <v>200</v>
      </c>
      <c r="R45" s="95">
        <f ca="1">IF(OR($F45&gt;MAX('הנחות עבודה'!$B$69:$B$89),$F45&gt;$D$5),0,VLOOKUP($F45,'הספק נוסף נדרש'!$B$8:$AX$28,MATCH(R$40,'הספק נוסף נדרש'!$B$6:$AX$6,0)+(ROUNDUP((R$2-$F$2)/COUNTA($F$9:$F$10),0)-1)*COUNTA('הספק נוסף נדרש'!$C$6:$J$6),FALSE))</f>
        <v>0</v>
      </c>
      <c r="S45" s="9"/>
      <c r="T45" s="10">
        <f t="shared" si="91"/>
        <v>2024</v>
      </c>
      <c r="U45" s="85">
        <f ca="1">HLOOKUP(U$40,$G$15:$H$36,COUNTA($F$16:$F20)+1,FALSE)*G45*$D$7/$D$8</f>
        <v>772.81423200000017</v>
      </c>
      <c r="V45" s="85">
        <f ca="1">HLOOKUP(V$40,$G$15:$H$36,COUNTA($F$16:$F20)+1,FALSE)*H45*$D$7/$D$8</f>
        <v>0</v>
      </c>
      <c r="W45" s="95">
        <f ca="1">HLOOKUP(W$40,$G$15:$H$36,COUNTA($F$16:$F20)+1,FALSE)*I45*$D$7/$D$8</f>
        <v>772.81423200000017</v>
      </c>
      <c r="X45" s="95">
        <f ca="1">HLOOKUP(X$40,$G$15:$H$36,COUNTA($F$16:$F20)+1,FALSE)*J45*$D$7/$D$8</f>
        <v>0</v>
      </c>
      <c r="Y45" s="85">
        <f ca="1">HLOOKUP(Y$40,$G$15:$H$36,COUNTA($F$16:$F20)+1,FALSE)*K45*$D$7/$D$8</f>
        <v>772.81423200000017</v>
      </c>
      <c r="Z45" s="85">
        <f ca="1">HLOOKUP(Z$40,$G$15:$H$36,COUNTA($F$16:$F20)+1,FALSE)*L45*$D$7/$D$8</f>
        <v>0</v>
      </c>
      <c r="AA45" s="95">
        <f ca="1">HLOOKUP(AA$40,$G$15:$H$36,COUNTA($F$16:$F20)+1,FALSE)*M45*$D$7/$D$8</f>
        <v>772.81423200000017</v>
      </c>
      <c r="AB45" s="95">
        <f ca="1">HLOOKUP(AB$40,$G$15:$H$36,COUNTA($F$16:$F20)+1,FALSE)*N45*$D$7/$D$8</f>
        <v>0</v>
      </c>
      <c r="AC45" s="91">
        <f ca="1">HLOOKUP(AC$40,$G$15:$H$36,COUNTA($F$16:$F20)+1,FALSE)*O45*$D$7/$D$8</f>
        <v>772.81423200000017</v>
      </c>
      <c r="AD45" s="91">
        <f ca="1">HLOOKUP(AD$40,$G$15:$H$36,COUNTA($F$16:$F20)+1,FALSE)*P45*$D$7/$D$8</f>
        <v>0</v>
      </c>
      <c r="AE45" s="95">
        <f ca="1">HLOOKUP(AE$40,$G$15:$H$36,COUNTA($F$16:$F20)+1,FALSE)*Q45*$D$7/$D$8</f>
        <v>772.81423200000017</v>
      </c>
      <c r="AF45" s="95">
        <f ca="1">HLOOKUP(AF$40,$G$15:$H$36,COUNTA($F$16:$F20)+1,FALSE)*R45*$D$7/$D$8</f>
        <v>0</v>
      </c>
      <c r="AH45" s="10">
        <f t="shared" si="92"/>
        <v>2024</v>
      </c>
      <c r="AI45" s="85">
        <f t="shared" ca="1" si="93"/>
        <v>447.32450133502721</v>
      </c>
      <c r="AJ45" s="86">
        <f t="shared" ca="1" si="94"/>
        <v>117.69210646294721</v>
      </c>
      <c r="AK45" s="151">
        <f t="shared" ca="1" si="95"/>
        <v>447.32450133502721</v>
      </c>
      <c r="AL45" s="95">
        <f t="shared" ca="1" si="96"/>
        <v>117.69210646294721</v>
      </c>
      <c r="AM45" s="85">
        <f t="shared" ca="1" si="88"/>
        <v>447.32450133502721</v>
      </c>
      <c r="AN45" s="86">
        <f t="shared" ca="1" si="88"/>
        <v>117.69210646294721</v>
      </c>
      <c r="AO45" s="151">
        <f t="shared" ca="1" si="88"/>
        <v>447.32450133502721</v>
      </c>
      <c r="AP45" s="95">
        <f t="shared" ca="1" si="88"/>
        <v>117.69210646294721</v>
      </c>
      <c r="AQ45" s="145">
        <f t="shared" ca="1" si="97"/>
        <v>447.32450133502721</v>
      </c>
      <c r="AR45" s="142">
        <f t="shared" ca="1" si="98"/>
        <v>117.69210646294721</v>
      </c>
      <c r="AS45" s="151">
        <f t="shared" ca="1" si="99"/>
        <v>447.32450133502721</v>
      </c>
      <c r="AT45" s="95">
        <f t="shared" ca="1" si="100"/>
        <v>117.69210646294721</v>
      </c>
      <c r="AV45" s="10">
        <f t="shared" si="101"/>
        <v>2024</v>
      </c>
      <c r="AW45" s="85">
        <f t="shared" ca="1" si="110"/>
        <v>287.94149999999996</v>
      </c>
      <c r="AX45" s="86">
        <f t="shared" ca="1" si="111"/>
        <v>95.355000000000018</v>
      </c>
      <c r="AY45" s="151">
        <f t="shared" ca="1" si="112"/>
        <v>287.94149999999996</v>
      </c>
      <c r="AZ45" s="95">
        <f t="shared" ca="1" si="113"/>
        <v>95.355000000000018</v>
      </c>
      <c r="BA45" s="85">
        <f t="shared" ca="1" si="89"/>
        <v>287.94149999999996</v>
      </c>
      <c r="BB45" s="86">
        <f t="shared" ca="1" si="89"/>
        <v>95.355000000000018</v>
      </c>
      <c r="BC45" s="151">
        <f t="shared" ca="1" si="89"/>
        <v>287.94149999999996</v>
      </c>
      <c r="BD45" s="95">
        <f t="shared" ca="1" si="89"/>
        <v>95.355000000000018</v>
      </c>
      <c r="BE45" s="145">
        <f t="shared" ca="1" si="114"/>
        <v>287.94149999999996</v>
      </c>
      <c r="BF45" s="142">
        <f t="shared" ca="1" si="115"/>
        <v>95.355000000000018</v>
      </c>
      <c r="BG45" s="151">
        <f t="shared" ca="1" si="116"/>
        <v>287.94149999999996</v>
      </c>
      <c r="BH45" s="95">
        <f t="shared" ca="1" si="117"/>
        <v>95.355000000000018</v>
      </c>
      <c r="BJ45" s="10">
        <f t="shared" si="109"/>
        <v>2024</v>
      </c>
      <c r="BK45" s="85">
        <f ca="1">HLOOKUP(BK$40,$K$15:$L$36,COUNTA($J$16:$J20)+1,FALSE)*G45*$D$7/$D$8</f>
        <v>29.7</v>
      </c>
      <c r="BL45" s="86">
        <f ca="1">HLOOKUP(BL$40,$K$15:$L$36,COUNTA($J$16:$J20)+1,FALSE)*H45*$D$7/$D$8</f>
        <v>0</v>
      </c>
      <c r="BM45" s="151">
        <f ca="1">HLOOKUP(BM$40,$K$15:$L$36,COUNTA($J$16:$J20)+1,FALSE)*I45*$D$7/$D$8</f>
        <v>29.7</v>
      </c>
      <c r="BN45" s="99">
        <f ca="1">HLOOKUP(BN$40,$K$15:$L$36,COUNTA($J$16:$J20)+1,FALSE)*J45*$D$7/$D$8</f>
        <v>0</v>
      </c>
      <c r="BO45" s="85">
        <f ca="1">HLOOKUP(BO$40,$K$15:$L$36,COUNTA($J$16:$J20)+1,FALSE)*K45*$D$7/$D$8</f>
        <v>29.7</v>
      </c>
      <c r="BP45" s="86">
        <f ca="1">HLOOKUP(BP$40,$K$15:$L$36,COUNTA($J$16:$J20)+1,FALSE)*L45*$D$7/$D$8</f>
        <v>0</v>
      </c>
      <c r="BQ45" s="151">
        <f ca="1">HLOOKUP(BQ$40,$K$15:$L$36,COUNTA($J$16:$J20)+1,FALSE)*M45*$D$7/$D$8</f>
        <v>29.7</v>
      </c>
      <c r="BR45" s="99">
        <f ca="1">HLOOKUP(BR$40,$K$15:$L$36,COUNTA($J$16:$J20)+1,FALSE)*N45*$D$7/$D$8</f>
        <v>0</v>
      </c>
      <c r="BS45" s="85">
        <f ca="1">HLOOKUP(BS$40,$K$15:$L$36,COUNTA($J$16:$J20)+1,FALSE)*O45*$D$7/$D$8</f>
        <v>29.7</v>
      </c>
      <c r="BT45" s="86">
        <f ca="1">HLOOKUP(BT$40,$K$15:$L$36,COUNTA($J$16:$J20)+1,FALSE)*P45*$D$7/$D$8</f>
        <v>0</v>
      </c>
      <c r="BU45" s="151">
        <f ca="1">HLOOKUP(BU$40,$K$15:$L$36,COUNTA($J$16:$J20)+1,FALSE)*Q45*$D$7/$D$8</f>
        <v>29.7</v>
      </c>
      <c r="BV45" s="99">
        <f ca="1">HLOOKUP(BV$40,$K$15:$L$36,COUNTA($J$16:$J20)+1,FALSE)*R45*$D$7/$D$8</f>
        <v>0</v>
      </c>
    </row>
    <row r="46" spans="2:74">
      <c r="F46" s="10">
        <f t="shared" si="118"/>
        <v>2025</v>
      </c>
      <c r="G46" s="85">
        <f ca="1">IF(OR($F46&gt;MAX('הנחות עבודה'!$B$69:$B$89),$F46&gt;$D$5),0,VLOOKUP($F46,'הספק נוסף נדרש'!$B$8:$AX$28,MATCH(G$40,'הספק נוסף נדרש'!$B$6:$AX$6,0)+(ROUNDUP((G$2-$F$2)/COUNTA($F$9:$F$10),0)-1)*COUNTA('הספק נוסף נדרש'!$C$6:$J$6),FALSE))</f>
        <v>0</v>
      </c>
      <c r="H46" s="85">
        <f ca="1">IF(OR($F46&gt;MAX('הנחות עבודה'!$B$69:$B$89),$F46&gt;$D$5),0,VLOOKUP($F46,'הספק נוסף נדרש'!$B$8:$AX$28,MATCH(H$40,'הספק נוסף נדרש'!$B$6:$AX$6,0)+(ROUNDUP((H$2-$F$2)/COUNTA($F$9:$F$10),0)-1)*COUNTA('הספק נוסף נדרש'!$C$6:$J$6),FALSE))</f>
        <v>0</v>
      </c>
      <c r="I46" s="95">
        <f ca="1">IF(OR($F46&gt;MAX('הנחות עבודה'!$B$69:$B$89),$F46&gt;$D$5),0,VLOOKUP($F46,'הספק נוסף נדרש'!$B$8:$AX$28,MATCH(I$40,'הספק נוסף נדרש'!$B$6:$AX$6,0)+(ROUNDUP((I$2-$F$2)/COUNTA($F$9:$F$10),0)-1)*COUNTA('הספק נוסף נדרש'!$C$6:$J$6),FALSE))</f>
        <v>0</v>
      </c>
      <c r="J46" s="95">
        <f ca="1">IF(OR($F46&gt;MAX('הנחות עבודה'!$B$69:$B$89),$F46&gt;$D$5),0,VLOOKUP($F46,'הספק נוסף נדרש'!$B$8:$AX$28,MATCH(J$40,'הספק נוסף נדרש'!$B$6:$AX$6,0)+(ROUNDUP((J$2-$F$2)/COUNTA($F$9:$F$10),0)-1)*COUNTA('הספק נוסף נדרש'!$C$6:$J$6),FALSE))</f>
        <v>0</v>
      </c>
      <c r="K46" s="85">
        <f ca="1">IF(OR($F46&gt;MAX('הנחות עבודה'!$B$69:$B$89),$F46&gt;$D$5),0,VLOOKUP($F46,'הספק נוסף נדרש'!$B$8:$AX$28,MATCH(K$40,'הספק נוסף נדרש'!$B$6:$AX$6,0)+(ROUNDUP((K$2-$F$2)/COUNTA($F$9:$F$10),0)-1)*COUNTA('הספק נוסף נדרש'!$C$6:$J$6),FALSE))</f>
        <v>0</v>
      </c>
      <c r="L46" s="85">
        <f ca="1">IF(OR($F46&gt;MAX('הנחות עבודה'!$B$69:$B$89),$F46&gt;$D$5),0,VLOOKUP($F46,'הספק נוסף נדרש'!$B$8:$AX$28,MATCH(L$40,'הספק נוסף נדרש'!$B$6:$AX$6,0)+(ROUNDUP((L$2-$F$2)/COUNTA($F$9:$F$10),0)-1)*COUNTA('הספק נוסף נדרש'!$C$6:$J$6),FALSE))</f>
        <v>0</v>
      </c>
      <c r="M46" s="95">
        <f ca="1">IF(OR($F46&gt;MAX('הנחות עבודה'!$B$69:$B$89),$F46&gt;$D$5),0,VLOOKUP($F46,'הספק נוסף נדרש'!$B$8:$AX$28,MATCH(M$40,'הספק נוסף נדרש'!$B$6:$AX$6,0)+(ROUNDUP((M$2-$F$2)/COUNTA($F$9:$F$10),0)-1)*COUNTA('הספק נוסף נדרש'!$C$6:$J$6),FALSE))</f>
        <v>0</v>
      </c>
      <c r="N46" s="95">
        <f ca="1">IF(OR($F46&gt;MAX('הנחות עבודה'!$B$69:$B$89),$F46&gt;$D$5),0,VLOOKUP($F46,'הספק נוסף נדרש'!$B$8:$AX$28,MATCH(N$40,'הספק נוסף נדרש'!$B$6:$AX$6,0)+(ROUNDUP((N$2-$F$2)/COUNTA($F$9:$F$10),0)-1)*COUNTA('הספק נוסף נדרש'!$C$6:$J$6),FALSE))</f>
        <v>0</v>
      </c>
      <c r="O46" s="91">
        <f ca="1">IF(OR($F46&gt;MAX('הנחות עבודה'!$B$69:$B$89),$F46&gt;$D$5),0,VLOOKUP($F46,'הספק נוסף נדרש'!$B$8:$AX$28,MATCH(O$40,'הספק נוסף נדרש'!$B$6:$AX$6,0)+(ROUNDUP((O$2-$F$2)/COUNTA($F$9:$F$10),0)-1)*COUNTA('הספק נוסף נדרש'!$C$6:$J$6),FALSE))</f>
        <v>0</v>
      </c>
      <c r="P46" s="91">
        <f ca="1">IF(OR($F46&gt;MAX('הנחות עבודה'!$B$69:$B$89),$F46&gt;$D$5),0,VLOOKUP($F46,'הספק נוסף נדרש'!$B$8:$AX$28,MATCH(P$40,'הספק נוסף נדרש'!$B$6:$AX$6,0)+(ROUNDUP((P$2-$F$2)/COUNTA($F$9:$F$10),0)-1)*COUNTA('הספק נוסף נדרש'!$C$6:$J$6),FALSE))</f>
        <v>0</v>
      </c>
      <c r="Q46" s="95">
        <f ca="1">IF(OR($F46&gt;MAX('הנחות עבודה'!$B$69:$B$89),$F46&gt;$D$5),0,VLOOKUP($F46,'הספק נוסף נדרש'!$B$8:$AX$28,MATCH(Q$40,'הספק נוסף נדרש'!$B$6:$AX$6,0)+(ROUNDUP((Q$2-$F$2)/COUNTA($F$9:$F$10),0)-1)*COUNTA('הספק נוסף נדרש'!$C$6:$J$6),FALSE))</f>
        <v>0</v>
      </c>
      <c r="R46" s="95">
        <f ca="1">IF(OR($F46&gt;MAX('הנחות עבודה'!$B$69:$B$89),$F46&gt;$D$5),0,VLOOKUP($F46,'הספק נוסף נדרש'!$B$8:$AX$28,MATCH(R$40,'הספק נוסף נדרש'!$B$6:$AX$6,0)+(ROUNDUP((R$2-$F$2)/COUNTA($F$9:$F$10),0)-1)*COUNTA('הספק נוסף נדרש'!$C$6:$J$6),FALSE))</f>
        <v>0</v>
      </c>
      <c r="S46" s="9"/>
      <c r="T46" s="10">
        <f t="shared" si="91"/>
        <v>2025</v>
      </c>
      <c r="U46" s="85">
        <f ca="1">HLOOKUP(U$40,$G$15:$H$36,COUNTA($F$16:$F21)+1,FALSE)*G46*$D$7/$D$8</f>
        <v>0</v>
      </c>
      <c r="V46" s="85">
        <f ca="1">HLOOKUP(V$40,$G$15:$H$36,COUNTA($F$16:$F21)+1,FALSE)*H46*$D$7/$D$8</f>
        <v>0</v>
      </c>
      <c r="W46" s="95">
        <f ca="1">HLOOKUP(W$40,$G$15:$H$36,COUNTA($F$16:$F21)+1,FALSE)*I46*$D$7/$D$8</f>
        <v>0</v>
      </c>
      <c r="X46" s="95">
        <f ca="1">HLOOKUP(X$40,$G$15:$H$36,COUNTA($F$16:$F21)+1,FALSE)*J46*$D$7/$D$8</f>
        <v>0</v>
      </c>
      <c r="Y46" s="85">
        <f ca="1">HLOOKUP(Y$40,$G$15:$H$36,COUNTA($F$16:$F21)+1,FALSE)*K46*$D$7/$D$8</f>
        <v>0</v>
      </c>
      <c r="Z46" s="85">
        <f ca="1">HLOOKUP(Z$40,$G$15:$H$36,COUNTA($F$16:$F21)+1,FALSE)*L46*$D$7/$D$8</f>
        <v>0</v>
      </c>
      <c r="AA46" s="95">
        <f ca="1">HLOOKUP(AA$40,$G$15:$H$36,COUNTA($F$16:$F21)+1,FALSE)*M46*$D$7/$D$8</f>
        <v>0</v>
      </c>
      <c r="AB46" s="95">
        <f ca="1">HLOOKUP(AB$40,$G$15:$H$36,COUNTA($F$16:$F21)+1,FALSE)*N46*$D$7/$D$8</f>
        <v>0</v>
      </c>
      <c r="AC46" s="91">
        <f ca="1">HLOOKUP(AC$40,$G$15:$H$36,COUNTA($F$16:$F21)+1,FALSE)*O46*$D$7/$D$8</f>
        <v>0</v>
      </c>
      <c r="AD46" s="91">
        <f ca="1">HLOOKUP(AD$40,$G$15:$H$36,COUNTA($F$16:$F21)+1,FALSE)*P46*$D$7/$D$8</f>
        <v>0</v>
      </c>
      <c r="AE46" s="95">
        <f ca="1">HLOOKUP(AE$40,$G$15:$H$36,COUNTA($F$16:$F21)+1,FALSE)*Q46*$D$7/$D$8</f>
        <v>0</v>
      </c>
      <c r="AF46" s="95">
        <f ca="1">HLOOKUP(AF$40,$G$15:$H$36,COUNTA($F$16:$F21)+1,FALSE)*R46*$D$7/$D$8</f>
        <v>0</v>
      </c>
      <c r="AH46" s="10">
        <f t="shared" si="92"/>
        <v>2025</v>
      </c>
      <c r="AI46" s="85">
        <f t="shared" ca="1" si="93"/>
        <v>447.32450133502721</v>
      </c>
      <c r="AJ46" s="86">
        <f t="shared" ca="1" si="94"/>
        <v>117.69210646294721</v>
      </c>
      <c r="AK46" s="151">
        <f t="shared" ca="1" si="95"/>
        <v>447.32450133502721</v>
      </c>
      <c r="AL46" s="95">
        <f t="shared" ca="1" si="96"/>
        <v>117.69210646294721</v>
      </c>
      <c r="AM46" s="85">
        <f t="shared" ca="1" si="88"/>
        <v>447.32450133502721</v>
      </c>
      <c r="AN46" s="86">
        <f t="shared" ca="1" si="88"/>
        <v>117.69210646294721</v>
      </c>
      <c r="AO46" s="151">
        <f t="shared" ca="1" si="88"/>
        <v>447.32450133502721</v>
      </c>
      <c r="AP46" s="95">
        <f t="shared" ca="1" si="88"/>
        <v>117.69210646294721</v>
      </c>
      <c r="AQ46" s="145">
        <f t="shared" ca="1" si="97"/>
        <v>447.32450133502721</v>
      </c>
      <c r="AR46" s="142">
        <f t="shared" ca="1" si="98"/>
        <v>117.69210646294721</v>
      </c>
      <c r="AS46" s="151">
        <f t="shared" ca="1" si="99"/>
        <v>447.32450133502721</v>
      </c>
      <c r="AT46" s="95">
        <f t="shared" ca="1" si="100"/>
        <v>117.69210646294721</v>
      </c>
      <c r="AV46" s="10">
        <f t="shared" si="101"/>
        <v>2025</v>
      </c>
      <c r="AW46" s="85">
        <f t="shared" ca="1" si="110"/>
        <v>287.94149999999996</v>
      </c>
      <c r="AX46" s="86">
        <f t="shared" ca="1" si="111"/>
        <v>95.355000000000018</v>
      </c>
      <c r="AY46" s="151">
        <f t="shared" ca="1" si="112"/>
        <v>287.94149999999996</v>
      </c>
      <c r="AZ46" s="95">
        <f t="shared" ca="1" si="113"/>
        <v>95.355000000000018</v>
      </c>
      <c r="BA46" s="85">
        <f t="shared" ca="1" si="89"/>
        <v>287.94149999999996</v>
      </c>
      <c r="BB46" s="86">
        <f t="shared" ca="1" si="89"/>
        <v>95.355000000000018</v>
      </c>
      <c r="BC46" s="151">
        <f t="shared" ca="1" si="89"/>
        <v>287.94149999999996</v>
      </c>
      <c r="BD46" s="95">
        <f t="shared" ca="1" si="89"/>
        <v>95.355000000000018</v>
      </c>
      <c r="BE46" s="145">
        <f t="shared" ca="1" si="114"/>
        <v>287.94149999999996</v>
      </c>
      <c r="BF46" s="142">
        <f t="shared" ca="1" si="115"/>
        <v>95.355000000000018</v>
      </c>
      <c r="BG46" s="151">
        <f t="shared" ca="1" si="116"/>
        <v>287.94149999999996</v>
      </c>
      <c r="BH46" s="95">
        <f t="shared" ca="1" si="117"/>
        <v>95.355000000000018</v>
      </c>
      <c r="BJ46" s="10">
        <f t="shared" si="109"/>
        <v>2025</v>
      </c>
      <c r="BK46" s="85">
        <f ca="1">HLOOKUP(BK$40,$K$15:$L$36,COUNTA($J$16:$J21)+1,FALSE)*G46*$D$7/$D$8</f>
        <v>0</v>
      </c>
      <c r="BL46" s="86">
        <f ca="1">HLOOKUP(BL$40,$K$15:$L$36,COUNTA($J$16:$J21)+1,FALSE)*H46*$D$7/$D$8</f>
        <v>0</v>
      </c>
      <c r="BM46" s="151">
        <f ca="1">HLOOKUP(BM$40,$K$15:$L$36,COUNTA($J$16:$J21)+1,FALSE)*I46*$D$7/$D$8</f>
        <v>0</v>
      </c>
      <c r="BN46" s="99">
        <f ca="1">HLOOKUP(BN$40,$K$15:$L$36,COUNTA($J$16:$J21)+1,FALSE)*J46*$D$7/$D$8</f>
        <v>0</v>
      </c>
      <c r="BO46" s="85">
        <f ca="1">HLOOKUP(BO$40,$K$15:$L$36,COUNTA($J$16:$J21)+1,FALSE)*K46*$D$7/$D$8</f>
        <v>0</v>
      </c>
      <c r="BP46" s="86">
        <f ca="1">HLOOKUP(BP$40,$K$15:$L$36,COUNTA($J$16:$J21)+1,FALSE)*L46*$D$7/$D$8</f>
        <v>0</v>
      </c>
      <c r="BQ46" s="151">
        <f ca="1">HLOOKUP(BQ$40,$K$15:$L$36,COUNTA($J$16:$J21)+1,FALSE)*M46*$D$7/$D$8</f>
        <v>0</v>
      </c>
      <c r="BR46" s="99">
        <f ca="1">HLOOKUP(BR$40,$K$15:$L$36,COUNTA($J$16:$J21)+1,FALSE)*N46*$D$7/$D$8</f>
        <v>0</v>
      </c>
      <c r="BS46" s="85">
        <f ca="1">HLOOKUP(BS$40,$K$15:$L$36,COUNTA($J$16:$J21)+1,FALSE)*O46*$D$7/$D$8</f>
        <v>0</v>
      </c>
      <c r="BT46" s="86">
        <f ca="1">HLOOKUP(BT$40,$K$15:$L$36,COUNTA($J$16:$J21)+1,FALSE)*P46*$D$7/$D$8</f>
        <v>0</v>
      </c>
      <c r="BU46" s="151">
        <f ca="1">HLOOKUP(BU$40,$K$15:$L$36,COUNTA($J$16:$J21)+1,FALSE)*Q46*$D$7/$D$8</f>
        <v>0</v>
      </c>
      <c r="BV46" s="99">
        <f ca="1">HLOOKUP(BV$40,$K$15:$L$36,COUNTA($J$16:$J21)+1,FALSE)*R46*$D$7/$D$8</f>
        <v>0</v>
      </c>
    </row>
    <row r="47" spans="2:74">
      <c r="F47" s="10">
        <f t="shared" si="118"/>
        <v>2026</v>
      </c>
      <c r="G47" s="85">
        <f ca="1">IF(OR($F47&gt;MAX('הנחות עבודה'!$B$69:$B$89),$F47&gt;$D$5),0,VLOOKUP($F47,'הספק נוסף נדרש'!$B$8:$AX$28,MATCH(G$40,'הספק נוסף נדרש'!$B$6:$AX$6,0)+(ROUNDUP((G$2-$F$2)/COUNTA($F$9:$F$10),0)-1)*COUNTA('הספק נוסף נדרש'!$C$6:$J$6),FALSE))</f>
        <v>0</v>
      </c>
      <c r="H47" s="85">
        <f ca="1">IF(OR($F47&gt;MAX('הנחות עבודה'!$B$69:$B$89),$F47&gt;$D$5),0,VLOOKUP($F47,'הספק נוסף נדרש'!$B$8:$AX$28,MATCH(H$40,'הספק נוסף נדרש'!$B$6:$AX$6,0)+(ROUNDUP((H$2-$F$2)/COUNTA($F$9:$F$10),0)-1)*COUNTA('הספק נוסף נדרש'!$C$6:$J$6),FALSE))</f>
        <v>0</v>
      </c>
      <c r="I47" s="95">
        <f ca="1">IF(OR($F47&gt;MAX('הנחות עבודה'!$B$69:$B$89),$F47&gt;$D$5),0,VLOOKUP($F47,'הספק נוסף נדרש'!$B$8:$AX$28,MATCH(I$40,'הספק נוסף נדרש'!$B$6:$AX$6,0)+(ROUNDUP((I$2-$F$2)/COUNTA($F$9:$F$10),0)-1)*COUNTA('הספק נוסף נדרש'!$C$6:$J$6),FALSE))</f>
        <v>0</v>
      </c>
      <c r="J47" s="95">
        <f ca="1">IF(OR($F47&gt;MAX('הנחות עבודה'!$B$69:$B$89),$F47&gt;$D$5),0,VLOOKUP($F47,'הספק נוסף נדרש'!$B$8:$AX$28,MATCH(J$40,'הספק נוסף נדרש'!$B$6:$AX$6,0)+(ROUNDUP((J$2-$F$2)/COUNTA($F$9:$F$10),0)-1)*COUNTA('הספק נוסף נדרש'!$C$6:$J$6),FALSE))</f>
        <v>0</v>
      </c>
      <c r="K47" s="85">
        <f ca="1">IF(OR($F47&gt;MAX('הנחות עבודה'!$B$69:$B$89),$F47&gt;$D$5),0,VLOOKUP($F47,'הספק נוסף נדרש'!$B$8:$AX$28,MATCH(K$40,'הספק נוסף נדרש'!$B$6:$AX$6,0)+(ROUNDUP((K$2-$F$2)/COUNTA($F$9:$F$10),0)-1)*COUNTA('הספק נוסף נדרש'!$C$6:$J$6),FALSE))</f>
        <v>450</v>
      </c>
      <c r="L47" s="85">
        <f ca="1">IF(OR($F47&gt;MAX('הנחות עבודה'!$B$69:$B$89),$F47&gt;$D$5),0,VLOOKUP($F47,'הספק נוסף נדרש'!$B$8:$AX$28,MATCH(L$40,'הספק נוסף נדרש'!$B$6:$AX$6,0)+(ROUNDUP((L$2-$F$2)/COUNTA($F$9:$F$10),0)-1)*COUNTA('הספק נוסף נדרש'!$C$6:$J$6),FALSE))</f>
        <v>0</v>
      </c>
      <c r="M47" s="95">
        <f ca="1">IF(OR($F47&gt;MAX('הנחות עבודה'!$B$69:$B$89),$F47&gt;$D$5),0,VLOOKUP($F47,'הספק נוסף נדרש'!$B$8:$AX$28,MATCH(M$40,'הספק נוסף נדרש'!$B$6:$AX$6,0)+(ROUNDUP((M$2-$F$2)/COUNTA($F$9:$F$10),0)-1)*COUNTA('הספק נוסף נדרש'!$C$6:$J$6),FALSE))</f>
        <v>450</v>
      </c>
      <c r="N47" s="95">
        <f ca="1">IF(OR($F47&gt;MAX('הנחות עבודה'!$B$69:$B$89),$F47&gt;$D$5),0,VLOOKUP($F47,'הספק נוסף נדרש'!$B$8:$AX$28,MATCH(N$40,'הספק נוסף נדרש'!$B$6:$AX$6,0)+(ROUNDUP((N$2-$F$2)/COUNTA($F$9:$F$10),0)-1)*COUNTA('הספק נוסף נדרש'!$C$6:$J$6),FALSE))</f>
        <v>0</v>
      </c>
      <c r="O47" s="91">
        <f ca="1">IF(OR($F47&gt;MAX('הנחות עבודה'!$B$69:$B$89),$F47&gt;$D$5),0,VLOOKUP($F47,'הספק נוסף נדרש'!$B$8:$AX$28,MATCH(O$40,'הספק נוסף נדרש'!$B$6:$AX$6,0)+(ROUNDUP((O$2-$F$2)/COUNTA($F$9:$F$10),0)-1)*COUNTA('הספק נוסף נדרש'!$C$6:$J$6),FALSE))</f>
        <v>0</v>
      </c>
      <c r="P47" s="91">
        <f ca="1">IF(OR($F47&gt;MAX('הנחות עבודה'!$B$69:$B$89),$F47&gt;$D$5),0,VLOOKUP($F47,'הספק נוסף נדרש'!$B$8:$AX$28,MATCH(P$40,'הספק נוסף נדרש'!$B$6:$AX$6,0)+(ROUNDUP((P$2-$F$2)/COUNTA($F$9:$F$10),0)-1)*COUNTA('הספק נוסף נדרש'!$C$6:$J$6),FALSE))</f>
        <v>0</v>
      </c>
      <c r="Q47" s="95">
        <f ca="1">IF(OR($F47&gt;MAX('הנחות עבודה'!$B$69:$B$89),$F47&gt;$D$5),0,VLOOKUP($F47,'הספק נוסף נדרש'!$B$8:$AX$28,MATCH(Q$40,'הספק נוסף נדרש'!$B$6:$AX$6,0)+(ROUNDUP((Q$2-$F$2)/COUNTA($F$9:$F$10),0)-1)*COUNTA('הספק נוסף נדרש'!$C$6:$J$6),FALSE))</f>
        <v>0</v>
      </c>
      <c r="R47" s="95">
        <f ca="1">IF(OR($F47&gt;MAX('הנחות עבודה'!$B$69:$B$89),$F47&gt;$D$5),0,VLOOKUP($F47,'הספק נוסף נדרש'!$B$8:$AX$28,MATCH(R$40,'הספק נוסף נדרש'!$B$6:$AX$6,0)+(ROUNDUP((R$2-$F$2)/COUNTA($F$9:$F$10),0)-1)*COUNTA('הספק נוסף נדרש'!$C$6:$J$6),FALSE))</f>
        <v>0</v>
      </c>
      <c r="S47" s="9"/>
      <c r="T47" s="10">
        <f t="shared" si="91"/>
        <v>2026</v>
      </c>
      <c r="U47" s="85">
        <f ca="1">HLOOKUP(U$40,$G$15:$H$36,COUNTA($F$16:$F22)+1,FALSE)*G47*$D$7/$D$8</f>
        <v>0</v>
      </c>
      <c r="V47" s="85">
        <f ca="1">HLOOKUP(V$40,$G$15:$H$36,COUNTA($F$16:$F22)+1,FALSE)*H47*$D$7/$D$8</f>
        <v>0</v>
      </c>
      <c r="W47" s="95">
        <f ca="1">HLOOKUP(W$40,$G$15:$H$36,COUNTA($F$16:$F22)+1,FALSE)*I47*$D$7/$D$8</f>
        <v>0</v>
      </c>
      <c r="X47" s="95">
        <f ca="1">HLOOKUP(X$40,$G$15:$H$36,COUNTA($F$16:$F22)+1,FALSE)*J47*$D$7/$D$8</f>
        <v>0</v>
      </c>
      <c r="Y47" s="85">
        <f ca="1">HLOOKUP(Y$40,$G$15:$H$36,COUNTA($F$16:$F22)+1,FALSE)*K47*$D$7/$D$8</f>
        <v>1738.8320220000001</v>
      </c>
      <c r="Z47" s="85">
        <f ca="1">HLOOKUP(Z$40,$G$15:$H$36,COUNTA($F$16:$F22)+1,FALSE)*L47*$D$7/$D$8</f>
        <v>0</v>
      </c>
      <c r="AA47" s="95">
        <f ca="1">HLOOKUP(AA$40,$G$15:$H$36,COUNTA($F$16:$F22)+1,FALSE)*M47*$D$7/$D$8</f>
        <v>1738.8320220000001</v>
      </c>
      <c r="AB47" s="95">
        <f ca="1">HLOOKUP(AB$40,$G$15:$H$36,COUNTA($F$16:$F22)+1,FALSE)*N47*$D$7/$D$8</f>
        <v>0</v>
      </c>
      <c r="AC47" s="91">
        <f ca="1">HLOOKUP(AC$40,$G$15:$H$36,COUNTA($F$16:$F22)+1,FALSE)*O47*$D$7/$D$8</f>
        <v>0</v>
      </c>
      <c r="AD47" s="91">
        <f ca="1">HLOOKUP(AD$40,$G$15:$H$36,COUNTA($F$16:$F22)+1,FALSE)*P47*$D$7/$D$8</f>
        <v>0</v>
      </c>
      <c r="AE47" s="95">
        <f ca="1">HLOOKUP(AE$40,$G$15:$H$36,COUNTA($F$16:$F22)+1,FALSE)*Q47*$D$7/$D$8</f>
        <v>0</v>
      </c>
      <c r="AF47" s="95">
        <f ca="1">HLOOKUP(AF$40,$G$15:$H$36,COUNTA($F$16:$F22)+1,FALSE)*R47*$D$7/$D$8</f>
        <v>0</v>
      </c>
      <c r="AH47" s="10">
        <f t="shared" si="92"/>
        <v>2026</v>
      </c>
      <c r="AI47" s="85">
        <f t="shared" ca="1" si="93"/>
        <v>447.32450133502721</v>
      </c>
      <c r="AJ47" s="86">
        <f t="shared" ca="1" si="94"/>
        <v>117.69210646294721</v>
      </c>
      <c r="AK47" s="151">
        <f t="shared" ca="1" si="95"/>
        <v>447.32450133502721</v>
      </c>
      <c r="AL47" s="95">
        <f t="shared" ca="1" si="96"/>
        <v>117.69210646294721</v>
      </c>
      <c r="AM47" s="85">
        <f t="shared" ca="1" si="88"/>
        <v>551.13885182536364</v>
      </c>
      <c r="AN47" s="86">
        <f t="shared" ca="1" si="88"/>
        <v>117.69210646294721</v>
      </c>
      <c r="AO47" s="151">
        <f t="shared" ca="1" si="88"/>
        <v>551.13885182536364</v>
      </c>
      <c r="AP47" s="95">
        <f t="shared" ca="1" si="88"/>
        <v>117.69210646294721</v>
      </c>
      <c r="AQ47" s="145">
        <f t="shared" ca="1" si="97"/>
        <v>447.32450133502721</v>
      </c>
      <c r="AR47" s="142">
        <f t="shared" ca="1" si="98"/>
        <v>117.69210646294721</v>
      </c>
      <c r="AS47" s="151">
        <f t="shared" ca="1" si="99"/>
        <v>447.32450133502721</v>
      </c>
      <c r="AT47" s="95">
        <f t="shared" ca="1" si="100"/>
        <v>117.69210646294721</v>
      </c>
      <c r="AV47" s="10">
        <f t="shared" si="101"/>
        <v>2026</v>
      </c>
      <c r="AW47" s="85">
        <f t="shared" ca="1" si="110"/>
        <v>287.94149999999996</v>
      </c>
      <c r="AX47" s="86">
        <f t="shared" ca="1" si="111"/>
        <v>95.355000000000018</v>
      </c>
      <c r="AY47" s="151">
        <f t="shared" ca="1" si="112"/>
        <v>287.94149999999996</v>
      </c>
      <c r="AZ47" s="95">
        <f t="shared" ca="1" si="113"/>
        <v>95.355000000000018</v>
      </c>
      <c r="BA47" s="85">
        <f t="shared" ca="1" si="89"/>
        <v>354.76649999999995</v>
      </c>
      <c r="BB47" s="86">
        <f t="shared" ca="1" si="89"/>
        <v>95.355000000000018</v>
      </c>
      <c r="BC47" s="151">
        <f t="shared" ca="1" si="89"/>
        <v>354.76649999999995</v>
      </c>
      <c r="BD47" s="95">
        <f t="shared" ca="1" si="89"/>
        <v>95.355000000000018</v>
      </c>
      <c r="BE47" s="145">
        <f t="shared" ca="1" si="114"/>
        <v>287.94149999999996</v>
      </c>
      <c r="BF47" s="142">
        <f t="shared" ca="1" si="115"/>
        <v>95.355000000000018</v>
      </c>
      <c r="BG47" s="151">
        <f t="shared" ca="1" si="116"/>
        <v>287.94149999999996</v>
      </c>
      <c r="BH47" s="95">
        <f t="shared" ca="1" si="117"/>
        <v>95.355000000000018</v>
      </c>
      <c r="BJ47" s="10">
        <f t="shared" si="109"/>
        <v>2026</v>
      </c>
      <c r="BK47" s="85">
        <f ca="1">HLOOKUP(BK$40,$K$15:$L$36,COUNTA($J$16:$J22)+1,FALSE)*G47*$D$7/$D$8</f>
        <v>0</v>
      </c>
      <c r="BL47" s="86">
        <f ca="1">HLOOKUP(BL$40,$K$15:$L$36,COUNTA($J$16:$J22)+1,FALSE)*H47*$D$7/$D$8</f>
        <v>0</v>
      </c>
      <c r="BM47" s="151">
        <f ca="1">HLOOKUP(BM$40,$K$15:$L$36,COUNTA($J$16:$J22)+1,FALSE)*I47*$D$7/$D$8</f>
        <v>0</v>
      </c>
      <c r="BN47" s="99">
        <f ca="1">HLOOKUP(BN$40,$K$15:$L$36,COUNTA($J$16:$J22)+1,FALSE)*J47*$D$7/$D$8</f>
        <v>0</v>
      </c>
      <c r="BO47" s="85">
        <f ca="1">HLOOKUP(BO$40,$K$15:$L$36,COUNTA($J$16:$J22)+1,FALSE)*K47*$D$7/$D$8</f>
        <v>66.825000000000003</v>
      </c>
      <c r="BP47" s="86">
        <f ca="1">HLOOKUP(BP$40,$K$15:$L$36,COUNTA($J$16:$J22)+1,FALSE)*L47*$D$7/$D$8</f>
        <v>0</v>
      </c>
      <c r="BQ47" s="151">
        <f ca="1">HLOOKUP(BQ$40,$K$15:$L$36,COUNTA($J$16:$J22)+1,FALSE)*M47*$D$7/$D$8</f>
        <v>66.825000000000003</v>
      </c>
      <c r="BR47" s="99">
        <f ca="1">HLOOKUP(BR$40,$K$15:$L$36,COUNTA($J$16:$J22)+1,FALSE)*N47*$D$7/$D$8</f>
        <v>0</v>
      </c>
      <c r="BS47" s="85">
        <f ca="1">HLOOKUP(BS$40,$K$15:$L$36,COUNTA($J$16:$J22)+1,FALSE)*O47*$D$7/$D$8</f>
        <v>0</v>
      </c>
      <c r="BT47" s="86">
        <f ca="1">HLOOKUP(BT$40,$K$15:$L$36,COUNTA($J$16:$J22)+1,FALSE)*P47*$D$7/$D$8</f>
        <v>0</v>
      </c>
      <c r="BU47" s="151">
        <f ca="1">HLOOKUP(BU$40,$K$15:$L$36,COUNTA($J$16:$J22)+1,FALSE)*Q47*$D$7/$D$8</f>
        <v>0</v>
      </c>
      <c r="BV47" s="99">
        <f ca="1">HLOOKUP(BV$40,$K$15:$L$36,COUNTA($J$16:$J22)+1,FALSE)*R47*$D$7/$D$8</f>
        <v>0</v>
      </c>
    </row>
    <row r="48" spans="2:74">
      <c r="F48" s="10">
        <f t="shared" si="118"/>
        <v>2027</v>
      </c>
      <c r="G48" s="85">
        <f ca="1">IF(OR($F48&gt;MAX('הנחות עבודה'!$B$69:$B$89),$F48&gt;$D$5),0,VLOOKUP($F48,'הספק נוסף נדרש'!$B$8:$AX$28,MATCH(G$40,'הספק נוסף נדרש'!$B$6:$AX$6,0)+(ROUNDUP((G$2-$F$2)/COUNTA($F$9:$F$10),0)-1)*COUNTA('הספק נוסף נדרש'!$C$6:$J$6),FALSE))</f>
        <v>450</v>
      </c>
      <c r="H48" s="85">
        <f ca="1">IF(OR($F48&gt;MAX('הנחות עבודה'!$B$69:$B$89),$F48&gt;$D$5),0,VLOOKUP($F48,'הספק נוסף נדרש'!$B$8:$AX$28,MATCH(H$40,'הספק נוסף נדרש'!$B$6:$AX$6,0)+(ROUNDUP((H$2-$F$2)/COUNTA($F$9:$F$10),0)-1)*COUNTA('הספק נוסף נדרש'!$C$6:$J$6),FALSE))</f>
        <v>0</v>
      </c>
      <c r="I48" s="95">
        <f ca="1">IF(OR($F48&gt;MAX('הנחות עבודה'!$B$69:$B$89),$F48&gt;$D$5),0,VLOOKUP($F48,'הספק נוסף נדרש'!$B$8:$AX$28,MATCH(I$40,'הספק נוסף נדרש'!$B$6:$AX$6,0)+(ROUNDUP((I$2-$F$2)/COUNTA($F$9:$F$10),0)-1)*COUNTA('הספק נוסף נדרש'!$C$6:$J$6),FALSE))</f>
        <v>450</v>
      </c>
      <c r="J48" s="95">
        <f ca="1">IF(OR($F48&gt;MAX('הנחות עבודה'!$B$69:$B$89),$F48&gt;$D$5),0,VLOOKUP($F48,'הספק נוסף נדרש'!$B$8:$AX$28,MATCH(J$40,'הספק נוסף נדרש'!$B$6:$AX$6,0)+(ROUNDUP((J$2-$F$2)/COUNTA($F$9:$F$10),0)-1)*COUNTA('הספק נוסף נדרש'!$C$6:$J$6),FALSE))</f>
        <v>0</v>
      </c>
      <c r="K48" s="85">
        <f ca="1">IF(OR($F48&gt;MAX('הנחות עבודה'!$B$69:$B$89),$F48&gt;$D$5),0,VLOOKUP($F48,'הספק נוסף נדרש'!$B$8:$AX$28,MATCH(K$40,'הספק נוסף נדרש'!$B$6:$AX$6,0)+(ROUNDUP((K$2-$F$2)/COUNTA($F$9:$F$10),0)-1)*COUNTA('הספק נוסף נדרש'!$C$6:$J$6),FALSE))</f>
        <v>450</v>
      </c>
      <c r="L48" s="85">
        <f ca="1">IF(OR($F48&gt;MAX('הנחות עבודה'!$B$69:$B$89),$F48&gt;$D$5),0,VLOOKUP($F48,'הספק נוסף נדרש'!$B$8:$AX$28,MATCH(L$40,'הספק נוסף נדרש'!$B$6:$AX$6,0)+(ROUNDUP((L$2-$F$2)/COUNTA($F$9:$F$10),0)-1)*COUNTA('הספק נוסף נדרש'!$C$6:$J$6),FALSE))</f>
        <v>0</v>
      </c>
      <c r="M48" s="95">
        <f ca="1">IF(OR($F48&gt;MAX('הנחות עבודה'!$B$69:$B$89),$F48&gt;$D$5),0,VLOOKUP($F48,'הספק נוסף נדרש'!$B$8:$AX$28,MATCH(M$40,'הספק נוסף נדרש'!$B$6:$AX$6,0)+(ROUNDUP((M$2-$F$2)/COUNTA($F$9:$F$10),0)-1)*COUNTA('הספק נוסף נדרש'!$C$6:$J$6),FALSE))</f>
        <v>450</v>
      </c>
      <c r="N48" s="95">
        <f ca="1">IF(OR($F48&gt;MAX('הנחות עבודה'!$B$69:$B$89),$F48&gt;$D$5),0,VLOOKUP($F48,'הספק נוסף נדרש'!$B$8:$AX$28,MATCH(N$40,'הספק נוסף נדרש'!$B$6:$AX$6,0)+(ROUNDUP((N$2-$F$2)/COUNTA($F$9:$F$10),0)-1)*COUNTA('הספק נוסף נדרש'!$C$6:$J$6),FALSE))</f>
        <v>0</v>
      </c>
      <c r="O48" s="91">
        <f ca="1">IF(OR($F48&gt;MAX('הנחות עבודה'!$B$69:$B$89),$F48&gt;$D$5),0,VLOOKUP($F48,'הספק נוסף נדרש'!$B$8:$AX$28,MATCH(O$40,'הספק נוסף נדרש'!$B$6:$AX$6,0)+(ROUNDUP((O$2-$F$2)/COUNTA($F$9:$F$10),0)-1)*COUNTA('הספק נוסף נדרש'!$C$6:$J$6),FALSE))</f>
        <v>450</v>
      </c>
      <c r="P48" s="91">
        <f ca="1">IF(OR($F48&gt;MAX('הנחות עבודה'!$B$69:$B$89),$F48&gt;$D$5),0,VLOOKUP($F48,'הספק נוסף נדרש'!$B$8:$AX$28,MATCH(P$40,'הספק נוסף נדרש'!$B$6:$AX$6,0)+(ROUNDUP((P$2-$F$2)/COUNTA($F$9:$F$10),0)-1)*COUNTA('הספק נוסף נדרש'!$C$6:$J$6),FALSE))</f>
        <v>0</v>
      </c>
      <c r="Q48" s="95">
        <f ca="1">IF(OR($F48&gt;MAX('הנחות עבודה'!$B$69:$B$89),$F48&gt;$D$5),0,VLOOKUP($F48,'הספק נוסף נדרש'!$B$8:$AX$28,MATCH(Q$40,'הספק נוסף נדרש'!$B$6:$AX$6,0)+(ROUNDUP((Q$2-$F$2)/COUNTA($F$9:$F$10),0)-1)*COUNTA('הספק נוסף נדרש'!$C$6:$J$6),FALSE))</f>
        <v>450</v>
      </c>
      <c r="R48" s="95">
        <f ca="1">IF(OR($F48&gt;MAX('הנחות עבודה'!$B$69:$B$89),$F48&gt;$D$5),0,VLOOKUP($F48,'הספק נוסף נדרש'!$B$8:$AX$28,MATCH(R$40,'הספק נוסף נדרש'!$B$6:$AX$6,0)+(ROUNDUP((R$2-$F$2)/COUNTA($F$9:$F$10),0)-1)*COUNTA('הספק נוסף נדרש'!$C$6:$J$6),FALSE))</f>
        <v>0</v>
      </c>
      <c r="S48" s="9"/>
      <c r="T48" s="10">
        <f t="shared" si="91"/>
        <v>2027</v>
      </c>
      <c r="U48" s="85">
        <f ca="1">HLOOKUP(U$40,$G$15:$H$36,COUNTA($F$16:$F23)+1,FALSE)*G48*$D$7/$D$8</f>
        <v>1738.8320220000001</v>
      </c>
      <c r="V48" s="85">
        <f ca="1">HLOOKUP(V$40,$G$15:$H$36,COUNTA($F$16:$F23)+1,FALSE)*H48*$D$7/$D$8</f>
        <v>0</v>
      </c>
      <c r="W48" s="95">
        <f ca="1">HLOOKUP(W$40,$G$15:$H$36,COUNTA($F$16:$F23)+1,FALSE)*I48*$D$7/$D$8</f>
        <v>1738.8320220000001</v>
      </c>
      <c r="X48" s="95">
        <f ca="1">HLOOKUP(X$40,$G$15:$H$36,COUNTA($F$16:$F23)+1,FALSE)*J48*$D$7/$D$8</f>
        <v>0</v>
      </c>
      <c r="Y48" s="85">
        <f ca="1">HLOOKUP(Y$40,$G$15:$H$36,COUNTA($F$16:$F23)+1,FALSE)*K48*$D$7/$D$8</f>
        <v>1738.8320220000001</v>
      </c>
      <c r="Z48" s="85">
        <f ca="1">HLOOKUP(Z$40,$G$15:$H$36,COUNTA($F$16:$F23)+1,FALSE)*L48*$D$7/$D$8</f>
        <v>0</v>
      </c>
      <c r="AA48" s="95">
        <f ca="1">HLOOKUP(AA$40,$G$15:$H$36,COUNTA($F$16:$F23)+1,FALSE)*M48*$D$7/$D$8</f>
        <v>1738.8320220000001</v>
      </c>
      <c r="AB48" s="95">
        <f ca="1">HLOOKUP(AB$40,$G$15:$H$36,COUNTA($F$16:$F23)+1,FALSE)*N48*$D$7/$D$8</f>
        <v>0</v>
      </c>
      <c r="AC48" s="91">
        <f ca="1">HLOOKUP(AC$40,$G$15:$H$36,COUNTA($F$16:$F23)+1,FALSE)*O48*$D$7/$D$8</f>
        <v>1738.8320220000001</v>
      </c>
      <c r="AD48" s="91">
        <f ca="1">HLOOKUP(AD$40,$G$15:$H$36,COUNTA($F$16:$F23)+1,FALSE)*P48*$D$7/$D$8</f>
        <v>0</v>
      </c>
      <c r="AE48" s="95">
        <f ca="1">HLOOKUP(AE$40,$G$15:$H$36,COUNTA($F$16:$F23)+1,FALSE)*Q48*$D$7/$D$8</f>
        <v>1738.8320220000001</v>
      </c>
      <c r="AF48" s="95">
        <f ca="1">HLOOKUP(AF$40,$G$15:$H$36,COUNTA($F$16:$F23)+1,FALSE)*R48*$D$7/$D$8</f>
        <v>0</v>
      </c>
      <c r="AH48" s="10">
        <f t="shared" si="92"/>
        <v>2027</v>
      </c>
      <c r="AI48" s="85">
        <f ca="1">IF($AH48&gt;$D$5,0,-PMT(VLOOKUP(AI$40,$C$9:$D$10,2,FALSE),VLOOKUP(AI$40,$C$11:$D$12,2,FALSE),SUMIFS(U$41:U$61,$T$41:$T$61,"&gt;"&amp;($AH48-VLOOKUP(AI$40,$C$11:$D$12,2,FALSE)),$T$41:$T$61,"&lt;="&amp;($AH48))))</f>
        <v>551.13885182536364</v>
      </c>
      <c r="AJ48" s="86">
        <f t="shared" ca="1" si="94"/>
        <v>117.69210646294721</v>
      </c>
      <c r="AK48" s="151">
        <f t="shared" ca="1" si="95"/>
        <v>551.13885182536364</v>
      </c>
      <c r="AL48" s="95">
        <f t="shared" ca="1" si="96"/>
        <v>117.69210646294721</v>
      </c>
      <c r="AM48" s="85">
        <f t="shared" ca="1" si="88"/>
        <v>654.95320231570008</v>
      </c>
      <c r="AN48" s="86">
        <f t="shared" ca="1" si="88"/>
        <v>117.69210646294721</v>
      </c>
      <c r="AO48" s="151">
        <f t="shared" ca="1" si="88"/>
        <v>654.95320231570008</v>
      </c>
      <c r="AP48" s="95">
        <f t="shared" ca="1" si="88"/>
        <v>117.69210646294721</v>
      </c>
      <c r="AQ48" s="145">
        <f t="shared" ca="1" si="97"/>
        <v>551.13885182536364</v>
      </c>
      <c r="AR48" s="142">
        <f t="shared" ca="1" si="98"/>
        <v>117.69210646294721</v>
      </c>
      <c r="AS48" s="151">
        <f t="shared" ca="1" si="99"/>
        <v>551.13885182536364</v>
      </c>
      <c r="AT48" s="95">
        <f t="shared" ca="1" si="100"/>
        <v>117.69210646294721</v>
      </c>
      <c r="AV48" s="10">
        <f t="shared" si="101"/>
        <v>2027</v>
      </c>
      <c r="AW48" s="85">
        <f t="shared" ca="1" si="110"/>
        <v>354.76649999999995</v>
      </c>
      <c r="AX48" s="86">
        <f t="shared" ca="1" si="111"/>
        <v>95.355000000000018</v>
      </c>
      <c r="AY48" s="151">
        <f t="shared" ca="1" si="112"/>
        <v>354.76649999999995</v>
      </c>
      <c r="AZ48" s="95">
        <f t="shared" ca="1" si="113"/>
        <v>95.355000000000018</v>
      </c>
      <c r="BA48" s="85">
        <f t="shared" ca="1" si="89"/>
        <v>421.59149999999994</v>
      </c>
      <c r="BB48" s="86">
        <f t="shared" ca="1" si="89"/>
        <v>95.355000000000018</v>
      </c>
      <c r="BC48" s="151">
        <f t="shared" ca="1" si="89"/>
        <v>421.59149999999994</v>
      </c>
      <c r="BD48" s="95">
        <f t="shared" ca="1" si="89"/>
        <v>95.355000000000018</v>
      </c>
      <c r="BE48" s="145">
        <f t="shared" ca="1" si="114"/>
        <v>354.76649999999995</v>
      </c>
      <c r="BF48" s="142">
        <f t="shared" ca="1" si="115"/>
        <v>95.355000000000018</v>
      </c>
      <c r="BG48" s="151">
        <f t="shared" ca="1" si="116"/>
        <v>354.76649999999995</v>
      </c>
      <c r="BH48" s="95">
        <f t="shared" ca="1" si="117"/>
        <v>95.355000000000018</v>
      </c>
      <c r="BJ48" s="10">
        <f t="shared" si="109"/>
        <v>2027</v>
      </c>
      <c r="BK48" s="85">
        <f ca="1">HLOOKUP(BK$40,$K$15:$L$36,COUNTA($J$16:$J23)+1,FALSE)*G48*$D$7/$D$8</f>
        <v>66.825000000000003</v>
      </c>
      <c r="BL48" s="86">
        <f ca="1">HLOOKUP(BL$40,$K$15:$L$36,COUNTA($J$16:$J23)+1,FALSE)*H48*$D$7/$D$8</f>
        <v>0</v>
      </c>
      <c r="BM48" s="151">
        <f ca="1">HLOOKUP(BM$40,$K$15:$L$36,COUNTA($J$16:$J23)+1,FALSE)*I48*$D$7/$D$8</f>
        <v>66.825000000000003</v>
      </c>
      <c r="BN48" s="99">
        <f ca="1">HLOOKUP(BN$40,$K$15:$L$36,COUNTA($J$16:$J23)+1,FALSE)*J48*$D$7/$D$8</f>
        <v>0</v>
      </c>
      <c r="BO48" s="85">
        <f ca="1">HLOOKUP(BO$40,$K$15:$L$36,COUNTA($J$16:$J23)+1,FALSE)*K48*$D$7/$D$8</f>
        <v>66.825000000000003</v>
      </c>
      <c r="BP48" s="86">
        <f ca="1">HLOOKUP(BP$40,$K$15:$L$36,COUNTA($J$16:$J23)+1,FALSE)*L48*$D$7/$D$8</f>
        <v>0</v>
      </c>
      <c r="BQ48" s="151">
        <f ca="1">HLOOKUP(BQ$40,$K$15:$L$36,COUNTA($J$16:$J23)+1,FALSE)*M48*$D$7/$D$8</f>
        <v>66.825000000000003</v>
      </c>
      <c r="BR48" s="99">
        <f ca="1">HLOOKUP(BR$40,$K$15:$L$36,COUNTA($J$16:$J23)+1,FALSE)*N48*$D$7/$D$8</f>
        <v>0</v>
      </c>
      <c r="BS48" s="85">
        <f ca="1">HLOOKUP(BS$40,$K$15:$L$36,COUNTA($J$16:$J23)+1,FALSE)*O48*$D$7/$D$8</f>
        <v>66.825000000000003</v>
      </c>
      <c r="BT48" s="86">
        <f ca="1">HLOOKUP(BT$40,$K$15:$L$36,COUNTA($J$16:$J23)+1,FALSE)*P48*$D$7/$D$8</f>
        <v>0</v>
      </c>
      <c r="BU48" s="151">
        <f ca="1">HLOOKUP(BU$40,$K$15:$L$36,COUNTA($J$16:$J23)+1,FALSE)*Q48*$D$7/$D$8</f>
        <v>66.825000000000003</v>
      </c>
      <c r="BV48" s="99">
        <f ca="1">HLOOKUP(BV$40,$K$15:$L$36,COUNTA($J$16:$J23)+1,FALSE)*R48*$D$7/$D$8</f>
        <v>0</v>
      </c>
    </row>
    <row r="49" spans="6:74">
      <c r="F49" s="10">
        <f t="shared" si="118"/>
        <v>2028</v>
      </c>
      <c r="G49" s="85">
        <f ca="1">IF(OR($F49&gt;MAX('הנחות עבודה'!$B$69:$B$89),$F49&gt;$D$5),0,VLOOKUP($F49,'הספק נוסף נדרש'!$B$8:$AX$28,MATCH(G$40,'הספק נוסף נדרש'!$B$6:$AX$6,0)+(ROUNDUP((G$2-$F$2)/COUNTA($F$9:$F$10),0)-1)*COUNTA('הספק נוסף נדרש'!$C$6:$J$6),FALSE))</f>
        <v>916</v>
      </c>
      <c r="H49" s="85">
        <f ca="1">IF(OR($F49&gt;MAX('הנחות עבודה'!$B$69:$B$89),$F49&gt;$D$5),0,VLOOKUP($F49,'הספק נוסף נדרש'!$B$8:$AX$28,MATCH(H$40,'הספק נוסף נדרש'!$B$6:$AX$6,0)+(ROUNDUP((H$2-$F$2)/COUNTA($F$9:$F$10),0)-1)*COUNTA('הספק נוסף נדרש'!$C$6:$J$6),FALSE))</f>
        <v>0</v>
      </c>
      <c r="I49" s="95">
        <f ca="1">IF(OR($F49&gt;MAX('הנחות עבודה'!$B$69:$B$89),$F49&gt;$D$5),0,VLOOKUP($F49,'הספק נוסף נדרש'!$B$8:$AX$28,MATCH(I$40,'הספק נוסף נדרש'!$B$6:$AX$6,0)+(ROUNDUP((I$2-$F$2)/COUNTA($F$9:$F$10),0)-1)*COUNTA('הספק נוסף נדרש'!$C$6:$J$6),FALSE))</f>
        <v>916</v>
      </c>
      <c r="J49" s="95">
        <f ca="1">IF(OR($F49&gt;MAX('הנחות עבודה'!$B$69:$B$89),$F49&gt;$D$5),0,VLOOKUP($F49,'הספק נוסף נדרש'!$B$8:$AX$28,MATCH(J$40,'הספק נוסף נדרש'!$B$6:$AX$6,0)+(ROUNDUP((J$2-$F$2)/COUNTA($F$9:$F$10),0)-1)*COUNTA('הספק נוסף נדרש'!$C$6:$J$6),FALSE))</f>
        <v>0</v>
      </c>
      <c r="K49" s="85">
        <f ca="1">IF(OR($F49&gt;MAX('הנחות עבודה'!$B$69:$B$89),$F49&gt;$D$5),0,VLOOKUP($F49,'הספק נוסף נדרש'!$B$8:$AX$28,MATCH(K$40,'הספק נוסף נדרש'!$B$6:$AX$6,0)+(ROUNDUP((K$2-$F$2)/COUNTA($F$9:$F$10),0)-1)*COUNTA('הספק נוסף נדרש'!$C$6:$J$6),FALSE))</f>
        <v>0</v>
      </c>
      <c r="L49" s="85">
        <f ca="1">IF(OR($F49&gt;MAX('הנחות עבודה'!$B$69:$B$89),$F49&gt;$D$5),0,VLOOKUP($F49,'הספק נוסף נדרש'!$B$8:$AX$28,MATCH(L$40,'הספק נוסף נדרש'!$B$6:$AX$6,0)+(ROUNDUP((L$2-$F$2)/COUNTA($F$9:$F$10),0)-1)*COUNTA('הספק נוסף נדרש'!$C$6:$J$6),FALSE))</f>
        <v>226</v>
      </c>
      <c r="M49" s="95">
        <f ca="1">IF(OR($F49&gt;MAX('הנחות עבודה'!$B$69:$B$89),$F49&gt;$D$5),0,VLOOKUP($F49,'הספק נוסף נדרש'!$B$8:$AX$28,MATCH(M$40,'הספק נוסף נדרש'!$B$6:$AX$6,0)+(ROUNDUP((M$2-$F$2)/COUNTA($F$9:$F$10),0)-1)*COUNTA('הספק נוסף נדרש'!$C$6:$J$6),FALSE))</f>
        <v>0</v>
      </c>
      <c r="N49" s="95">
        <f ca="1">IF(OR($F49&gt;MAX('הנחות עבודה'!$B$69:$B$89),$F49&gt;$D$5),0,VLOOKUP($F49,'הספק נוסף נדרש'!$B$8:$AX$28,MATCH(N$40,'הספק נוסף נדרש'!$B$6:$AX$6,0)+(ROUNDUP((N$2-$F$2)/COUNTA($F$9:$F$10),0)-1)*COUNTA('הספק נוסף נדרש'!$C$6:$J$6),FALSE))</f>
        <v>226</v>
      </c>
      <c r="O49" s="91">
        <f ca="1">IF(OR($F49&gt;MAX('הנחות עבודה'!$B$69:$B$89),$F49&gt;$D$5),0,VLOOKUP($F49,'הספק נוסף נדרש'!$B$8:$AX$28,MATCH(O$40,'הספק נוסף נדרש'!$B$6:$AX$6,0)+(ROUNDUP((O$2-$F$2)/COUNTA($F$9:$F$10),0)-1)*COUNTA('הספק נוסף נדרש'!$C$6:$J$6),FALSE))</f>
        <v>450</v>
      </c>
      <c r="P49" s="91">
        <f ca="1">IF(OR($F49&gt;MAX('הנחות עבודה'!$B$69:$B$89),$F49&gt;$D$5),0,VLOOKUP($F49,'הספק נוסף נדרש'!$B$8:$AX$28,MATCH(P$40,'הספק נוסף נדרש'!$B$6:$AX$6,0)+(ROUNDUP((P$2-$F$2)/COUNTA($F$9:$F$10),0)-1)*COUNTA('הספק נוסף נדרש'!$C$6:$J$6),FALSE))</f>
        <v>226</v>
      </c>
      <c r="Q49" s="95">
        <f ca="1">IF(OR($F49&gt;MAX('הנחות עבודה'!$B$69:$B$89),$F49&gt;$D$5),0,VLOOKUP($F49,'הספק נוסף נדרש'!$B$8:$AX$28,MATCH(Q$40,'הספק נוסף נדרש'!$B$6:$AX$6,0)+(ROUNDUP((Q$2-$F$2)/COUNTA($F$9:$F$10),0)-1)*COUNTA('הספק נוסף נדרש'!$C$6:$J$6),FALSE))</f>
        <v>450</v>
      </c>
      <c r="R49" s="95">
        <f ca="1">IF(OR($F49&gt;MAX('הנחות עבודה'!$B$69:$B$89),$F49&gt;$D$5),0,VLOOKUP($F49,'הספק נוסף נדרש'!$B$8:$AX$28,MATCH(R$40,'הספק נוסף נדרש'!$B$6:$AX$6,0)+(ROUNDUP((R$2-$F$2)/COUNTA($F$9:$F$10),0)-1)*COUNTA('הספק נוסף נדרש'!$C$6:$J$6),FALSE))</f>
        <v>226</v>
      </c>
      <c r="S49" s="9"/>
      <c r="T49" s="10">
        <f t="shared" si="91"/>
        <v>2028</v>
      </c>
      <c r="U49" s="85">
        <f ca="1">HLOOKUP(U$40,$G$15:$H$36,COUNTA($F$16:$F24)+1,FALSE)*G49*$D$7/$D$8</f>
        <v>3539.4891825600002</v>
      </c>
      <c r="V49" s="85">
        <f ca="1">HLOOKUP(V$40,$G$15:$H$36,COUNTA($F$16:$F24)+1,FALSE)*H49*$D$7/$D$8</f>
        <v>0</v>
      </c>
      <c r="W49" s="95">
        <f ca="1">HLOOKUP(W$40,$G$15:$H$36,COUNTA($F$16:$F24)+1,FALSE)*I49*$D$7/$D$8</f>
        <v>3539.4891825600002</v>
      </c>
      <c r="X49" s="95">
        <f ca="1">HLOOKUP(X$40,$G$15:$H$36,COUNTA($F$16:$F24)+1,FALSE)*J49*$D$7/$D$8</f>
        <v>0</v>
      </c>
      <c r="Y49" s="85">
        <f ca="1">HLOOKUP(Y$40,$G$15:$H$36,COUNTA($F$16:$F24)+1,FALSE)*K49*$D$7/$D$8</f>
        <v>0</v>
      </c>
      <c r="Z49" s="85">
        <f ca="1">HLOOKUP(Z$40,$G$15:$H$36,COUNTA($F$16:$F24)+1,FALSE)*L49*$D$7/$D$8</f>
        <v>700.637742</v>
      </c>
      <c r="AA49" s="95">
        <f ca="1">HLOOKUP(AA$40,$G$15:$H$36,COUNTA($F$16:$F24)+1,FALSE)*M49*$D$7/$D$8</f>
        <v>0</v>
      </c>
      <c r="AB49" s="95">
        <f ca="1">HLOOKUP(AB$40,$G$15:$H$36,COUNTA($F$16:$F24)+1,FALSE)*N49*$D$7/$D$8</f>
        <v>700.637742</v>
      </c>
      <c r="AC49" s="91">
        <f ca="1">HLOOKUP(AC$40,$G$15:$H$36,COUNTA($F$16:$F24)+1,FALSE)*O49*$D$7/$D$8</f>
        <v>1738.8320220000001</v>
      </c>
      <c r="AD49" s="91">
        <f ca="1">HLOOKUP(AD$40,$G$15:$H$36,COUNTA($F$16:$F24)+1,FALSE)*P49*$D$7/$D$8</f>
        <v>700.637742</v>
      </c>
      <c r="AE49" s="95">
        <f ca="1">HLOOKUP(AE$40,$G$15:$H$36,COUNTA($F$16:$F24)+1,FALSE)*Q49*$D$7/$D$8</f>
        <v>1738.8320220000001</v>
      </c>
      <c r="AF49" s="95">
        <f ca="1">HLOOKUP(AF$40,$G$15:$H$36,COUNTA($F$16:$F24)+1,FALSE)*R49*$D$7/$D$8</f>
        <v>700.637742</v>
      </c>
      <c r="AH49" s="10">
        <f t="shared" si="92"/>
        <v>2028</v>
      </c>
      <c r="AI49" s="85">
        <f t="shared" ref="AI49:AI62" ca="1" si="119">IF($AH49&gt;$D$5,0,-PMT(VLOOKUP(AI$40,$C$9:$D$10,2,FALSE),VLOOKUP(AI$40,$C$11:$D$12,2,FALSE),SUMIFS(U$41:U$61,$T$41:$T$61,"&gt;"&amp;($AH49-VLOOKUP(AI$40,$C$11:$D$12,2,FALSE)),$T$41:$T$61,"&lt;="&amp;($AH49))))</f>
        <v>762.45872971235951</v>
      </c>
      <c r="AJ49" s="86">
        <f t="shared" ref="AJ49:AJ62" ca="1" si="120">IF($AH49&gt;$D$5,0,-PMT(VLOOKUP(AJ$40,$C$9:$D$10,2,FALSE),VLOOKUP(AJ$40,$C$11:$D$12,2,FALSE),SUMIFS(V$41:V$61,$T$41:$T$61,"&gt;"&amp;($AH49-VLOOKUP(AJ$40,$C$11:$D$12,2,FALSE)),$T$41:$T$61,"&lt;="&amp;($AH49))))</f>
        <v>117.69210646294721</v>
      </c>
      <c r="AK49" s="151">
        <f t="shared" ref="AK49:AK62" ca="1" si="121">IF($AH49&gt;$D$5,0,-PMT(VLOOKUP(AK$40,$C$9:$D$10,2,FALSE),VLOOKUP(AK$40,$C$11:$D$12,2,FALSE),SUMIFS(W$41:W$61,$T$41:$T$61,"&gt;"&amp;($AH49-VLOOKUP(AK$40,$C$11:$D$12,2,FALSE)),$T$41:$T$61,"&lt;="&amp;($AH49))))</f>
        <v>762.45872971235951</v>
      </c>
      <c r="AL49" s="95">
        <f t="shared" ref="AL49:AL62" ca="1" si="122">IF($AH49&gt;$D$5,0,-PMT(VLOOKUP(AL$40,$C$9:$D$10,2,FALSE),VLOOKUP(AL$40,$C$11:$D$12,2,FALSE),SUMIFS(X$41:X$61,$T$41:$T$61,"&gt;"&amp;($AH49-VLOOKUP(AL$40,$C$11:$D$12,2,FALSE)),$T$41:$T$61,"&lt;="&amp;($AH49))))</f>
        <v>117.69210646294721</v>
      </c>
      <c r="AM49" s="85">
        <f t="shared" ca="1" si="88"/>
        <v>654.95320231570008</v>
      </c>
      <c r="AN49" s="86">
        <f t="shared" ca="1" si="88"/>
        <v>158.6127465562181</v>
      </c>
      <c r="AO49" s="151">
        <f t="shared" ca="1" si="88"/>
        <v>654.95320231570008</v>
      </c>
      <c r="AP49" s="95">
        <f t="shared" ca="1" si="88"/>
        <v>158.6127465562181</v>
      </c>
      <c r="AQ49" s="145">
        <f t="shared" ref="AQ49:AQ62" ca="1" si="123">IF($AH49&gt;$D$5,0,-PMT(VLOOKUP(AQ$40,$C$9:$D$10,2,FALSE),VLOOKUP(AQ$40,$C$11:$D$12,2,FALSE),SUMIFS(AC$41:AC$61,$T$41:$T$61,"&gt;"&amp;($AH49-VLOOKUP(AQ$40,$C$11:$D$12,2,FALSE)),$T$41:$T$61,"&lt;="&amp;($AH49))))</f>
        <v>654.95320231570008</v>
      </c>
      <c r="AR49" s="142">
        <f t="shared" ref="AR49:AR62" ca="1" si="124">IF($AH49&gt;$D$5,0,-PMT(VLOOKUP(AR$40,$C$9:$D$10,2,FALSE),VLOOKUP(AR$40,$C$11:$D$12,2,FALSE),SUMIFS(AD$41:AD$61,$T$41:$T$61,"&gt;"&amp;($AH49-VLOOKUP(AR$40,$C$11:$D$12,2,FALSE)),$T$41:$T$61,"&lt;="&amp;($AH49))))</f>
        <v>158.6127465562181</v>
      </c>
      <c r="AS49" s="151">
        <f t="shared" ref="AS49:AS62" ca="1" si="125">IF($AH49&gt;$D$5,0,-PMT(VLOOKUP(AS$40,$C$9:$D$10,2,FALSE),VLOOKUP(AS$40,$C$11:$D$12,2,FALSE),SUMIFS(AE$41:AE$61,$T$41:$T$61,"&gt;"&amp;($AH49-VLOOKUP(AS$40,$C$11:$D$12,2,FALSE)),$T$41:$T$61,"&lt;="&amp;($AH49))))</f>
        <v>654.95320231570008</v>
      </c>
      <c r="AT49" s="95">
        <f t="shared" ref="AT49:AT62" ca="1" si="126">IF($AH49&gt;$D$5,0,-PMT(VLOOKUP(AT$40,$C$9:$D$10,2,FALSE),VLOOKUP(AT$40,$C$11:$D$12,2,FALSE),SUMIFS(AF$41:AF$61,$T$41:$T$61,"&gt;"&amp;($AH49-VLOOKUP(AT$40,$C$11:$D$12,2,FALSE)),$T$41:$T$61,"&lt;="&amp;($AH49))))</f>
        <v>158.6127465562181</v>
      </c>
      <c r="AV49" s="10">
        <f t="shared" si="101"/>
        <v>2028</v>
      </c>
      <c r="AW49" s="85">
        <f t="shared" ca="1" si="110"/>
        <v>490.79249999999996</v>
      </c>
      <c r="AX49" s="86">
        <f t="shared" ca="1" si="111"/>
        <v>95.355000000000018</v>
      </c>
      <c r="AY49" s="151">
        <f t="shared" ca="1" si="112"/>
        <v>490.79249999999996</v>
      </c>
      <c r="AZ49" s="95">
        <f t="shared" ca="1" si="113"/>
        <v>95.355000000000018</v>
      </c>
      <c r="BA49" s="85">
        <f t="shared" ca="1" si="89"/>
        <v>421.59149999999994</v>
      </c>
      <c r="BB49" s="86">
        <f t="shared" ca="1" si="89"/>
        <v>128.50920000000002</v>
      </c>
      <c r="BC49" s="151">
        <f t="shared" ca="1" si="89"/>
        <v>421.59149999999994</v>
      </c>
      <c r="BD49" s="95">
        <f t="shared" ca="1" si="89"/>
        <v>128.50920000000002</v>
      </c>
      <c r="BE49" s="145">
        <f t="shared" ca="1" si="114"/>
        <v>421.59149999999994</v>
      </c>
      <c r="BF49" s="142">
        <f t="shared" ca="1" si="115"/>
        <v>128.50920000000002</v>
      </c>
      <c r="BG49" s="151">
        <f t="shared" ca="1" si="116"/>
        <v>421.59149999999994</v>
      </c>
      <c r="BH49" s="95">
        <f t="shared" ca="1" si="117"/>
        <v>128.50920000000002</v>
      </c>
      <c r="BJ49" s="10">
        <f t="shared" si="109"/>
        <v>2028</v>
      </c>
      <c r="BK49" s="85">
        <f ca="1">HLOOKUP(BK$40,$K$15:$L$36,COUNTA($J$16:$J24)+1,FALSE)*G49*$D$7/$D$8</f>
        <v>136.02600000000001</v>
      </c>
      <c r="BL49" s="86">
        <f ca="1">HLOOKUP(BL$40,$K$15:$L$36,COUNTA($J$16:$J24)+1,FALSE)*H49*$D$7/$D$8</f>
        <v>0</v>
      </c>
      <c r="BM49" s="151">
        <f ca="1">HLOOKUP(BM$40,$K$15:$L$36,COUNTA($J$16:$J24)+1,FALSE)*I49*$D$7/$D$8</f>
        <v>136.02600000000001</v>
      </c>
      <c r="BN49" s="99">
        <f ca="1">HLOOKUP(BN$40,$K$15:$L$36,COUNTA($J$16:$J24)+1,FALSE)*J49*$D$7/$D$8</f>
        <v>0</v>
      </c>
      <c r="BO49" s="85">
        <f ca="1">HLOOKUP(BO$40,$K$15:$L$36,COUNTA($J$16:$J24)+1,FALSE)*K49*$D$7/$D$8</f>
        <v>0</v>
      </c>
      <c r="BP49" s="86">
        <f ca="1">HLOOKUP(BP$40,$K$15:$L$36,COUNTA($J$16:$J24)+1,FALSE)*L49*$D$7/$D$8</f>
        <v>33.154200000000003</v>
      </c>
      <c r="BQ49" s="151">
        <f ca="1">HLOOKUP(BQ$40,$K$15:$L$36,COUNTA($J$16:$J24)+1,FALSE)*M49*$D$7/$D$8</f>
        <v>0</v>
      </c>
      <c r="BR49" s="99">
        <f ca="1">HLOOKUP(BR$40,$K$15:$L$36,COUNTA($J$16:$J24)+1,FALSE)*N49*$D$7/$D$8</f>
        <v>33.154200000000003</v>
      </c>
      <c r="BS49" s="85">
        <f ca="1">HLOOKUP(BS$40,$K$15:$L$36,COUNTA($J$16:$J24)+1,FALSE)*O49*$D$7/$D$8</f>
        <v>66.825000000000003</v>
      </c>
      <c r="BT49" s="86">
        <f ca="1">HLOOKUP(BT$40,$K$15:$L$36,COUNTA($J$16:$J24)+1,FALSE)*P49*$D$7/$D$8</f>
        <v>33.154200000000003</v>
      </c>
      <c r="BU49" s="151">
        <f ca="1">HLOOKUP(BU$40,$K$15:$L$36,COUNTA($J$16:$J24)+1,FALSE)*Q49*$D$7/$D$8</f>
        <v>66.825000000000003</v>
      </c>
      <c r="BV49" s="99">
        <f ca="1">HLOOKUP(BV$40,$K$15:$L$36,COUNTA($J$16:$J24)+1,FALSE)*R49*$D$7/$D$8</f>
        <v>33.154200000000003</v>
      </c>
    </row>
    <row r="50" spans="6:74">
      <c r="F50" s="10">
        <f t="shared" si="118"/>
        <v>2029</v>
      </c>
      <c r="G50" s="85">
        <f ca="1">IF(OR($F50&gt;MAX('הנחות עבודה'!$B$69:$B$89),$F50&gt;$D$5),0,VLOOKUP($F50,'הספק נוסף נדרש'!$B$8:$AX$28,MATCH(G$40,'הספק נוסף נדרש'!$B$6:$AX$6,0)+(ROUNDUP((G$2-$F$2)/COUNTA($F$9:$F$10),0)-1)*COUNTA('הספק נוסף נדרש'!$C$6:$J$6),FALSE))</f>
        <v>466</v>
      </c>
      <c r="H50" s="85">
        <f ca="1">IF(OR($F50&gt;MAX('הנחות עבודה'!$B$69:$B$89),$F50&gt;$D$5),0,VLOOKUP($F50,'הספק נוסף נדרש'!$B$8:$AX$28,MATCH(H$40,'הספק נוסף נדרש'!$B$6:$AX$6,0)+(ROUNDUP((H$2-$F$2)/COUNTA($F$9:$F$10),0)-1)*COUNTA('הספק נוסף נדרש'!$C$6:$J$6),FALSE))</f>
        <v>0</v>
      </c>
      <c r="I50" s="95">
        <f ca="1">IF(OR($F50&gt;MAX('הנחות עבודה'!$B$69:$B$89),$F50&gt;$D$5),0,VLOOKUP($F50,'הספק נוסף נדרש'!$B$8:$AX$28,MATCH(I$40,'הספק נוסף נדרש'!$B$6:$AX$6,0)+(ROUNDUP((I$2-$F$2)/COUNTA($F$9:$F$10),0)-1)*COUNTA('הספק נוסף נדרש'!$C$6:$J$6),FALSE))</f>
        <v>466</v>
      </c>
      <c r="J50" s="95">
        <f ca="1">IF(OR($F50&gt;MAX('הנחות עבודה'!$B$69:$B$89),$F50&gt;$D$5),0,VLOOKUP($F50,'הספק נוסף נדרש'!$B$8:$AX$28,MATCH(J$40,'הספק נוסף נדרש'!$B$6:$AX$6,0)+(ROUNDUP((J$2-$F$2)/COUNTA($F$9:$F$10),0)-1)*COUNTA('הספק נוסף נדרש'!$C$6:$J$6),FALSE))</f>
        <v>0</v>
      </c>
      <c r="K50" s="85">
        <f ca="1">IF(OR($F50&gt;MAX('הנחות עבודה'!$B$69:$B$89),$F50&gt;$D$5),0,VLOOKUP($F50,'הספק נוסף נדרש'!$B$8:$AX$28,MATCH(K$40,'הספק נוסף נדרש'!$B$6:$AX$6,0)+(ROUNDUP((K$2-$F$2)/COUNTA($F$9:$F$10),0)-1)*COUNTA('הספק נוסף נדרש'!$C$6:$J$6),FALSE))</f>
        <v>466</v>
      </c>
      <c r="L50" s="85">
        <f ca="1">IF(OR($F50&gt;MAX('הנחות עבודה'!$B$69:$B$89),$F50&gt;$D$5),0,VLOOKUP($F50,'הספק נוסף נדרש'!$B$8:$AX$28,MATCH(L$40,'הספק נוסף נדרש'!$B$6:$AX$6,0)+(ROUNDUP((L$2-$F$2)/COUNTA($F$9:$F$10),0)-1)*COUNTA('הספק נוסף נדרש'!$C$6:$J$6),FALSE))</f>
        <v>113</v>
      </c>
      <c r="M50" s="95">
        <f ca="1">IF(OR($F50&gt;MAX('הנחות עבודה'!$B$69:$B$89),$F50&gt;$D$5),0,VLOOKUP($F50,'הספק נוסף נדרש'!$B$8:$AX$28,MATCH(M$40,'הספק נוסף נדרש'!$B$6:$AX$6,0)+(ROUNDUP((M$2-$F$2)/COUNTA($F$9:$F$10),0)-1)*COUNTA('הספק נוסף נדרש'!$C$6:$J$6),FALSE))</f>
        <v>466</v>
      </c>
      <c r="N50" s="95">
        <f ca="1">IF(OR($F50&gt;MAX('הנחות עבודה'!$B$69:$B$89),$F50&gt;$D$5),0,VLOOKUP($F50,'הספק נוסף נדרש'!$B$8:$AX$28,MATCH(N$40,'הספק נוסף נדרש'!$B$6:$AX$6,0)+(ROUNDUP((N$2-$F$2)/COUNTA($F$9:$F$10),0)-1)*COUNTA('הספק נוסף נדרש'!$C$6:$J$6),FALSE))</f>
        <v>113</v>
      </c>
      <c r="O50" s="91">
        <f ca="1">IF(OR($F50&gt;MAX('הנחות עבודה'!$B$69:$B$89),$F50&gt;$D$5),0,VLOOKUP($F50,'הספק נוסף נדרש'!$B$8:$AX$28,MATCH(O$40,'הספק נוסף נדרש'!$B$6:$AX$6,0)+(ROUNDUP((O$2-$F$2)/COUNTA($F$9:$F$10),0)-1)*COUNTA('הספק נוסף נדרש'!$C$6:$J$6),FALSE))</f>
        <v>466</v>
      </c>
      <c r="P50" s="91">
        <f ca="1">IF(OR($F50&gt;MAX('הנחות עבודה'!$B$69:$B$89),$F50&gt;$D$5),0,VLOOKUP($F50,'הספק נוסף נדרש'!$B$8:$AX$28,MATCH(P$40,'הספק נוסף נדרש'!$B$6:$AX$6,0)+(ROUNDUP((P$2-$F$2)/COUNTA($F$9:$F$10),0)-1)*COUNTA('הספק נוסף נדרש'!$C$6:$J$6),FALSE))</f>
        <v>0</v>
      </c>
      <c r="Q50" s="95">
        <f ca="1">IF(OR($F50&gt;MAX('הנחות עבודה'!$B$69:$B$89),$F50&gt;$D$5),0,VLOOKUP($F50,'הספק נוסף נדרש'!$B$8:$AX$28,MATCH(Q$40,'הספק נוסף נדרש'!$B$6:$AX$6,0)+(ROUNDUP((Q$2-$F$2)/COUNTA($F$9:$F$10),0)-1)*COUNTA('הספק נוסף נדרש'!$C$6:$J$6),FALSE))</f>
        <v>466</v>
      </c>
      <c r="R50" s="95">
        <f ca="1">IF(OR($F50&gt;MAX('הנחות עבודה'!$B$69:$B$89),$F50&gt;$D$5),0,VLOOKUP($F50,'הספק נוסף נדרש'!$B$8:$AX$28,MATCH(R$40,'הספק נוסף נדרש'!$B$6:$AX$6,0)+(ROUNDUP((R$2-$F$2)/COUNTA($F$9:$F$10),0)-1)*COUNTA('הספק נוסף נדרש'!$C$6:$J$6),FALSE))</f>
        <v>0</v>
      </c>
      <c r="S50" s="9"/>
      <c r="T50" s="10">
        <f t="shared" si="91"/>
        <v>2029</v>
      </c>
      <c r="U50" s="85">
        <f ca="1">HLOOKUP(U$40,$G$15:$H$36,COUNTA($F$16:$F25)+1,FALSE)*G50*$D$7/$D$8</f>
        <v>1800.6571605600002</v>
      </c>
      <c r="V50" s="85">
        <f ca="1">HLOOKUP(V$40,$G$15:$H$36,COUNTA($F$16:$F25)+1,FALSE)*H50*$D$7/$D$8</f>
        <v>0</v>
      </c>
      <c r="W50" s="95">
        <f ca="1">HLOOKUP(W$40,$G$15:$H$36,COUNTA($F$16:$F25)+1,FALSE)*I50*$D$7/$D$8</f>
        <v>1800.6571605600002</v>
      </c>
      <c r="X50" s="95">
        <f ca="1">HLOOKUP(X$40,$G$15:$H$36,COUNTA($F$16:$F25)+1,FALSE)*J50*$D$7/$D$8</f>
        <v>0</v>
      </c>
      <c r="Y50" s="85">
        <f ca="1">HLOOKUP(Y$40,$G$15:$H$36,COUNTA($F$16:$F25)+1,FALSE)*K50*$D$7/$D$8</f>
        <v>1800.6571605600002</v>
      </c>
      <c r="Z50" s="85">
        <f ca="1">HLOOKUP(Z$40,$G$15:$H$36,COUNTA($F$16:$F25)+1,FALSE)*L50*$D$7/$D$8</f>
        <v>350.318871</v>
      </c>
      <c r="AA50" s="95">
        <f ca="1">HLOOKUP(AA$40,$G$15:$H$36,COUNTA($F$16:$F25)+1,FALSE)*M50*$D$7/$D$8</f>
        <v>1800.6571605600002</v>
      </c>
      <c r="AB50" s="95">
        <f ca="1">HLOOKUP(AB$40,$G$15:$H$36,COUNTA($F$16:$F25)+1,FALSE)*N50*$D$7/$D$8</f>
        <v>350.318871</v>
      </c>
      <c r="AC50" s="91">
        <f ca="1">HLOOKUP(AC$40,$G$15:$H$36,COUNTA($F$16:$F25)+1,FALSE)*O50*$D$7/$D$8</f>
        <v>1800.6571605600002</v>
      </c>
      <c r="AD50" s="91">
        <f ca="1">HLOOKUP(AD$40,$G$15:$H$36,COUNTA($F$16:$F25)+1,FALSE)*P50*$D$7/$D$8</f>
        <v>0</v>
      </c>
      <c r="AE50" s="95">
        <f ca="1">HLOOKUP(AE$40,$G$15:$H$36,COUNTA($F$16:$F25)+1,FALSE)*Q50*$D$7/$D$8</f>
        <v>1800.6571605600002</v>
      </c>
      <c r="AF50" s="95">
        <f ca="1">HLOOKUP(AF$40,$G$15:$H$36,COUNTA($F$16:$F25)+1,FALSE)*R50*$D$7/$D$8</f>
        <v>0</v>
      </c>
      <c r="AH50" s="10">
        <f t="shared" si="92"/>
        <v>2029</v>
      </c>
      <c r="AI50" s="85">
        <f t="shared" ca="1" si="119"/>
        <v>869.96425710901906</v>
      </c>
      <c r="AJ50" s="86">
        <f t="shared" ca="1" si="120"/>
        <v>117.69210646294721</v>
      </c>
      <c r="AK50" s="151">
        <f t="shared" ca="1" si="121"/>
        <v>869.96425710901906</v>
      </c>
      <c r="AL50" s="95">
        <f t="shared" ca="1" si="122"/>
        <v>117.69210646294721</v>
      </c>
      <c r="AM50" s="85">
        <f t="shared" ca="1" si="88"/>
        <v>762.45872971235951</v>
      </c>
      <c r="AN50" s="86">
        <f t="shared" ca="1" si="88"/>
        <v>179.07306660285354</v>
      </c>
      <c r="AO50" s="151">
        <f t="shared" ca="1" si="88"/>
        <v>762.45872971235951</v>
      </c>
      <c r="AP50" s="95">
        <f t="shared" ca="1" si="88"/>
        <v>179.07306660285354</v>
      </c>
      <c r="AQ50" s="145">
        <f t="shared" ca="1" si="123"/>
        <v>762.45872971235951</v>
      </c>
      <c r="AR50" s="142">
        <f t="shared" ca="1" si="124"/>
        <v>158.6127465562181</v>
      </c>
      <c r="AS50" s="151">
        <f t="shared" ca="1" si="125"/>
        <v>762.45872971235951</v>
      </c>
      <c r="AT50" s="95">
        <f t="shared" ca="1" si="126"/>
        <v>158.6127465562181</v>
      </c>
      <c r="AV50" s="10">
        <f t="shared" si="101"/>
        <v>2029</v>
      </c>
      <c r="AW50" s="85">
        <f t="shared" ref="AW50:AW67" ca="1" si="127">IF($AV50&gt;$D$5,0,SUMIFS(BK$41:BK$61,$BJ$41:$BJ$61,"&gt;"&amp;($AV50-VLOOKUP(AW$40,$C$11:$D$12,2,FALSE)),$BJ$41:$BJ$61,"&lt;="&amp;($AV50)))</f>
        <v>559.99349999999993</v>
      </c>
      <c r="AX50" s="86">
        <f t="shared" ref="AX50:AX75" ca="1" si="128">IF($AV50&gt;$D$5,0,SUMIFS(BL$41:BL$61,$BJ$41:$BJ$61,"&gt;"&amp;($AV50-VLOOKUP(AX$40,$C$11:$D$12,2,FALSE)),$BJ$41:$BJ$61,"&lt;="&amp;($AV50)))</f>
        <v>95.355000000000018</v>
      </c>
      <c r="AY50" s="151">
        <f t="shared" ref="AY50:AY75" ca="1" si="129">IF($AV50&gt;$D$5,0,SUMIFS(BM$41:BM$61,$BJ$41:$BJ$61,"&gt;"&amp;($AV50-VLOOKUP(AY$40,$C$11:$D$12,2,FALSE)),$BJ$41:$BJ$61,"&lt;="&amp;($AV50)))</f>
        <v>559.99349999999993</v>
      </c>
      <c r="AZ50" s="95">
        <f t="shared" ref="AZ50:AZ75" ca="1" si="130">IF($AV50&gt;$D$5,0,SUMIFS(BN$41:BN$61,$BJ$41:$BJ$61,"&gt;"&amp;($AV50-VLOOKUP(AZ$40,$C$11:$D$12,2,FALSE)),$BJ$41:$BJ$61,"&lt;="&amp;($AV50)))</f>
        <v>95.355000000000018</v>
      </c>
      <c r="BA50" s="85">
        <f t="shared" ca="1" si="89"/>
        <v>490.7924999999999</v>
      </c>
      <c r="BB50" s="86">
        <f t="shared" ca="1" si="89"/>
        <v>145.08630000000002</v>
      </c>
      <c r="BC50" s="151">
        <f t="shared" ca="1" si="89"/>
        <v>490.7924999999999</v>
      </c>
      <c r="BD50" s="95">
        <f t="shared" ca="1" si="89"/>
        <v>145.08630000000002</v>
      </c>
      <c r="BE50" s="145">
        <f t="shared" ref="BE50:BE75" ca="1" si="131">IF($AV50&gt;$D$5,0,SUMIFS(BS$41:BS$61,$BJ$41:$BJ$61,"&gt;"&amp;($AV50-VLOOKUP(BE$40,$C$11:$D$12,2,FALSE)),$BJ$41:$BJ$61,"&lt;="&amp;($AV50)))</f>
        <v>490.7924999999999</v>
      </c>
      <c r="BF50" s="142">
        <f t="shared" ref="BF50:BF75" ca="1" si="132">IF($AV50&gt;$D$5,0,SUMIFS(BT$41:BT$61,$BJ$41:$BJ$61,"&gt;"&amp;($AV50-VLOOKUP(BF$40,$C$11:$D$12,2,FALSE)),$BJ$41:$BJ$61,"&lt;="&amp;($AV50)))</f>
        <v>128.50920000000002</v>
      </c>
      <c r="BG50" s="151">
        <f t="shared" ref="BG50:BG75" ca="1" si="133">IF($AV50&gt;$D$5,0,SUMIFS(BU$41:BU$61,$BJ$41:$BJ$61,"&gt;"&amp;($AV50-VLOOKUP(BG$40,$C$11:$D$12,2,FALSE)),$BJ$41:$BJ$61,"&lt;="&amp;($AV50)))</f>
        <v>490.7924999999999</v>
      </c>
      <c r="BH50" s="95">
        <f t="shared" ref="BH50:BH75" ca="1" si="134">IF($AV50&gt;$D$5,0,SUMIFS(BV$41:BV$61,$BJ$41:$BJ$61,"&gt;"&amp;($AV50-VLOOKUP(BH$40,$C$11:$D$12,2,FALSE)),$BJ$41:$BJ$61,"&lt;="&amp;($AV50)))</f>
        <v>128.50920000000002</v>
      </c>
      <c r="BJ50" s="10">
        <f t="shared" si="109"/>
        <v>2029</v>
      </c>
      <c r="BK50" s="85">
        <f ca="1">HLOOKUP(BK$40,$K$15:$L$36,COUNTA($J$16:$J25)+1,FALSE)*G50*$D$7/$D$8</f>
        <v>69.200999999999993</v>
      </c>
      <c r="BL50" s="86">
        <f ca="1">HLOOKUP(BL$40,$K$15:$L$36,COUNTA($J$16:$J25)+1,FALSE)*H50*$D$7/$D$8</f>
        <v>0</v>
      </c>
      <c r="BM50" s="151">
        <f ca="1">HLOOKUP(BM$40,$K$15:$L$36,COUNTA($J$16:$J25)+1,FALSE)*I50*$D$7/$D$8</f>
        <v>69.200999999999993</v>
      </c>
      <c r="BN50" s="99">
        <f ca="1">HLOOKUP(BN$40,$K$15:$L$36,COUNTA($J$16:$J25)+1,FALSE)*J50*$D$7/$D$8</f>
        <v>0</v>
      </c>
      <c r="BO50" s="85">
        <f ca="1">HLOOKUP(BO$40,$K$15:$L$36,COUNTA($J$16:$J25)+1,FALSE)*K50*$D$7/$D$8</f>
        <v>69.200999999999993</v>
      </c>
      <c r="BP50" s="86">
        <f ca="1">HLOOKUP(BP$40,$K$15:$L$36,COUNTA($J$16:$J25)+1,FALSE)*L50*$D$7/$D$8</f>
        <v>16.577100000000002</v>
      </c>
      <c r="BQ50" s="151">
        <f ca="1">HLOOKUP(BQ$40,$K$15:$L$36,COUNTA($J$16:$J25)+1,FALSE)*M50*$D$7/$D$8</f>
        <v>69.200999999999993</v>
      </c>
      <c r="BR50" s="99">
        <f ca="1">HLOOKUP(BR$40,$K$15:$L$36,COUNTA($J$16:$J25)+1,FALSE)*N50*$D$7/$D$8</f>
        <v>16.577100000000002</v>
      </c>
      <c r="BS50" s="85">
        <f ca="1">HLOOKUP(BS$40,$K$15:$L$36,COUNTA($J$16:$J25)+1,FALSE)*O50*$D$7/$D$8</f>
        <v>69.200999999999993</v>
      </c>
      <c r="BT50" s="86">
        <f ca="1">HLOOKUP(BT$40,$K$15:$L$36,COUNTA($J$16:$J25)+1,FALSE)*P50*$D$7/$D$8</f>
        <v>0</v>
      </c>
      <c r="BU50" s="151">
        <f ca="1">HLOOKUP(BU$40,$K$15:$L$36,COUNTA($J$16:$J25)+1,FALSE)*Q50*$D$7/$D$8</f>
        <v>69.200999999999993</v>
      </c>
      <c r="BV50" s="99">
        <f ca="1">HLOOKUP(BV$40,$K$15:$L$36,COUNTA($J$16:$J25)+1,FALSE)*R50*$D$7/$D$8</f>
        <v>0</v>
      </c>
    </row>
    <row r="51" spans="6:74">
      <c r="F51" s="10">
        <f t="shared" si="118"/>
        <v>2030</v>
      </c>
      <c r="G51" s="85">
        <f ca="1">IF(OR($F51&gt;MAX('הנחות עבודה'!$B$69:$B$89),$F51&gt;$D$5),0,VLOOKUP($F51,'הספק נוסף נדרש'!$B$8:$AX$28,MATCH(G$40,'הספק נוסף נדרש'!$B$6:$AX$6,0)+(ROUNDUP((G$2-$F$2)/COUNTA($F$9:$F$10),0)-1)*COUNTA('הספק נוסף נדרש'!$C$6:$J$6),FALSE))</f>
        <v>932</v>
      </c>
      <c r="H51" s="85">
        <f ca="1">IF(OR($F51&gt;MAX('הנחות עבודה'!$B$69:$B$89),$F51&gt;$D$5),0,VLOOKUP($F51,'הספק נוסף נדרש'!$B$8:$AX$28,MATCH(H$40,'הספק נוסף נדרש'!$B$6:$AX$6,0)+(ROUNDUP((H$2-$F$2)/COUNTA($F$9:$F$10),0)-1)*COUNTA('הספק נוסף נדרש'!$C$6:$J$6),FALSE))</f>
        <v>113</v>
      </c>
      <c r="I51" s="95">
        <f ca="1">IF(OR($F51&gt;MAX('הנחות עבודה'!$B$69:$B$89),$F51&gt;$D$5),0,VLOOKUP($F51,'הספק נוסף נדרש'!$B$8:$AX$28,MATCH(I$40,'הספק נוסף נדרש'!$B$6:$AX$6,0)+(ROUNDUP((I$2-$F$2)/COUNTA($F$9:$F$10),0)-1)*COUNTA('הספק נוסף נדרש'!$C$6:$J$6),FALSE))</f>
        <v>932</v>
      </c>
      <c r="J51" s="95">
        <f ca="1">IF(OR($F51&gt;MAX('הנחות עבודה'!$B$69:$B$89),$F51&gt;$D$5),0,VLOOKUP($F51,'הספק נוסף נדרש'!$B$8:$AX$28,MATCH(J$40,'הספק נוסף נדרש'!$B$6:$AX$6,0)+(ROUNDUP((J$2-$F$2)/COUNTA($F$9:$F$10),0)-1)*COUNTA('הספק נוסף נדרש'!$C$6:$J$6),FALSE))</f>
        <v>113</v>
      </c>
      <c r="K51" s="85">
        <f ca="1">IF(OR($F51&gt;MAX('הנחות עבודה'!$B$69:$B$89),$F51&gt;$D$5),0,VLOOKUP($F51,'הספק נוסף נדרש'!$B$8:$AX$28,MATCH(K$40,'הספק נוסף נדרש'!$B$6:$AX$6,0)+(ROUNDUP((K$2-$F$2)/COUNTA($F$9:$F$10),0)-1)*COUNTA('הספק נוסף נדרש'!$C$6:$J$6),FALSE))</f>
        <v>932</v>
      </c>
      <c r="L51" s="85">
        <f ca="1">IF(OR($F51&gt;MAX('הנחות עבודה'!$B$69:$B$89),$F51&gt;$D$5),0,VLOOKUP($F51,'הספק נוסף נדרש'!$B$8:$AX$28,MATCH(L$40,'הספק נוסף נדרש'!$B$6:$AX$6,0)+(ROUNDUP((L$2-$F$2)/COUNTA($F$9:$F$10),0)-1)*COUNTA('הספק נוסף נדרש'!$C$6:$J$6),FALSE))</f>
        <v>113</v>
      </c>
      <c r="M51" s="95">
        <f ca="1">IF(OR($F51&gt;MAX('הנחות עבודה'!$B$69:$B$89),$F51&gt;$D$5),0,VLOOKUP($F51,'הספק נוסף נדרש'!$B$8:$AX$28,MATCH(M$40,'הספק נוסף נדרש'!$B$6:$AX$6,0)+(ROUNDUP((M$2-$F$2)/COUNTA($F$9:$F$10),0)-1)*COUNTA('הספק נוסף נדרש'!$C$6:$J$6),FALSE))</f>
        <v>932</v>
      </c>
      <c r="N51" s="95">
        <f ca="1">IF(OR($F51&gt;MAX('הנחות עבודה'!$B$69:$B$89),$F51&gt;$D$5),0,VLOOKUP($F51,'הספק נוסף נדרש'!$B$8:$AX$28,MATCH(N$40,'הספק נוסף נדרש'!$B$6:$AX$6,0)+(ROUNDUP((N$2-$F$2)/COUNTA($F$9:$F$10),0)-1)*COUNTA('הספק נוסף נדרש'!$C$6:$J$6),FALSE))</f>
        <v>113</v>
      </c>
      <c r="O51" s="91">
        <f ca="1">IF(OR($F51&gt;MAX('הנחות עבודה'!$B$69:$B$89),$F51&gt;$D$5),0,VLOOKUP($F51,'הספק נוסף נדרש'!$B$8:$AX$28,MATCH(O$40,'הספק נוסף נדרש'!$B$6:$AX$6,0)+(ROUNDUP((O$2-$F$2)/COUNTA($F$9:$F$10),0)-1)*COUNTA('הספק נוסף נדרש'!$C$6:$J$6),FALSE))</f>
        <v>466</v>
      </c>
      <c r="P51" s="91">
        <f ca="1">IF(OR($F51&gt;MAX('הנחות עבודה'!$B$69:$B$89),$F51&gt;$D$5),0,VLOOKUP($F51,'הספק נוסף נדרש'!$B$8:$AX$28,MATCH(P$40,'הספק נוסף נדרש'!$B$6:$AX$6,0)+(ROUNDUP((P$2-$F$2)/COUNTA($F$9:$F$10),0)-1)*COUNTA('הספק נוסף נדרש'!$C$6:$J$6),FALSE))</f>
        <v>791</v>
      </c>
      <c r="Q51" s="95">
        <f ca="1">IF(OR($F51&gt;MAX('הנחות עבודה'!$B$69:$B$89),$F51&gt;$D$5),0,VLOOKUP($F51,'הספק נוסף נדרש'!$B$8:$AX$28,MATCH(Q$40,'הספק נוסף נדרש'!$B$6:$AX$6,0)+(ROUNDUP((Q$2-$F$2)/COUNTA($F$9:$F$10),0)-1)*COUNTA('הספק נוסף נדרש'!$C$6:$J$6),FALSE))</f>
        <v>466</v>
      </c>
      <c r="R51" s="95">
        <f ca="1">IF(OR($F51&gt;MAX('הנחות עבודה'!$B$69:$B$89),$F51&gt;$D$5),0,VLOOKUP($F51,'הספק נוסף נדרש'!$B$8:$AX$28,MATCH(R$40,'הספק נוסף נדרש'!$B$6:$AX$6,0)+(ROUNDUP((R$2-$F$2)/COUNTA($F$9:$F$10),0)-1)*COUNTA('הספק נוסף נדרש'!$C$6:$J$6),FALSE))</f>
        <v>791</v>
      </c>
      <c r="S51" s="9"/>
      <c r="T51" s="10">
        <f t="shared" si="91"/>
        <v>2030</v>
      </c>
      <c r="U51" s="85">
        <f ca="1">HLOOKUP(U$40,$G$15:$H$36,COUNTA($F$16:$F26)+1,FALSE)*G51*$D$7/$D$8</f>
        <v>3601.3143211200004</v>
      </c>
      <c r="V51" s="85">
        <f ca="1">HLOOKUP(V$40,$G$15:$H$36,COUNTA($F$16:$F26)+1,FALSE)*H51*$D$7/$D$8</f>
        <v>350.318871</v>
      </c>
      <c r="W51" s="95">
        <f ca="1">HLOOKUP(W$40,$G$15:$H$36,COUNTA($F$16:$F26)+1,FALSE)*I51*$D$7/$D$8</f>
        <v>3601.3143211200004</v>
      </c>
      <c r="X51" s="95">
        <f ca="1">HLOOKUP(X$40,$G$15:$H$36,COUNTA($F$16:$F26)+1,FALSE)*J51*$D$7/$D$8</f>
        <v>350.318871</v>
      </c>
      <c r="Y51" s="85">
        <f ca="1">HLOOKUP(Y$40,$G$15:$H$36,COUNTA($F$16:$F26)+1,FALSE)*K51*$D$7/$D$8</f>
        <v>3601.3143211200004</v>
      </c>
      <c r="Z51" s="85">
        <f ca="1">HLOOKUP(Z$40,$G$15:$H$36,COUNTA($F$16:$F26)+1,FALSE)*L51*$D$7/$D$8</f>
        <v>350.318871</v>
      </c>
      <c r="AA51" s="95">
        <f ca="1">HLOOKUP(AA$40,$G$15:$H$36,COUNTA($F$16:$F26)+1,FALSE)*M51*$D$7/$D$8</f>
        <v>3601.3143211200004</v>
      </c>
      <c r="AB51" s="95">
        <f ca="1">HLOOKUP(AB$40,$G$15:$H$36,COUNTA($F$16:$F26)+1,FALSE)*N51*$D$7/$D$8</f>
        <v>350.318871</v>
      </c>
      <c r="AC51" s="91">
        <f ca="1">HLOOKUP(AC$40,$G$15:$H$36,COUNTA($F$16:$F26)+1,FALSE)*O51*$D$7/$D$8</f>
        <v>1800.6571605600002</v>
      </c>
      <c r="AD51" s="91">
        <f ca="1">HLOOKUP(AD$40,$G$15:$H$36,COUNTA($F$16:$F26)+1,FALSE)*P51*$D$7/$D$8</f>
        <v>2452.2320970000001</v>
      </c>
      <c r="AE51" s="95">
        <f ca="1">HLOOKUP(AE$40,$G$15:$H$36,COUNTA($F$16:$F26)+1,FALSE)*Q51*$D$7/$D$8</f>
        <v>1800.6571605600002</v>
      </c>
      <c r="AF51" s="95">
        <f ca="1">HLOOKUP(AF$40,$G$15:$H$36,COUNTA($F$16:$F26)+1,FALSE)*R51*$D$7/$D$8</f>
        <v>2452.2320970000001</v>
      </c>
      <c r="AH51" s="10">
        <f t="shared" si="92"/>
        <v>2030</v>
      </c>
      <c r="AI51" s="85">
        <f t="shared" ca="1" si="119"/>
        <v>1084.975311902338</v>
      </c>
      <c r="AJ51" s="86">
        <f t="shared" ca="1" si="120"/>
        <v>138.15242650958265</v>
      </c>
      <c r="AK51" s="151">
        <f t="shared" ca="1" si="121"/>
        <v>1084.975311902338</v>
      </c>
      <c r="AL51" s="95">
        <f t="shared" ca="1" si="122"/>
        <v>138.15242650958265</v>
      </c>
      <c r="AM51" s="85">
        <f t="shared" ca="1" si="88"/>
        <v>977.46978450567838</v>
      </c>
      <c r="AN51" s="86">
        <f t="shared" ca="1" si="88"/>
        <v>199.53338664948896</v>
      </c>
      <c r="AO51" s="151">
        <f t="shared" ca="1" si="88"/>
        <v>977.46978450567838</v>
      </c>
      <c r="AP51" s="95">
        <f t="shared" ca="1" si="88"/>
        <v>199.53338664948896</v>
      </c>
      <c r="AQ51" s="145">
        <f t="shared" ca="1" si="123"/>
        <v>869.96425710901906</v>
      </c>
      <c r="AR51" s="142">
        <f t="shared" ca="1" si="124"/>
        <v>301.83498688266616</v>
      </c>
      <c r="AS51" s="151">
        <f t="shared" ca="1" si="125"/>
        <v>869.96425710901906</v>
      </c>
      <c r="AT51" s="95">
        <f t="shared" ca="1" si="126"/>
        <v>301.83498688266616</v>
      </c>
      <c r="AV51" s="10">
        <f t="shared" si="101"/>
        <v>2030</v>
      </c>
      <c r="AW51" s="85">
        <f t="shared" ca="1" si="127"/>
        <v>698.39549999999986</v>
      </c>
      <c r="AX51" s="86">
        <f t="shared" ca="1" si="128"/>
        <v>111.93210000000002</v>
      </c>
      <c r="AY51" s="151">
        <f t="shared" ca="1" si="129"/>
        <v>698.39549999999986</v>
      </c>
      <c r="AZ51" s="95">
        <f t="shared" ca="1" si="130"/>
        <v>111.93210000000002</v>
      </c>
      <c r="BA51" s="85">
        <f t="shared" ca="1" si="89"/>
        <v>629.19449999999983</v>
      </c>
      <c r="BB51" s="86">
        <f t="shared" ca="1" si="89"/>
        <v>161.66340000000002</v>
      </c>
      <c r="BC51" s="151">
        <f t="shared" ca="1" si="89"/>
        <v>629.19449999999983</v>
      </c>
      <c r="BD51" s="95">
        <f t="shared" ca="1" si="89"/>
        <v>161.66340000000002</v>
      </c>
      <c r="BE51" s="145">
        <f t="shared" ca="1" si="131"/>
        <v>559.99349999999993</v>
      </c>
      <c r="BF51" s="142">
        <f t="shared" ca="1" si="132"/>
        <v>244.54890000000003</v>
      </c>
      <c r="BG51" s="151">
        <f t="shared" ca="1" si="133"/>
        <v>559.99349999999993</v>
      </c>
      <c r="BH51" s="95">
        <f t="shared" ca="1" si="134"/>
        <v>244.54890000000003</v>
      </c>
      <c r="BJ51" s="10">
        <f t="shared" si="109"/>
        <v>2030</v>
      </c>
      <c r="BK51" s="85">
        <f ca="1">HLOOKUP(BK$40,$K$15:$L$36,COUNTA($J$16:$J26)+1,FALSE)*G51*$D$7/$D$8</f>
        <v>138.40199999999999</v>
      </c>
      <c r="BL51" s="86">
        <f ca="1">HLOOKUP(BL$40,$K$15:$L$36,COUNTA($J$16:$J26)+1,FALSE)*H51*$D$7/$D$8</f>
        <v>16.577100000000002</v>
      </c>
      <c r="BM51" s="151">
        <f ca="1">HLOOKUP(BM$40,$K$15:$L$36,COUNTA($J$16:$J26)+1,FALSE)*I51*$D$7/$D$8</f>
        <v>138.40199999999999</v>
      </c>
      <c r="BN51" s="99">
        <f ca="1">HLOOKUP(BN$40,$K$15:$L$36,COUNTA($J$16:$J26)+1,FALSE)*J51*$D$7/$D$8</f>
        <v>16.577100000000002</v>
      </c>
      <c r="BO51" s="85">
        <f ca="1">HLOOKUP(BO$40,$K$15:$L$36,COUNTA($J$16:$J26)+1,FALSE)*K51*$D$7/$D$8</f>
        <v>138.40199999999999</v>
      </c>
      <c r="BP51" s="86">
        <f ca="1">HLOOKUP(BP$40,$K$15:$L$36,COUNTA($J$16:$J26)+1,FALSE)*L51*$D$7/$D$8</f>
        <v>16.577100000000002</v>
      </c>
      <c r="BQ51" s="151">
        <f ca="1">HLOOKUP(BQ$40,$K$15:$L$36,COUNTA($J$16:$J26)+1,FALSE)*M51*$D$7/$D$8</f>
        <v>138.40199999999999</v>
      </c>
      <c r="BR51" s="99">
        <f ca="1">HLOOKUP(BR$40,$K$15:$L$36,COUNTA($J$16:$J26)+1,FALSE)*N51*$D$7/$D$8</f>
        <v>16.577100000000002</v>
      </c>
      <c r="BS51" s="85">
        <f ca="1">HLOOKUP(BS$40,$K$15:$L$36,COUNTA($J$16:$J26)+1,FALSE)*O51*$D$7/$D$8</f>
        <v>69.200999999999993</v>
      </c>
      <c r="BT51" s="86">
        <f ca="1">HLOOKUP(BT$40,$K$15:$L$36,COUNTA($J$16:$J26)+1,FALSE)*P51*$D$7/$D$8</f>
        <v>116.03970000000001</v>
      </c>
      <c r="BU51" s="151">
        <f ca="1">HLOOKUP(BU$40,$K$15:$L$36,COUNTA($J$16:$J26)+1,FALSE)*Q51*$D$7/$D$8</f>
        <v>69.200999999999993</v>
      </c>
      <c r="BV51" s="99">
        <f ca="1">HLOOKUP(BV$40,$K$15:$L$36,COUNTA($J$16:$J26)+1,FALSE)*R51*$D$7/$D$8</f>
        <v>116.03970000000001</v>
      </c>
    </row>
    <row r="52" spans="6:74">
      <c r="F52" s="10">
        <f t="shared" si="118"/>
        <v>2031</v>
      </c>
      <c r="G52" s="85">
        <f ca="1">IF(OR($F52&gt;MAX('הנחות עבודה'!$B$69:$B$89),$F52&gt;$D$5),0,VLOOKUP($F52,'הספק נוסף נדרש'!$B$8:$AX$28,MATCH(G$40,'הספק נוסף נדרש'!$B$6:$AX$6,0)+(ROUNDUP((G$2-$F$2)/COUNTA($F$9:$F$10),0)-1)*COUNTA('הספק נוסף נדרש'!$C$6:$J$6),FALSE))</f>
        <v>0</v>
      </c>
      <c r="H52" s="85">
        <f ca="1">IF(OR($F52&gt;MAX('הנחות עבודה'!$B$69:$B$89),$F52&gt;$D$5),0,VLOOKUP($F52,'הספק נוסף נדרש'!$B$8:$AX$28,MATCH(H$40,'הספק נוסף נדרש'!$B$6:$AX$6,0)+(ROUNDUP((H$2-$F$2)/COUNTA($F$9:$F$10),0)-1)*COUNTA('הספק נוסף נדרש'!$C$6:$J$6),FALSE))</f>
        <v>0</v>
      </c>
      <c r="I52" s="95">
        <f ca="1">IF(OR($F52&gt;MAX('הנחות עבודה'!$B$69:$B$89),$F52&gt;$D$5),0,VLOOKUP($F52,'הספק נוסף נדרש'!$B$8:$AX$28,MATCH(I$40,'הספק נוסף נדרש'!$B$6:$AX$6,0)+(ROUNDUP((I$2-$F$2)/COUNTA($F$9:$F$10),0)-1)*COUNTA('הספק נוסף נדרש'!$C$6:$J$6),FALSE))</f>
        <v>0</v>
      </c>
      <c r="J52" s="95">
        <f ca="1">IF(OR($F52&gt;MAX('הנחות עבודה'!$B$69:$B$89),$F52&gt;$D$5),0,VLOOKUP($F52,'הספק נוסף נדרש'!$B$8:$AX$28,MATCH(J$40,'הספק נוסף נדרש'!$B$6:$AX$6,0)+(ROUNDUP((J$2-$F$2)/COUNTA($F$9:$F$10),0)-1)*COUNTA('הספק נוסף נדרש'!$C$6:$J$6),FALSE))</f>
        <v>0</v>
      </c>
      <c r="K52" s="85">
        <f ca="1">IF(OR($F52&gt;MAX('הנחות עבודה'!$B$69:$B$89),$F52&gt;$D$5),0,VLOOKUP($F52,'הספק נוסף נדרש'!$B$8:$AX$28,MATCH(K$40,'הספק נוסף נדרש'!$B$6:$AX$6,0)+(ROUNDUP((K$2-$F$2)/COUNTA($F$9:$F$10),0)-1)*COUNTA('הספק נוסף נדרש'!$C$6:$J$6),FALSE))</f>
        <v>0</v>
      </c>
      <c r="L52" s="85">
        <f ca="1">IF(OR($F52&gt;MAX('הנחות עבודה'!$B$69:$B$89),$F52&gt;$D$5),0,VLOOKUP($F52,'הספק נוסף נדרש'!$B$8:$AX$28,MATCH(L$40,'הספק נוסף נדרש'!$B$6:$AX$6,0)+(ROUNDUP((L$2-$F$2)/COUNTA($F$9:$F$10),0)-1)*COUNTA('הספק נוסף נדרש'!$C$6:$J$6),FALSE))</f>
        <v>0</v>
      </c>
      <c r="M52" s="95">
        <f ca="1">IF(OR($F52&gt;MAX('הנחות עבודה'!$B$69:$B$89),$F52&gt;$D$5),0,VLOOKUP($F52,'הספק נוסף נדרש'!$B$8:$AX$28,MATCH(M$40,'הספק נוסף נדרש'!$B$6:$AX$6,0)+(ROUNDUP((M$2-$F$2)/COUNTA($F$9:$F$10),0)-1)*COUNTA('הספק נוסף נדרש'!$C$6:$J$6),FALSE))</f>
        <v>0</v>
      </c>
      <c r="N52" s="95">
        <f ca="1">IF(OR($F52&gt;MAX('הנחות עבודה'!$B$69:$B$89),$F52&gt;$D$5),0,VLOOKUP($F52,'הספק נוסף נדרש'!$B$8:$AX$28,MATCH(N$40,'הספק נוסף נדרש'!$B$6:$AX$6,0)+(ROUNDUP((N$2-$F$2)/COUNTA($F$9:$F$10),0)-1)*COUNTA('הספק נוסף נדרש'!$C$6:$J$6),FALSE))</f>
        <v>0</v>
      </c>
      <c r="O52" s="91">
        <f ca="1">IF(OR($F52&gt;MAX('הנחות עבודה'!$B$69:$B$89),$F52&gt;$D$5),0,VLOOKUP($F52,'הספק נוסף נדרש'!$B$8:$AX$28,MATCH(O$40,'הספק נוסף נדרש'!$B$6:$AX$6,0)+(ROUNDUP((O$2-$F$2)/COUNTA($F$9:$F$10),0)-1)*COUNTA('הספק נוסף נדרש'!$C$6:$J$6),FALSE))</f>
        <v>0</v>
      </c>
      <c r="P52" s="91">
        <f ca="1">IF(OR($F52&gt;MAX('הנחות עבודה'!$B$69:$B$89),$F52&gt;$D$5),0,VLOOKUP($F52,'הספק נוסף נדרש'!$B$8:$AX$28,MATCH(P$40,'הספק נוסף נדרש'!$B$6:$AX$6,0)+(ROUNDUP((P$2-$F$2)/COUNTA($F$9:$F$10),0)-1)*COUNTA('הספק נוסף נדרש'!$C$6:$J$6),FALSE))</f>
        <v>0</v>
      </c>
      <c r="Q52" s="95">
        <f ca="1">IF(OR($F52&gt;MAX('הנחות עבודה'!$B$69:$B$89),$F52&gt;$D$5),0,VLOOKUP($F52,'הספק נוסף נדרש'!$B$8:$AX$28,MATCH(Q$40,'הספק נוסף נדרש'!$B$6:$AX$6,0)+(ROUNDUP((Q$2-$F$2)/COUNTA($F$9:$F$10),0)-1)*COUNTA('הספק נוסף נדרש'!$C$6:$J$6),FALSE))</f>
        <v>0</v>
      </c>
      <c r="R52" s="95">
        <f ca="1">IF(OR($F52&gt;MAX('הנחות עבודה'!$B$69:$B$89),$F52&gt;$D$5),0,VLOOKUP($F52,'הספק נוסף נדרש'!$B$8:$AX$28,MATCH(R$40,'הספק נוסף נדרש'!$B$6:$AX$6,0)+(ROUNDUP((R$2-$F$2)/COUNTA($F$9:$F$10),0)-1)*COUNTA('הספק נוסף נדרש'!$C$6:$J$6),FALSE))</f>
        <v>0</v>
      </c>
      <c r="S52" s="9"/>
      <c r="T52" s="10">
        <f t="shared" si="91"/>
        <v>2031</v>
      </c>
      <c r="U52" s="85">
        <f ca="1">HLOOKUP(U$40,$G$15:$H$36,COUNTA($F$16:$F27)+1,FALSE)*G52*$D$7/$D$8</f>
        <v>0</v>
      </c>
      <c r="V52" s="85">
        <f ca="1">HLOOKUP(V$40,$G$15:$H$36,COUNTA($F$16:$F27)+1,FALSE)*H52*$D$7/$D$8</f>
        <v>0</v>
      </c>
      <c r="W52" s="95">
        <f ca="1">HLOOKUP(W$40,$G$15:$H$36,COUNTA($F$16:$F27)+1,FALSE)*I52*$D$7/$D$8</f>
        <v>0</v>
      </c>
      <c r="X52" s="95">
        <f ca="1">HLOOKUP(X$40,$G$15:$H$36,COUNTA($F$16:$F27)+1,FALSE)*J52*$D$7/$D$8</f>
        <v>0</v>
      </c>
      <c r="Y52" s="85">
        <f ca="1">HLOOKUP(Y$40,$G$15:$H$36,COUNTA($F$16:$F27)+1,FALSE)*K52*$D$7/$D$8</f>
        <v>0</v>
      </c>
      <c r="Z52" s="85">
        <f ca="1">HLOOKUP(Z$40,$G$15:$H$36,COUNTA($F$16:$F27)+1,FALSE)*L52*$D$7/$D$8</f>
        <v>0</v>
      </c>
      <c r="AA52" s="95">
        <f ca="1">HLOOKUP(AA$40,$G$15:$H$36,COUNTA($F$16:$F27)+1,FALSE)*M52*$D$7/$D$8</f>
        <v>0</v>
      </c>
      <c r="AB52" s="95">
        <f ca="1">HLOOKUP(AB$40,$G$15:$H$36,COUNTA($F$16:$F27)+1,FALSE)*N52*$D$7/$D$8</f>
        <v>0</v>
      </c>
      <c r="AC52" s="91">
        <f ca="1">HLOOKUP(AC$40,$G$15:$H$36,COUNTA($F$16:$F27)+1,FALSE)*O52*$D$7/$D$8</f>
        <v>0</v>
      </c>
      <c r="AD52" s="91">
        <f ca="1">HLOOKUP(AD$40,$G$15:$H$36,COUNTA($F$16:$F27)+1,FALSE)*P52*$D$7/$D$8</f>
        <v>0</v>
      </c>
      <c r="AE52" s="95">
        <f ca="1">HLOOKUP(AE$40,$G$15:$H$36,COUNTA($F$16:$F27)+1,FALSE)*Q52*$D$7/$D$8</f>
        <v>0</v>
      </c>
      <c r="AF52" s="95">
        <f ca="1">HLOOKUP(AF$40,$G$15:$H$36,COUNTA($F$16:$F27)+1,FALSE)*R52*$D$7/$D$8</f>
        <v>0</v>
      </c>
      <c r="AH52" s="10">
        <f t="shared" si="92"/>
        <v>2031</v>
      </c>
      <c r="AI52" s="85">
        <f t="shared" ca="1" si="119"/>
        <v>1084.975311902338</v>
      </c>
      <c r="AJ52" s="86">
        <f t="shared" ca="1" si="120"/>
        <v>138.15242650958265</v>
      </c>
      <c r="AK52" s="151">
        <f t="shared" ca="1" si="121"/>
        <v>1084.975311902338</v>
      </c>
      <c r="AL52" s="95">
        <f t="shared" ca="1" si="122"/>
        <v>138.15242650958265</v>
      </c>
      <c r="AM52" s="85">
        <f t="shared" ca="1" si="88"/>
        <v>977.46978450567838</v>
      </c>
      <c r="AN52" s="86">
        <f t="shared" ca="1" si="88"/>
        <v>199.53338664948896</v>
      </c>
      <c r="AO52" s="151">
        <f t="shared" ca="1" si="88"/>
        <v>977.46978450567838</v>
      </c>
      <c r="AP52" s="95">
        <f t="shared" ca="1" si="88"/>
        <v>199.53338664948896</v>
      </c>
      <c r="AQ52" s="145">
        <f t="shared" ca="1" si="123"/>
        <v>869.96425710901906</v>
      </c>
      <c r="AR52" s="142">
        <f t="shared" ca="1" si="124"/>
        <v>301.83498688266616</v>
      </c>
      <c r="AS52" s="151">
        <f t="shared" ca="1" si="125"/>
        <v>869.96425710901906</v>
      </c>
      <c r="AT52" s="95">
        <f t="shared" ca="1" si="126"/>
        <v>301.83498688266616</v>
      </c>
      <c r="AV52" s="10">
        <f t="shared" si="101"/>
        <v>2031</v>
      </c>
      <c r="AW52" s="85">
        <f t="shared" ca="1" si="127"/>
        <v>698.39549999999986</v>
      </c>
      <c r="AX52" s="86">
        <f t="shared" ca="1" si="128"/>
        <v>111.93210000000002</v>
      </c>
      <c r="AY52" s="151">
        <f t="shared" ca="1" si="129"/>
        <v>698.39549999999986</v>
      </c>
      <c r="AZ52" s="95">
        <f t="shared" ca="1" si="130"/>
        <v>111.93210000000002</v>
      </c>
      <c r="BA52" s="85">
        <f t="shared" ca="1" si="89"/>
        <v>629.19449999999983</v>
      </c>
      <c r="BB52" s="86">
        <f t="shared" ca="1" si="89"/>
        <v>161.66340000000002</v>
      </c>
      <c r="BC52" s="151">
        <f t="shared" ca="1" si="89"/>
        <v>629.19449999999983</v>
      </c>
      <c r="BD52" s="95">
        <f t="shared" ca="1" si="89"/>
        <v>161.66340000000002</v>
      </c>
      <c r="BE52" s="145">
        <f t="shared" ca="1" si="131"/>
        <v>559.99349999999993</v>
      </c>
      <c r="BF52" s="142">
        <f t="shared" ca="1" si="132"/>
        <v>244.54890000000003</v>
      </c>
      <c r="BG52" s="151">
        <f t="shared" ca="1" si="133"/>
        <v>559.99349999999993</v>
      </c>
      <c r="BH52" s="95">
        <f t="shared" ca="1" si="134"/>
        <v>244.54890000000003</v>
      </c>
      <c r="BJ52" s="10">
        <f t="shared" si="109"/>
        <v>2031</v>
      </c>
      <c r="BK52" s="85">
        <f ca="1">HLOOKUP(BK$40,$K$15:$L$36,COUNTA($J$16:$J27)+1,FALSE)*G52*$D$7/$D$8</f>
        <v>0</v>
      </c>
      <c r="BL52" s="86">
        <f ca="1">HLOOKUP(BL$40,$K$15:$L$36,COUNTA($J$16:$J27)+1,FALSE)*H52*$D$7/$D$8</f>
        <v>0</v>
      </c>
      <c r="BM52" s="151">
        <f ca="1">HLOOKUP(BM$40,$K$15:$L$36,COUNTA($J$16:$J27)+1,FALSE)*I52*$D$7/$D$8</f>
        <v>0</v>
      </c>
      <c r="BN52" s="99">
        <f ca="1">HLOOKUP(BN$40,$K$15:$L$36,COUNTA($J$16:$J27)+1,FALSE)*J52*$D$7/$D$8</f>
        <v>0</v>
      </c>
      <c r="BO52" s="85">
        <f ca="1">HLOOKUP(BO$40,$K$15:$L$36,COUNTA($J$16:$J27)+1,FALSE)*K52*$D$7/$D$8</f>
        <v>0</v>
      </c>
      <c r="BP52" s="86">
        <f ca="1">HLOOKUP(BP$40,$K$15:$L$36,COUNTA($J$16:$J27)+1,FALSE)*L52*$D$7/$D$8</f>
        <v>0</v>
      </c>
      <c r="BQ52" s="151">
        <f ca="1">HLOOKUP(BQ$40,$K$15:$L$36,COUNTA($J$16:$J27)+1,FALSE)*M52*$D$7/$D$8</f>
        <v>0</v>
      </c>
      <c r="BR52" s="99">
        <f ca="1">HLOOKUP(BR$40,$K$15:$L$36,COUNTA($J$16:$J27)+1,FALSE)*N52*$D$7/$D$8</f>
        <v>0</v>
      </c>
      <c r="BS52" s="85">
        <f ca="1">HLOOKUP(BS$40,$K$15:$L$36,COUNTA($J$16:$J27)+1,FALSE)*O52*$D$7/$D$8</f>
        <v>0</v>
      </c>
      <c r="BT52" s="86">
        <f ca="1">HLOOKUP(BT$40,$K$15:$L$36,COUNTA($J$16:$J27)+1,FALSE)*P52*$D$7/$D$8</f>
        <v>0</v>
      </c>
      <c r="BU52" s="151">
        <f ca="1">HLOOKUP(BU$40,$K$15:$L$36,COUNTA($J$16:$J27)+1,FALSE)*Q52*$D$7/$D$8</f>
        <v>0</v>
      </c>
      <c r="BV52" s="99">
        <f ca="1">HLOOKUP(BV$40,$K$15:$L$36,COUNTA($J$16:$J27)+1,FALSE)*R52*$D$7/$D$8</f>
        <v>0</v>
      </c>
    </row>
    <row r="53" spans="6:74">
      <c r="F53" s="10">
        <f t="shared" si="118"/>
        <v>2032</v>
      </c>
      <c r="G53" s="85">
        <f ca="1">IF(OR($F53&gt;MAX('הנחות עבודה'!$B$69:$B$89),$F53&gt;$D$5),0,VLOOKUP($F53,'הספק נוסף נדרש'!$B$8:$AX$28,MATCH(G$40,'הספק נוסף נדרש'!$B$6:$AX$6,0)+(ROUNDUP((G$2-$F$2)/COUNTA($F$9:$F$10),0)-1)*COUNTA('הספק נוסף נדרש'!$C$6:$J$6),FALSE))</f>
        <v>0</v>
      </c>
      <c r="H53" s="85">
        <f ca="1">IF(OR($F53&gt;MAX('הנחות עבודה'!$B$69:$B$89),$F53&gt;$D$5),0,VLOOKUP($F53,'הספק נוסף נדרש'!$B$8:$AX$28,MATCH(H$40,'הספק נוסף נדרש'!$B$6:$AX$6,0)+(ROUNDUP((H$2-$F$2)/COUNTA($F$9:$F$10),0)-1)*COUNTA('הספק נוסף נדרש'!$C$6:$J$6),FALSE))</f>
        <v>0</v>
      </c>
      <c r="I53" s="95">
        <f ca="1">IF(OR($F53&gt;MAX('הנחות עבודה'!$B$69:$B$89),$F53&gt;$D$5),0,VLOOKUP($F53,'הספק נוסף נדרש'!$B$8:$AX$28,MATCH(I$40,'הספק נוסף נדרש'!$B$6:$AX$6,0)+(ROUNDUP((I$2-$F$2)/COUNTA($F$9:$F$10),0)-1)*COUNTA('הספק נוסף נדרש'!$C$6:$J$6),FALSE))</f>
        <v>0</v>
      </c>
      <c r="J53" s="95">
        <f ca="1">IF(OR($F53&gt;MAX('הנחות עבודה'!$B$69:$B$89),$F53&gt;$D$5),0,VLOOKUP($F53,'הספק נוסף נדרש'!$B$8:$AX$28,MATCH(J$40,'הספק נוסף נדרש'!$B$6:$AX$6,0)+(ROUNDUP((J$2-$F$2)/COUNTA($F$9:$F$10),0)-1)*COUNTA('הספק נוסף נדרש'!$C$6:$J$6),FALSE))</f>
        <v>0</v>
      </c>
      <c r="K53" s="85">
        <f ca="1">IF(OR($F53&gt;MAX('הנחות עבודה'!$B$69:$B$89),$F53&gt;$D$5),0,VLOOKUP($F53,'הספק נוסף נדרש'!$B$8:$AX$28,MATCH(K$40,'הספק נוסף נדרש'!$B$6:$AX$6,0)+(ROUNDUP((K$2-$F$2)/COUNTA($F$9:$F$10),0)-1)*COUNTA('הספק נוסף נדרש'!$C$6:$J$6),FALSE))</f>
        <v>0</v>
      </c>
      <c r="L53" s="85">
        <f ca="1">IF(OR($F53&gt;MAX('הנחות עבודה'!$B$69:$B$89),$F53&gt;$D$5),0,VLOOKUP($F53,'הספק נוסף נדרש'!$B$8:$AX$28,MATCH(L$40,'הספק נוסף נדרש'!$B$6:$AX$6,0)+(ROUNDUP((L$2-$F$2)/COUNTA($F$9:$F$10),0)-1)*COUNTA('הספק נוסף נדרש'!$C$6:$J$6),FALSE))</f>
        <v>0</v>
      </c>
      <c r="M53" s="95">
        <f ca="1">IF(OR($F53&gt;MAX('הנחות עבודה'!$B$69:$B$89),$F53&gt;$D$5),0,VLOOKUP($F53,'הספק נוסף נדרש'!$B$8:$AX$28,MATCH(M$40,'הספק נוסף נדרש'!$B$6:$AX$6,0)+(ROUNDUP((M$2-$F$2)/COUNTA($F$9:$F$10),0)-1)*COUNTA('הספק נוסף נדרש'!$C$6:$J$6),FALSE))</f>
        <v>0</v>
      </c>
      <c r="N53" s="95">
        <f ca="1">IF(OR($F53&gt;MAX('הנחות עבודה'!$B$69:$B$89),$F53&gt;$D$5),0,VLOOKUP($F53,'הספק נוסף נדרש'!$B$8:$AX$28,MATCH(N$40,'הספק נוסף נדרש'!$B$6:$AX$6,0)+(ROUNDUP((N$2-$F$2)/COUNTA($F$9:$F$10),0)-1)*COUNTA('הספק נוסף נדרש'!$C$6:$J$6),FALSE))</f>
        <v>0</v>
      </c>
      <c r="O53" s="91">
        <f ca="1">IF(OR($F53&gt;MAX('הנחות עבודה'!$B$69:$B$89),$F53&gt;$D$5),0,VLOOKUP($F53,'הספק נוסף נדרש'!$B$8:$AX$28,MATCH(O$40,'הספק נוסף נדרש'!$B$6:$AX$6,0)+(ROUNDUP((O$2-$F$2)/COUNTA($F$9:$F$10),0)-1)*COUNTA('הספק נוסף נדרש'!$C$6:$J$6),FALSE))</f>
        <v>0</v>
      </c>
      <c r="P53" s="91">
        <f ca="1">IF(OR($F53&gt;MAX('הנחות עבודה'!$B$69:$B$89),$F53&gt;$D$5),0,VLOOKUP($F53,'הספק נוסף נדרש'!$B$8:$AX$28,MATCH(P$40,'הספק נוסף נדרש'!$B$6:$AX$6,0)+(ROUNDUP((P$2-$F$2)/COUNTA($F$9:$F$10),0)-1)*COUNTA('הספק נוסף נדרש'!$C$6:$J$6),FALSE))</f>
        <v>0</v>
      </c>
      <c r="Q53" s="95">
        <f ca="1">IF(OR($F53&gt;MAX('הנחות עבודה'!$B$69:$B$89),$F53&gt;$D$5),0,VLOOKUP($F53,'הספק נוסף נדרש'!$B$8:$AX$28,MATCH(Q$40,'הספק נוסף נדרש'!$B$6:$AX$6,0)+(ROUNDUP((Q$2-$F$2)/COUNTA($F$9:$F$10),0)-1)*COUNTA('הספק נוסף נדרש'!$C$6:$J$6),FALSE))</f>
        <v>0</v>
      </c>
      <c r="R53" s="95">
        <f ca="1">IF(OR($F53&gt;MAX('הנחות עבודה'!$B$69:$B$89),$F53&gt;$D$5),0,VLOOKUP($F53,'הספק נוסף נדרש'!$B$8:$AX$28,MATCH(R$40,'הספק נוסף נדרש'!$B$6:$AX$6,0)+(ROUNDUP((R$2-$F$2)/COUNTA($F$9:$F$10),0)-1)*COUNTA('הספק נוסף נדרש'!$C$6:$J$6),FALSE))</f>
        <v>0</v>
      </c>
      <c r="S53" s="9"/>
      <c r="T53" s="10">
        <f t="shared" si="91"/>
        <v>2032</v>
      </c>
      <c r="U53" s="85">
        <f ca="1">HLOOKUP(U$40,$G$15:$H$36,COUNTA($F$16:$F28)+1,FALSE)*G53*$D$7/$D$8</f>
        <v>0</v>
      </c>
      <c r="V53" s="85">
        <f ca="1">HLOOKUP(V$40,$G$15:$H$36,COUNTA($F$16:$F28)+1,FALSE)*H53*$D$7/$D$8</f>
        <v>0</v>
      </c>
      <c r="W53" s="95">
        <f ca="1">HLOOKUP(W$40,$G$15:$H$36,COUNTA($F$16:$F28)+1,FALSE)*I53*$D$7/$D$8</f>
        <v>0</v>
      </c>
      <c r="X53" s="95">
        <f ca="1">HLOOKUP(X$40,$G$15:$H$36,COUNTA($F$16:$F28)+1,FALSE)*J53*$D$7/$D$8</f>
        <v>0</v>
      </c>
      <c r="Y53" s="85">
        <f ca="1">HLOOKUP(Y$40,$G$15:$H$36,COUNTA($F$16:$F28)+1,FALSE)*K53*$D$7/$D$8</f>
        <v>0</v>
      </c>
      <c r="Z53" s="85">
        <f ca="1">HLOOKUP(Z$40,$G$15:$H$36,COUNTA($F$16:$F28)+1,FALSE)*L53*$D$7/$D$8</f>
        <v>0</v>
      </c>
      <c r="AA53" s="95">
        <f ca="1">HLOOKUP(AA$40,$G$15:$H$36,COUNTA($F$16:$F28)+1,FALSE)*M53*$D$7/$D$8</f>
        <v>0</v>
      </c>
      <c r="AB53" s="95">
        <f ca="1">HLOOKUP(AB$40,$G$15:$H$36,COUNTA($F$16:$F28)+1,FALSE)*N53*$D$7/$D$8</f>
        <v>0</v>
      </c>
      <c r="AC53" s="91">
        <f ca="1">HLOOKUP(AC$40,$G$15:$H$36,COUNTA($F$16:$F28)+1,FALSE)*O53*$D$7/$D$8</f>
        <v>0</v>
      </c>
      <c r="AD53" s="91">
        <f ca="1">HLOOKUP(AD$40,$G$15:$H$36,COUNTA($F$16:$F28)+1,FALSE)*P53*$D$7/$D$8</f>
        <v>0</v>
      </c>
      <c r="AE53" s="95">
        <f ca="1">HLOOKUP(AE$40,$G$15:$H$36,COUNTA($F$16:$F28)+1,FALSE)*Q53*$D$7/$D$8</f>
        <v>0</v>
      </c>
      <c r="AF53" s="95">
        <f ca="1">HLOOKUP(AF$40,$G$15:$H$36,COUNTA($F$16:$F28)+1,FALSE)*R53*$D$7/$D$8</f>
        <v>0</v>
      </c>
      <c r="AH53" s="10">
        <f t="shared" si="92"/>
        <v>2032</v>
      </c>
      <c r="AI53" s="85">
        <f t="shared" ca="1" si="119"/>
        <v>1084.975311902338</v>
      </c>
      <c r="AJ53" s="86">
        <f t="shared" ca="1" si="120"/>
        <v>138.15242650958265</v>
      </c>
      <c r="AK53" s="151">
        <f t="shared" ca="1" si="121"/>
        <v>1084.975311902338</v>
      </c>
      <c r="AL53" s="95">
        <f t="shared" ca="1" si="122"/>
        <v>138.15242650958265</v>
      </c>
      <c r="AM53" s="85">
        <f t="shared" ca="1" si="88"/>
        <v>977.46978450567838</v>
      </c>
      <c r="AN53" s="86">
        <f t="shared" ca="1" si="88"/>
        <v>199.53338664948896</v>
      </c>
      <c r="AO53" s="151">
        <f t="shared" ca="1" si="88"/>
        <v>977.46978450567838</v>
      </c>
      <c r="AP53" s="95">
        <f t="shared" ca="1" si="88"/>
        <v>199.53338664948896</v>
      </c>
      <c r="AQ53" s="145">
        <f t="shared" ca="1" si="123"/>
        <v>869.96425710901906</v>
      </c>
      <c r="AR53" s="142">
        <f t="shared" ca="1" si="124"/>
        <v>301.83498688266616</v>
      </c>
      <c r="AS53" s="151">
        <f t="shared" ca="1" si="125"/>
        <v>869.96425710901906</v>
      </c>
      <c r="AT53" s="95">
        <f t="shared" ca="1" si="126"/>
        <v>301.83498688266616</v>
      </c>
      <c r="AV53" s="10">
        <f t="shared" si="101"/>
        <v>2032</v>
      </c>
      <c r="AW53" s="85">
        <f t="shared" ca="1" si="127"/>
        <v>698.39549999999986</v>
      </c>
      <c r="AX53" s="86">
        <f t="shared" ca="1" si="128"/>
        <v>111.93210000000002</v>
      </c>
      <c r="AY53" s="151">
        <f t="shared" ca="1" si="129"/>
        <v>698.39549999999986</v>
      </c>
      <c r="AZ53" s="95">
        <f t="shared" ca="1" si="130"/>
        <v>111.93210000000002</v>
      </c>
      <c r="BA53" s="85">
        <f t="shared" ca="1" si="89"/>
        <v>629.19449999999983</v>
      </c>
      <c r="BB53" s="86">
        <f t="shared" ca="1" si="89"/>
        <v>161.66340000000002</v>
      </c>
      <c r="BC53" s="151">
        <f t="shared" ca="1" si="89"/>
        <v>629.19449999999983</v>
      </c>
      <c r="BD53" s="95">
        <f t="shared" ca="1" si="89"/>
        <v>161.66340000000002</v>
      </c>
      <c r="BE53" s="145">
        <f t="shared" ca="1" si="131"/>
        <v>559.99349999999993</v>
      </c>
      <c r="BF53" s="142">
        <f t="shared" ca="1" si="132"/>
        <v>244.54890000000003</v>
      </c>
      <c r="BG53" s="151">
        <f t="shared" ca="1" si="133"/>
        <v>559.99349999999993</v>
      </c>
      <c r="BH53" s="95">
        <f t="shared" ca="1" si="134"/>
        <v>244.54890000000003</v>
      </c>
      <c r="BJ53" s="10">
        <f t="shared" si="109"/>
        <v>2032</v>
      </c>
      <c r="BK53" s="85">
        <f ca="1">HLOOKUP(BK$40,$K$15:$L$36,COUNTA($J$16:$J28)+1,FALSE)*G53*$D$7/$D$8</f>
        <v>0</v>
      </c>
      <c r="BL53" s="86">
        <f ca="1">HLOOKUP(BL$40,$K$15:$L$36,COUNTA($J$16:$J28)+1,FALSE)*H53*$D$7/$D$8</f>
        <v>0</v>
      </c>
      <c r="BM53" s="151">
        <f ca="1">HLOOKUP(BM$40,$K$15:$L$36,COUNTA($J$16:$J28)+1,FALSE)*I53*$D$7/$D$8</f>
        <v>0</v>
      </c>
      <c r="BN53" s="99">
        <f ca="1">HLOOKUP(BN$40,$K$15:$L$36,COUNTA($J$16:$J28)+1,FALSE)*J53*$D$7/$D$8</f>
        <v>0</v>
      </c>
      <c r="BO53" s="85">
        <f ca="1">HLOOKUP(BO$40,$K$15:$L$36,COUNTA($J$16:$J28)+1,FALSE)*K53*$D$7/$D$8</f>
        <v>0</v>
      </c>
      <c r="BP53" s="86">
        <f ca="1">HLOOKUP(BP$40,$K$15:$L$36,COUNTA($J$16:$J28)+1,FALSE)*L53*$D$7/$D$8</f>
        <v>0</v>
      </c>
      <c r="BQ53" s="151">
        <f ca="1">HLOOKUP(BQ$40,$K$15:$L$36,COUNTA($J$16:$J28)+1,FALSE)*M53*$D$7/$D$8</f>
        <v>0</v>
      </c>
      <c r="BR53" s="99">
        <f ca="1">HLOOKUP(BR$40,$K$15:$L$36,COUNTA($J$16:$J28)+1,FALSE)*N53*$D$7/$D$8</f>
        <v>0</v>
      </c>
      <c r="BS53" s="85">
        <f ca="1">HLOOKUP(BS$40,$K$15:$L$36,COUNTA($J$16:$J28)+1,FALSE)*O53*$D$7/$D$8</f>
        <v>0</v>
      </c>
      <c r="BT53" s="86">
        <f ca="1">HLOOKUP(BT$40,$K$15:$L$36,COUNTA($J$16:$J28)+1,FALSE)*P53*$D$7/$D$8</f>
        <v>0</v>
      </c>
      <c r="BU53" s="151">
        <f ca="1">HLOOKUP(BU$40,$K$15:$L$36,COUNTA($J$16:$J28)+1,FALSE)*Q53*$D$7/$D$8</f>
        <v>0</v>
      </c>
      <c r="BV53" s="99">
        <f ca="1">HLOOKUP(BV$40,$K$15:$L$36,COUNTA($J$16:$J28)+1,FALSE)*R53*$D$7/$D$8</f>
        <v>0</v>
      </c>
    </row>
    <row r="54" spans="6:74">
      <c r="F54" s="10">
        <f t="shared" si="118"/>
        <v>2033</v>
      </c>
      <c r="G54" s="85">
        <f ca="1">IF(OR($F54&gt;MAX('הנחות עבודה'!$B$69:$B$89),$F54&gt;$D$5),0,VLOOKUP($F54,'הספק נוסף נדרש'!$B$8:$AX$28,MATCH(G$40,'הספק נוסף נדרש'!$B$6:$AX$6,0)+(ROUNDUP((G$2-$F$2)/COUNTA($F$9:$F$10),0)-1)*COUNTA('הספק נוסף נדרש'!$C$6:$J$6),FALSE))</f>
        <v>0</v>
      </c>
      <c r="H54" s="85">
        <f ca="1">IF(OR($F54&gt;MAX('הנחות עבודה'!$B$69:$B$89),$F54&gt;$D$5),0,VLOOKUP($F54,'הספק נוסף נדרש'!$B$8:$AX$28,MATCH(H$40,'הספק נוסף נדרש'!$B$6:$AX$6,0)+(ROUNDUP((H$2-$F$2)/COUNTA($F$9:$F$10),0)-1)*COUNTA('הספק נוסף נדרש'!$C$6:$J$6),FALSE))</f>
        <v>0</v>
      </c>
      <c r="I54" s="95">
        <f ca="1">IF(OR($F54&gt;MAX('הנחות עבודה'!$B$69:$B$89),$F54&gt;$D$5),0,VLOOKUP($F54,'הספק נוסף נדרש'!$B$8:$AX$28,MATCH(I$40,'הספק נוסף נדרש'!$B$6:$AX$6,0)+(ROUNDUP((I$2-$F$2)/COUNTA($F$9:$F$10),0)-1)*COUNTA('הספק נוסף נדרש'!$C$6:$J$6),FALSE))</f>
        <v>0</v>
      </c>
      <c r="J54" s="95">
        <f ca="1">IF(OR($F54&gt;MAX('הנחות עבודה'!$B$69:$B$89),$F54&gt;$D$5),0,VLOOKUP($F54,'הספק נוסף נדרש'!$B$8:$AX$28,MATCH(J$40,'הספק נוסף נדרש'!$B$6:$AX$6,0)+(ROUNDUP((J$2-$F$2)/COUNTA($F$9:$F$10),0)-1)*COUNTA('הספק נוסף נדרש'!$C$6:$J$6),FALSE))</f>
        <v>0</v>
      </c>
      <c r="K54" s="85">
        <f ca="1">IF(OR($F54&gt;MAX('הנחות עבודה'!$B$69:$B$89),$F54&gt;$D$5),0,VLOOKUP($F54,'הספק נוסף נדרש'!$B$8:$AX$28,MATCH(K$40,'הספק נוסף נדרש'!$B$6:$AX$6,0)+(ROUNDUP((K$2-$F$2)/COUNTA($F$9:$F$10),0)-1)*COUNTA('הספק נוסף נדרש'!$C$6:$J$6),FALSE))</f>
        <v>0</v>
      </c>
      <c r="L54" s="85">
        <f ca="1">IF(OR($F54&gt;MAX('הנחות עבודה'!$B$69:$B$89),$F54&gt;$D$5),0,VLOOKUP($F54,'הספק נוסף נדרש'!$B$8:$AX$28,MATCH(L$40,'הספק נוסף נדרש'!$B$6:$AX$6,0)+(ROUNDUP((L$2-$F$2)/COUNTA($F$9:$F$10),0)-1)*COUNTA('הספק נוסף נדרש'!$C$6:$J$6),FALSE))</f>
        <v>0</v>
      </c>
      <c r="M54" s="95">
        <f ca="1">IF(OR($F54&gt;MAX('הנחות עבודה'!$B$69:$B$89),$F54&gt;$D$5),0,VLOOKUP($F54,'הספק נוסף נדרש'!$B$8:$AX$28,MATCH(M$40,'הספק נוסף נדרש'!$B$6:$AX$6,0)+(ROUNDUP((M$2-$F$2)/COUNTA($F$9:$F$10),0)-1)*COUNTA('הספק נוסף נדרש'!$C$6:$J$6),FALSE))</f>
        <v>0</v>
      </c>
      <c r="N54" s="95">
        <f ca="1">IF(OR($F54&gt;MAX('הנחות עבודה'!$B$69:$B$89),$F54&gt;$D$5),0,VLOOKUP($F54,'הספק נוסף נדרש'!$B$8:$AX$28,MATCH(N$40,'הספק נוסף נדרש'!$B$6:$AX$6,0)+(ROUNDUP((N$2-$F$2)/COUNTA($F$9:$F$10),0)-1)*COUNTA('הספק נוסף נדרש'!$C$6:$J$6),FALSE))</f>
        <v>0</v>
      </c>
      <c r="O54" s="91">
        <f ca="1">IF(OR($F54&gt;MAX('הנחות עבודה'!$B$69:$B$89),$F54&gt;$D$5),0,VLOOKUP($F54,'הספק נוסף נדרש'!$B$8:$AX$28,MATCH(O$40,'הספק נוסף נדרש'!$B$6:$AX$6,0)+(ROUNDUP((O$2-$F$2)/COUNTA($F$9:$F$10),0)-1)*COUNTA('הספק נוסף נדרש'!$C$6:$J$6),FALSE))</f>
        <v>0</v>
      </c>
      <c r="P54" s="91">
        <f ca="1">IF(OR($F54&gt;MAX('הנחות עבודה'!$B$69:$B$89),$F54&gt;$D$5),0,VLOOKUP($F54,'הספק נוסף נדרש'!$B$8:$AX$28,MATCH(P$40,'הספק נוסף נדרש'!$B$6:$AX$6,0)+(ROUNDUP((P$2-$F$2)/COUNTA($F$9:$F$10),0)-1)*COUNTA('הספק נוסף נדרש'!$C$6:$J$6),FALSE))</f>
        <v>0</v>
      </c>
      <c r="Q54" s="95">
        <f ca="1">IF(OR($F54&gt;MAX('הנחות עבודה'!$B$69:$B$89),$F54&gt;$D$5),0,VLOOKUP($F54,'הספק נוסף נדרש'!$B$8:$AX$28,MATCH(Q$40,'הספק נוסף נדרש'!$B$6:$AX$6,0)+(ROUNDUP((Q$2-$F$2)/COUNTA($F$9:$F$10),0)-1)*COUNTA('הספק נוסף נדרש'!$C$6:$J$6),FALSE))</f>
        <v>0</v>
      </c>
      <c r="R54" s="95">
        <f ca="1">IF(OR($F54&gt;MAX('הנחות עבודה'!$B$69:$B$89),$F54&gt;$D$5),0,VLOOKUP($F54,'הספק נוסף נדרש'!$B$8:$AX$28,MATCH(R$40,'הספק נוסף נדרש'!$B$6:$AX$6,0)+(ROUNDUP((R$2-$F$2)/COUNTA($F$9:$F$10),0)-1)*COUNTA('הספק נוסף נדרש'!$C$6:$J$6),FALSE))</f>
        <v>0</v>
      </c>
      <c r="S54" s="9"/>
      <c r="T54" s="10">
        <f t="shared" si="91"/>
        <v>2033</v>
      </c>
      <c r="U54" s="85">
        <f ca="1">HLOOKUP(U$40,$G$15:$H$36,COUNTA($F$16:$F29)+1,FALSE)*G54*$D$7/$D$8</f>
        <v>0</v>
      </c>
      <c r="V54" s="85">
        <f ca="1">HLOOKUP(V$40,$G$15:$H$36,COUNTA($F$16:$F29)+1,FALSE)*H54*$D$7/$D$8</f>
        <v>0</v>
      </c>
      <c r="W54" s="95">
        <f ca="1">HLOOKUP(W$40,$G$15:$H$36,COUNTA($F$16:$F29)+1,FALSE)*I54*$D$7/$D$8</f>
        <v>0</v>
      </c>
      <c r="X54" s="95">
        <f ca="1">HLOOKUP(X$40,$G$15:$H$36,COUNTA($F$16:$F29)+1,FALSE)*J54*$D$7/$D$8</f>
        <v>0</v>
      </c>
      <c r="Y54" s="85">
        <f ca="1">HLOOKUP(Y$40,$G$15:$H$36,COUNTA($F$16:$F29)+1,FALSE)*K54*$D$7/$D$8</f>
        <v>0</v>
      </c>
      <c r="Z54" s="85">
        <f ca="1">HLOOKUP(Z$40,$G$15:$H$36,COUNTA($F$16:$F29)+1,FALSE)*L54*$D$7/$D$8</f>
        <v>0</v>
      </c>
      <c r="AA54" s="95">
        <f ca="1">HLOOKUP(AA$40,$G$15:$H$36,COUNTA($F$16:$F29)+1,FALSE)*M54*$D$7/$D$8</f>
        <v>0</v>
      </c>
      <c r="AB54" s="95">
        <f ca="1">HLOOKUP(AB$40,$G$15:$H$36,COUNTA($F$16:$F29)+1,FALSE)*N54*$D$7/$D$8</f>
        <v>0</v>
      </c>
      <c r="AC54" s="91">
        <f ca="1">HLOOKUP(AC$40,$G$15:$H$36,COUNTA($F$16:$F29)+1,FALSE)*O54*$D$7/$D$8</f>
        <v>0</v>
      </c>
      <c r="AD54" s="91">
        <f ca="1">HLOOKUP(AD$40,$G$15:$H$36,COUNTA($F$16:$F29)+1,FALSE)*P54*$D$7/$D$8</f>
        <v>0</v>
      </c>
      <c r="AE54" s="95">
        <f ca="1">HLOOKUP(AE$40,$G$15:$H$36,COUNTA($F$16:$F29)+1,FALSE)*Q54*$D$7/$D$8</f>
        <v>0</v>
      </c>
      <c r="AF54" s="95">
        <f ca="1">HLOOKUP(AF$40,$G$15:$H$36,COUNTA($F$16:$F29)+1,FALSE)*R54*$D$7/$D$8</f>
        <v>0</v>
      </c>
      <c r="AH54" s="10">
        <f t="shared" si="92"/>
        <v>2033</v>
      </c>
      <c r="AI54" s="85">
        <f t="shared" ca="1" si="119"/>
        <v>1084.975311902338</v>
      </c>
      <c r="AJ54" s="86">
        <f t="shared" ca="1" si="120"/>
        <v>138.15242650958265</v>
      </c>
      <c r="AK54" s="151">
        <f t="shared" ca="1" si="121"/>
        <v>1084.975311902338</v>
      </c>
      <c r="AL54" s="95">
        <f t="shared" ca="1" si="122"/>
        <v>138.15242650958265</v>
      </c>
      <c r="AM54" s="85">
        <f t="shared" ca="1" si="88"/>
        <v>977.46978450567838</v>
      </c>
      <c r="AN54" s="86">
        <f t="shared" ca="1" si="88"/>
        <v>199.53338664948896</v>
      </c>
      <c r="AO54" s="151">
        <f t="shared" ca="1" si="88"/>
        <v>977.46978450567838</v>
      </c>
      <c r="AP54" s="95">
        <f t="shared" ca="1" si="88"/>
        <v>199.53338664948896</v>
      </c>
      <c r="AQ54" s="145">
        <f t="shared" ca="1" si="123"/>
        <v>869.96425710901906</v>
      </c>
      <c r="AR54" s="142">
        <f t="shared" ca="1" si="124"/>
        <v>301.83498688266616</v>
      </c>
      <c r="AS54" s="151">
        <f t="shared" ca="1" si="125"/>
        <v>869.96425710901906</v>
      </c>
      <c r="AT54" s="95">
        <f t="shared" ca="1" si="126"/>
        <v>301.83498688266616</v>
      </c>
      <c r="AV54" s="10">
        <f t="shared" si="101"/>
        <v>2033</v>
      </c>
      <c r="AW54" s="85">
        <f t="shared" ca="1" si="127"/>
        <v>698.39549999999986</v>
      </c>
      <c r="AX54" s="86">
        <f t="shared" ca="1" si="128"/>
        <v>111.93210000000002</v>
      </c>
      <c r="AY54" s="151">
        <f t="shared" ca="1" si="129"/>
        <v>698.39549999999986</v>
      </c>
      <c r="AZ54" s="95">
        <f t="shared" ca="1" si="130"/>
        <v>111.93210000000002</v>
      </c>
      <c r="BA54" s="85">
        <f t="shared" ca="1" si="89"/>
        <v>629.19449999999983</v>
      </c>
      <c r="BB54" s="86">
        <f t="shared" ca="1" si="89"/>
        <v>161.66340000000002</v>
      </c>
      <c r="BC54" s="151">
        <f t="shared" ca="1" si="89"/>
        <v>629.19449999999983</v>
      </c>
      <c r="BD54" s="95">
        <f t="shared" ca="1" si="89"/>
        <v>161.66340000000002</v>
      </c>
      <c r="BE54" s="145">
        <f t="shared" ca="1" si="131"/>
        <v>559.99349999999993</v>
      </c>
      <c r="BF54" s="142">
        <f t="shared" ca="1" si="132"/>
        <v>244.54890000000003</v>
      </c>
      <c r="BG54" s="151">
        <f t="shared" ca="1" si="133"/>
        <v>559.99349999999993</v>
      </c>
      <c r="BH54" s="95">
        <f t="shared" ca="1" si="134"/>
        <v>244.54890000000003</v>
      </c>
      <c r="BJ54" s="10">
        <f t="shared" si="109"/>
        <v>2033</v>
      </c>
      <c r="BK54" s="85">
        <f ca="1">HLOOKUP(BK$40,$K$15:$L$36,COUNTA($J$16:$J29)+1,FALSE)*G54*$D$7/$D$8</f>
        <v>0</v>
      </c>
      <c r="BL54" s="86">
        <f ca="1">HLOOKUP(BL$40,$K$15:$L$36,COUNTA($J$16:$J29)+1,FALSE)*H54*$D$7/$D$8</f>
        <v>0</v>
      </c>
      <c r="BM54" s="151">
        <f ca="1">HLOOKUP(BM$40,$K$15:$L$36,COUNTA($J$16:$J29)+1,FALSE)*I54*$D$7/$D$8</f>
        <v>0</v>
      </c>
      <c r="BN54" s="99">
        <f ca="1">HLOOKUP(BN$40,$K$15:$L$36,COUNTA($J$16:$J29)+1,FALSE)*J54*$D$7/$D$8</f>
        <v>0</v>
      </c>
      <c r="BO54" s="85">
        <f ca="1">HLOOKUP(BO$40,$K$15:$L$36,COUNTA($J$16:$J29)+1,FALSE)*K54*$D$7/$D$8</f>
        <v>0</v>
      </c>
      <c r="BP54" s="86">
        <f ca="1">HLOOKUP(BP$40,$K$15:$L$36,COUNTA($J$16:$J29)+1,FALSE)*L54*$D$7/$D$8</f>
        <v>0</v>
      </c>
      <c r="BQ54" s="151">
        <f ca="1">HLOOKUP(BQ$40,$K$15:$L$36,COUNTA($J$16:$J29)+1,FALSE)*M54*$D$7/$D$8</f>
        <v>0</v>
      </c>
      <c r="BR54" s="99">
        <f ca="1">HLOOKUP(BR$40,$K$15:$L$36,COUNTA($J$16:$J29)+1,FALSE)*N54*$D$7/$D$8</f>
        <v>0</v>
      </c>
      <c r="BS54" s="85">
        <f ca="1">HLOOKUP(BS$40,$K$15:$L$36,COUNTA($J$16:$J29)+1,FALSE)*O54*$D$7/$D$8</f>
        <v>0</v>
      </c>
      <c r="BT54" s="86">
        <f ca="1">HLOOKUP(BT$40,$K$15:$L$36,COUNTA($J$16:$J29)+1,FALSE)*P54*$D$7/$D$8</f>
        <v>0</v>
      </c>
      <c r="BU54" s="151">
        <f ca="1">HLOOKUP(BU$40,$K$15:$L$36,COUNTA($J$16:$J29)+1,FALSE)*Q54*$D$7/$D$8</f>
        <v>0</v>
      </c>
      <c r="BV54" s="99">
        <f ca="1">HLOOKUP(BV$40,$K$15:$L$36,COUNTA($J$16:$J29)+1,FALSE)*R54*$D$7/$D$8</f>
        <v>0</v>
      </c>
    </row>
    <row r="55" spans="6:74">
      <c r="F55" s="10">
        <f t="shared" si="118"/>
        <v>2034</v>
      </c>
      <c r="G55" s="85">
        <f ca="1">IF(OR($F55&gt;MAX('הנחות עבודה'!$B$69:$B$89),$F55&gt;$D$5),0,VLOOKUP($F55,'הספק נוסף נדרש'!$B$8:$AX$28,MATCH(G$40,'הספק נוסף נדרש'!$B$6:$AX$6,0)+(ROUNDUP((G$2-$F$2)/COUNTA($F$9:$F$10),0)-1)*COUNTA('הספק נוסף נדרש'!$C$6:$J$6),FALSE))</f>
        <v>0</v>
      </c>
      <c r="H55" s="85">
        <f ca="1">IF(OR($F55&gt;MAX('הנחות עבודה'!$B$69:$B$89),$F55&gt;$D$5),0,VLOOKUP($F55,'הספק נוסף נדרש'!$B$8:$AX$28,MATCH(H$40,'הספק נוסף נדרש'!$B$6:$AX$6,0)+(ROUNDUP((H$2-$F$2)/COUNTA($F$9:$F$10),0)-1)*COUNTA('הספק נוסף נדרש'!$C$6:$J$6),FALSE))</f>
        <v>0</v>
      </c>
      <c r="I55" s="95">
        <f ca="1">IF(OR($F55&gt;MAX('הנחות עבודה'!$B$69:$B$89),$F55&gt;$D$5),0,VLOOKUP($F55,'הספק נוסף נדרש'!$B$8:$AX$28,MATCH(I$40,'הספק נוסף נדרש'!$B$6:$AX$6,0)+(ROUNDUP((I$2-$F$2)/COUNTA($F$9:$F$10),0)-1)*COUNTA('הספק נוסף נדרש'!$C$6:$J$6),FALSE))</f>
        <v>0</v>
      </c>
      <c r="J55" s="95">
        <f ca="1">IF(OR($F55&gt;MAX('הנחות עבודה'!$B$69:$B$89),$F55&gt;$D$5),0,VLOOKUP($F55,'הספק נוסף נדרש'!$B$8:$AX$28,MATCH(J$40,'הספק נוסף נדרש'!$B$6:$AX$6,0)+(ROUNDUP((J$2-$F$2)/COUNTA($F$9:$F$10),0)-1)*COUNTA('הספק נוסף נדרש'!$C$6:$J$6),FALSE))</f>
        <v>0</v>
      </c>
      <c r="K55" s="85">
        <f ca="1">IF(OR($F55&gt;MAX('הנחות עבודה'!$B$69:$B$89),$F55&gt;$D$5),0,VLOOKUP($F55,'הספק נוסף נדרש'!$B$8:$AX$28,MATCH(K$40,'הספק נוסף נדרש'!$B$6:$AX$6,0)+(ROUNDUP((K$2-$F$2)/COUNTA($F$9:$F$10),0)-1)*COUNTA('הספק נוסף נדרש'!$C$6:$J$6),FALSE))</f>
        <v>0</v>
      </c>
      <c r="L55" s="85">
        <f ca="1">IF(OR($F55&gt;MAX('הנחות עבודה'!$B$69:$B$89),$F55&gt;$D$5),0,VLOOKUP($F55,'הספק נוסף נדרש'!$B$8:$AX$28,MATCH(L$40,'הספק נוסף נדרש'!$B$6:$AX$6,0)+(ROUNDUP((L$2-$F$2)/COUNTA($F$9:$F$10),0)-1)*COUNTA('הספק נוסף נדרש'!$C$6:$J$6),FALSE))</f>
        <v>0</v>
      </c>
      <c r="M55" s="95">
        <f ca="1">IF(OR($F55&gt;MAX('הנחות עבודה'!$B$69:$B$89),$F55&gt;$D$5),0,VLOOKUP($F55,'הספק נוסף נדרש'!$B$8:$AX$28,MATCH(M$40,'הספק נוסף נדרש'!$B$6:$AX$6,0)+(ROUNDUP((M$2-$F$2)/COUNTA($F$9:$F$10),0)-1)*COUNTA('הספק נוסף נדרש'!$C$6:$J$6),FALSE))</f>
        <v>0</v>
      </c>
      <c r="N55" s="95">
        <f ca="1">IF(OR($F55&gt;MAX('הנחות עבודה'!$B$69:$B$89),$F55&gt;$D$5),0,VLOOKUP($F55,'הספק נוסף נדרש'!$B$8:$AX$28,MATCH(N$40,'הספק נוסף נדרש'!$B$6:$AX$6,0)+(ROUNDUP((N$2-$F$2)/COUNTA($F$9:$F$10),0)-1)*COUNTA('הספק נוסף נדרש'!$C$6:$J$6),FALSE))</f>
        <v>0</v>
      </c>
      <c r="O55" s="91">
        <f ca="1">IF(OR($F55&gt;MAX('הנחות עבודה'!$B$69:$B$89),$F55&gt;$D$5),0,VLOOKUP($F55,'הספק נוסף נדרש'!$B$8:$AX$28,MATCH(O$40,'הספק נוסף נדרש'!$B$6:$AX$6,0)+(ROUNDUP((O$2-$F$2)/COUNTA($F$9:$F$10),0)-1)*COUNTA('הספק נוסף נדרש'!$C$6:$J$6),FALSE))</f>
        <v>0</v>
      </c>
      <c r="P55" s="91">
        <f ca="1">IF(OR($F55&gt;MAX('הנחות עבודה'!$B$69:$B$89),$F55&gt;$D$5),0,VLOOKUP($F55,'הספק נוסף נדרש'!$B$8:$AX$28,MATCH(P$40,'הספק נוסף נדרש'!$B$6:$AX$6,0)+(ROUNDUP((P$2-$F$2)/COUNTA($F$9:$F$10),0)-1)*COUNTA('הספק נוסף נדרש'!$C$6:$J$6),FALSE))</f>
        <v>0</v>
      </c>
      <c r="Q55" s="95">
        <f ca="1">IF(OR($F55&gt;MAX('הנחות עבודה'!$B$69:$B$89),$F55&gt;$D$5),0,VLOOKUP($F55,'הספק נוסף נדרש'!$B$8:$AX$28,MATCH(Q$40,'הספק נוסף נדרש'!$B$6:$AX$6,0)+(ROUNDUP((Q$2-$F$2)/COUNTA($F$9:$F$10),0)-1)*COUNTA('הספק נוסף נדרש'!$C$6:$J$6),FALSE))</f>
        <v>0</v>
      </c>
      <c r="R55" s="95">
        <f ca="1">IF(OR($F55&gt;MAX('הנחות עבודה'!$B$69:$B$89),$F55&gt;$D$5),0,VLOOKUP($F55,'הספק נוסף נדרש'!$B$8:$AX$28,MATCH(R$40,'הספק נוסף נדרש'!$B$6:$AX$6,0)+(ROUNDUP((R$2-$F$2)/COUNTA($F$9:$F$10),0)-1)*COUNTA('הספק נוסף נדרש'!$C$6:$J$6),FALSE))</f>
        <v>0</v>
      </c>
      <c r="S55" s="9"/>
      <c r="T55" s="10">
        <f t="shared" si="91"/>
        <v>2034</v>
      </c>
      <c r="U55" s="85">
        <f ca="1">HLOOKUP(U$40,$G$15:$H$36,COUNTA($F$16:$F30)+1,FALSE)*G55*$D$7/$D$8</f>
        <v>0</v>
      </c>
      <c r="V55" s="85">
        <f ca="1">HLOOKUP(V$40,$G$15:$H$36,COUNTA($F$16:$F30)+1,FALSE)*H55*$D$7/$D$8</f>
        <v>0</v>
      </c>
      <c r="W55" s="95">
        <f ca="1">HLOOKUP(W$40,$G$15:$H$36,COUNTA($F$16:$F30)+1,FALSE)*I55*$D$7/$D$8</f>
        <v>0</v>
      </c>
      <c r="X55" s="95">
        <f ca="1">HLOOKUP(X$40,$G$15:$H$36,COUNTA($F$16:$F30)+1,FALSE)*J55*$D$7/$D$8</f>
        <v>0</v>
      </c>
      <c r="Y55" s="85">
        <f ca="1">HLOOKUP(Y$40,$G$15:$H$36,COUNTA($F$16:$F30)+1,FALSE)*K55*$D$7/$D$8</f>
        <v>0</v>
      </c>
      <c r="Z55" s="85">
        <f ca="1">HLOOKUP(Z$40,$G$15:$H$36,COUNTA($F$16:$F30)+1,FALSE)*L55*$D$7/$D$8</f>
        <v>0</v>
      </c>
      <c r="AA55" s="95">
        <f ca="1">HLOOKUP(AA$40,$G$15:$H$36,COUNTA($F$16:$F30)+1,FALSE)*M55*$D$7/$D$8</f>
        <v>0</v>
      </c>
      <c r="AB55" s="95">
        <f ca="1">HLOOKUP(AB$40,$G$15:$H$36,COUNTA($F$16:$F30)+1,FALSE)*N55*$D$7/$D$8</f>
        <v>0</v>
      </c>
      <c r="AC55" s="91">
        <f ca="1">HLOOKUP(AC$40,$G$15:$H$36,COUNTA($F$16:$F30)+1,FALSE)*O55*$D$7/$D$8</f>
        <v>0</v>
      </c>
      <c r="AD55" s="91">
        <f ca="1">HLOOKUP(AD$40,$G$15:$H$36,COUNTA($F$16:$F30)+1,FALSE)*P55*$D$7/$D$8</f>
        <v>0</v>
      </c>
      <c r="AE55" s="95">
        <f ca="1">HLOOKUP(AE$40,$G$15:$H$36,COUNTA($F$16:$F30)+1,FALSE)*Q55*$D$7/$D$8</f>
        <v>0</v>
      </c>
      <c r="AF55" s="95">
        <f ca="1">HLOOKUP(AF$40,$G$15:$H$36,COUNTA($F$16:$F30)+1,FALSE)*R55*$D$7/$D$8</f>
        <v>0</v>
      </c>
      <c r="AH55" s="10">
        <f t="shared" si="92"/>
        <v>2034</v>
      </c>
      <c r="AI55" s="85">
        <f t="shared" ca="1" si="119"/>
        <v>1084.975311902338</v>
      </c>
      <c r="AJ55" s="86">
        <f t="shared" ca="1" si="120"/>
        <v>138.15242650958265</v>
      </c>
      <c r="AK55" s="151">
        <f t="shared" ca="1" si="121"/>
        <v>1084.975311902338</v>
      </c>
      <c r="AL55" s="95">
        <f t="shared" ca="1" si="122"/>
        <v>138.15242650958265</v>
      </c>
      <c r="AM55" s="85">
        <f t="shared" ca="1" si="88"/>
        <v>977.46978450567838</v>
      </c>
      <c r="AN55" s="86">
        <f t="shared" ca="1" si="88"/>
        <v>199.53338664948896</v>
      </c>
      <c r="AO55" s="151">
        <f t="shared" ca="1" si="88"/>
        <v>977.46978450567838</v>
      </c>
      <c r="AP55" s="95">
        <f t="shared" ca="1" si="88"/>
        <v>199.53338664948896</v>
      </c>
      <c r="AQ55" s="145">
        <f t="shared" ca="1" si="123"/>
        <v>869.96425710901906</v>
      </c>
      <c r="AR55" s="142">
        <f t="shared" ca="1" si="124"/>
        <v>301.83498688266616</v>
      </c>
      <c r="AS55" s="151">
        <f t="shared" ca="1" si="125"/>
        <v>869.96425710901906</v>
      </c>
      <c r="AT55" s="95">
        <f t="shared" ca="1" si="126"/>
        <v>301.83498688266616</v>
      </c>
      <c r="AV55" s="10">
        <f t="shared" si="101"/>
        <v>2034</v>
      </c>
      <c r="AW55" s="85">
        <f t="shared" ca="1" si="127"/>
        <v>698.39549999999986</v>
      </c>
      <c r="AX55" s="86">
        <f t="shared" ca="1" si="128"/>
        <v>111.93210000000002</v>
      </c>
      <c r="AY55" s="151">
        <f t="shared" ca="1" si="129"/>
        <v>698.39549999999986</v>
      </c>
      <c r="AZ55" s="95">
        <f t="shared" ca="1" si="130"/>
        <v>111.93210000000002</v>
      </c>
      <c r="BA55" s="85">
        <f t="shared" ca="1" si="89"/>
        <v>629.19449999999983</v>
      </c>
      <c r="BB55" s="86">
        <f t="shared" ca="1" si="89"/>
        <v>161.66340000000002</v>
      </c>
      <c r="BC55" s="151">
        <f t="shared" ca="1" si="89"/>
        <v>629.19449999999983</v>
      </c>
      <c r="BD55" s="95">
        <f t="shared" ca="1" si="89"/>
        <v>161.66340000000002</v>
      </c>
      <c r="BE55" s="145">
        <f t="shared" ca="1" si="131"/>
        <v>559.99349999999993</v>
      </c>
      <c r="BF55" s="142">
        <f t="shared" ca="1" si="132"/>
        <v>244.54890000000003</v>
      </c>
      <c r="BG55" s="151">
        <f t="shared" ca="1" si="133"/>
        <v>559.99349999999993</v>
      </c>
      <c r="BH55" s="95">
        <f t="shared" ca="1" si="134"/>
        <v>244.54890000000003</v>
      </c>
      <c r="BJ55" s="10">
        <f t="shared" si="109"/>
        <v>2034</v>
      </c>
      <c r="BK55" s="85">
        <f ca="1">HLOOKUP(BK$40,$K$15:$L$36,COUNTA($J$16:$J30)+1,FALSE)*G55*$D$7/$D$8</f>
        <v>0</v>
      </c>
      <c r="BL55" s="86">
        <f ca="1">HLOOKUP(BL$40,$K$15:$L$36,COUNTA($J$16:$J30)+1,FALSE)*H55*$D$7/$D$8</f>
        <v>0</v>
      </c>
      <c r="BM55" s="151">
        <f ca="1">HLOOKUP(BM$40,$K$15:$L$36,COUNTA($J$16:$J30)+1,FALSE)*I55*$D$7/$D$8</f>
        <v>0</v>
      </c>
      <c r="BN55" s="99">
        <f ca="1">HLOOKUP(BN$40,$K$15:$L$36,COUNTA($J$16:$J30)+1,FALSE)*J55*$D$7/$D$8</f>
        <v>0</v>
      </c>
      <c r="BO55" s="85">
        <f ca="1">HLOOKUP(BO$40,$K$15:$L$36,COUNTA($J$16:$J30)+1,FALSE)*K55*$D$7/$D$8</f>
        <v>0</v>
      </c>
      <c r="BP55" s="86">
        <f ca="1">HLOOKUP(BP$40,$K$15:$L$36,COUNTA($J$16:$J30)+1,FALSE)*L55*$D$7/$D$8</f>
        <v>0</v>
      </c>
      <c r="BQ55" s="151">
        <f ca="1">HLOOKUP(BQ$40,$K$15:$L$36,COUNTA($J$16:$J30)+1,FALSE)*M55*$D$7/$D$8</f>
        <v>0</v>
      </c>
      <c r="BR55" s="99">
        <f ca="1">HLOOKUP(BR$40,$K$15:$L$36,COUNTA($J$16:$J30)+1,FALSE)*N55*$D$7/$D$8</f>
        <v>0</v>
      </c>
      <c r="BS55" s="85">
        <f ca="1">HLOOKUP(BS$40,$K$15:$L$36,COUNTA($J$16:$J30)+1,FALSE)*O55*$D$7/$D$8</f>
        <v>0</v>
      </c>
      <c r="BT55" s="86">
        <f ca="1">HLOOKUP(BT$40,$K$15:$L$36,COUNTA($J$16:$J30)+1,FALSE)*P55*$D$7/$D$8</f>
        <v>0</v>
      </c>
      <c r="BU55" s="151">
        <f ca="1">HLOOKUP(BU$40,$K$15:$L$36,COUNTA($J$16:$J30)+1,FALSE)*Q55*$D$7/$D$8</f>
        <v>0</v>
      </c>
      <c r="BV55" s="99">
        <f ca="1">HLOOKUP(BV$40,$K$15:$L$36,COUNTA($J$16:$J30)+1,FALSE)*R55*$D$7/$D$8</f>
        <v>0</v>
      </c>
    </row>
    <row r="56" spans="6:74">
      <c r="F56" s="10">
        <f t="shared" si="118"/>
        <v>2035</v>
      </c>
      <c r="G56" s="85">
        <f ca="1">IF(OR($F56&gt;MAX('הנחות עבודה'!$B$69:$B$89),$F56&gt;$D$5),0,VLOOKUP($F56,'הספק נוסף נדרש'!$B$8:$AX$28,MATCH(G$40,'הספק נוסף נדרש'!$B$6:$AX$6,0)+(ROUNDUP((G$2-$F$2)/COUNTA($F$9:$F$10),0)-1)*COUNTA('הספק נוסף נדרש'!$C$6:$J$6),FALSE))</f>
        <v>0</v>
      </c>
      <c r="H56" s="85">
        <f ca="1">IF(OR($F56&gt;MAX('הנחות עבודה'!$B$69:$B$89),$F56&gt;$D$5),0,VLOOKUP($F56,'הספק נוסף נדרש'!$B$8:$AX$28,MATCH(H$40,'הספק נוסף נדרש'!$B$6:$AX$6,0)+(ROUNDUP((H$2-$F$2)/COUNTA($F$9:$F$10),0)-1)*COUNTA('הספק נוסף נדרש'!$C$6:$J$6),FALSE))</f>
        <v>0</v>
      </c>
      <c r="I56" s="95">
        <f ca="1">IF(OR($F56&gt;MAX('הנחות עבודה'!$B$69:$B$89),$F56&gt;$D$5),0,VLOOKUP($F56,'הספק נוסף נדרש'!$B$8:$AX$28,MATCH(I$40,'הספק נוסף נדרש'!$B$6:$AX$6,0)+(ROUNDUP((I$2-$F$2)/COUNTA($F$9:$F$10),0)-1)*COUNTA('הספק נוסף נדרש'!$C$6:$J$6),FALSE))</f>
        <v>0</v>
      </c>
      <c r="J56" s="95">
        <f ca="1">IF(OR($F56&gt;MAX('הנחות עבודה'!$B$69:$B$89),$F56&gt;$D$5),0,VLOOKUP($F56,'הספק נוסף נדרש'!$B$8:$AX$28,MATCH(J$40,'הספק נוסף נדרש'!$B$6:$AX$6,0)+(ROUNDUP((J$2-$F$2)/COUNTA($F$9:$F$10),0)-1)*COUNTA('הספק נוסף נדרש'!$C$6:$J$6),FALSE))</f>
        <v>0</v>
      </c>
      <c r="K56" s="85">
        <f ca="1">IF(OR($F56&gt;MAX('הנחות עבודה'!$B$69:$B$89),$F56&gt;$D$5),0,VLOOKUP($F56,'הספק נוסף נדרש'!$B$8:$AX$28,MATCH(K$40,'הספק נוסף נדרש'!$B$6:$AX$6,0)+(ROUNDUP((K$2-$F$2)/COUNTA($F$9:$F$10),0)-1)*COUNTA('הספק נוסף נדרש'!$C$6:$J$6),FALSE))</f>
        <v>0</v>
      </c>
      <c r="L56" s="85">
        <f ca="1">IF(OR($F56&gt;MAX('הנחות עבודה'!$B$69:$B$89),$F56&gt;$D$5),0,VLOOKUP($F56,'הספק נוסף נדרש'!$B$8:$AX$28,MATCH(L$40,'הספק נוסף נדרש'!$B$6:$AX$6,0)+(ROUNDUP((L$2-$F$2)/COUNTA($F$9:$F$10),0)-1)*COUNTA('הספק נוסף נדרש'!$C$6:$J$6),FALSE))</f>
        <v>0</v>
      </c>
      <c r="M56" s="95">
        <f ca="1">IF(OR($F56&gt;MAX('הנחות עבודה'!$B$69:$B$89),$F56&gt;$D$5),0,VLOOKUP($F56,'הספק נוסף נדרש'!$B$8:$AX$28,MATCH(M$40,'הספק נוסף נדרש'!$B$6:$AX$6,0)+(ROUNDUP((M$2-$F$2)/COUNTA($F$9:$F$10),0)-1)*COUNTA('הספק נוסף נדרש'!$C$6:$J$6),FALSE))</f>
        <v>0</v>
      </c>
      <c r="N56" s="95">
        <f ca="1">IF(OR($F56&gt;MAX('הנחות עבודה'!$B$69:$B$89),$F56&gt;$D$5),0,VLOOKUP($F56,'הספק נוסף נדרש'!$B$8:$AX$28,MATCH(N$40,'הספק נוסף נדרש'!$B$6:$AX$6,0)+(ROUNDUP((N$2-$F$2)/COUNTA($F$9:$F$10),0)-1)*COUNTA('הספק נוסף נדרש'!$C$6:$J$6),FALSE))</f>
        <v>0</v>
      </c>
      <c r="O56" s="91">
        <f ca="1">IF(OR($F56&gt;MAX('הנחות עבודה'!$B$69:$B$89),$F56&gt;$D$5),0,VLOOKUP($F56,'הספק נוסף נדרש'!$B$8:$AX$28,MATCH(O$40,'הספק נוסף נדרש'!$B$6:$AX$6,0)+(ROUNDUP((O$2-$F$2)/COUNTA($F$9:$F$10),0)-1)*COUNTA('הספק נוסף נדרש'!$C$6:$J$6),FALSE))</f>
        <v>0</v>
      </c>
      <c r="P56" s="91">
        <f ca="1">IF(OR($F56&gt;MAX('הנחות עבודה'!$B$69:$B$89),$F56&gt;$D$5),0,VLOOKUP($F56,'הספק נוסף נדרש'!$B$8:$AX$28,MATCH(P$40,'הספק נוסף נדרש'!$B$6:$AX$6,0)+(ROUNDUP((P$2-$F$2)/COUNTA($F$9:$F$10),0)-1)*COUNTA('הספק נוסף נדרש'!$C$6:$J$6),FALSE))</f>
        <v>0</v>
      </c>
      <c r="Q56" s="95">
        <f ca="1">IF(OR($F56&gt;MAX('הנחות עבודה'!$B$69:$B$89),$F56&gt;$D$5),0,VLOOKUP($F56,'הספק נוסף נדרש'!$B$8:$AX$28,MATCH(Q$40,'הספק נוסף נדרש'!$B$6:$AX$6,0)+(ROUNDUP((Q$2-$F$2)/COUNTA($F$9:$F$10),0)-1)*COUNTA('הספק נוסף נדרש'!$C$6:$J$6),FALSE))</f>
        <v>0</v>
      </c>
      <c r="R56" s="95">
        <f ca="1">IF(OR($F56&gt;MAX('הנחות עבודה'!$B$69:$B$89),$F56&gt;$D$5),0,VLOOKUP($F56,'הספק נוסף נדרש'!$B$8:$AX$28,MATCH(R$40,'הספק נוסף נדרש'!$B$6:$AX$6,0)+(ROUNDUP((R$2-$F$2)/COUNTA($F$9:$F$10),0)-1)*COUNTA('הספק נוסף נדרש'!$C$6:$J$6),FALSE))</f>
        <v>0</v>
      </c>
      <c r="S56" s="9"/>
      <c r="T56" s="10">
        <f t="shared" si="91"/>
        <v>2035</v>
      </c>
      <c r="U56" s="85">
        <f ca="1">HLOOKUP(U$40,$G$15:$H$36,COUNTA($F$16:$F31)+1,FALSE)*G56*$D$7/$D$8</f>
        <v>0</v>
      </c>
      <c r="V56" s="85">
        <f ca="1">HLOOKUP(V$40,$G$15:$H$36,COUNTA($F$16:$F31)+1,FALSE)*H56*$D$7/$D$8</f>
        <v>0</v>
      </c>
      <c r="W56" s="95">
        <f ca="1">HLOOKUP(W$40,$G$15:$H$36,COUNTA($F$16:$F31)+1,FALSE)*I56*$D$7/$D$8</f>
        <v>0</v>
      </c>
      <c r="X56" s="95">
        <f ca="1">HLOOKUP(X$40,$G$15:$H$36,COUNTA($F$16:$F31)+1,FALSE)*J56*$D$7/$D$8</f>
        <v>0</v>
      </c>
      <c r="Y56" s="85">
        <f ca="1">HLOOKUP(Y$40,$G$15:$H$36,COUNTA($F$16:$F31)+1,FALSE)*K56*$D$7/$D$8</f>
        <v>0</v>
      </c>
      <c r="Z56" s="85">
        <f ca="1">HLOOKUP(Z$40,$G$15:$H$36,COUNTA($F$16:$F31)+1,FALSE)*L56*$D$7/$D$8</f>
        <v>0</v>
      </c>
      <c r="AA56" s="95">
        <f ca="1">HLOOKUP(AA$40,$G$15:$H$36,COUNTA($F$16:$F31)+1,FALSE)*M56*$D$7/$D$8</f>
        <v>0</v>
      </c>
      <c r="AB56" s="95">
        <f ca="1">HLOOKUP(AB$40,$G$15:$H$36,COUNTA($F$16:$F31)+1,FALSE)*N56*$D$7/$D$8</f>
        <v>0</v>
      </c>
      <c r="AC56" s="91">
        <f ca="1">HLOOKUP(AC$40,$G$15:$H$36,COUNTA($F$16:$F31)+1,FALSE)*O56*$D$7/$D$8</f>
        <v>0</v>
      </c>
      <c r="AD56" s="91">
        <f ca="1">HLOOKUP(AD$40,$G$15:$H$36,COUNTA($F$16:$F31)+1,FALSE)*P56*$D$7/$D$8</f>
        <v>0</v>
      </c>
      <c r="AE56" s="95">
        <f ca="1">HLOOKUP(AE$40,$G$15:$H$36,COUNTA($F$16:$F31)+1,FALSE)*Q56*$D$7/$D$8</f>
        <v>0</v>
      </c>
      <c r="AF56" s="95">
        <f ca="1">HLOOKUP(AF$40,$G$15:$H$36,COUNTA($F$16:$F31)+1,FALSE)*R56*$D$7/$D$8</f>
        <v>0</v>
      </c>
      <c r="AH56" s="10">
        <f t="shared" si="92"/>
        <v>2035</v>
      </c>
      <c r="AI56" s="85">
        <f t="shared" ca="1" si="119"/>
        <v>1084.975311902338</v>
      </c>
      <c r="AJ56" s="86">
        <f t="shared" ca="1" si="120"/>
        <v>138.15242650958265</v>
      </c>
      <c r="AK56" s="151">
        <f t="shared" ca="1" si="121"/>
        <v>1084.975311902338</v>
      </c>
      <c r="AL56" s="95">
        <f t="shared" ca="1" si="122"/>
        <v>138.15242650958265</v>
      </c>
      <c r="AM56" s="85">
        <f t="shared" ca="1" si="88"/>
        <v>977.46978450567838</v>
      </c>
      <c r="AN56" s="86">
        <f t="shared" ca="1" si="88"/>
        <v>199.53338664948896</v>
      </c>
      <c r="AO56" s="151">
        <f t="shared" ca="1" si="88"/>
        <v>977.46978450567838</v>
      </c>
      <c r="AP56" s="95">
        <f t="shared" ca="1" si="88"/>
        <v>199.53338664948896</v>
      </c>
      <c r="AQ56" s="145">
        <f t="shared" ca="1" si="123"/>
        <v>869.96425710901906</v>
      </c>
      <c r="AR56" s="142">
        <f t="shared" ca="1" si="124"/>
        <v>301.83498688266616</v>
      </c>
      <c r="AS56" s="151">
        <f t="shared" ca="1" si="125"/>
        <v>869.96425710901906</v>
      </c>
      <c r="AT56" s="95">
        <f t="shared" ca="1" si="126"/>
        <v>301.83498688266616</v>
      </c>
      <c r="AV56" s="10">
        <f t="shared" si="101"/>
        <v>2035</v>
      </c>
      <c r="AW56" s="85">
        <f t="shared" ca="1" si="127"/>
        <v>698.39549999999986</v>
      </c>
      <c r="AX56" s="86">
        <f t="shared" ca="1" si="128"/>
        <v>111.93210000000002</v>
      </c>
      <c r="AY56" s="151">
        <f t="shared" ca="1" si="129"/>
        <v>698.39549999999986</v>
      </c>
      <c r="AZ56" s="95">
        <f t="shared" ca="1" si="130"/>
        <v>111.93210000000002</v>
      </c>
      <c r="BA56" s="85">
        <f t="shared" ca="1" si="89"/>
        <v>629.19449999999983</v>
      </c>
      <c r="BB56" s="86">
        <f t="shared" ca="1" si="89"/>
        <v>161.66340000000002</v>
      </c>
      <c r="BC56" s="151">
        <f t="shared" ca="1" si="89"/>
        <v>629.19449999999983</v>
      </c>
      <c r="BD56" s="95">
        <f t="shared" ca="1" si="89"/>
        <v>161.66340000000002</v>
      </c>
      <c r="BE56" s="145">
        <f t="shared" ca="1" si="131"/>
        <v>559.99349999999993</v>
      </c>
      <c r="BF56" s="142">
        <f t="shared" ca="1" si="132"/>
        <v>244.54890000000003</v>
      </c>
      <c r="BG56" s="151">
        <f t="shared" ca="1" si="133"/>
        <v>559.99349999999993</v>
      </c>
      <c r="BH56" s="95">
        <f t="shared" ca="1" si="134"/>
        <v>244.54890000000003</v>
      </c>
      <c r="BJ56" s="10">
        <f t="shared" si="109"/>
        <v>2035</v>
      </c>
      <c r="BK56" s="85">
        <f ca="1">HLOOKUP(BK$40,$K$15:$L$36,COUNTA($J$16:$J31)+1,FALSE)*G56*$D$7/$D$8</f>
        <v>0</v>
      </c>
      <c r="BL56" s="86">
        <f ca="1">HLOOKUP(BL$40,$K$15:$L$36,COUNTA($J$16:$J31)+1,FALSE)*H56*$D$7/$D$8</f>
        <v>0</v>
      </c>
      <c r="BM56" s="151">
        <f ca="1">HLOOKUP(BM$40,$K$15:$L$36,COUNTA($J$16:$J31)+1,FALSE)*I56*$D$7/$D$8</f>
        <v>0</v>
      </c>
      <c r="BN56" s="99">
        <f ca="1">HLOOKUP(BN$40,$K$15:$L$36,COUNTA($J$16:$J31)+1,FALSE)*J56*$D$7/$D$8</f>
        <v>0</v>
      </c>
      <c r="BO56" s="85">
        <f ca="1">HLOOKUP(BO$40,$K$15:$L$36,COUNTA($J$16:$J31)+1,FALSE)*K56*$D$7/$D$8</f>
        <v>0</v>
      </c>
      <c r="BP56" s="86">
        <f ca="1">HLOOKUP(BP$40,$K$15:$L$36,COUNTA($J$16:$J31)+1,FALSE)*L56*$D$7/$D$8</f>
        <v>0</v>
      </c>
      <c r="BQ56" s="151">
        <f ca="1">HLOOKUP(BQ$40,$K$15:$L$36,COUNTA($J$16:$J31)+1,FALSE)*M56*$D$7/$D$8</f>
        <v>0</v>
      </c>
      <c r="BR56" s="99">
        <f ca="1">HLOOKUP(BR$40,$K$15:$L$36,COUNTA($J$16:$J31)+1,FALSE)*N56*$D$7/$D$8</f>
        <v>0</v>
      </c>
      <c r="BS56" s="85">
        <f ca="1">HLOOKUP(BS$40,$K$15:$L$36,COUNTA($J$16:$J31)+1,FALSE)*O56*$D$7/$D$8</f>
        <v>0</v>
      </c>
      <c r="BT56" s="86">
        <f ca="1">HLOOKUP(BT$40,$K$15:$L$36,COUNTA($J$16:$J31)+1,FALSE)*P56*$D$7/$D$8</f>
        <v>0</v>
      </c>
      <c r="BU56" s="151">
        <f ca="1">HLOOKUP(BU$40,$K$15:$L$36,COUNTA($J$16:$J31)+1,FALSE)*Q56*$D$7/$D$8</f>
        <v>0</v>
      </c>
      <c r="BV56" s="99">
        <f ca="1">HLOOKUP(BV$40,$K$15:$L$36,COUNTA($J$16:$J31)+1,FALSE)*R56*$D$7/$D$8</f>
        <v>0</v>
      </c>
    </row>
    <row r="57" spans="6:74">
      <c r="F57" s="10">
        <f t="shared" si="118"/>
        <v>2036</v>
      </c>
      <c r="G57" s="85">
        <f ca="1">IF(OR($F57&gt;MAX('הנחות עבודה'!$B$69:$B$89),$F57&gt;$D$5),0,VLOOKUP($F57,'הספק נוסף נדרש'!$B$8:$AX$28,MATCH(G$40,'הספק נוסף נדרש'!$B$6:$AX$6,0)+(ROUNDUP((G$2-$F$2)/COUNTA($F$9:$F$10),0)-1)*COUNTA('הספק נוסף נדרש'!$C$6:$J$6),FALSE))</f>
        <v>0</v>
      </c>
      <c r="H57" s="85">
        <f ca="1">IF(OR($F57&gt;MAX('הנחות עבודה'!$B$69:$B$89),$F57&gt;$D$5),0,VLOOKUP($F57,'הספק נוסף נדרש'!$B$8:$AX$28,MATCH(H$40,'הספק נוסף נדרש'!$B$6:$AX$6,0)+(ROUNDUP((H$2-$F$2)/COUNTA($F$9:$F$10),0)-1)*COUNTA('הספק נוסף נדרש'!$C$6:$J$6),FALSE))</f>
        <v>0</v>
      </c>
      <c r="I57" s="95">
        <f ca="1">IF(OR($F57&gt;MAX('הנחות עבודה'!$B$69:$B$89),$F57&gt;$D$5),0,VLOOKUP($F57,'הספק נוסף נדרש'!$B$8:$AX$28,MATCH(I$40,'הספק נוסף נדרש'!$B$6:$AX$6,0)+(ROUNDUP((I$2-$F$2)/COUNTA($F$9:$F$10),0)-1)*COUNTA('הספק נוסף נדרש'!$C$6:$J$6),FALSE))</f>
        <v>0</v>
      </c>
      <c r="J57" s="95">
        <f ca="1">IF(OR($F57&gt;MAX('הנחות עבודה'!$B$69:$B$89),$F57&gt;$D$5),0,VLOOKUP($F57,'הספק נוסף נדרש'!$B$8:$AX$28,MATCH(J$40,'הספק נוסף נדרש'!$B$6:$AX$6,0)+(ROUNDUP((J$2-$F$2)/COUNTA($F$9:$F$10),0)-1)*COUNTA('הספק נוסף נדרש'!$C$6:$J$6),FALSE))</f>
        <v>0</v>
      </c>
      <c r="K57" s="85">
        <f ca="1">IF(OR($F57&gt;MAX('הנחות עבודה'!$B$69:$B$89),$F57&gt;$D$5),0,VLOOKUP($F57,'הספק נוסף נדרש'!$B$8:$AX$28,MATCH(K$40,'הספק נוסף נדרש'!$B$6:$AX$6,0)+(ROUNDUP((K$2-$F$2)/COUNTA($F$9:$F$10),0)-1)*COUNTA('הספק נוסף נדרש'!$C$6:$J$6),FALSE))</f>
        <v>0</v>
      </c>
      <c r="L57" s="85">
        <f ca="1">IF(OR($F57&gt;MAX('הנחות עבודה'!$B$69:$B$89),$F57&gt;$D$5),0,VLOOKUP($F57,'הספק נוסף נדרש'!$B$8:$AX$28,MATCH(L$40,'הספק נוסף נדרש'!$B$6:$AX$6,0)+(ROUNDUP((L$2-$F$2)/COUNTA($F$9:$F$10),0)-1)*COUNTA('הספק נוסף נדרש'!$C$6:$J$6),FALSE))</f>
        <v>0</v>
      </c>
      <c r="M57" s="95">
        <f ca="1">IF(OR($F57&gt;MAX('הנחות עבודה'!$B$69:$B$89),$F57&gt;$D$5),0,VLOOKUP($F57,'הספק נוסף נדרש'!$B$8:$AX$28,MATCH(M$40,'הספק נוסף נדרש'!$B$6:$AX$6,0)+(ROUNDUP((M$2-$F$2)/COUNTA($F$9:$F$10),0)-1)*COUNTA('הספק נוסף נדרש'!$C$6:$J$6),FALSE))</f>
        <v>0</v>
      </c>
      <c r="N57" s="95">
        <f ca="1">IF(OR($F57&gt;MAX('הנחות עבודה'!$B$69:$B$89),$F57&gt;$D$5),0,VLOOKUP($F57,'הספק נוסף נדרש'!$B$8:$AX$28,MATCH(N$40,'הספק נוסף נדרש'!$B$6:$AX$6,0)+(ROUNDUP((N$2-$F$2)/COUNTA($F$9:$F$10),0)-1)*COUNTA('הספק נוסף נדרש'!$C$6:$J$6),FALSE))</f>
        <v>0</v>
      </c>
      <c r="O57" s="91">
        <f ca="1">IF(OR($F57&gt;MAX('הנחות עבודה'!$B$69:$B$89),$F57&gt;$D$5),0,VLOOKUP($F57,'הספק נוסף נדרש'!$B$8:$AX$28,MATCH(O$40,'הספק נוסף נדרש'!$B$6:$AX$6,0)+(ROUNDUP((O$2-$F$2)/COUNTA($F$9:$F$10),0)-1)*COUNTA('הספק נוסף נדרש'!$C$6:$J$6),FALSE))</f>
        <v>0</v>
      </c>
      <c r="P57" s="91">
        <f ca="1">IF(OR($F57&gt;MAX('הנחות עבודה'!$B$69:$B$89),$F57&gt;$D$5),0,VLOOKUP($F57,'הספק נוסף נדרש'!$B$8:$AX$28,MATCH(P$40,'הספק נוסף נדרש'!$B$6:$AX$6,0)+(ROUNDUP((P$2-$F$2)/COUNTA($F$9:$F$10),0)-1)*COUNTA('הספק נוסף נדרש'!$C$6:$J$6),FALSE))</f>
        <v>0</v>
      </c>
      <c r="Q57" s="95">
        <f ca="1">IF(OR($F57&gt;MAX('הנחות עבודה'!$B$69:$B$89),$F57&gt;$D$5),0,VLOOKUP($F57,'הספק נוסף נדרש'!$B$8:$AX$28,MATCH(Q$40,'הספק נוסף נדרש'!$B$6:$AX$6,0)+(ROUNDUP((Q$2-$F$2)/COUNTA($F$9:$F$10),0)-1)*COUNTA('הספק נוסף נדרש'!$C$6:$J$6),FALSE))</f>
        <v>0</v>
      </c>
      <c r="R57" s="95">
        <f ca="1">IF(OR($F57&gt;MAX('הנחות עבודה'!$B$69:$B$89),$F57&gt;$D$5),0,VLOOKUP($F57,'הספק נוסף נדרש'!$B$8:$AX$28,MATCH(R$40,'הספק נוסף נדרש'!$B$6:$AX$6,0)+(ROUNDUP((R$2-$F$2)/COUNTA($F$9:$F$10),0)-1)*COUNTA('הספק נוסף נדרש'!$C$6:$J$6),FALSE))</f>
        <v>0</v>
      </c>
      <c r="S57" s="9"/>
      <c r="T57" s="10">
        <f t="shared" si="91"/>
        <v>2036</v>
      </c>
      <c r="U57" s="85">
        <f ca="1">HLOOKUP(U$40,$G$15:$H$36,COUNTA($F$16:$F32)+1,FALSE)*G57*$D$7/$D$8</f>
        <v>0</v>
      </c>
      <c r="V57" s="85">
        <f ca="1">HLOOKUP(V$40,$G$15:$H$36,COUNTA($F$16:$F32)+1,FALSE)*H57*$D$7/$D$8</f>
        <v>0</v>
      </c>
      <c r="W57" s="95">
        <f ca="1">HLOOKUP(W$40,$G$15:$H$36,COUNTA($F$16:$F32)+1,FALSE)*I57*$D$7/$D$8</f>
        <v>0</v>
      </c>
      <c r="X57" s="95">
        <f ca="1">HLOOKUP(X$40,$G$15:$H$36,COUNTA($F$16:$F32)+1,FALSE)*J57*$D$7/$D$8</f>
        <v>0</v>
      </c>
      <c r="Y57" s="85">
        <f ca="1">HLOOKUP(Y$40,$G$15:$H$36,COUNTA($F$16:$F32)+1,FALSE)*K57*$D$7/$D$8</f>
        <v>0</v>
      </c>
      <c r="Z57" s="85">
        <f ca="1">HLOOKUP(Z$40,$G$15:$H$36,COUNTA($F$16:$F32)+1,FALSE)*L57*$D$7/$D$8</f>
        <v>0</v>
      </c>
      <c r="AA57" s="95">
        <f ca="1">HLOOKUP(AA$40,$G$15:$H$36,COUNTA($F$16:$F32)+1,FALSE)*M57*$D$7/$D$8</f>
        <v>0</v>
      </c>
      <c r="AB57" s="95">
        <f ca="1">HLOOKUP(AB$40,$G$15:$H$36,COUNTA($F$16:$F32)+1,FALSE)*N57*$D$7/$D$8</f>
        <v>0</v>
      </c>
      <c r="AC57" s="91">
        <f ca="1">HLOOKUP(AC$40,$G$15:$H$36,COUNTA($F$16:$F32)+1,FALSE)*O57*$D$7/$D$8</f>
        <v>0</v>
      </c>
      <c r="AD57" s="91">
        <f ca="1">HLOOKUP(AD$40,$G$15:$H$36,COUNTA($F$16:$F32)+1,FALSE)*P57*$D$7/$D$8</f>
        <v>0</v>
      </c>
      <c r="AE57" s="95">
        <f ca="1">HLOOKUP(AE$40,$G$15:$H$36,COUNTA($F$16:$F32)+1,FALSE)*Q57*$D$7/$D$8</f>
        <v>0</v>
      </c>
      <c r="AF57" s="95">
        <f ca="1">HLOOKUP(AF$40,$G$15:$H$36,COUNTA($F$16:$F32)+1,FALSE)*R57*$D$7/$D$8</f>
        <v>0</v>
      </c>
      <c r="AH57" s="10">
        <f t="shared" si="92"/>
        <v>2036</v>
      </c>
      <c r="AI57" s="85">
        <f t="shared" ca="1" si="119"/>
        <v>1084.975311902338</v>
      </c>
      <c r="AJ57" s="86">
        <f t="shared" ca="1" si="120"/>
        <v>138.15242650958265</v>
      </c>
      <c r="AK57" s="151">
        <f t="shared" ca="1" si="121"/>
        <v>1084.975311902338</v>
      </c>
      <c r="AL57" s="95">
        <f t="shared" ca="1" si="122"/>
        <v>138.15242650958265</v>
      </c>
      <c r="AM57" s="85">
        <f t="shared" ref="AM57:AM118" ca="1" si="135">IF($AH57&gt;$D$5,0,-PMT(VLOOKUP(AM$40,$C$9:$D$10,2,FALSE),VLOOKUP(AM$40,$C$11:$D$12,2,FALSE),SUMIFS(Y$41:Y$61,$T$41:$T$61,"&gt;"&amp;($AH57-VLOOKUP(AM$40,$C$11:$D$12,2,FALSE)),$T$41:$T$61,"&lt;="&amp;($AH57))))</f>
        <v>977.46978450567838</v>
      </c>
      <c r="AN57" s="86">
        <f t="shared" ref="AN57:AN118" ca="1" si="136">IF($AH57&gt;$D$5,0,-PMT(VLOOKUP(AN$40,$C$9:$D$10,2,FALSE),VLOOKUP(AN$40,$C$11:$D$12,2,FALSE),SUMIFS(Z$41:Z$61,$T$41:$T$61,"&gt;"&amp;($AH57-VLOOKUP(AN$40,$C$11:$D$12,2,FALSE)),$T$41:$T$61,"&lt;="&amp;($AH57))))</f>
        <v>199.53338664948896</v>
      </c>
      <c r="AO57" s="151">
        <f t="shared" ref="AO57:AO118" ca="1" si="137">IF($AH57&gt;$D$5,0,-PMT(VLOOKUP(AO$40,$C$9:$D$10,2,FALSE),VLOOKUP(AO$40,$C$11:$D$12,2,FALSE),SUMIFS(AA$41:AA$61,$T$41:$T$61,"&gt;"&amp;($AH57-VLOOKUP(AO$40,$C$11:$D$12,2,FALSE)),$T$41:$T$61,"&lt;="&amp;($AH57))))</f>
        <v>977.46978450567838</v>
      </c>
      <c r="AP57" s="95">
        <f t="shared" ref="AP57:AP118" ca="1" si="138">IF($AH57&gt;$D$5,0,-PMT(VLOOKUP(AP$40,$C$9:$D$10,2,FALSE),VLOOKUP(AP$40,$C$11:$D$12,2,FALSE),SUMIFS(AB$41:AB$61,$T$41:$T$61,"&gt;"&amp;($AH57-VLOOKUP(AP$40,$C$11:$D$12,2,FALSE)),$T$41:$T$61,"&lt;="&amp;($AH57))))</f>
        <v>199.53338664948896</v>
      </c>
      <c r="AQ57" s="145">
        <f t="shared" ca="1" si="123"/>
        <v>869.96425710901906</v>
      </c>
      <c r="AR57" s="142">
        <f t="shared" ca="1" si="124"/>
        <v>301.83498688266616</v>
      </c>
      <c r="AS57" s="151">
        <f t="shared" ca="1" si="125"/>
        <v>869.96425710901906</v>
      </c>
      <c r="AT57" s="95">
        <f t="shared" ca="1" si="126"/>
        <v>301.83498688266616</v>
      </c>
      <c r="AV57" s="10">
        <f t="shared" si="101"/>
        <v>2036</v>
      </c>
      <c r="AW57" s="85">
        <f t="shared" ca="1" si="127"/>
        <v>698.39549999999986</v>
      </c>
      <c r="AX57" s="86">
        <f t="shared" ca="1" si="128"/>
        <v>111.93210000000002</v>
      </c>
      <c r="AY57" s="151">
        <f t="shared" ca="1" si="129"/>
        <v>698.39549999999986</v>
      </c>
      <c r="AZ57" s="95">
        <f t="shared" ca="1" si="130"/>
        <v>111.93210000000002</v>
      </c>
      <c r="BA57" s="85">
        <f t="shared" ref="BA57:BA118" ca="1" si="139">IF($AV57&gt;$D$5,0,SUMIFS(BO$41:BO$61,$BJ$41:$BJ$61,"&gt;"&amp;($AV57-VLOOKUP(BA$40,$C$11:$D$12,2,FALSE)),$BJ$41:$BJ$61,"&lt;="&amp;($AV57)))</f>
        <v>629.19449999999983</v>
      </c>
      <c r="BB57" s="86">
        <f t="shared" ref="BB57:BB118" ca="1" si="140">IF($AV57&gt;$D$5,0,SUMIFS(BP$41:BP$61,$BJ$41:$BJ$61,"&gt;"&amp;($AV57-VLOOKUP(BB$40,$C$11:$D$12,2,FALSE)),$BJ$41:$BJ$61,"&lt;="&amp;($AV57)))</f>
        <v>161.66340000000002</v>
      </c>
      <c r="BC57" s="151">
        <f t="shared" ref="BC57:BC118" ca="1" si="141">IF($AV57&gt;$D$5,0,SUMIFS(BQ$41:BQ$61,$BJ$41:$BJ$61,"&gt;"&amp;($AV57-VLOOKUP(BC$40,$C$11:$D$12,2,FALSE)),$BJ$41:$BJ$61,"&lt;="&amp;($AV57)))</f>
        <v>629.19449999999983</v>
      </c>
      <c r="BD57" s="95">
        <f t="shared" ref="BD57:BD118" ca="1" si="142">IF($AV57&gt;$D$5,0,SUMIFS(BR$41:BR$61,$BJ$41:$BJ$61,"&gt;"&amp;($AV57-VLOOKUP(BD$40,$C$11:$D$12,2,FALSE)),$BJ$41:$BJ$61,"&lt;="&amp;($AV57)))</f>
        <v>161.66340000000002</v>
      </c>
      <c r="BE57" s="145">
        <f t="shared" ca="1" si="131"/>
        <v>559.99349999999993</v>
      </c>
      <c r="BF57" s="142">
        <f t="shared" ca="1" si="132"/>
        <v>244.54890000000003</v>
      </c>
      <c r="BG57" s="151">
        <f t="shared" ca="1" si="133"/>
        <v>559.99349999999993</v>
      </c>
      <c r="BH57" s="95">
        <f t="shared" ca="1" si="134"/>
        <v>244.54890000000003</v>
      </c>
      <c r="BJ57" s="10">
        <f t="shared" si="109"/>
        <v>2036</v>
      </c>
      <c r="BK57" s="85">
        <f ca="1">HLOOKUP(BK$40,$K$15:$L$36,COUNTA($J$16:$J32)+1,FALSE)*G57*$D$7/$D$8</f>
        <v>0</v>
      </c>
      <c r="BL57" s="86">
        <f ca="1">HLOOKUP(BL$40,$K$15:$L$36,COUNTA($J$16:$J32)+1,FALSE)*H57*$D$7/$D$8</f>
        <v>0</v>
      </c>
      <c r="BM57" s="151">
        <f ca="1">HLOOKUP(BM$40,$K$15:$L$36,COUNTA($J$16:$J32)+1,FALSE)*I57*$D$7/$D$8</f>
        <v>0</v>
      </c>
      <c r="BN57" s="99">
        <f ca="1">HLOOKUP(BN$40,$K$15:$L$36,COUNTA($J$16:$J32)+1,FALSE)*J57*$D$7/$D$8</f>
        <v>0</v>
      </c>
      <c r="BO57" s="85">
        <f ca="1">HLOOKUP(BO$40,$K$15:$L$36,COUNTA($J$16:$J32)+1,FALSE)*K57*$D$7/$D$8</f>
        <v>0</v>
      </c>
      <c r="BP57" s="86">
        <f ca="1">HLOOKUP(BP$40,$K$15:$L$36,COUNTA($J$16:$J32)+1,FALSE)*L57*$D$7/$D$8</f>
        <v>0</v>
      </c>
      <c r="BQ57" s="151">
        <f ca="1">HLOOKUP(BQ$40,$K$15:$L$36,COUNTA($J$16:$J32)+1,FALSE)*M57*$D$7/$D$8</f>
        <v>0</v>
      </c>
      <c r="BR57" s="99">
        <f ca="1">HLOOKUP(BR$40,$K$15:$L$36,COUNTA($J$16:$J32)+1,FALSE)*N57*$D$7/$D$8</f>
        <v>0</v>
      </c>
      <c r="BS57" s="85">
        <f ca="1">HLOOKUP(BS$40,$K$15:$L$36,COUNTA($J$16:$J32)+1,FALSE)*O57*$D$7/$D$8</f>
        <v>0</v>
      </c>
      <c r="BT57" s="86">
        <f ca="1">HLOOKUP(BT$40,$K$15:$L$36,COUNTA($J$16:$J32)+1,FALSE)*P57*$D$7/$D$8</f>
        <v>0</v>
      </c>
      <c r="BU57" s="151">
        <f ca="1">HLOOKUP(BU$40,$K$15:$L$36,COUNTA($J$16:$J32)+1,FALSE)*Q57*$D$7/$D$8</f>
        <v>0</v>
      </c>
      <c r="BV57" s="99">
        <f ca="1">HLOOKUP(BV$40,$K$15:$L$36,COUNTA($J$16:$J32)+1,FALSE)*R57*$D$7/$D$8</f>
        <v>0</v>
      </c>
    </row>
    <row r="58" spans="6:74">
      <c r="F58" s="10">
        <f t="shared" si="118"/>
        <v>2037</v>
      </c>
      <c r="G58" s="85">
        <f ca="1">IF(OR($F58&gt;MAX('הנחות עבודה'!$B$69:$B$89),$F58&gt;$D$5),0,VLOOKUP($F58,'הספק נוסף נדרש'!$B$8:$AX$28,MATCH(G$40,'הספק נוסף נדרש'!$B$6:$AX$6,0)+(ROUNDUP((G$2-$F$2)/COUNTA($F$9:$F$10),0)-1)*COUNTA('הספק נוסף נדרש'!$C$6:$J$6),FALSE))</f>
        <v>0</v>
      </c>
      <c r="H58" s="85">
        <f ca="1">IF(OR($F58&gt;MAX('הנחות עבודה'!$B$69:$B$89),$F58&gt;$D$5),0,VLOOKUP($F58,'הספק נוסף נדרש'!$B$8:$AX$28,MATCH(H$40,'הספק נוסף נדרש'!$B$6:$AX$6,0)+(ROUNDUP((H$2-$F$2)/COUNTA($F$9:$F$10),0)-1)*COUNTA('הספק נוסף נדרש'!$C$6:$J$6),FALSE))</f>
        <v>0</v>
      </c>
      <c r="I58" s="95">
        <f ca="1">IF(OR($F58&gt;MAX('הנחות עבודה'!$B$69:$B$89),$F58&gt;$D$5),0,VLOOKUP($F58,'הספק נוסף נדרש'!$B$8:$AX$28,MATCH(I$40,'הספק נוסף נדרש'!$B$6:$AX$6,0)+(ROUNDUP((I$2-$F$2)/COUNTA($F$9:$F$10),0)-1)*COUNTA('הספק נוסף נדרש'!$C$6:$J$6),FALSE))</f>
        <v>0</v>
      </c>
      <c r="J58" s="95">
        <f ca="1">IF(OR($F58&gt;MAX('הנחות עבודה'!$B$69:$B$89),$F58&gt;$D$5),0,VLOOKUP($F58,'הספק נוסף נדרש'!$B$8:$AX$28,MATCH(J$40,'הספק נוסף נדרש'!$B$6:$AX$6,0)+(ROUNDUP((J$2-$F$2)/COUNTA($F$9:$F$10),0)-1)*COUNTA('הספק נוסף נדרש'!$C$6:$J$6),FALSE))</f>
        <v>0</v>
      </c>
      <c r="K58" s="85">
        <f ca="1">IF(OR($F58&gt;MAX('הנחות עבודה'!$B$69:$B$89),$F58&gt;$D$5),0,VLOOKUP($F58,'הספק נוסף נדרש'!$B$8:$AX$28,MATCH(K$40,'הספק נוסף נדרש'!$B$6:$AX$6,0)+(ROUNDUP((K$2-$F$2)/COUNTA($F$9:$F$10),0)-1)*COUNTA('הספק נוסף נדרש'!$C$6:$J$6),FALSE))</f>
        <v>0</v>
      </c>
      <c r="L58" s="85">
        <f ca="1">IF(OR($F58&gt;MAX('הנחות עבודה'!$B$69:$B$89),$F58&gt;$D$5),0,VLOOKUP($F58,'הספק נוסף נדרש'!$B$8:$AX$28,MATCH(L$40,'הספק נוסף נדרש'!$B$6:$AX$6,0)+(ROUNDUP((L$2-$F$2)/COUNTA($F$9:$F$10),0)-1)*COUNTA('הספק נוסף נדרש'!$C$6:$J$6),FALSE))</f>
        <v>0</v>
      </c>
      <c r="M58" s="95">
        <f ca="1">IF(OR($F58&gt;MAX('הנחות עבודה'!$B$69:$B$89),$F58&gt;$D$5),0,VLOOKUP($F58,'הספק נוסף נדרש'!$B$8:$AX$28,MATCH(M$40,'הספק נוסף נדרש'!$B$6:$AX$6,0)+(ROUNDUP((M$2-$F$2)/COUNTA($F$9:$F$10),0)-1)*COUNTA('הספק נוסף נדרש'!$C$6:$J$6),FALSE))</f>
        <v>0</v>
      </c>
      <c r="N58" s="95">
        <f ca="1">IF(OR($F58&gt;MAX('הנחות עבודה'!$B$69:$B$89),$F58&gt;$D$5),0,VLOOKUP($F58,'הספק נוסף נדרש'!$B$8:$AX$28,MATCH(N$40,'הספק נוסף נדרש'!$B$6:$AX$6,0)+(ROUNDUP((N$2-$F$2)/COUNTA($F$9:$F$10),0)-1)*COUNTA('הספק נוסף נדרש'!$C$6:$J$6),FALSE))</f>
        <v>0</v>
      </c>
      <c r="O58" s="91">
        <f ca="1">IF(OR($F58&gt;MAX('הנחות עבודה'!$B$69:$B$89),$F58&gt;$D$5),0,VLOOKUP($F58,'הספק נוסף נדרש'!$B$8:$AX$28,MATCH(O$40,'הספק נוסף נדרש'!$B$6:$AX$6,0)+(ROUNDUP((O$2-$F$2)/COUNTA($F$9:$F$10),0)-1)*COUNTA('הספק נוסף נדרש'!$C$6:$J$6),FALSE))</f>
        <v>0</v>
      </c>
      <c r="P58" s="91">
        <f ca="1">IF(OR($F58&gt;MAX('הנחות עבודה'!$B$69:$B$89),$F58&gt;$D$5),0,VLOOKUP($F58,'הספק נוסף נדרש'!$B$8:$AX$28,MATCH(P$40,'הספק נוסף נדרש'!$B$6:$AX$6,0)+(ROUNDUP((P$2-$F$2)/COUNTA($F$9:$F$10),0)-1)*COUNTA('הספק נוסף נדרש'!$C$6:$J$6),FALSE))</f>
        <v>0</v>
      </c>
      <c r="Q58" s="95">
        <f ca="1">IF(OR($F58&gt;MAX('הנחות עבודה'!$B$69:$B$89),$F58&gt;$D$5),0,VLOOKUP($F58,'הספק נוסף נדרש'!$B$8:$AX$28,MATCH(Q$40,'הספק נוסף נדרש'!$B$6:$AX$6,0)+(ROUNDUP((Q$2-$F$2)/COUNTA($F$9:$F$10),0)-1)*COUNTA('הספק נוסף נדרש'!$C$6:$J$6),FALSE))</f>
        <v>0</v>
      </c>
      <c r="R58" s="95">
        <f ca="1">IF(OR($F58&gt;MAX('הנחות עבודה'!$B$69:$B$89),$F58&gt;$D$5),0,VLOOKUP($F58,'הספק נוסף נדרש'!$B$8:$AX$28,MATCH(R$40,'הספק נוסף נדרש'!$B$6:$AX$6,0)+(ROUNDUP((R$2-$F$2)/COUNTA($F$9:$F$10),0)-1)*COUNTA('הספק נוסף נדרש'!$C$6:$J$6),FALSE))</f>
        <v>0</v>
      </c>
      <c r="S58" s="9"/>
      <c r="T58" s="10">
        <f t="shared" si="91"/>
        <v>2037</v>
      </c>
      <c r="U58" s="85">
        <f ca="1">HLOOKUP(U$40,$G$15:$H$36,COUNTA($F$16:$F33)+1,FALSE)*G58*$D$7/$D$8</f>
        <v>0</v>
      </c>
      <c r="V58" s="85">
        <f ca="1">HLOOKUP(V$40,$G$15:$H$36,COUNTA($F$16:$F33)+1,FALSE)*H58*$D$7/$D$8</f>
        <v>0</v>
      </c>
      <c r="W58" s="95">
        <f ca="1">HLOOKUP(W$40,$G$15:$H$36,COUNTA($F$16:$F33)+1,FALSE)*I58*$D$7/$D$8</f>
        <v>0</v>
      </c>
      <c r="X58" s="95">
        <f ca="1">HLOOKUP(X$40,$G$15:$H$36,COUNTA($F$16:$F33)+1,FALSE)*J58*$D$7/$D$8</f>
        <v>0</v>
      </c>
      <c r="Y58" s="85">
        <f ca="1">HLOOKUP(Y$40,$G$15:$H$36,COUNTA($F$16:$F33)+1,FALSE)*K58*$D$7/$D$8</f>
        <v>0</v>
      </c>
      <c r="Z58" s="85">
        <f ca="1">HLOOKUP(Z$40,$G$15:$H$36,COUNTA($F$16:$F33)+1,FALSE)*L58*$D$7/$D$8</f>
        <v>0</v>
      </c>
      <c r="AA58" s="95">
        <f ca="1">HLOOKUP(AA$40,$G$15:$H$36,COUNTA($F$16:$F33)+1,FALSE)*M58*$D$7/$D$8</f>
        <v>0</v>
      </c>
      <c r="AB58" s="95">
        <f ca="1">HLOOKUP(AB$40,$G$15:$H$36,COUNTA($F$16:$F33)+1,FALSE)*N58*$D$7/$D$8</f>
        <v>0</v>
      </c>
      <c r="AC58" s="91">
        <f ca="1">HLOOKUP(AC$40,$G$15:$H$36,COUNTA($F$16:$F33)+1,FALSE)*O58*$D$7/$D$8</f>
        <v>0</v>
      </c>
      <c r="AD58" s="91">
        <f ca="1">HLOOKUP(AD$40,$G$15:$H$36,COUNTA($F$16:$F33)+1,FALSE)*P58*$D$7/$D$8</f>
        <v>0</v>
      </c>
      <c r="AE58" s="95">
        <f ca="1">HLOOKUP(AE$40,$G$15:$H$36,COUNTA($F$16:$F33)+1,FALSE)*Q58*$D$7/$D$8</f>
        <v>0</v>
      </c>
      <c r="AF58" s="95">
        <f ca="1">HLOOKUP(AF$40,$G$15:$H$36,COUNTA($F$16:$F33)+1,FALSE)*R58*$D$7/$D$8</f>
        <v>0</v>
      </c>
      <c r="AH58" s="10">
        <f t="shared" si="92"/>
        <v>2037</v>
      </c>
      <c r="AI58" s="85">
        <f t="shared" ca="1" si="119"/>
        <v>1084.975311902338</v>
      </c>
      <c r="AJ58" s="86">
        <f t="shared" ca="1" si="120"/>
        <v>138.15242650958265</v>
      </c>
      <c r="AK58" s="151">
        <f t="shared" ca="1" si="121"/>
        <v>1084.975311902338</v>
      </c>
      <c r="AL58" s="95">
        <f t="shared" ca="1" si="122"/>
        <v>138.15242650958265</v>
      </c>
      <c r="AM58" s="85">
        <f t="shared" ca="1" si="135"/>
        <v>977.46978450567838</v>
      </c>
      <c r="AN58" s="86">
        <f t="shared" ca="1" si="136"/>
        <v>199.53338664948896</v>
      </c>
      <c r="AO58" s="151">
        <f t="shared" ca="1" si="137"/>
        <v>977.46978450567838</v>
      </c>
      <c r="AP58" s="95">
        <f t="shared" ca="1" si="138"/>
        <v>199.53338664948896</v>
      </c>
      <c r="AQ58" s="145">
        <f t="shared" ca="1" si="123"/>
        <v>869.96425710901906</v>
      </c>
      <c r="AR58" s="142">
        <f t="shared" ca="1" si="124"/>
        <v>301.83498688266616</v>
      </c>
      <c r="AS58" s="151">
        <f t="shared" ca="1" si="125"/>
        <v>869.96425710901906</v>
      </c>
      <c r="AT58" s="95">
        <f t="shared" ca="1" si="126"/>
        <v>301.83498688266616</v>
      </c>
      <c r="AV58" s="10">
        <f t="shared" si="101"/>
        <v>2037</v>
      </c>
      <c r="AW58" s="85">
        <f t="shared" ca="1" si="127"/>
        <v>698.39549999999986</v>
      </c>
      <c r="AX58" s="86">
        <f t="shared" ca="1" si="128"/>
        <v>111.93210000000002</v>
      </c>
      <c r="AY58" s="151">
        <f t="shared" ca="1" si="129"/>
        <v>698.39549999999986</v>
      </c>
      <c r="AZ58" s="95">
        <f t="shared" ca="1" si="130"/>
        <v>111.93210000000002</v>
      </c>
      <c r="BA58" s="85">
        <f t="shared" ca="1" si="139"/>
        <v>629.19449999999983</v>
      </c>
      <c r="BB58" s="86">
        <f t="shared" ca="1" si="140"/>
        <v>161.66340000000002</v>
      </c>
      <c r="BC58" s="151">
        <f t="shared" ca="1" si="141"/>
        <v>629.19449999999983</v>
      </c>
      <c r="BD58" s="95">
        <f t="shared" ca="1" si="142"/>
        <v>161.66340000000002</v>
      </c>
      <c r="BE58" s="145">
        <f t="shared" ca="1" si="131"/>
        <v>559.99349999999993</v>
      </c>
      <c r="BF58" s="142">
        <f t="shared" ca="1" si="132"/>
        <v>244.54890000000003</v>
      </c>
      <c r="BG58" s="151">
        <f t="shared" ca="1" si="133"/>
        <v>559.99349999999993</v>
      </c>
      <c r="BH58" s="95">
        <f t="shared" ca="1" si="134"/>
        <v>244.54890000000003</v>
      </c>
      <c r="BJ58" s="10">
        <f t="shared" si="109"/>
        <v>2037</v>
      </c>
      <c r="BK58" s="85">
        <f ca="1">HLOOKUP(BK$40,$K$15:$L$36,COUNTA($J$16:$J33)+1,FALSE)*G58*$D$7/$D$8</f>
        <v>0</v>
      </c>
      <c r="BL58" s="86">
        <f ca="1">HLOOKUP(BL$40,$K$15:$L$36,COUNTA($J$16:$J33)+1,FALSE)*H58*$D$7/$D$8</f>
        <v>0</v>
      </c>
      <c r="BM58" s="151">
        <f ca="1">HLOOKUP(BM$40,$K$15:$L$36,COUNTA($J$16:$J33)+1,FALSE)*I58*$D$7/$D$8</f>
        <v>0</v>
      </c>
      <c r="BN58" s="99">
        <f ca="1">HLOOKUP(BN$40,$K$15:$L$36,COUNTA($J$16:$J33)+1,FALSE)*J58*$D$7/$D$8</f>
        <v>0</v>
      </c>
      <c r="BO58" s="85">
        <f ca="1">HLOOKUP(BO$40,$K$15:$L$36,COUNTA($J$16:$J33)+1,FALSE)*K58*$D$7/$D$8</f>
        <v>0</v>
      </c>
      <c r="BP58" s="86">
        <f ca="1">HLOOKUP(BP$40,$K$15:$L$36,COUNTA($J$16:$J33)+1,FALSE)*L58*$D$7/$D$8</f>
        <v>0</v>
      </c>
      <c r="BQ58" s="151">
        <f ca="1">HLOOKUP(BQ$40,$K$15:$L$36,COUNTA($J$16:$J33)+1,FALSE)*M58*$D$7/$D$8</f>
        <v>0</v>
      </c>
      <c r="BR58" s="99">
        <f ca="1">HLOOKUP(BR$40,$K$15:$L$36,COUNTA($J$16:$J33)+1,FALSE)*N58*$D$7/$D$8</f>
        <v>0</v>
      </c>
      <c r="BS58" s="85">
        <f ca="1">HLOOKUP(BS$40,$K$15:$L$36,COUNTA($J$16:$J33)+1,FALSE)*O58*$D$7/$D$8</f>
        <v>0</v>
      </c>
      <c r="BT58" s="86">
        <f ca="1">HLOOKUP(BT$40,$K$15:$L$36,COUNTA($J$16:$J33)+1,FALSE)*P58*$D$7/$D$8</f>
        <v>0</v>
      </c>
      <c r="BU58" s="151">
        <f ca="1">HLOOKUP(BU$40,$K$15:$L$36,COUNTA($J$16:$J33)+1,FALSE)*Q58*$D$7/$D$8</f>
        <v>0</v>
      </c>
      <c r="BV58" s="99">
        <f ca="1">HLOOKUP(BV$40,$K$15:$L$36,COUNTA($J$16:$J33)+1,FALSE)*R58*$D$7/$D$8</f>
        <v>0</v>
      </c>
    </row>
    <row r="59" spans="6:74">
      <c r="F59" s="10">
        <f t="shared" si="118"/>
        <v>2038</v>
      </c>
      <c r="G59" s="85">
        <f ca="1">IF(OR($F59&gt;MAX('הנחות עבודה'!$B$69:$B$89),$F59&gt;$D$5),0,VLOOKUP($F59,'הספק נוסף נדרש'!$B$8:$AX$28,MATCH(G$40,'הספק נוסף נדרש'!$B$6:$AX$6,0)+(ROUNDUP((G$2-$F$2)/COUNTA($F$9:$F$10),0)-1)*COUNTA('הספק נוסף נדרש'!$C$6:$J$6),FALSE))</f>
        <v>0</v>
      </c>
      <c r="H59" s="85">
        <f ca="1">IF(OR($F59&gt;MAX('הנחות עבודה'!$B$69:$B$89),$F59&gt;$D$5),0,VLOOKUP($F59,'הספק נוסף נדרש'!$B$8:$AX$28,MATCH(H$40,'הספק נוסף נדרש'!$B$6:$AX$6,0)+(ROUNDUP((H$2-$F$2)/COUNTA($F$9:$F$10),0)-1)*COUNTA('הספק נוסף נדרש'!$C$6:$J$6),FALSE))</f>
        <v>0</v>
      </c>
      <c r="I59" s="95">
        <f ca="1">IF(OR($F59&gt;MAX('הנחות עבודה'!$B$69:$B$89),$F59&gt;$D$5),0,VLOOKUP($F59,'הספק נוסף נדרש'!$B$8:$AX$28,MATCH(I$40,'הספק נוסף נדרש'!$B$6:$AX$6,0)+(ROUNDUP((I$2-$F$2)/COUNTA($F$9:$F$10),0)-1)*COUNTA('הספק נוסף נדרש'!$C$6:$J$6),FALSE))</f>
        <v>0</v>
      </c>
      <c r="J59" s="95">
        <f ca="1">IF(OR($F59&gt;MAX('הנחות עבודה'!$B$69:$B$89),$F59&gt;$D$5),0,VLOOKUP($F59,'הספק נוסף נדרש'!$B$8:$AX$28,MATCH(J$40,'הספק נוסף נדרש'!$B$6:$AX$6,0)+(ROUNDUP((J$2-$F$2)/COUNTA($F$9:$F$10),0)-1)*COUNTA('הספק נוסף נדרש'!$C$6:$J$6),FALSE))</f>
        <v>0</v>
      </c>
      <c r="K59" s="85">
        <f ca="1">IF(OR($F59&gt;MAX('הנחות עבודה'!$B$69:$B$89),$F59&gt;$D$5),0,VLOOKUP($F59,'הספק נוסף נדרש'!$B$8:$AX$28,MATCH(K$40,'הספק נוסף נדרש'!$B$6:$AX$6,0)+(ROUNDUP((K$2-$F$2)/COUNTA($F$9:$F$10),0)-1)*COUNTA('הספק נוסף נדרש'!$C$6:$J$6),FALSE))</f>
        <v>0</v>
      </c>
      <c r="L59" s="85">
        <f ca="1">IF(OR($F59&gt;MAX('הנחות עבודה'!$B$69:$B$89),$F59&gt;$D$5),0,VLOOKUP($F59,'הספק נוסף נדרש'!$B$8:$AX$28,MATCH(L$40,'הספק נוסף נדרש'!$B$6:$AX$6,0)+(ROUNDUP((L$2-$F$2)/COUNTA($F$9:$F$10),0)-1)*COUNTA('הספק נוסף נדרש'!$C$6:$J$6),FALSE))</f>
        <v>0</v>
      </c>
      <c r="M59" s="95">
        <f ca="1">IF(OR($F59&gt;MAX('הנחות עבודה'!$B$69:$B$89),$F59&gt;$D$5),0,VLOOKUP($F59,'הספק נוסף נדרש'!$B$8:$AX$28,MATCH(M$40,'הספק נוסף נדרש'!$B$6:$AX$6,0)+(ROUNDUP((M$2-$F$2)/COUNTA($F$9:$F$10),0)-1)*COUNTA('הספק נוסף נדרש'!$C$6:$J$6),FALSE))</f>
        <v>0</v>
      </c>
      <c r="N59" s="95">
        <f ca="1">IF(OR($F59&gt;MAX('הנחות עבודה'!$B$69:$B$89),$F59&gt;$D$5),0,VLOOKUP($F59,'הספק נוסף נדרש'!$B$8:$AX$28,MATCH(N$40,'הספק נוסף נדרש'!$B$6:$AX$6,0)+(ROUNDUP((N$2-$F$2)/COUNTA($F$9:$F$10),0)-1)*COUNTA('הספק נוסף נדרש'!$C$6:$J$6),FALSE))</f>
        <v>0</v>
      </c>
      <c r="O59" s="91">
        <f ca="1">IF(OR($F59&gt;MAX('הנחות עבודה'!$B$69:$B$89),$F59&gt;$D$5),0,VLOOKUP($F59,'הספק נוסף נדרש'!$B$8:$AX$28,MATCH(O$40,'הספק נוסף נדרש'!$B$6:$AX$6,0)+(ROUNDUP((O$2-$F$2)/COUNTA($F$9:$F$10),0)-1)*COUNTA('הספק נוסף נדרש'!$C$6:$J$6),FALSE))</f>
        <v>0</v>
      </c>
      <c r="P59" s="91">
        <f ca="1">IF(OR($F59&gt;MAX('הנחות עבודה'!$B$69:$B$89),$F59&gt;$D$5),0,VLOOKUP($F59,'הספק נוסף נדרש'!$B$8:$AX$28,MATCH(P$40,'הספק נוסף נדרש'!$B$6:$AX$6,0)+(ROUNDUP((P$2-$F$2)/COUNTA($F$9:$F$10),0)-1)*COUNTA('הספק נוסף נדרש'!$C$6:$J$6),FALSE))</f>
        <v>0</v>
      </c>
      <c r="Q59" s="95">
        <f ca="1">IF(OR($F59&gt;MAX('הנחות עבודה'!$B$69:$B$89),$F59&gt;$D$5),0,VLOOKUP($F59,'הספק נוסף נדרש'!$B$8:$AX$28,MATCH(Q$40,'הספק נוסף נדרש'!$B$6:$AX$6,0)+(ROUNDUP((Q$2-$F$2)/COUNTA($F$9:$F$10),0)-1)*COUNTA('הספק נוסף נדרש'!$C$6:$J$6),FALSE))</f>
        <v>0</v>
      </c>
      <c r="R59" s="95">
        <f ca="1">IF(OR($F59&gt;MAX('הנחות עבודה'!$B$69:$B$89),$F59&gt;$D$5),0,VLOOKUP($F59,'הספק נוסף נדרש'!$B$8:$AX$28,MATCH(R$40,'הספק נוסף נדרש'!$B$6:$AX$6,0)+(ROUNDUP((R$2-$F$2)/COUNTA($F$9:$F$10),0)-1)*COUNTA('הספק נוסף נדרש'!$C$6:$J$6),FALSE))</f>
        <v>0</v>
      </c>
      <c r="S59" s="9"/>
      <c r="T59" s="10">
        <f t="shared" si="91"/>
        <v>2038</v>
      </c>
      <c r="U59" s="85">
        <f ca="1">HLOOKUP(U$40,$G$15:$H$36,COUNTA($F$16:$F34)+1,FALSE)*G59*$D$7/$D$8</f>
        <v>0</v>
      </c>
      <c r="V59" s="85">
        <f ca="1">HLOOKUP(V$40,$G$15:$H$36,COUNTA($F$16:$F34)+1,FALSE)*H59*$D$7/$D$8</f>
        <v>0</v>
      </c>
      <c r="W59" s="95">
        <f ca="1">HLOOKUP(W$40,$G$15:$H$36,COUNTA($F$16:$F34)+1,FALSE)*I59*$D$7/$D$8</f>
        <v>0</v>
      </c>
      <c r="X59" s="95">
        <f ca="1">HLOOKUP(X$40,$G$15:$H$36,COUNTA($F$16:$F34)+1,FALSE)*J59*$D$7/$D$8</f>
        <v>0</v>
      </c>
      <c r="Y59" s="85">
        <f ca="1">HLOOKUP(Y$40,$G$15:$H$36,COUNTA($F$16:$F34)+1,FALSE)*K59*$D$7/$D$8</f>
        <v>0</v>
      </c>
      <c r="Z59" s="85">
        <f ca="1">HLOOKUP(Z$40,$G$15:$H$36,COUNTA($F$16:$F34)+1,FALSE)*L59*$D$7/$D$8</f>
        <v>0</v>
      </c>
      <c r="AA59" s="95">
        <f ca="1">HLOOKUP(AA$40,$G$15:$H$36,COUNTA($F$16:$F34)+1,FALSE)*M59*$D$7/$D$8</f>
        <v>0</v>
      </c>
      <c r="AB59" s="95">
        <f ca="1">HLOOKUP(AB$40,$G$15:$H$36,COUNTA($F$16:$F34)+1,FALSE)*N59*$D$7/$D$8</f>
        <v>0</v>
      </c>
      <c r="AC59" s="91">
        <f ca="1">HLOOKUP(AC$40,$G$15:$H$36,COUNTA($F$16:$F34)+1,FALSE)*O59*$D$7/$D$8</f>
        <v>0</v>
      </c>
      <c r="AD59" s="91">
        <f ca="1">HLOOKUP(AD$40,$G$15:$H$36,COUNTA($F$16:$F34)+1,FALSE)*P59*$D$7/$D$8</f>
        <v>0</v>
      </c>
      <c r="AE59" s="95">
        <f ca="1">HLOOKUP(AE$40,$G$15:$H$36,COUNTA($F$16:$F34)+1,FALSE)*Q59*$D$7/$D$8</f>
        <v>0</v>
      </c>
      <c r="AF59" s="95">
        <f ca="1">HLOOKUP(AF$40,$G$15:$H$36,COUNTA($F$16:$F34)+1,FALSE)*R59*$D$7/$D$8</f>
        <v>0</v>
      </c>
      <c r="AH59" s="10">
        <f t="shared" si="92"/>
        <v>2038</v>
      </c>
      <c r="AI59" s="85">
        <f t="shared" ca="1" si="119"/>
        <v>1084.975311902338</v>
      </c>
      <c r="AJ59" s="86">
        <f t="shared" ca="1" si="120"/>
        <v>138.15242650958265</v>
      </c>
      <c r="AK59" s="151">
        <f t="shared" ca="1" si="121"/>
        <v>1084.975311902338</v>
      </c>
      <c r="AL59" s="95">
        <f t="shared" ca="1" si="122"/>
        <v>138.15242650958265</v>
      </c>
      <c r="AM59" s="85">
        <f t="shared" ca="1" si="135"/>
        <v>977.46978450567838</v>
      </c>
      <c r="AN59" s="86">
        <f t="shared" ca="1" si="136"/>
        <v>199.53338664948896</v>
      </c>
      <c r="AO59" s="151">
        <f t="shared" ca="1" si="137"/>
        <v>977.46978450567838</v>
      </c>
      <c r="AP59" s="95">
        <f t="shared" ca="1" si="138"/>
        <v>199.53338664948896</v>
      </c>
      <c r="AQ59" s="145">
        <f t="shared" ca="1" si="123"/>
        <v>869.96425710901906</v>
      </c>
      <c r="AR59" s="142">
        <f t="shared" ca="1" si="124"/>
        <v>301.83498688266616</v>
      </c>
      <c r="AS59" s="151">
        <f t="shared" ca="1" si="125"/>
        <v>869.96425710901906</v>
      </c>
      <c r="AT59" s="95">
        <f t="shared" ca="1" si="126"/>
        <v>301.83498688266616</v>
      </c>
      <c r="AV59" s="10">
        <f t="shared" si="101"/>
        <v>2038</v>
      </c>
      <c r="AW59" s="85">
        <f t="shared" ca="1" si="127"/>
        <v>698.39549999999986</v>
      </c>
      <c r="AX59" s="86">
        <f t="shared" ca="1" si="128"/>
        <v>111.93210000000002</v>
      </c>
      <c r="AY59" s="151">
        <f t="shared" ca="1" si="129"/>
        <v>698.39549999999986</v>
      </c>
      <c r="AZ59" s="95">
        <f t="shared" ca="1" si="130"/>
        <v>111.93210000000002</v>
      </c>
      <c r="BA59" s="85">
        <f t="shared" ca="1" si="139"/>
        <v>629.19449999999983</v>
      </c>
      <c r="BB59" s="86">
        <f t="shared" ca="1" si="140"/>
        <v>161.66340000000002</v>
      </c>
      <c r="BC59" s="151">
        <f t="shared" ca="1" si="141"/>
        <v>629.19449999999983</v>
      </c>
      <c r="BD59" s="95">
        <f t="shared" ca="1" si="142"/>
        <v>161.66340000000002</v>
      </c>
      <c r="BE59" s="145">
        <f t="shared" ca="1" si="131"/>
        <v>559.99349999999993</v>
      </c>
      <c r="BF59" s="142">
        <f t="shared" ca="1" si="132"/>
        <v>244.54890000000003</v>
      </c>
      <c r="BG59" s="151">
        <f t="shared" ca="1" si="133"/>
        <v>559.99349999999993</v>
      </c>
      <c r="BH59" s="95">
        <f t="shared" ca="1" si="134"/>
        <v>244.54890000000003</v>
      </c>
      <c r="BJ59" s="10">
        <f t="shared" si="109"/>
        <v>2038</v>
      </c>
      <c r="BK59" s="85">
        <f ca="1">HLOOKUP(BK$40,$K$15:$L$36,COUNTA($J$16:$J34)+1,FALSE)*G59*$D$7/$D$8</f>
        <v>0</v>
      </c>
      <c r="BL59" s="86">
        <f ca="1">HLOOKUP(BL$40,$K$15:$L$36,COUNTA($J$16:$J34)+1,FALSE)*H59*$D$7/$D$8</f>
        <v>0</v>
      </c>
      <c r="BM59" s="151">
        <f ca="1">HLOOKUP(BM$40,$K$15:$L$36,COUNTA($J$16:$J34)+1,FALSE)*I59*$D$7/$D$8</f>
        <v>0</v>
      </c>
      <c r="BN59" s="99">
        <f ca="1">HLOOKUP(BN$40,$K$15:$L$36,COUNTA($J$16:$J34)+1,FALSE)*J59*$D$7/$D$8</f>
        <v>0</v>
      </c>
      <c r="BO59" s="85">
        <f ca="1">HLOOKUP(BO$40,$K$15:$L$36,COUNTA($J$16:$J34)+1,FALSE)*K59*$D$7/$D$8</f>
        <v>0</v>
      </c>
      <c r="BP59" s="86">
        <f ca="1">HLOOKUP(BP$40,$K$15:$L$36,COUNTA($J$16:$J34)+1,FALSE)*L59*$D$7/$D$8</f>
        <v>0</v>
      </c>
      <c r="BQ59" s="151">
        <f ca="1">HLOOKUP(BQ$40,$K$15:$L$36,COUNTA($J$16:$J34)+1,FALSE)*M59*$D$7/$D$8</f>
        <v>0</v>
      </c>
      <c r="BR59" s="99">
        <f ca="1">HLOOKUP(BR$40,$K$15:$L$36,COUNTA($J$16:$J34)+1,FALSE)*N59*$D$7/$D$8</f>
        <v>0</v>
      </c>
      <c r="BS59" s="85">
        <f ca="1">HLOOKUP(BS$40,$K$15:$L$36,COUNTA($J$16:$J34)+1,FALSE)*O59*$D$7/$D$8</f>
        <v>0</v>
      </c>
      <c r="BT59" s="86">
        <f ca="1">HLOOKUP(BT$40,$K$15:$L$36,COUNTA($J$16:$J34)+1,FALSE)*P59*$D$7/$D$8</f>
        <v>0</v>
      </c>
      <c r="BU59" s="151">
        <f ca="1">HLOOKUP(BU$40,$K$15:$L$36,COUNTA($J$16:$J34)+1,FALSE)*Q59*$D$7/$D$8</f>
        <v>0</v>
      </c>
      <c r="BV59" s="99">
        <f ca="1">HLOOKUP(BV$40,$K$15:$L$36,COUNTA($J$16:$J34)+1,FALSE)*R59*$D$7/$D$8</f>
        <v>0</v>
      </c>
    </row>
    <row r="60" spans="6:74">
      <c r="F60" s="10">
        <f t="shared" si="118"/>
        <v>2039</v>
      </c>
      <c r="G60" s="85">
        <f ca="1">IF(OR($F60&gt;MAX('הנחות עבודה'!$B$69:$B$89),$F60&gt;$D$5),0,VLOOKUP($F60,'הספק נוסף נדרש'!$B$8:$AX$28,MATCH(G$40,'הספק נוסף נדרש'!$B$6:$AX$6,0)+(ROUNDUP((G$2-$F$2)/COUNTA($F$9:$F$10),0)-1)*COUNTA('הספק נוסף נדרש'!$C$6:$J$6),FALSE))</f>
        <v>0</v>
      </c>
      <c r="H60" s="85">
        <f ca="1">IF(OR($F60&gt;MAX('הנחות עבודה'!$B$69:$B$89),$F60&gt;$D$5),0,VLOOKUP($F60,'הספק נוסף נדרש'!$B$8:$AX$28,MATCH(H$40,'הספק נוסף נדרש'!$B$6:$AX$6,0)+(ROUNDUP((H$2-$F$2)/COUNTA($F$9:$F$10),0)-1)*COUNTA('הספק נוסף נדרש'!$C$6:$J$6),FALSE))</f>
        <v>0</v>
      </c>
      <c r="I60" s="95">
        <f ca="1">IF(OR($F60&gt;MAX('הנחות עבודה'!$B$69:$B$89),$F60&gt;$D$5),0,VLOOKUP($F60,'הספק נוסף נדרש'!$B$8:$AX$28,MATCH(I$40,'הספק נוסף נדרש'!$B$6:$AX$6,0)+(ROUNDUP((I$2-$F$2)/COUNTA($F$9:$F$10),0)-1)*COUNTA('הספק נוסף נדרש'!$C$6:$J$6),FALSE))</f>
        <v>0</v>
      </c>
      <c r="J60" s="95">
        <f ca="1">IF(OR($F60&gt;MAX('הנחות עבודה'!$B$69:$B$89),$F60&gt;$D$5),0,VLOOKUP($F60,'הספק נוסף נדרש'!$B$8:$AX$28,MATCH(J$40,'הספק נוסף נדרש'!$B$6:$AX$6,0)+(ROUNDUP((J$2-$F$2)/COUNTA($F$9:$F$10),0)-1)*COUNTA('הספק נוסף נדרש'!$C$6:$J$6),FALSE))</f>
        <v>0</v>
      </c>
      <c r="K60" s="85">
        <f ca="1">IF(OR($F60&gt;MAX('הנחות עבודה'!$B$69:$B$89),$F60&gt;$D$5),0,VLOOKUP($F60,'הספק נוסף נדרש'!$B$8:$AX$28,MATCH(K$40,'הספק נוסף נדרש'!$B$6:$AX$6,0)+(ROUNDUP((K$2-$F$2)/COUNTA($F$9:$F$10),0)-1)*COUNTA('הספק נוסף נדרש'!$C$6:$J$6),FALSE))</f>
        <v>0</v>
      </c>
      <c r="L60" s="85">
        <f ca="1">IF(OR($F60&gt;MAX('הנחות עבודה'!$B$69:$B$89),$F60&gt;$D$5),0,VLOOKUP($F60,'הספק נוסף נדרש'!$B$8:$AX$28,MATCH(L$40,'הספק נוסף נדרש'!$B$6:$AX$6,0)+(ROUNDUP((L$2-$F$2)/COUNTA($F$9:$F$10),0)-1)*COUNTA('הספק נוסף נדרש'!$C$6:$J$6),FALSE))</f>
        <v>0</v>
      </c>
      <c r="M60" s="95">
        <f ca="1">IF(OR($F60&gt;MAX('הנחות עבודה'!$B$69:$B$89),$F60&gt;$D$5),0,VLOOKUP($F60,'הספק נוסף נדרש'!$B$8:$AX$28,MATCH(M$40,'הספק נוסף נדרש'!$B$6:$AX$6,0)+(ROUNDUP((M$2-$F$2)/COUNTA($F$9:$F$10),0)-1)*COUNTA('הספק נוסף נדרש'!$C$6:$J$6),FALSE))</f>
        <v>0</v>
      </c>
      <c r="N60" s="95">
        <f ca="1">IF(OR($F60&gt;MAX('הנחות עבודה'!$B$69:$B$89),$F60&gt;$D$5),0,VLOOKUP($F60,'הספק נוסף נדרש'!$B$8:$AX$28,MATCH(N$40,'הספק נוסף נדרש'!$B$6:$AX$6,0)+(ROUNDUP((N$2-$F$2)/COUNTA($F$9:$F$10),0)-1)*COUNTA('הספק נוסף נדרש'!$C$6:$J$6),FALSE))</f>
        <v>0</v>
      </c>
      <c r="O60" s="91">
        <f ca="1">IF(OR($F60&gt;MAX('הנחות עבודה'!$B$69:$B$89),$F60&gt;$D$5),0,VLOOKUP($F60,'הספק נוסף נדרש'!$B$8:$AX$28,MATCH(O$40,'הספק נוסף נדרש'!$B$6:$AX$6,0)+(ROUNDUP((O$2-$F$2)/COUNTA($F$9:$F$10),0)-1)*COUNTA('הספק נוסף נדרש'!$C$6:$J$6),FALSE))</f>
        <v>0</v>
      </c>
      <c r="P60" s="91">
        <f ca="1">IF(OR($F60&gt;MAX('הנחות עבודה'!$B$69:$B$89),$F60&gt;$D$5),0,VLOOKUP($F60,'הספק נוסף נדרש'!$B$8:$AX$28,MATCH(P$40,'הספק נוסף נדרש'!$B$6:$AX$6,0)+(ROUNDUP((P$2-$F$2)/COUNTA($F$9:$F$10),0)-1)*COUNTA('הספק נוסף נדרש'!$C$6:$J$6),FALSE))</f>
        <v>0</v>
      </c>
      <c r="Q60" s="95">
        <f ca="1">IF(OR($F60&gt;MAX('הנחות עבודה'!$B$69:$B$89),$F60&gt;$D$5),0,VLOOKUP($F60,'הספק נוסף נדרש'!$B$8:$AX$28,MATCH(Q$40,'הספק נוסף נדרש'!$B$6:$AX$6,0)+(ROUNDUP((Q$2-$F$2)/COUNTA($F$9:$F$10),0)-1)*COUNTA('הספק נוסף נדרש'!$C$6:$J$6),FALSE))</f>
        <v>0</v>
      </c>
      <c r="R60" s="95">
        <f ca="1">IF(OR($F60&gt;MAX('הנחות עבודה'!$B$69:$B$89),$F60&gt;$D$5),0,VLOOKUP($F60,'הספק נוסף נדרש'!$B$8:$AX$28,MATCH(R$40,'הספק נוסף נדרש'!$B$6:$AX$6,0)+(ROUNDUP((R$2-$F$2)/COUNTA($F$9:$F$10),0)-1)*COUNTA('הספק נוסף נדרש'!$C$6:$J$6),FALSE))</f>
        <v>0</v>
      </c>
      <c r="S60" s="9"/>
      <c r="T60" s="10">
        <f t="shared" si="91"/>
        <v>2039</v>
      </c>
      <c r="U60" s="85">
        <f ca="1">HLOOKUP(U$40,$G$15:$H$36,COUNTA($F$16:$F35)+1,FALSE)*G60*$D$7/$D$8</f>
        <v>0</v>
      </c>
      <c r="V60" s="85">
        <f ca="1">HLOOKUP(V$40,$G$15:$H$36,COUNTA($F$16:$F35)+1,FALSE)*H60*$D$7/$D$8</f>
        <v>0</v>
      </c>
      <c r="W60" s="95">
        <f ca="1">HLOOKUP(W$40,$G$15:$H$36,COUNTA($F$16:$F35)+1,FALSE)*I60*$D$7/$D$8</f>
        <v>0</v>
      </c>
      <c r="X60" s="95">
        <f ca="1">HLOOKUP(X$40,$G$15:$H$36,COUNTA($F$16:$F35)+1,FALSE)*J60*$D$7/$D$8</f>
        <v>0</v>
      </c>
      <c r="Y60" s="85">
        <f ca="1">HLOOKUP(Y$40,$G$15:$H$36,COUNTA($F$16:$F35)+1,FALSE)*K60*$D$7/$D$8</f>
        <v>0</v>
      </c>
      <c r="Z60" s="85">
        <f ca="1">HLOOKUP(Z$40,$G$15:$H$36,COUNTA($F$16:$F35)+1,FALSE)*L60*$D$7/$D$8</f>
        <v>0</v>
      </c>
      <c r="AA60" s="95">
        <f ca="1">HLOOKUP(AA$40,$G$15:$H$36,COUNTA($F$16:$F35)+1,FALSE)*M60*$D$7/$D$8</f>
        <v>0</v>
      </c>
      <c r="AB60" s="95">
        <f ca="1">HLOOKUP(AB$40,$G$15:$H$36,COUNTA($F$16:$F35)+1,FALSE)*N60*$D$7/$D$8</f>
        <v>0</v>
      </c>
      <c r="AC60" s="91">
        <f ca="1">HLOOKUP(AC$40,$G$15:$H$36,COUNTA($F$16:$F35)+1,FALSE)*O60*$D$7/$D$8</f>
        <v>0</v>
      </c>
      <c r="AD60" s="91">
        <f ca="1">HLOOKUP(AD$40,$G$15:$H$36,COUNTA($F$16:$F35)+1,FALSE)*P60*$D$7/$D$8</f>
        <v>0</v>
      </c>
      <c r="AE60" s="95">
        <f ca="1">HLOOKUP(AE$40,$G$15:$H$36,COUNTA($F$16:$F35)+1,FALSE)*Q60*$D$7/$D$8</f>
        <v>0</v>
      </c>
      <c r="AF60" s="95">
        <f ca="1">HLOOKUP(AF$40,$G$15:$H$36,COUNTA($F$16:$F35)+1,FALSE)*R60*$D$7/$D$8</f>
        <v>0</v>
      </c>
      <c r="AH60" s="10">
        <f t="shared" si="92"/>
        <v>2039</v>
      </c>
      <c r="AI60" s="85">
        <f t="shared" ca="1" si="119"/>
        <v>1084.975311902338</v>
      </c>
      <c r="AJ60" s="86">
        <f t="shared" ca="1" si="120"/>
        <v>138.15242650958265</v>
      </c>
      <c r="AK60" s="151">
        <f t="shared" ca="1" si="121"/>
        <v>1084.975311902338</v>
      </c>
      <c r="AL60" s="95">
        <f t="shared" ca="1" si="122"/>
        <v>138.15242650958265</v>
      </c>
      <c r="AM60" s="85">
        <f t="shared" ca="1" si="135"/>
        <v>977.46978450567838</v>
      </c>
      <c r="AN60" s="86">
        <f t="shared" ca="1" si="136"/>
        <v>199.53338664948896</v>
      </c>
      <c r="AO60" s="151">
        <f t="shared" ca="1" si="137"/>
        <v>977.46978450567838</v>
      </c>
      <c r="AP60" s="95">
        <f t="shared" ca="1" si="138"/>
        <v>199.53338664948896</v>
      </c>
      <c r="AQ60" s="145">
        <f t="shared" ca="1" si="123"/>
        <v>869.96425710901906</v>
      </c>
      <c r="AR60" s="142">
        <f t="shared" ca="1" si="124"/>
        <v>301.83498688266616</v>
      </c>
      <c r="AS60" s="151">
        <f t="shared" ca="1" si="125"/>
        <v>869.96425710901906</v>
      </c>
      <c r="AT60" s="95">
        <f t="shared" ca="1" si="126"/>
        <v>301.83498688266616</v>
      </c>
      <c r="AV60" s="10">
        <f t="shared" si="101"/>
        <v>2039</v>
      </c>
      <c r="AW60" s="85">
        <f t="shared" ca="1" si="127"/>
        <v>698.39549999999986</v>
      </c>
      <c r="AX60" s="86">
        <f t="shared" ca="1" si="128"/>
        <v>111.93210000000002</v>
      </c>
      <c r="AY60" s="151">
        <f t="shared" ca="1" si="129"/>
        <v>698.39549999999986</v>
      </c>
      <c r="AZ60" s="95">
        <f t="shared" ca="1" si="130"/>
        <v>111.93210000000002</v>
      </c>
      <c r="BA60" s="85">
        <f t="shared" ca="1" si="139"/>
        <v>629.19449999999983</v>
      </c>
      <c r="BB60" s="86">
        <f t="shared" ca="1" si="140"/>
        <v>161.66340000000002</v>
      </c>
      <c r="BC60" s="151">
        <f t="shared" ca="1" si="141"/>
        <v>629.19449999999983</v>
      </c>
      <c r="BD60" s="95">
        <f t="shared" ca="1" si="142"/>
        <v>161.66340000000002</v>
      </c>
      <c r="BE60" s="145">
        <f t="shared" ca="1" si="131"/>
        <v>559.99349999999993</v>
      </c>
      <c r="BF60" s="142">
        <f t="shared" ca="1" si="132"/>
        <v>244.54890000000003</v>
      </c>
      <c r="BG60" s="151">
        <f t="shared" ca="1" si="133"/>
        <v>559.99349999999993</v>
      </c>
      <c r="BH60" s="95">
        <f t="shared" ca="1" si="134"/>
        <v>244.54890000000003</v>
      </c>
      <c r="BJ60" s="10">
        <f t="shared" si="109"/>
        <v>2039</v>
      </c>
      <c r="BK60" s="85">
        <f ca="1">HLOOKUP(BK$40,$K$15:$L$36,COUNTA($J$16:$J35)+1,FALSE)*G60*$D$7/$D$8</f>
        <v>0</v>
      </c>
      <c r="BL60" s="86">
        <f ca="1">HLOOKUP(BL$40,$K$15:$L$36,COUNTA($J$16:$J35)+1,FALSE)*H60*$D$7/$D$8</f>
        <v>0</v>
      </c>
      <c r="BM60" s="151">
        <f ca="1">HLOOKUP(BM$40,$K$15:$L$36,COUNTA($J$16:$J35)+1,FALSE)*I60*$D$7/$D$8</f>
        <v>0</v>
      </c>
      <c r="BN60" s="99">
        <f ca="1">HLOOKUP(BN$40,$K$15:$L$36,COUNTA($J$16:$J35)+1,FALSE)*J60*$D$7/$D$8</f>
        <v>0</v>
      </c>
      <c r="BO60" s="85">
        <f ca="1">HLOOKUP(BO$40,$K$15:$L$36,COUNTA($J$16:$J35)+1,FALSE)*K60*$D$7/$D$8</f>
        <v>0</v>
      </c>
      <c r="BP60" s="86">
        <f ca="1">HLOOKUP(BP$40,$K$15:$L$36,COUNTA($J$16:$J35)+1,FALSE)*L60*$D$7/$D$8</f>
        <v>0</v>
      </c>
      <c r="BQ60" s="151">
        <f ca="1">HLOOKUP(BQ$40,$K$15:$L$36,COUNTA($J$16:$J35)+1,FALSE)*M60*$D$7/$D$8</f>
        <v>0</v>
      </c>
      <c r="BR60" s="99">
        <f ca="1">HLOOKUP(BR$40,$K$15:$L$36,COUNTA($J$16:$J35)+1,FALSE)*N60*$D$7/$D$8</f>
        <v>0</v>
      </c>
      <c r="BS60" s="85">
        <f ca="1">HLOOKUP(BS$40,$K$15:$L$36,COUNTA($J$16:$J35)+1,FALSE)*O60*$D$7/$D$8</f>
        <v>0</v>
      </c>
      <c r="BT60" s="86">
        <f ca="1">HLOOKUP(BT$40,$K$15:$L$36,COUNTA($J$16:$J35)+1,FALSE)*P60*$D$7/$D$8</f>
        <v>0</v>
      </c>
      <c r="BU60" s="151">
        <f ca="1">HLOOKUP(BU$40,$K$15:$L$36,COUNTA($J$16:$J35)+1,FALSE)*Q60*$D$7/$D$8</f>
        <v>0</v>
      </c>
      <c r="BV60" s="99">
        <f ca="1">HLOOKUP(BV$40,$K$15:$L$36,COUNTA($J$16:$J35)+1,FALSE)*R60*$D$7/$D$8</f>
        <v>0</v>
      </c>
    </row>
    <row r="61" spans="6:74" ht="16.5" thickBot="1">
      <c r="F61" s="11">
        <f t="shared" si="118"/>
        <v>2040</v>
      </c>
      <c r="G61" s="87">
        <f ca="1">IF(OR($F61&gt;MAX('הנחות עבודה'!$B$69:$B$89),$F61&gt;$D$5),0,VLOOKUP($F61,'הספק נוסף נדרש'!$B$8:$AX$28,MATCH(G$40,'הספק נוסף נדרש'!$B$6:$AX$6,0)+(ROUNDUP((G$2-$F$2)/COUNTA($F$9:$F$10),0)-1)*COUNTA('הספק נוסף נדרש'!$C$6:$J$6),FALSE))</f>
        <v>0</v>
      </c>
      <c r="H61" s="87">
        <f ca="1">IF(OR($F61&gt;MAX('הנחות עבודה'!$B$69:$B$89),$F61&gt;$D$5),0,VLOOKUP($F61,'הספק נוסף נדרש'!$B$8:$AX$28,MATCH(H$40,'הספק נוסף נדרש'!$B$6:$AX$6,0)+(ROUNDUP((H$2-$F$2)/COUNTA($F$9:$F$10),0)-1)*COUNTA('הספק נוסף נדרש'!$C$6:$J$6),FALSE))</f>
        <v>0</v>
      </c>
      <c r="I61" s="96">
        <f ca="1">IF(OR($F61&gt;MAX('הנחות עבודה'!$B$69:$B$89),$F61&gt;$D$5),0,VLOOKUP($F61,'הספק נוסף נדרש'!$B$8:$AX$28,MATCH(I$40,'הספק נוסף נדרש'!$B$6:$AX$6,0)+(ROUNDUP((I$2-$F$2)/COUNTA($F$9:$F$10),0)-1)*COUNTA('הספק נוסף נדרש'!$C$6:$J$6),FALSE))</f>
        <v>0</v>
      </c>
      <c r="J61" s="96">
        <f ca="1">IF(OR($F61&gt;MAX('הנחות עבודה'!$B$69:$B$89),$F61&gt;$D$5),0,VLOOKUP($F61,'הספק נוסף נדרש'!$B$8:$AX$28,MATCH(J$40,'הספק נוסף נדרש'!$B$6:$AX$6,0)+(ROUNDUP((J$2-$F$2)/COUNTA($F$9:$F$10),0)-1)*COUNTA('הספק נוסף נדרש'!$C$6:$J$6),FALSE))</f>
        <v>0</v>
      </c>
      <c r="K61" s="87">
        <f ca="1">IF(OR($F61&gt;MAX('הנחות עבודה'!$B$69:$B$89),$F61&gt;$D$5),0,VLOOKUP($F61,'הספק נוסף נדרש'!$B$8:$AX$28,MATCH(K$40,'הספק נוסף נדרש'!$B$6:$AX$6,0)+(ROUNDUP((K$2-$F$2)/COUNTA($F$9:$F$10),0)-1)*COUNTA('הספק נוסף נדרש'!$C$6:$J$6),FALSE))</f>
        <v>0</v>
      </c>
      <c r="L61" s="87">
        <f ca="1">IF(OR($F61&gt;MAX('הנחות עבודה'!$B$69:$B$89),$F61&gt;$D$5),0,VLOOKUP($F61,'הספק נוסף נדרש'!$B$8:$AX$28,MATCH(L$40,'הספק נוסף נדרש'!$B$6:$AX$6,0)+(ROUNDUP((L$2-$F$2)/COUNTA($F$9:$F$10),0)-1)*COUNTA('הספק נוסף נדרש'!$C$6:$J$6),FALSE))</f>
        <v>0</v>
      </c>
      <c r="M61" s="96">
        <f ca="1">IF(OR($F61&gt;MAX('הנחות עבודה'!$B$69:$B$89),$F61&gt;$D$5),0,VLOOKUP($F61,'הספק נוסף נדרש'!$B$8:$AX$28,MATCH(M$40,'הספק נוסף נדרש'!$B$6:$AX$6,0)+(ROUNDUP((M$2-$F$2)/COUNTA($F$9:$F$10),0)-1)*COUNTA('הספק נוסף נדרש'!$C$6:$J$6),FALSE))</f>
        <v>0</v>
      </c>
      <c r="N61" s="96">
        <f ca="1">IF(OR($F61&gt;MAX('הנחות עבודה'!$B$69:$B$89),$F61&gt;$D$5),0,VLOOKUP($F61,'הספק נוסף נדרש'!$B$8:$AX$28,MATCH(N$40,'הספק נוסף נדרש'!$B$6:$AX$6,0)+(ROUNDUP((N$2-$F$2)/COUNTA($F$9:$F$10),0)-1)*COUNTA('הספק נוסף נדרש'!$C$6:$J$6),FALSE))</f>
        <v>0</v>
      </c>
      <c r="O61" s="92">
        <f ca="1">IF(OR($F61&gt;MAX('הנחות עבודה'!$B$69:$B$89),$F61&gt;$D$5),0,VLOOKUP($F61,'הספק נוסף נדרש'!$B$8:$AX$28,MATCH(O$40,'הספק נוסף נדרש'!$B$6:$AX$6,0)+(ROUNDUP((O$2-$F$2)/COUNTA($F$9:$F$10),0)-1)*COUNTA('הספק נוסף נדרש'!$C$6:$J$6),FALSE))</f>
        <v>0</v>
      </c>
      <c r="P61" s="92">
        <f ca="1">IF(OR($F61&gt;MAX('הנחות עבודה'!$B$69:$B$89),$F61&gt;$D$5),0,VLOOKUP($F61,'הספק נוסף נדרש'!$B$8:$AX$28,MATCH(P$40,'הספק נוסף נדרש'!$B$6:$AX$6,0)+(ROUNDUP((P$2-$F$2)/COUNTA($F$9:$F$10),0)-1)*COUNTA('הספק נוסף נדרש'!$C$6:$J$6),FALSE))</f>
        <v>0</v>
      </c>
      <c r="Q61" s="96">
        <f ca="1">IF(OR($F61&gt;MAX('הנחות עבודה'!$B$69:$B$89),$F61&gt;$D$5),0,VLOOKUP($F61,'הספק נוסף נדרש'!$B$8:$AX$28,MATCH(Q$40,'הספק נוסף נדרש'!$B$6:$AX$6,0)+(ROUNDUP((Q$2-$F$2)/COUNTA($F$9:$F$10),0)-1)*COUNTA('הספק נוסף נדרש'!$C$6:$J$6),FALSE))</f>
        <v>0</v>
      </c>
      <c r="R61" s="96">
        <f ca="1">IF(OR($F61&gt;MAX('הנחות עבודה'!$B$69:$B$89),$F61&gt;$D$5),0,VLOOKUP($F61,'הספק נוסף נדרש'!$B$8:$AX$28,MATCH(R$40,'הספק נוסף נדרש'!$B$6:$AX$6,0)+(ROUNDUP((R$2-$F$2)/COUNTA($F$9:$F$10),0)-1)*COUNTA('הספק נוסף נדרש'!$C$6:$J$6),FALSE))</f>
        <v>0</v>
      </c>
      <c r="S61" s="9"/>
      <c r="T61" s="11">
        <f t="shared" si="91"/>
        <v>2040</v>
      </c>
      <c r="U61" s="87">
        <f ca="1">HLOOKUP(U$40,$G$15:$H$36,COUNTA($F$16:$F36)+1,FALSE)*G61*$D$7/$D$8</f>
        <v>0</v>
      </c>
      <c r="V61" s="87">
        <f ca="1">HLOOKUP(V$40,$G$15:$H$36,COUNTA($F$16:$F36)+1,FALSE)*H61*$D$7/$D$8</f>
        <v>0</v>
      </c>
      <c r="W61" s="96">
        <f ca="1">HLOOKUP(W$40,$G$15:$H$36,COUNTA($F$16:$F36)+1,FALSE)*I61*$D$7/$D$8</f>
        <v>0</v>
      </c>
      <c r="X61" s="96">
        <f ca="1">HLOOKUP(X$40,$G$15:$H$36,COUNTA($F$16:$F36)+1,FALSE)*J61*$D$7/$D$8</f>
        <v>0</v>
      </c>
      <c r="Y61" s="87">
        <f ca="1">HLOOKUP(Y$40,$G$15:$H$36,COUNTA($F$16:$F36)+1,FALSE)*K61*$D$7/$D$8</f>
        <v>0</v>
      </c>
      <c r="Z61" s="87">
        <f ca="1">HLOOKUP(Z$40,$G$15:$H$36,COUNTA($F$16:$F36)+1,FALSE)*L61*$D$7/$D$8</f>
        <v>0</v>
      </c>
      <c r="AA61" s="96">
        <f ca="1">HLOOKUP(AA$40,$G$15:$H$36,COUNTA($F$16:$F36)+1,FALSE)*M61*$D$7/$D$8</f>
        <v>0</v>
      </c>
      <c r="AB61" s="96">
        <f ca="1">HLOOKUP(AB$40,$G$15:$H$36,COUNTA($F$16:$F36)+1,FALSE)*N61*$D$7/$D$8</f>
        <v>0</v>
      </c>
      <c r="AC61" s="92">
        <f ca="1">HLOOKUP(AC$40,$G$15:$H$36,COUNTA($F$16:$F36)+1,FALSE)*O61*$D$7/$D$8</f>
        <v>0</v>
      </c>
      <c r="AD61" s="92">
        <f ca="1">HLOOKUP(AD$40,$G$15:$H$36,COUNTA($F$16:$F36)+1,FALSE)*P61*$D$7/$D$8</f>
        <v>0</v>
      </c>
      <c r="AE61" s="96">
        <f ca="1">HLOOKUP(AE$40,$G$15:$H$36,COUNTA($F$16:$F36)+1,FALSE)*Q61*$D$7/$D$8</f>
        <v>0</v>
      </c>
      <c r="AF61" s="96">
        <f ca="1">HLOOKUP(AF$40,$G$15:$H$36,COUNTA($F$16:$F36)+1,FALSE)*R61*$D$7/$D$8</f>
        <v>0</v>
      </c>
      <c r="AH61" s="10">
        <f t="shared" si="92"/>
        <v>2040</v>
      </c>
      <c r="AI61" s="85">
        <f t="shared" ca="1" si="119"/>
        <v>1084.975311902338</v>
      </c>
      <c r="AJ61" s="86">
        <f t="shared" ca="1" si="120"/>
        <v>138.15242650958265</v>
      </c>
      <c r="AK61" s="151">
        <f t="shared" ca="1" si="121"/>
        <v>1084.975311902338</v>
      </c>
      <c r="AL61" s="95">
        <f t="shared" ca="1" si="122"/>
        <v>138.15242650958265</v>
      </c>
      <c r="AM61" s="85">
        <f t="shared" ca="1" si="135"/>
        <v>977.46978450567838</v>
      </c>
      <c r="AN61" s="86">
        <f t="shared" ca="1" si="136"/>
        <v>199.53338664948896</v>
      </c>
      <c r="AO61" s="151">
        <f t="shared" ca="1" si="137"/>
        <v>977.46978450567838</v>
      </c>
      <c r="AP61" s="95">
        <f t="shared" ca="1" si="138"/>
        <v>199.53338664948896</v>
      </c>
      <c r="AQ61" s="145">
        <f t="shared" ca="1" si="123"/>
        <v>869.96425710901906</v>
      </c>
      <c r="AR61" s="142">
        <f t="shared" ca="1" si="124"/>
        <v>301.83498688266616</v>
      </c>
      <c r="AS61" s="151">
        <f t="shared" ca="1" si="125"/>
        <v>869.96425710901906</v>
      </c>
      <c r="AT61" s="95">
        <f t="shared" ca="1" si="126"/>
        <v>301.83498688266616</v>
      </c>
      <c r="AV61" s="10">
        <f t="shared" si="101"/>
        <v>2040</v>
      </c>
      <c r="AW61" s="85">
        <f t="shared" ca="1" si="127"/>
        <v>698.39549999999986</v>
      </c>
      <c r="AX61" s="86">
        <f t="shared" ca="1" si="128"/>
        <v>111.93210000000002</v>
      </c>
      <c r="AY61" s="151">
        <f t="shared" ca="1" si="129"/>
        <v>698.39549999999986</v>
      </c>
      <c r="AZ61" s="95">
        <f t="shared" ca="1" si="130"/>
        <v>111.93210000000002</v>
      </c>
      <c r="BA61" s="85">
        <f t="shared" ca="1" si="139"/>
        <v>629.19449999999983</v>
      </c>
      <c r="BB61" s="86">
        <f t="shared" ca="1" si="140"/>
        <v>161.66340000000002</v>
      </c>
      <c r="BC61" s="151">
        <f t="shared" ca="1" si="141"/>
        <v>629.19449999999983</v>
      </c>
      <c r="BD61" s="95">
        <f t="shared" ca="1" si="142"/>
        <v>161.66340000000002</v>
      </c>
      <c r="BE61" s="145">
        <f t="shared" ca="1" si="131"/>
        <v>559.99349999999993</v>
      </c>
      <c r="BF61" s="142">
        <f t="shared" ca="1" si="132"/>
        <v>244.54890000000003</v>
      </c>
      <c r="BG61" s="151">
        <f t="shared" ca="1" si="133"/>
        <v>559.99349999999993</v>
      </c>
      <c r="BH61" s="95">
        <f t="shared" ca="1" si="134"/>
        <v>244.54890000000003</v>
      </c>
      <c r="BJ61" s="11">
        <f t="shared" si="109"/>
        <v>2040</v>
      </c>
      <c r="BK61" s="87">
        <f ca="1">HLOOKUP(BK$40,$K$15:$L$36,COUNTA($J$16:$J36)+1,FALSE)*G61*$D$7/$D$8</f>
        <v>0</v>
      </c>
      <c r="BL61" s="88">
        <f ca="1">HLOOKUP(BL$40,$K$15:$L$36,COUNTA($J$16:$J36)+1,FALSE)*H61*$D$7/$D$8</f>
        <v>0</v>
      </c>
      <c r="BM61" s="152">
        <f ca="1">HLOOKUP(BM$40,$K$15:$L$36,COUNTA($J$16:$J36)+1,FALSE)*I61*$D$7/$D$8</f>
        <v>0</v>
      </c>
      <c r="BN61" s="100">
        <f ca="1">HLOOKUP(BN$40,$K$15:$L$36,COUNTA($J$16:$J36)+1,FALSE)*J61*$D$7/$D$8</f>
        <v>0</v>
      </c>
      <c r="BO61" s="87">
        <f ca="1">HLOOKUP(BO$40,$K$15:$L$36,COUNTA($J$16:$J36)+1,FALSE)*K61*$D$7/$D$8</f>
        <v>0</v>
      </c>
      <c r="BP61" s="88">
        <f ca="1">HLOOKUP(BP$40,$K$15:$L$36,COUNTA($J$16:$J36)+1,FALSE)*L61*$D$7/$D$8</f>
        <v>0</v>
      </c>
      <c r="BQ61" s="152">
        <f ca="1">HLOOKUP(BQ$40,$K$15:$L$36,COUNTA($J$16:$J36)+1,FALSE)*M61*$D$7/$D$8</f>
        <v>0</v>
      </c>
      <c r="BR61" s="100">
        <f ca="1">HLOOKUP(BR$40,$K$15:$L$36,COUNTA($J$16:$J36)+1,FALSE)*N61*$D$7/$D$8</f>
        <v>0</v>
      </c>
      <c r="BS61" s="87">
        <f ca="1">HLOOKUP(BS$40,$K$15:$L$36,COUNTA($J$16:$J36)+1,FALSE)*O61*$D$7/$D$8</f>
        <v>0</v>
      </c>
      <c r="BT61" s="88">
        <f ca="1">HLOOKUP(BT$40,$K$15:$L$36,COUNTA($J$16:$J36)+1,FALSE)*P61*$D$7/$D$8</f>
        <v>0</v>
      </c>
      <c r="BU61" s="152">
        <f ca="1">HLOOKUP(BU$40,$K$15:$L$36,COUNTA($J$16:$J36)+1,FALSE)*Q61*$D$7/$D$8</f>
        <v>0</v>
      </c>
      <c r="BV61" s="100">
        <f ca="1">HLOOKUP(BV$40,$K$15:$L$36,COUNTA($J$16:$J36)+1,FALSE)*R61*$D$7/$D$8</f>
        <v>0</v>
      </c>
    </row>
    <row r="62" spans="6:74" ht="16.5" thickBot="1">
      <c r="F62" s="286" t="s">
        <v>27</v>
      </c>
      <c r="G62" s="65">
        <f t="shared" ref="G62:Q62" ca="1" si="143">SUBTOTAL(9,G41:G61)</f>
        <v>4703</v>
      </c>
      <c r="H62" s="65">
        <f t="shared" ca="1" si="143"/>
        <v>763</v>
      </c>
      <c r="I62" s="76">
        <f t="shared" ca="1" si="143"/>
        <v>4703</v>
      </c>
      <c r="J62" s="76">
        <f t="shared" ref="J62:K62" ca="1" si="144">SUBTOTAL(9,J41:J61)</f>
        <v>763</v>
      </c>
      <c r="K62" s="65">
        <f t="shared" ca="1" si="144"/>
        <v>4237</v>
      </c>
      <c r="L62" s="65">
        <f t="shared" ref="L62:N62" ca="1" si="145">SUBTOTAL(9,L41:L61)</f>
        <v>1102</v>
      </c>
      <c r="M62" s="76">
        <f t="shared" ca="1" si="145"/>
        <v>4237</v>
      </c>
      <c r="N62" s="76">
        <f t="shared" ca="1" si="145"/>
        <v>1102</v>
      </c>
      <c r="O62" s="65">
        <f t="shared" ca="1" si="143"/>
        <v>3771</v>
      </c>
      <c r="P62" s="65">
        <f t="shared" ref="P62" ca="1" si="146">SUBTOTAL(9,P41:P61)</f>
        <v>1667</v>
      </c>
      <c r="Q62" s="76">
        <f t="shared" ca="1" si="143"/>
        <v>3771</v>
      </c>
      <c r="R62" s="76">
        <f t="shared" ref="R62" ca="1" si="147">SUBTOTAL(9,R41:R61)</f>
        <v>1667</v>
      </c>
      <c r="T62" s="286" t="s">
        <v>27</v>
      </c>
      <c r="U62" s="89">
        <f t="shared" ref="U62:V62" ca="1" si="148">SUBTOTAL(9,U41:U61)</f>
        <v>18172.726665480004</v>
      </c>
      <c r="V62" s="89">
        <f t="shared" ca="1" si="148"/>
        <v>2365.4274209999999</v>
      </c>
      <c r="W62" s="97">
        <f t="shared" ref="W62:AC62" ca="1" si="149">SUBTOTAL(9,W41:W61)</f>
        <v>18172.726665480004</v>
      </c>
      <c r="X62" s="97">
        <f t="shared" ref="X62:AB62" ca="1" si="150">SUBTOTAL(9,X41:X61)</f>
        <v>2365.4274209999999</v>
      </c>
      <c r="Y62" s="89">
        <f t="shared" ca="1" si="150"/>
        <v>16372.069504920002</v>
      </c>
      <c r="Z62" s="89">
        <f t="shared" ca="1" si="150"/>
        <v>3416.3840339999997</v>
      </c>
      <c r="AA62" s="97">
        <f t="shared" ca="1" si="150"/>
        <v>16372.069504920002</v>
      </c>
      <c r="AB62" s="97">
        <f t="shared" ca="1" si="150"/>
        <v>3416.3840339999997</v>
      </c>
      <c r="AC62" s="89">
        <f t="shared" ca="1" si="149"/>
        <v>14571.412344360002</v>
      </c>
      <c r="AD62" s="89">
        <f t="shared" ref="AD62" ca="1" si="151">SUBTOTAL(9,AD41:AD61)</f>
        <v>5167.9783889999999</v>
      </c>
      <c r="AE62" s="97">
        <f ca="1">SUBTOTAL(9,AE41:AE61)</f>
        <v>14571.412344360002</v>
      </c>
      <c r="AF62" s="97">
        <f t="shared" ref="AF62" ca="1" si="152">SUBTOTAL(9,AF41:AF61)</f>
        <v>5167.9783889999999</v>
      </c>
      <c r="AH62" s="10">
        <f t="shared" si="92"/>
        <v>2041</v>
      </c>
      <c r="AI62" s="85">
        <f t="shared" si="119"/>
        <v>0</v>
      </c>
      <c r="AJ62" s="86">
        <f t="shared" si="120"/>
        <v>0</v>
      </c>
      <c r="AK62" s="151">
        <f t="shared" si="121"/>
        <v>0</v>
      </c>
      <c r="AL62" s="95">
        <f t="shared" si="122"/>
        <v>0</v>
      </c>
      <c r="AM62" s="85">
        <f t="shared" si="135"/>
        <v>0</v>
      </c>
      <c r="AN62" s="86">
        <f t="shared" si="136"/>
        <v>0</v>
      </c>
      <c r="AO62" s="151">
        <f t="shared" si="137"/>
        <v>0</v>
      </c>
      <c r="AP62" s="95">
        <f t="shared" si="138"/>
        <v>0</v>
      </c>
      <c r="AQ62" s="145">
        <f t="shared" si="123"/>
        <v>0</v>
      </c>
      <c r="AR62" s="142">
        <f t="shared" si="124"/>
        <v>0</v>
      </c>
      <c r="AS62" s="151">
        <f t="shared" si="125"/>
        <v>0</v>
      </c>
      <c r="AT62" s="95">
        <f t="shared" si="126"/>
        <v>0</v>
      </c>
      <c r="AV62" s="10">
        <f t="shared" si="101"/>
        <v>2041</v>
      </c>
      <c r="AW62" s="85">
        <f t="shared" si="127"/>
        <v>0</v>
      </c>
      <c r="AX62" s="86">
        <f t="shared" si="128"/>
        <v>0</v>
      </c>
      <c r="AY62" s="151">
        <f t="shared" si="129"/>
        <v>0</v>
      </c>
      <c r="AZ62" s="95">
        <f t="shared" si="130"/>
        <v>0</v>
      </c>
      <c r="BA62" s="85">
        <f t="shared" si="139"/>
        <v>0</v>
      </c>
      <c r="BB62" s="86">
        <f t="shared" si="140"/>
        <v>0</v>
      </c>
      <c r="BC62" s="151">
        <f t="shared" si="141"/>
        <v>0</v>
      </c>
      <c r="BD62" s="95">
        <f t="shared" si="142"/>
        <v>0</v>
      </c>
      <c r="BE62" s="145">
        <f t="shared" si="131"/>
        <v>0</v>
      </c>
      <c r="BF62" s="142">
        <f t="shared" si="132"/>
        <v>0</v>
      </c>
      <c r="BG62" s="151">
        <f t="shared" si="133"/>
        <v>0</v>
      </c>
      <c r="BH62" s="95">
        <f t="shared" si="134"/>
        <v>0</v>
      </c>
      <c r="BJ62" s="81" t="s">
        <v>27</v>
      </c>
      <c r="BK62" s="89">
        <f t="shared" ref="BK62:BU62" ca="1" si="153">SUBTOTAL(9,BK41:BK61)</f>
        <v>698.39549999999986</v>
      </c>
      <c r="BL62" s="89">
        <f t="shared" ref="BL62" ca="1" si="154">SUBTOTAL(9,BL41:BL61)</f>
        <v>111.93210000000002</v>
      </c>
      <c r="BM62" s="97">
        <f t="shared" ca="1" si="153"/>
        <v>698.39549999999986</v>
      </c>
      <c r="BN62" s="97">
        <f t="shared" ref="BN62:BR62" ca="1" si="155">SUBTOTAL(9,BN41:BN61)</f>
        <v>111.93210000000002</v>
      </c>
      <c r="BO62" s="89">
        <f t="shared" ca="1" si="155"/>
        <v>629.19449999999983</v>
      </c>
      <c r="BP62" s="89">
        <f t="shared" ca="1" si="155"/>
        <v>161.66340000000002</v>
      </c>
      <c r="BQ62" s="97">
        <f t="shared" ca="1" si="155"/>
        <v>629.19449999999983</v>
      </c>
      <c r="BR62" s="97">
        <f t="shared" ca="1" si="155"/>
        <v>161.66340000000002</v>
      </c>
      <c r="BS62" s="89">
        <f t="shared" ca="1" si="153"/>
        <v>559.99349999999993</v>
      </c>
      <c r="BT62" s="89">
        <f t="shared" ref="BT62" ca="1" si="156">SUBTOTAL(9,BT41:BT61)</f>
        <v>244.54890000000003</v>
      </c>
      <c r="BU62" s="97">
        <f t="shared" ca="1" si="153"/>
        <v>559.99349999999993</v>
      </c>
      <c r="BV62" s="97">
        <f t="shared" ref="BV62" ca="1" si="157">SUBTOTAL(9,BV41:BV61)</f>
        <v>244.54890000000003</v>
      </c>
    </row>
    <row r="63" spans="6:74" ht="16.5" thickBot="1">
      <c r="G63" s="1309">
        <f ca="1">SUM(G62:H62)</f>
        <v>5466</v>
      </c>
      <c r="H63" s="1311"/>
      <c r="I63" s="1309">
        <f ca="1">SUM(I62:J62)</f>
        <v>5466</v>
      </c>
      <c r="J63" s="1311"/>
      <c r="K63" s="1309">
        <f t="shared" ref="K63" ca="1" si="158">SUM(K62:L62)</f>
        <v>5339</v>
      </c>
      <c r="L63" s="1311"/>
      <c r="M63" s="1309">
        <f t="shared" ref="M63" ca="1" si="159">SUM(M62:N62)</f>
        <v>5339</v>
      </c>
      <c r="N63" s="1311"/>
      <c r="O63" s="1309">
        <f ca="1">SUM(O62:P62)</f>
        <v>5438</v>
      </c>
      <c r="P63" s="1311"/>
      <c r="Q63" s="1309">
        <f ca="1">SUM(Q62:R62)</f>
        <v>5438</v>
      </c>
      <c r="R63" s="1311"/>
      <c r="U63" s="1309">
        <f ca="1">SUM(U62:V62)</f>
        <v>20538.154086480004</v>
      </c>
      <c r="V63" s="1311"/>
      <c r="W63" s="1309">
        <f ca="1">SUM(W62:X62)</f>
        <v>20538.154086480004</v>
      </c>
      <c r="X63" s="1311"/>
      <c r="Y63" s="1309">
        <f t="shared" ref="Y63" ca="1" si="160">SUM(Y62:Z62)</f>
        <v>19788.453538920003</v>
      </c>
      <c r="Z63" s="1311"/>
      <c r="AA63" s="1309">
        <f t="shared" ref="AA63" ca="1" si="161">SUM(AA62:AB62)</f>
        <v>19788.453538920003</v>
      </c>
      <c r="AB63" s="1311"/>
      <c r="AC63" s="1309">
        <f ca="1">SUM(AC62:AD62)</f>
        <v>19739.39073336</v>
      </c>
      <c r="AD63" s="1311"/>
      <c r="AE63" s="1309">
        <f ca="1">SUM(AE62:AF62)</f>
        <v>19739.39073336</v>
      </c>
      <c r="AF63" s="1311"/>
      <c r="AH63" s="10">
        <f t="shared" si="92"/>
        <v>2042</v>
      </c>
      <c r="AI63" s="85">
        <f t="shared" ref="AI63:AI70" si="162">IF($AH63&gt;$D$5,0,-PMT(VLOOKUP(AI$40,$C$9:$D$10,2,FALSE),VLOOKUP(AI$40,$C$11:$D$12,2,FALSE),SUMIFS(U$41:U$61,$T$41:$T$61,"&gt;"&amp;($AH63-VLOOKUP(AI$40,$C$11:$D$12,2,FALSE)),$T$41:$T$61,"&lt;="&amp;($AH63))))</f>
        <v>0</v>
      </c>
      <c r="AJ63" s="86">
        <f t="shared" ref="AJ63:AJ118" si="163">IF($AH63&gt;$D$5,0,-PMT(VLOOKUP(AJ$40,$C$9:$D$10,2,FALSE),VLOOKUP(AJ$40,$C$11:$D$12,2,FALSE),SUMIFS(V$41:V$61,$T$41:$T$61,"&gt;"&amp;($AH63-VLOOKUP(AJ$40,$C$11:$D$12,2,FALSE)),$T$41:$T$61,"&lt;="&amp;($AH63))))</f>
        <v>0</v>
      </c>
      <c r="AK63" s="151">
        <f t="shared" ref="AK63:AK118" si="164">IF($AH63&gt;$D$5,0,-PMT(VLOOKUP(AK$40,$C$9:$D$10,2,FALSE),VLOOKUP(AK$40,$C$11:$D$12,2,FALSE),SUMIFS(W$41:W$61,$T$41:$T$61,"&gt;"&amp;($AH63-VLOOKUP(AK$40,$C$11:$D$12,2,FALSE)),$T$41:$T$61,"&lt;="&amp;($AH63))))</f>
        <v>0</v>
      </c>
      <c r="AL63" s="95">
        <f t="shared" ref="AL63:AL118" si="165">IF($AH63&gt;$D$5,0,-PMT(VLOOKUP(AL$40,$C$9:$D$10,2,FALSE),VLOOKUP(AL$40,$C$11:$D$12,2,FALSE),SUMIFS(X$41:X$61,$T$41:$T$61,"&gt;"&amp;($AH63-VLOOKUP(AL$40,$C$11:$D$12,2,FALSE)),$T$41:$T$61,"&lt;="&amp;($AH63))))</f>
        <v>0</v>
      </c>
      <c r="AM63" s="85">
        <f t="shared" si="135"/>
        <v>0</v>
      </c>
      <c r="AN63" s="86">
        <f t="shared" si="136"/>
        <v>0</v>
      </c>
      <c r="AO63" s="151">
        <f t="shared" si="137"/>
        <v>0</v>
      </c>
      <c r="AP63" s="95">
        <f t="shared" si="138"/>
        <v>0</v>
      </c>
      <c r="AQ63" s="145">
        <f t="shared" ref="AQ63:AQ118" si="166">IF($AH63&gt;$D$5,0,-PMT(VLOOKUP(AQ$40,$C$9:$D$10,2,FALSE),VLOOKUP(AQ$40,$C$11:$D$12,2,FALSE),SUMIFS(AC$41:AC$61,$T$41:$T$61,"&gt;"&amp;($AH63-VLOOKUP(AQ$40,$C$11:$D$12,2,FALSE)),$T$41:$T$61,"&lt;="&amp;($AH63))))</f>
        <v>0</v>
      </c>
      <c r="AR63" s="142">
        <f t="shared" ref="AR63:AR118" si="167">IF($AH63&gt;$D$5,0,-PMT(VLOOKUP(AR$40,$C$9:$D$10,2,FALSE),VLOOKUP(AR$40,$C$11:$D$12,2,FALSE),SUMIFS(AD$41:AD$61,$T$41:$T$61,"&gt;"&amp;($AH63-VLOOKUP(AR$40,$C$11:$D$12,2,FALSE)),$T$41:$T$61,"&lt;="&amp;($AH63))))</f>
        <v>0</v>
      </c>
      <c r="AS63" s="151">
        <f t="shared" ref="AS63:AS118" si="168">IF($AH63&gt;$D$5,0,-PMT(VLOOKUP(AS$40,$C$9:$D$10,2,FALSE),VLOOKUP(AS$40,$C$11:$D$12,2,FALSE),SUMIFS(AE$41:AE$61,$T$41:$T$61,"&gt;"&amp;($AH63-VLOOKUP(AS$40,$C$11:$D$12,2,FALSE)),$T$41:$T$61,"&lt;="&amp;($AH63))))</f>
        <v>0</v>
      </c>
      <c r="AT63" s="95">
        <f t="shared" ref="AT63:AT118" si="169">IF($AH63&gt;$D$5,0,-PMT(VLOOKUP(AT$40,$C$9:$D$10,2,FALSE),VLOOKUP(AT$40,$C$11:$D$12,2,FALSE),SUMIFS(AF$41:AF$61,$T$41:$T$61,"&gt;"&amp;($AH63-VLOOKUP(AT$40,$C$11:$D$12,2,FALSE)),$T$41:$T$61,"&lt;="&amp;($AH63))))</f>
        <v>0</v>
      </c>
      <c r="AV63" s="10">
        <f t="shared" si="101"/>
        <v>2042</v>
      </c>
      <c r="AW63" s="85">
        <f t="shared" si="127"/>
        <v>0</v>
      </c>
      <c r="AX63" s="86">
        <f t="shared" si="128"/>
        <v>0</v>
      </c>
      <c r="AY63" s="151">
        <f t="shared" si="129"/>
        <v>0</v>
      </c>
      <c r="AZ63" s="95">
        <f t="shared" si="130"/>
        <v>0</v>
      </c>
      <c r="BA63" s="85">
        <f t="shared" si="139"/>
        <v>0</v>
      </c>
      <c r="BB63" s="86">
        <f t="shared" si="140"/>
        <v>0</v>
      </c>
      <c r="BC63" s="151">
        <f t="shared" si="141"/>
        <v>0</v>
      </c>
      <c r="BD63" s="95">
        <f t="shared" si="142"/>
        <v>0</v>
      </c>
      <c r="BE63" s="145">
        <f t="shared" si="131"/>
        <v>0</v>
      </c>
      <c r="BF63" s="142">
        <f t="shared" si="132"/>
        <v>0</v>
      </c>
      <c r="BG63" s="151">
        <f t="shared" si="133"/>
        <v>0</v>
      </c>
      <c r="BH63" s="95">
        <f t="shared" si="134"/>
        <v>0</v>
      </c>
    </row>
    <row r="64" spans="6:74">
      <c r="AH64" s="10">
        <f t="shared" si="92"/>
        <v>2043</v>
      </c>
      <c r="AI64" s="85">
        <f t="shared" si="162"/>
        <v>0</v>
      </c>
      <c r="AJ64" s="86">
        <f t="shared" si="163"/>
        <v>0</v>
      </c>
      <c r="AK64" s="151">
        <f t="shared" si="164"/>
        <v>0</v>
      </c>
      <c r="AL64" s="95">
        <f t="shared" si="165"/>
        <v>0</v>
      </c>
      <c r="AM64" s="85">
        <f t="shared" si="135"/>
        <v>0</v>
      </c>
      <c r="AN64" s="86">
        <f t="shared" si="136"/>
        <v>0</v>
      </c>
      <c r="AO64" s="151">
        <f t="shared" si="137"/>
        <v>0</v>
      </c>
      <c r="AP64" s="95">
        <f t="shared" si="138"/>
        <v>0</v>
      </c>
      <c r="AQ64" s="145">
        <f t="shared" si="166"/>
        <v>0</v>
      </c>
      <c r="AR64" s="142">
        <f t="shared" si="167"/>
        <v>0</v>
      </c>
      <c r="AS64" s="151">
        <f t="shared" si="168"/>
        <v>0</v>
      </c>
      <c r="AT64" s="95">
        <f t="shared" si="169"/>
        <v>0</v>
      </c>
      <c r="AV64" s="10">
        <f t="shared" si="101"/>
        <v>2043</v>
      </c>
      <c r="AW64" s="85">
        <f t="shared" si="127"/>
        <v>0</v>
      </c>
      <c r="AX64" s="86">
        <f t="shared" si="128"/>
        <v>0</v>
      </c>
      <c r="AY64" s="151">
        <f t="shared" si="129"/>
        <v>0</v>
      </c>
      <c r="AZ64" s="95">
        <f t="shared" si="130"/>
        <v>0</v>
      </c>
      <c r="BA64" s="85">
        <f t="shared" si="139"/>
        <v>0</v>
      </c>
      <c r="BB64" s="86">
        <f t="shared" si="140"/>
        <v>0</v>
      </c>
      <c r="BC64" s="151">
        <f t="shared" si="141"/>
        <v>0</v>
      </c>
      <c r="BD64" s="95">
        <f t="shared" si="142"/>
        <v>0</v>
      </c>
      <c r="BE64" s="145">
        <f t="shared" si="131"/>
        <v>0</v>
      </c>
      <c r="BF64" s="142">
        <f t="shared" si="132"/>
        <v>0</v>
      </c>
      <c r="BG64" s="151">
        <f t="shared" si="133"/>
        <v>0</v>
      </c>
      <c r="BH64" s="95">
        <f t="shared" si="134"/>
        <v>0</v>
      </c>
    </row>
    <row r="65" spans="7:60">
      <c r="AH65" s="10">
        <f t="shared" si="92"/>
        <v>2044</v>
      </c>
      <c r="AI65" s="85">
        <f t="shared" si="162"/>
        <v>0</v>
      </c>
      <c r="AJ65" s="86">
        <f t="shared" si="163"/>
        <v>0</v>
      </c>
      <c r="AK65" s="151">
        <f t="shared" si="164"/>
        <v>0</v>
      </c>
      <c r="AL65" s="95">
        <f t="shared" si="165"/>
        <v>0</v>
      </c>
      <c r="AM65" s="85">
        <f t="shared" si="135"/>
        <v>0</v>
      </c>
      <c r="AN65" s="86">
        <f t="shared" si="136"/>
        <v>0</v>
      </c>
      <c r="AO65" s="151">
        <f t="shared" si="137"/>
        <v>0</v>
      </c>
      <c r="AP65" s="95">
        <f t="shared" si="138"/>
        <v>0</v>
      </c>
      <c r="AQ65" s="145">
        <f t="shared" si="166"/>
        <v>0</v>
      </c>
      <c r="AR65" s="142">
        <f t="shared" si="167"/>
        <v>0</v>
      </c>
      <c r="AS65" s="151">
        <f t="shared" si="168"/>
        <v>0</v>
      </c>
      <c r="AT65" s="95">
        <f t="shared" si="169"/>
        <v>0</v>
      </c>
      <c r="AV65" s="10">
        <f t="shared" si="101"/>
        <v>2044</v>
      </c>
      <c r="AW65" s="85">
        <f t="shared" si="127"/>
        <v>0</v>
      </c>
      <c r="AX65" s="86">
        <f t="shared" si="128"/>
        <v>0</v>
      </c>
      <c r="AY65" s="151">
        <f t="shared" si="129"/>
        <v>0</v>
      </c>
      <c r="AZ65" s="95">
        <f t="shared" si="130"/>
        <v>0</v>
      </c>
      <c r="BA65" s="85">
        <f t="shared" si="139"/>
        <v>0</v>
      </c>
      <c r="BB65" s="86">
        <f t="shared" si="140"/>
        <v>0</v>
      </c>
      <c r="BC65" s="151">
        <f t="shared" si="141"/>
        <v>0</v>
      </c>
      <c r="BD65" s="95">
        <f t="shared" si="142"/>
        <v>0</v>
      </c>
      <c r="BE65" s="145">
        <f t="shared" si="131"/>
        <v>0</v>
      </c>
      <c r="BF65" s="142">
        <f t="shared" si="132"/>
        <v>0</v>
      </c>
      <c r="BG65" s="151">
        <f t="shared" si="133"/>
        <v>0</v>
      </c>
      <c r="BH65" s="95">
        <f t="shared" si="134"/>
        <v>0</v>
      </c>
    </row>
    <row r="66" spans="7:60">
      <c r="I66" s="124"/>
      <c r="J66" s="124"/>
      <c r="K66" s="124"/>
      <c r="L66" s="124"/>
      <c r="M66" s="124"/>
      <c r="N66" s="124"/>
      <c r="AH66" s="10">
        <f t="shared" si="92"/>
        <v>2045</v>
      </c>
      <c r="AI66" s="85">
        <f t="shared" si="162"/>
        <v>0</v>
      </c>
      <c r="AJ66" s="86">
        <f t="shared" si="163"/>
        <v>0</v>
      </c>
      <c r="AK66" s="151">
        <f t="shared" si="164"/>
        <v>0</v>
      </c>
      <c r="AL66" s="95">
        <f t="shared" si="165"/>
        <v>0</v>
      </c>
      <c r="AM66" s="85">
        <f t="shared" si="135"/>
        <v>0</v>
      </c>
      <c r="AN66" s="86">
        <f t="shared" si="136"/>
        <v>0</v>
      </c>
      <c r="AO66" s="151">
        <f t="shared" si="137"/>
        <v>0</v>
      </c>
      <c r="AP66" s="95">
        <f t="shared" si="138"/>
        <v>0</v>
      </c>
      <c r="AQ66" s="145">
        <f t="shared" si="166"/>
        <v>0</v>
      </c>
      <c r="AR66" s="142">
        <f t="shared" si="167"/>
        <v>0</v>
      </c>
      <c r="AS66" s="151">
        <f t="shared" si="168"/>
        <v>0</v>
      </c>
      <c r="AT66" s="95">
        <f t="shared" si="169"/>
        <v>0</v>
      </c>
      <c r="AV66" s="10">
        <f t="shared" si="101"/>
        <v>2045</v>
      </c>
      <c r="AW66" s="85">
        <f t="shared" si="127"/>
        <v>0</v>
      </c>
      <c r="AX66" s="86">
        <f t="shared" si="128"/>
        <v>0</v>
      </c>
      <c r="AY66" s="151">
        <f t="shared" si="129"/>
        <v>0</v>
      </c>
      <c r="AZ66" s="95">
        <f t="shared" si="130"/>
        <v>0</v>
      </c>
      <c r="BA66" s="85">
        <f t="shared" si="139"/>
        <v>0</v>
      </c>
      <c r="BB66" s="86">
        <f t="shared" si="140"/>
        <v>0</v>
      </c>
      <c r="BC66" s="151">
        <f t="shared" si="141"/>
        <v>0</v>
      </c>
      <c r="BD66" s="95">
        <f t="shared" si="142"/>
        <v>0</v>
      </c>
      <c r="BE66" s="145">
        <f t="shared" si="131"/>
        <v>0</v>
      </c>
      <c r="BF66" s="142">
        <f t="shared" si="132"/>
        <v>0</v>
      </c>
      <c r="BG66" s="151">
        <f t="shared" si="133"/>
        <v>0</v>
      </c>
      <c r="BH66" s="95">
        <f t="shared" si="134"/>
        <v>0</v>
      </c>
    </row>
    <row r="67" spans="7:60">
      <c r="I67" s="125"/>
      <c r="J67" s="125"/>
      <c r="K67" s="125"/>
      <c r="L67" s="125"/>
      <c r="M67" s="125"/>
      <c r="N67" s="125"/>
      <c r="AH67" s="10">
        <f t="shared" si="92"/>
        <v>2046</v>
      </c>
      <c r="AI67" s="85">
        <f t="shared" si="162"/>
        <v>0</v>
      </c>
      <c r="AJ67" s="86">
        <f t="shared" si="163"/>
        <v>0</v>
      </c>
      <c r="AK67" s="151">
        <f t="shared" si="164"/>
        <v>0</v>
      </c>
      <c r="AL67" s="95">
        <f t="shared" si="165"/>
        <v>0</v>
      </c>
      <c r="AM67" s="85">
        <f t="shared" si="135"/>
        <v>0</v>
      </c>
      <c r="AN67" s="86">
        <f t="shared" si="136"/>
        <v>0</v>
      </c>
      <c r="AO67" s="151">
        <f t="shared" si="137"/>
        <v>0</v>
      </c>
      <c r="AP67" s="95">
        <f t="shared" si="138"/>
        <v>0</v>
      </c>
      <c r="AQ67" s="145">
        <f t="shared" si="166"/>
        <v>0</v>
      </c>
      <c r="AR67" s="142">
        <f t="shared" si="167"/>
        <v>0</v>
      </c>
      <c r="AS67" s="151">
        <f t="shared" si="168"/>
        <v>0</v>
      </c>
      <c r="AT67" s="95">
        <f t="shared" si="169"/>
        <v>0</v>
      </c>
      <c r="AV67" s="10">
        <f t="shared" si="101"/>
        <v>2046</v>
      </c>
      <c r="AW67" s="85">
        <f t="shared" si="127"/>
        <v>0</v>
      </c>
      <c r="AX67" s="86">
        <f t="shared" si="128"/>
        <v>0</v>
      </c>
      <c r="AY67" s="151">
        <f t="shared" si="129"/>
        <v>0</v>
      </c>
      <c r="AZ67" s="95">
        <f t="shared" si="130"/>
        <v>0</v>
      </c>
      <c r="BA67" s="85">
        <f t="shared" si="139"/>
        <v>0</v>
      </c>
      <c r="BB67" s="86">
        <f t="shared" si="140"/>
        <v>0</v>
      </c>
      <c r="BC67" s="151">
        <f t="shared" si="141"/>
        <v>0</v>
      </c>
      <c r="BD67" s="95">
        <f t="shared" si="142"/>
        <v>0</v>
      </c>
      <c r="BE67" s="145">
        <f t="shared" si="131"/>
        <v>0</v>
      </c>
      <c r="BF67" s="142">
        <f t="shared" si="132"/>
        <v>0</v>
      </c>
      <c r="BG67" s="151">
        <f t="shared" si="133"/>
        <v>0</v>
      </c>
      <c r="BH67" s="95">
        <f t="shared" si="134"/>
        <v>0</v>
      </c>
    </row>
    <row r="68" spans="7:60">
      <c r="AH68" s="10">
        <f t="shared" si="92"/>
        <v>2047</v>
      </c>
      <c r="AI68" s="85">
        <f t="shared" si="162"/>
        <v>0</v>
      </c>
      <c r="AJ68" s="86">
        <f t="shared" si="163"/>
        <v>0</v>
      </c>
      <c r="AK68" s="151">
        <f t="shared" si="164"/>
        <v>0</v>
      </c>
      <c r="AL68" s="95">
        <f t="shared" si="165"/>
        <v>0</v>
      </c>
      <c r="AM68" s="85">
        <f t="shared" si="135"/>
        <v>0</v>
      </c>
      <c r="AN68" s="86">
        <f t="shared" si="136"/>
        <v>0</v>
      </c>
      <c r="AO68" s="151">
        <f t="shared" si="137"/>
        <v>0</v>
      </c>
      <c r="AP68" s="95">
        <f t="shared" si="138"/>
        <v>0</v>
      </c>
      <c r="AQ68" s="145">
        <f t="shared" si="166"/>
        <v>0</v>
      </c>
      <c r="AR68" s="142">
        <f t="shared" si="167"/>
        <v>0</v>
      </c>
      <c r="AS68" s="151">
        <f t="shared" si="168"/>
        <v>0</v>
      </c>
      <c r="AT68" s="95">
        <f t="shared" si="169"/>
        <v>0</v>
      </c>
      <c r="AV68" s="10">
        <f t="shared" si="101"/>
        <v>2047</v>
      </c>
      <c r="AW68" s="85">
        <f>IF($AV68&gt;$D$5,0,SUMIFS(BK$41:BK$61,$BJ$41:$BJ$61,"&gt;"&amp;($AV68-VLOOKUP(AW$40,$C$11:$D$12,2,FALSE)),$BJ$41:$BJ$61,"&lt;="&amp;($AV68)))</f>
        <v>0</v>
      </c>
      <c r="AX68" s="86">
        <f t="shared" si="128"/>
        <v>0</v>
      </c>
      <c r="AY68" s="151">
        <f t="shared" si="129"/>
        <v>0</v>
      </c>
      <c r="AZ68" s="95">
        <f t="shared" si="130"/>
        <v>0</v>
      </c>
      <c r="BA68" s="85">
        <f t="shared" si="139"/>
        <v>0</v>
      </c>
      <c r="BB68" s="86">
        <f t="shared" si="140"/>
        <v>0</v>
      </c>
      <c r="BC68" s="151">
        <f t="shared" si="141"/>
        <v>0</v>
      </c>
      <c r="BD68" s="95">
        <f t="shared" si="142"/>
        <v>0</v>
      </c>
      <c r="BE68" s="145">
        <f t="shared" si="131"/>
        <v>0</v>
      </c>
      <c r="BF68" s="142">
        <f t="shared" si="132"/>
        <v>0</v>
      </c>
      <c r="BG68" s="151">
        <f t="shared" si="133"/>
        <v>0</v>
      </c>
      <c r="BH68" s="95">
        <f t="shared" si="134"/>
        <v>0</v>
      </c>
    </row>
    <row r="69" spans="7:60">
      <c r="AH69" s="10">
        <f t="shared" si="92"/>
        <v>2048</v>
      </c>
      <c r="AI69" s="85">
        <f t="shared" si="162"/>
        <v>0</v>
      </c>
      <c r="AJ69" s="86">
        <f t="shared" si="163"/>
        <v>0</v>
      </c>
      <c r="AK69" s="151">
        <f t="shared" si="164"/>
        <v>0</v>
      </c>
      <c r="AL69" s="95">
        <f t="shared" si="165"/>
        <v>0</v>
      </c>
      <c r="AM69" s="85">
        <f t="shared" si="135"/>
        <v>0</v>
      </c>
      <c r="AN69" s="86">
        <f t="shared" si="136"/>
        <v>0</v>
      </c>
      <c r="AO69" s="151">
        <f t="shared" si="137"/>
        <v>0</v>
      </c>
      <c r="AP69" s="95">
        <f t="shared" si="138"/>
        <v>0</v>
      </c>
      <c r="AQ69" s="145">
        <f t="shared" si="166"/>
        <v>0</v>
      </c>
      <c r="AR69" s="142">
        <f t="shared" si="167"/>
        <v>0</v>
      </c>
      <c r="AS69" s="151">
        <f t="shared" si="168"/>
        <v>0</v>
      </c>
      <c r="AT69" s="95">
        <f t="shared" si="169"/>
        <v>0</v>
      </c>
      <c r="AV69" s="10">
        <f t="shared" si="101"/>
        <v>2048</v>
      </c>
      <c r="AW69" s="85">
        <f t="shared" ref="AW69:AW85" si="170">IF($AV69&gt;$D$5,0,SUMIFS(BK$41:BK$61,$BJ$41:$BJ$61,"&gt;"&amp;($AV69-VLOOKUP(AW$40,$C$11:$D$12,2,FALSE)),$BJ$41:$BJ$61,"&lt;="&amp;($AV69)))</f>
        <v>0</v>
      </c>
      <c r="AX69" s="86">
        <f t="shared" si="128"/>
        <v>0</v>
      </c>
      <c r="AY69" s="151">
        <f t="shared" si="129"/>
        <v>0</v>
      </c>
      <c r="AZ69" s="95">
        <f t="shared" si="130"/>
        <v>0</v>
      </c>
      <c r="BA69" s="85">
        <f t="shared" si="139"/>
        <v>0</v>
      </c>
      <c r="BB69" s="86">
        <f t="shared" si="140"/>
        <v>0</v>
      </c>
      <c r="BC69" s="151">
        <f t="shared" si="141"/>
        <v>0</v>
      </c>
      <c r="BD69" s="95">
        <f t="shared" si="142"/>
        <v>0</v>
      </c>
      <c r="BE69" s="145">
        <f t="shared" si="131"/>
        <v>0</v>
      </c>
      <c r="BF69" s="142">
        <f t="shared" si="132"/>
        <v>0</v>
      </c>
      <c r="BG69" s="151">
        <f t="shared" si="133"/>
        <v>0</v>
      </c>
      <c r="BH69" s="95">
        <f t="shared" si="134"/>
        <v>0</v>
      </c>
    </row>
    <row r="70" spans="7:60"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AH70" s="10">
        <f t="shared" si="92"/>
        <v>2049</v>
      </c>
      <c r="AI70" s="85">
        <f t="shared" si="162"/>
        <v>0</v>
      </c>
      <c r="AJ70" s="86">
        <f t="shared" si="163"/>
        <v>0</v>
      </c>
      <c r="AK70" s="151">
        <f t="shared" si="164"/>
        <v>0</v>
      </c>
      <c r="AL70" s="95">
        <f t="shared" si="165"/>
        <v>0</v>
      </c>
      <c r="AM70" s="85">
        <f t="shared" si="135"/>
        <v>0</v>
      </c>
      <c r="AN70" s="86">
        <f t="shared" si="136"/>
        <v>0</v>
      </c>
      <c r="AO70" s="151">
        <f t="shared" si="137"/>
        <v>0</v>
      </c>
      <c r="AP70" s="95">
        <f t="shared" si="138"/>
        <v>0</v>
      </c>
      <c r="AQ70" s="145">
        <f t="shared" si="166"/>
        <v>0</v>
      </c>
      <c r="AR70" s="142">
        <f t="shared" si="167"/>
        <v>0</v>
      </c>
      <c r="AS70" s="151">
        <f t="shared" si="168"/>
        <v>0</v>
      </c>
      <c r="AT70" s="95">
        <f t="shared" si="169"/>
        <v>0</v>
      </c>
      <c r="AV70" s="10">
        <f t="shared" si="101"/>
        <v>2049</v>
      </c>
      <c r="AW70" s="85">
        <f t="shared" si="170"/>
        <v>0</v>
      </c>
      <c r="AX70" s="86">
        <f t="shared" si="128"/>
        <v>0</v>
      </c>
      <c r="AY70" s="151">
        <f t="shared" si="129"/>
        <v>0</v>
      </c>
      <c r="AZ70" s="95">
        <f t="shared" si="130"/>
        <v>0</v>
      </c>
      <c r="BA70" s="85">
        <f t="shared" si="139"/>
        <v>0</v>
      </c>
      <c r="BB70" s="86">
        <f t="shared" si="140"/>
        <v>0</v>
      </c>
      <c r="BC70" s="151">
        <f t="shared" si="141"/>
        <v>0</v>
      </c>
      <c r="BD70" s="95">
        <f t="shared" si="142"/>
        <v>0</v>
      </c>
      <c r="BE70" s="145">
        <f t="shared" si="131"/>
        <v>0</v>
      </c>
      <c r="BF70" s="142">
        <f t="shared" si="132"/>
        <v>0</v>
      </c>
      <c r="BG70" s="151">
        <f t="shared" si="133"/>
        <v>0</v>
      </c>
      <c r="BH70" s="95">
        <f t="shared" si="134"/>
        <v>0</v>
      </c>
    </row>
    <row r="71" spans="7:60">
      <c r="AH71" s="10">
        <f t="shared" si="92"/>
        <v>2050</v>
      </c>
      <c r="AI71" s="85">
        <f>IF($AH71&gt;$D$5,0,-PMT(VLOOKUP(AI$40,$C$9:$D$10,2,FALSE),VLOOKUP(AI$40,$C$11:$D$12,2,FALSE),SUMIFS(U$41:U$61,$T$41:$T$61,"&gt;"&amp;($AH71-VLOOKUP(AI$40,$C$11:$D$12,2,FALSE)),$T$41:$T$61,"&lt;="&amp;($AH71))))</f>
        <v>0</v>
      </c>
      <c r="AJ71" s="86">
        <f t="shared" si="163"/>
        <v>0</v>
      </c>
      <c r="AK71" s="151">
        <f t="shared" si="164"/>
        <v>0</v>
      </c>
      <c r="AL71" s="95">
        <f t="shared" si="165"/>
        <v>0</v>
      </c>
      <c r="AM71" s="85">
        <f t="shared" si="135"/>
        <v>0</v>
      </c>
      <c r="AN71" s="86">
        <f t="shared" si="136"/>
        <v>0</v>
      </c>
      <c r="AO71" s="151">
        <f t="shared" si="137"/>
        <v>0</v>
      </c>
      <c r="AP71" s="95">
        <f t="shared" si="138"/>
        <v>0</v>
      </c>
      <c r="AQ71" s="145">
        <f t="shared" si="166"/>
        <v>0</v>
      </c>
      <c r="AR71" s="142">
        <f t="shared" si="167"/>
        <v>0</v>
      </c>
      <c r="AS71" s="151">
        <f t="shared" si="168"/>
        <v>0</v>
      </c>
      <c r="AT71" s="95">
        <f t="shared" si="169"/>
        <v>0</v>
      </c>
      <c r="AV71" s="10">
        <f t="shared" si="101"/>
        <v>2050</v>
      </c>
      <c r="AW71" s="85">
        <f t="shared" si="170"/>
        <v>0</v>
      </c>
      <c r="AX71" s="86">
        <f t="shared" si="128"/>
        <v>0</v>
      </c>
      <c r="AY71" s="151">
        <f t="shared" si="129"/>
        <v>0</v>
      </c>
      <c r="AZ71" s="95">
        <f t="shared" si="130"/>
        <v>0</v>
      </c>
      <c r="BA71" s="85">
        <f t="shared" si="139"/>
        <v>0</v>
      </c>
      <c r="BB71" s="86">
        <f t="shared" si="140"/>
        <v>0</v>
      </c>
      <c r="BC71" s="151">
        <f t="shared" si="141"/>
        <v>0</v>
      </c>
      <c r="BD71" s="95">
        <f t="shared" si="142"/>
        <v>0</v>
      </c>
      <c r="BE71" s="145">
        <f t="shared" si="131"/>
        <v>0</v>
      </c>
      <c r="BF71" s="142">
        <f t="shared" si="132"/>
        <v>0</v>
      </c>
      <c r="BG71" s="151">
        <f t="shared" si="133"/>
        <v>0</v>
      </c>
      <c r="BH71" s="95">
        <f t="shared" si="134"/>
        <v>0</v>
      </c>
    </row>
    <row r="72" spans="7:60">
      <c r="G72" s="71"/>
      <c r="H72" s="71"/>
      <c r="I72" s="71"/>
      <c r="J72" s="71"/>
      <c r="K72" s="71"/>
      <c r="L72" s="71"/>
      <c r="M72" s="71"/>
      <c r="N72" s="71"/>
      <c r="AH72" s="10">
        <f t="shared" si="92"/>
        <v>2051</v>
      </c>
      <c r="AI72" s="85">
        <f t="shared" ref="AI72:AI77" si="171">IF($AH72&gt;$D$5,0,-PMT(VLOOKUP(AI$40,$C$9:$D$10,2,FALSE),VLOOKUP(AI$40,$C$11:$D$12,2,FALSE),SUMIFS(U$41:U$61,$T$41:$T$61,"&gt;"&amp;($AH72-VLOOKUP(AI$40,$C$11:$D$12,2,FALSE)),$T$41:$T$61,"&lt;="&amp;($AH72))))</f>
        <v>0</v>
      </c>
      <c r="AJ72" s="86">
        <f t="shared" si="163"/>
        <v>0</v>
      </c>
      <c r="AK72" s="151">
        <f t="shared" si="164"/>
        <v>0</v>
      </c>
      <c r="AL72" s="95">
        <f t="shared" si="165"/>
        <v>0</v>
      </c>
      <c r="AM72" s="85">
        <f t="shared" si="135"/>
        <v>0</v>
      </c>
      <c r="AN72" s="86">
        <f t="shared" si="136"/>
        <v>0</v>
      </c>
      <c r="AO72" s="151">
        <f t="shared" si="137"/>
        <v>0</v>
      </c>
      <c r="AP72" s="95">
        <f t="shared" si="138"/>
        <v>0</v>
      </c>
      <c r="AQ72" s="145">
        <f t="shared" si="166"/>
        <v>0</v>
      </c>
      <c r="AR72" s="142">
        <f t="shared" si="167"/>
        <v>0</v>
      </c>
      <c r="AS72" s="151">
        <f t="shared" si="168"/>
        <v>0</v>
      </c>
      <c r="AT72" s="95">
        <f t="shared" si="169"/>
        <v>0</v>
      </c>
      <c r="AV72" s="10">
        <f t="shared" si="101"/>
        <v>2051</v>
      </c>
      <c r="AW72" s="85">
        <f t="shared" si="170"/>
        <v>0</v>
      </c>
      <c r="AX72" s="86">
        <f t="shared" si="128"/>
        <v>0</v>
      </c>
      <c r="AY72" s="151">
        <f t="shared" si="129"/>
        <v>0</v>
      </c>
      <c r="AZ72" s="95">
        <f t="shared" si="130"/>
        <v>0</v>
      </c>
      <c r="BA72" s="85">
        <f t="shared" si="139"/>
        <v>0</v>
      </c>
      <c r="BB72" s="86">
        <f t="shared" si="140"/>
        <v>0</v>
      </c>
      <c r="BC72" s="151">
        <f t="shared" si="141"/>
        <v>0</v>
      </c>
      <c r="BD72" s="95">
        <f t="shared" si="142"/>
        <v>0</v>
      </c>
      <c r="BE72" s="145">
        <f t="shared" si="131"/>
        <v>0</v>
      </c>
      <c r="BF72" s="142">
        <f t="shared" si="132"/>
        <v>0</v>
      </c>
      <c r="BG72" s="151">
        <f t="shared" si="133"/>
        <v>0</v>
      </c>
      <c r="BH72" s="95">
        <f t="shared" si="134"/>
        <v>0</v>
      </c>
    </row>
    <row r="73" spans="7:60"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AH73" s="10">
        <f t="shared" si="92"/>
        <v>2052</v>
      </c>
      <c r="AI73" s="85">
        <f t="shared" si="171"/>
        <v>0</v>
      </c>
      <c r="AJ73" s="86">
        <f t="shared" si="163"/>
        <v>0</v>
      </c>
      <c r="AK73" s="151">
        <f t="shared" si="164"/>
        <v>0</v>
      </c>
      <c r="AL73" s="95">
        <f t="shared" si="165"/>
        <v>0</v>
      </c>
      <c r="AM73" s="85">
        <f t="shared" si="135"/>
        <v>0</v>
      </c>
      <c r="AN73" s="86">
        <f t="shared" si="136"/>
        <v>0</v>
      </c>
      <c r="AO73" s="151">
        <f t="shared" si="137"/>
        <v>0</v>
      </c>
      <c r="AP73" s="95">
        <f t="shared" si="138"/>
        <v>0</v>
      </c>
      <c r="AQ73" s="145">
        <f t="shared" si="166"/>
        <v>0</v>
      </c>
      <c r="AR73" s="142">
        <f t="shared" si="167"/>
        <v>0</v>
      </c>
      <c r="AS73" s="151">
        <f t="shared" si="168"/>
        <v>0</v>
      </c>
      <c r="AT73" s="95">
        <f t="shared" si="169"/>
        <v>0</v>
      </c>
      <c r="AV73" s="10">
        <f t="shared" si="101"/>
        <v>2052</v>
      </c>
      <c r="AW73" s="85">
        <f t="shared" si="170"/>
        <v>0</v>
      </c>
      <c r="AX73" s="86">
        <f t="shared" si="128"/>
        <v>0</v>
      </c>
      <c r="AY73" s="151">
        <f t="shared" si="129"/>
        <v>0</v>
      </c>
      <c r="AZ73" s="95">
        <f t="shared" si="130"/>
        <v>0</v>
      </c>
      <c r="BA73" s="85">
        <f t="shared" si="139"/>
        <v>0</v>
      </c>
      <c r="BB73" s="86">
        <f t="shared" si="140"/>
        <v>0</v>
      </c>
      <c r="BC73" s="151">
        <f t="shared" si="141"/>
        <v>0</v>
      </c>
      <c r="BD73" s="95">
        <f t="shared" si="142"/>
        <v>0</v>
      </c>
      <c r="BE73" s="145">
        <f t="shared" si="131"/>
        <v>0</v>
      </c>
      <c r="BF73" s="142">
        <f t="shared" si="132"/>
        <v>0</v>
      </c>
      <c r="BG73" s="151">
        <f t="shared" si="133"/>
        <v>0</v>
      </c>
      <c r="BH73" s="95">
        <f t="shared" si="134"/>
        <v>0</v>
      </c>
    </row>
    <row r="74" spans="7:60">
      <c r="AH74" s="10">
        <f t="shared" si="92"/>
        <v>2053</v>
      </c>
      <c r="AI74" s="85">
        <f t="shared" si="171"/>
        <v>0</v>
      </c>
      <c r="AJ74" s="86">
        <f t="shared" si="163"/>
        <v>0</v>
      </c>
      <c r="AK74" s="151">
        <f t="shared" si="164"/>
        <v>0</v>
      </c>
      <c r="AL74" s="95">
        <f t="shared" si="165"/>
        <v>0</v>
      </c>
      <c r="AM74" s="85">
        <f t="shared" si="135"/>
        <v>0</v>
      </c>
      <c r="AN74" s="86">
        <f t="shared" si="136"/>
        <v>0</v>
      </c>
      <c r="AO74" s="151">
        <f t="shared" si="137"/>
        <v>0</v>
      </c>
      <c r="AP74" s="95">
        <f t="shared" si="138"/>
        <v>0</v>
      </c>
      <c r="AQ74" s="145">
        <f t="shared" si="166"/>
        <v>0</v>
      </c>
      <c r="AR74" s="142">
        <f t="shared" si="167"/>
        <v>0</v>
      </c>
      <c r="AS74" s="151">
        <f t="shared" si="168"/>
        <v>0</v>
      </c>
      <c r="AT74" s="95">
        <f t="shared" si="169"/>
        <v>0</v>
      </c>
      <c r="AV74" s="10">
        <f t="shared" si="101"/>
        <v>2053</v>
      </c>
      <c r="AW74" s="85">
        <f t="shared" si="170"/>
        <v>0</v>
      </c>
      <c r="AX74" s="86">
        <f t="shared" si="128"/>
        <v>0</v>
      </c>
      <c r="AY74" s="151">
        <f t="shared" si="129"/>
        <v>0</v>
      </c>
      <c r="AZ74" s="95">
        <f t="shared" si="130"/>
        <v>0</v>
      </c>
      <c r="BA74" s="85">
        <f t="shared" si="139"/>
        <v>0</v>
      </c>
      <c r="BB74" s="86">
        <f t="shared" si="140"/>
        <v>0</v>
      </c>
      <c r="BC74" s="151">
        <f t="shared" si="141"/>
        <v>0</v>
      </c>
      <c r="BD74" s="95">
        <f t="shared" si="142"/>
        <v>0</v>
      </c>
      <c r="BE74" s="145">
        <f t="shared" si="131"/>
        <v>0</v>
      </c>
      <c r="BF74" s="142">
        <f t="shared" si="132"/>
        <v>0</v>
      </c>
      <c r="BG74" s="151">
        <f t="shared" si="133"/>
        <v>0</v>
      </c>
      <c r="BH74" s="95">
        <f t="shared" si="134"/>
        <v>0</v>
      </c>
    </row>
    <row r="75" spans="7:60">
      <c r="AH75" s="10">
        <f t="shared" si="92"/>
        <v>2054</v>
      </c>
      <c r="AI75" s="85">
        <f t="shared" si="171"/>
        <v>0</v>
      </c>
      <c r="AJ75" s="86">
        <f t="shared" si="163"/>
        <v>0</v>
      </c>
      <c r="AK75" s="151">
        <f t="shared" si="164"/>
        <v>0</v>
      </c>
      <c r="AL75" s="95">
        <f t="shared" si="165"/>
        <v>0</v>
      </c>
      <c r="AM75" s="85">
        <f t="shared" si="135"/>
        <v>0</v>
      </c>
      <c r="AN75" s="86">
        <f t="shared" si="136"/>
        <v>0</v>
      </c>
      <c r="AO75" s="151">
        <f t="shared" si="137"/>
        <v>0</v>
      </c>
      <c r="AP75" s="95">
        <f t="shared" si="138"/>
        <v>0</v>
      </c>
      <c r="AQ75" s="145">
        <f t="shared" si="166"/>
        <v>0</v>
      </c>
      <c r="AR75" s="142">
        <f t="shared" si="167"/>
        <v>0</v>
      </c>
      <c r="AS75" s="151">
        <f t="shared" si="168"/>
        <v>0</v>
      </c>
      <c r="AT75" s="95">
        <f t="shared" si="169"/>
        <v>0</v>
      </c>
      <c r="AV75" s="10">
        <f t="shared" si="101"/>
        <v>2054</v>
      </c>
      <c r="AW75" s="85">
        <f t="shared" si="170"/>
        <v>0</v>
      </c>
      <c r="AX75" s="86">
        <f t="shared" si="128"/>
        <v>0</v>
      </c>
      <c r="AY75" s="151">
        <f t="shared" si="129"/>
        <v>0</v>
      </c>
      <c r="AZ75" s="95">
        <f t="shared" si="130"/>
        <v>0</v>
      </c>
      <c r="BA75" s="85">
        <f t="shared" si="139"/>
        <v>0</v>
      </c>
      <c r="BB75" s="86">
        <f t="shared" si="140"/>
        <v>0</v>
      </c>
      <c r="BC75" s="151">
        <f t="shared" si="141"/>
        <v>0</v>
      </c>
      <c r="BD75" s="95">
        <f t="shared" si="142"/>
        <v>0</v>
      </c>
      <c r="BE75" s="145">
        <f t="shared" si="131"/>
        <v>0</v>
      </c>
      <c r="BF75" s="142">
        <f t="shared" si="132"/>
        <v>0</v>
      </c>
      <c r="BG75" s="151">
        <f t="shared" si="133"/>
        <v>0</v>
      </c>
      <c r="BH75" s="95">
        <f t="shared" si="134"/>
        <v>0</v>
      </c>
    </row>
    <row r="76" spans="7:60">
      <c r="AH76" s="10">
        <f t="shared" si="92"/>
        <v>2055</v>
      </c>
      <c r="AI76" s="85">
        <f t="shared" si="171"/>
        <v>0</v>
      </c>
      <c r="AJ76" s="86">
        <f t="shared" si="163"/>
        <v>0</v>
      </c>
      <c r="AK76" s="151">
        <f t="shared" si="164"/>
        <v>0</v>
      </c>
      <c r="AL76" s="95">
        <f t="shared" si="165"/>
        <v>0</v>
      </c>
      <c r="AM76" s="85">
        <f t="shared" si="135"/>
        <v>0</v>
      </c>
      <c r="AN76" s="86">
        <f t="shared" si="136"/>
        <v>0</v>
      </c>
      <c r="AO76" s="151">
        <f t="shared" si="137"/>
        <v>0</v>
      </c>
      <c r="AP76" s="95">
        <f t="shared" si="138"/>
        <v>0</v>
      </c>
      <c r="AQ76" s="145">
        <f t="shared" si="166"/>
        <v>0</v>
      </c>
      <c r="AR76" s="142">
        <f t="shared" si="167"/>
        <v>0</v>
      </c>
      <c r="AS76" s="151">
        <f t="shared" si="168"/>
        <v>0</v>
      </c>
      <c r="AT76" s="95">
        <f t="shared" si="169"/>
        <v>0</v>
      </c>
      <c r="AV76" s="10">
        <f t="shared" si="101"/>
        <v>2055</v>
      </c>
      <c r="AW76" s="85">
        <f t="shared" si="170"/>
        <v>0</v>
      </c>
      <c r="AX76" s="86">
        <f t="shared" ref="AX76:AX118" si="172">IF($AV76&gt;$D$5,0,SUMIFS(BL$41:BL$61,$BJ$41:$BJ$61,"&gt;"&amp;($AV76-VLOOKUP(AX$40,$C$11:$D$12,2,FALSE)),$BJ$41:$BJ$61,"&lt;="&amp;($AV76)))</f>
        <v>0</v>
      </c>
      <c r="AY76" s="151">
        <f t="shared" ref="AY76:AY118" si="173">IF($AV76&gt;$D$5,0,SUMIFS(BM$41:BM$61,$BJ$41:$BJ$61,"&gt;"&amp;($AV76-VLOOKUP(AY$40,$C$11:$D$12,2,FALSE)),$BJ$41:$BJ$61,"&lt;="&amp;($AV76)))</f>
        <v>0</v>
      </c>
      <c r="AZ76" s="95">
        <f t="shared" ref="AZ76:AZ118" si="174">IF($AV76&gt;$D$5,0,SUMIFS(BN$41:BN$61,$BJ$41:$BJ$61,"&gt;"&amp;($AV76-VLOOKUP(AZ$40,$C$11:$D$12,2,FALSE)),$BJ$41:$BJ$61,"&lt;="&amp;($AV76)))</f>
        <v>0</v>
      </c>
      <c r="BA76" s="85">
        <f t="shared" si="139"/>
        <v>0</v>
      </c>
      <c r="BB76" s="86">
        <f t="shared" si="140"/>
        <v>0</v>
      </c>
      <c r="BC76" s="151">
        <f t="shared" si="141"/>
        <v>0</v>
      </c>
      <c r="BD76" s="95">
        <f t="shared" si="142"/>
        <v>0</v>
      </c>
      <c r="BE76" s="145">
        <f t="shared" ref="BE76:BE118" si="175">IF($AV76&gt;$D$5,0,SUMIFS(BS$41:BS$61,$BJ$41:$BJ$61,"&gt;"&amp;($AV76-VLOOKUP(BE$40,$C$11:$D$12,2,FALSE)),$BJ$41:$BJ$61,"&lt;="&amp;($AV76)))</f>
        <v>0</v>
      </c>
      <c r="BF76" s="142">
        <f t="shared" ref="BF76:BF118" si="176">IF($AV76&gt;$D$5,0,SUMIFS(BT$41:BT$61,$BJ$41:$BJ$61,"&gt;"&amp;($AV76-VLOOKUP(BF$40,$C$11:$D$12,2,FALSE)),$BJ$41:$BJ$61,"&lt;="&amp;($AV76)))</f>
        <v>0</v>
      </c>
      <c r="BG76" s="151">
        <f t="shared" ref="BG76:BG118" si="177">IF($AV76&gt;$D$5,0,SUMIFS(BU$41:BU$61,$BJ$41:$BJ$61,"&gt;"&amp;($AV76-VLOOKUP(BG$40,$C$11:$D$12,2,FALSE)),$BJ$41:$BJ$61,"&lt;="&amp;($AV76)))</f>
        <v>0</v>
      </c>
      <c r="BH76" s="95">
        <f t="shared" ref="BH76:BH118" si="178">IF($AV76&gt;$D$5,0,SUMIFS(BV$41:BV$61,$BJ$41:$BJ$61,"&gt;"&amp;($AV76-VLOOKUP(BH$40,$C$11:$D$12,2,FALSE)),$BJ$41:$BJ$61,"&lt;="&amp;($AV76)))</f>
        <v>0</v>
      </c>
    </row>
    <row r="77" spans="7:60">
      <c r="AH77" s="10">
        <f t="shared" si="92"/>
        <v>2056</v>
      </c>
      <c r="AI77" s="85">
        <f t="shared" si="171"/>
        <v>0</v>
      </c>
      <c r="AJ77" s="86">
        <f t="shared" si="163"/>
        <v>0</v>
      </c>
      <c r="AK77" s="151">
        <f t="shared" si="164"/>
        <v>0</v>
      </c>
      <c r="AL77" s="95">
        <f t="shared" si="165"/>
        <v>0</v>
      </c>
      <c r="AM77" s="85">
        <f t="shared" si="135"/>
        <v>0</v>
      </c>
      <c r="AN77" s="86">
        <f t="shared" si="136"/>
        <v>0</v>
      </c>
      <c r="AO77" s="151">
        <f t="shared" si="137"/>
        <v>0</v>
      </c>
      <c r="AP77" s="95">
        <f t="shared" si="138"/>
        <v>0</v>
      </c>
      <c r="AQ77" s="145">
        <f t="shared" si="166"/>
        <v>0</v>
      </c>
      <c r="AR77" s="142">
        <f t="shared" si="167"/>
        <v>0</v>
      </c>
      <c r="AS77" s="151">
        <f t="shared" si="168"/>
        <v>0</v>
      </c>
      <c r="AT77" s="95">
        <f t="shared" si="169"/>
        <v>0</v>
      </c>
      <c r="AV77" s="10">
        <f t="shared" si="101"/>
        <v>2056</v>
      </c>
      <c r="AW77" s="85">
        <f t="shared" si="170"/>
        <v>0</v>
      </c>
      <c r="AX77" s="86">
        <f t="shared" si="172"/>
        <v>0</v>
      </c>
      <c r="AY77" s="151">
        <f t="shared" si="173"/>
        <v>0</v>
      </c>
      <c r="AZ77" s="95">
        <f t="shared" si="174"/>
        <v>0</v>
      </c>
      <c r="BA77" s="85">
        <f t="shared" si="139"/>
        <v>0</v>
      </c>
      <c r="BB77" s="86">
        <f t="shared" si="140"/>
        <v>0</v>
      </c>
      <c r="BC77" s="151">
        <f t="shared" si="141"/>
        <v>0</v>
      </c>
      <c r="BD77" s="95">
        <f t="shared" si="142"/>
        <v>0</v>
      </c>
      <c r="BE77" s="145">
        <f t="shared" si="175"/>
        <v>0</v>
      </c>
      <c r="BF77" s="142">
        <f t="shared" si="176"/>
        <v>0</v>
      </c>
      <c r="BG77" s="151">
        <f t="shared" si="177"/>
        <v>0</v>
      </c>
      <c r="BH77" s="95">
        <f t="shared" si="178"/>
        <v>0</v>
      </c>
    </row>
    <row r="78" spans="7:60">
      <c r="AH78" s="10">
        <f t="shared" si="92"/>
        <v>2057</v>
      </c>
      <c r="AI78" s="85">
        <f>IF($AH78&gt;$D$5,0,-PMT(VLOOKUP(AI$40,$C$9:$D$10,2,FALSE),VLOOKUP(AI$40,$C$11:$D$12,2,FALSE),SUMIFS(U$41:U$61,$T$41:$T$61,"&gt;"&amp;($AH78-VLOOKUP(AI$40,$C$11:$D$12,2,FALSE)),$T$41:$T$61,"&lt;="&amp;($AH78))))</f>
        <v>0</v>
      </c>
      <c r="AJ78" s="86">
        <f t="shared" si="163"/>
        <v>0</v>
      </c>
      <c r="AK78" s="151">
        <f t="shared" si="164"/>
        <v>0</v>
      </c>
      <c r="AL78" s="95">
        <f t="shared" si="165"/>
        <v>0</v>
      </c>
      <c r="AM78" s="85">
        <f t="shared" si="135"/>
        <v>0</v>
      </c>
      <c r="AN78" s="86">
        <f t="shared" si="136"/>
        <v>0</v>
      </c>
      <c r="AO78" s="151">
        <f t="shared" si="137"/>
        <v>0</v>
      </c>
      <c r="AP78" s="95">
        <f t="shared" si="138"/>
        <v>0</v>
      </c>
      <c r="AQ78" s="145">
        <f t="shared" si="166"/>
        <v>0</v>
      </c>
      <c r="AR78" s="142">
        <f t="shared" si="167"/>
        <v>0</v>
      </c>
      <c r="AS78" s="151">
        <f t="shared" si="168"/>
        <v>0</v>
      </c>
      <c r="AT78" s="95">
        <f t="shared" si="169"/>
        <v>0</v>
      </c>
      <c r="AV78" s="10">
        <f t="shared" si="101"/>
        <v>2057</v>
      </c>
      <c r="AW78" s="85">
        <f t="shared" si="170"/>
        <v>0</v>
      </c>
      <c r="AX78" s="86">
        <f t="shared" si="172"/>
        <v>0</v>
      </c>
      <c r="AY78" s="151">
        <f t="shared" si="173"/>
        <v>0</v>
      </c>
      <c r="AZ78" s="95">
        <f t="shared" si="174"/>
        <v>0</v>
      </c>
      <c r="BA78" s="85">
        <f t="shared" si="139"/>
        <v>0</v>
      </c>
      <c r="BB78" s="86">
        <f t="shared" si="140"/>
        <v>0</v>
      </c>
      <c r="BC78" s="151">
        <f t="shared" si="141"/>
        <v>0</v>
      </c>
      <c r="BD78" s="95">
        <f t="shared" si="142"/>
        <v>0</v>
      </c>
      <c r="BE78" s="145">
        <f t="shared" si="175"/>
        <v>0</v>
      </c>
      <c r="BF78" s="142">
        <f t="shared" si="176"/>
        <v>0</v>
      </c>
      <c r="BG78" s="151">
        <f t="shared" si="177"/>
        <v>0</v>
      </c>
      <c r="BH78" s="95">
        <f t="shared" si="178"/>
        <v>0</v>
      </c>
    </row>
    <row r="79" spans="7:60">
      <c r="AH79" s="10">
        <f t="shared" si="92"/>
        <v>2058</v>
      </c>
      <c r="AI79" s="85">
        <f t="shared" ref="AI79:AI85" si="179">IF($AH79&gt;$D$5,0,-PMT(VLOOKUP(AI$40,$C$9:$D$10,2,FALSE),VLOOKUP(AI$40,$C$11:$D$12,2,FALSE),SUMIFS(U$41:U$61,$T$41:$T$61,"&gt;"&amp;($AH79-VLOOKUP(AI$40,$C$11:$D$12,2,FALSE)),$T$41:$T$61,"&lt;="&amp;($AH79))))</f>
        <v>0</v>
      </c>
      <c r="AJ79" s="86">
        <f t="shared" si="163"/>
        <v>0</v>
      </c>
      <c r="AK79" s="151">
        <f t="shared" si="164"/>
        <v>0</v>
      </c>
      <c r="AL79" s="95">
        <f t="shared" si="165"/>
        <v>0</v>
      </c>
      <c r="AM79" s="85">
        <f t="shared" si="135"/>
        <v>0</v>
      </c>
      <c r="AN79" s="86">
        <f t="shared" si="136"/>
        <v>0</v>
      </c>
      <c r="AO79" s="151">
        <f t="shared" si="137"/>
        <v>0</v>
      </c>
      <c r="AP79" s="95">
        <f t="shared" si="138"/>
        <v>0</v>
      </c>
      <c r="AQ79" s="145">
        <f t="shared" si="166"/>
        <v>0</v>
      </c>
      <c r="AR79" s="142">
        <f t="shared" si="167"/>
        <v>0</v>
      </c>
      <c r="AS79" s="151">
        <f t="shared" si="168"/>
        <v>0</v>
      </c>
      <c r="AT79" s="95">
        <f t="shared" si="169"/>
        <v>0</v>
      </c>
      <c r="AV79" s="10">
        <f t="shared" si="101"/>
        <v>2058</v>
      </c>
      <c r="AW79" s="85">
        <f t="shared" si="170"/>
        <v>0</v>
      </c>
      <c r="AX79" s="86">
        <f t="shared" si="172"/>
        <v>0</v>
      </c>
      <c r="AY79" s="151">
        <f t="shared" si="173"/>
        <v>0</v>
      </c>
      <c r="AZ79" s="95">
        <f t="shared" si="174"/>
        <v>0</v>
      </c>
      <c r="BA79" s="85">
        <f t="shared" si="139"/>
        <v>0</v>
      </c>
      <c r="BB79" s="86">
        <f t="shared" si="140"/>
        <v>0</v>
      </c>
      <c r="BC79" s="151">
        <f t="shared" si="141"/>
        <v>0</v>
      </c>
      <c r="BD79" s="95">
        <f t="shared" si="142"/>
        <v>0</v>
      </c>
      <c r="BE79" s="145">
        <f t="shared" si="175"/>
        <v>0</v>
      </c>
      <c r="BF79" s="142">
        <f t="shared" si="176"/>
        <v>0</v>
      </c>
      <c r="BG79" s="151">
        <f t="shared" si="177"/>
        <v>0</v>
      </c>
      <c r="BH79" s="95">
        <f t="shared" si="178"/>
        <v>0</v>
      </c>
    </row>
    <row r="80" spans="7:60">
      <c r="AH80" s="10">
        <f t="shared" si="92"/>
        <v>2059</v>
      </c>
      <c r="AI80" s="85">
        <f t="shared" si="179"/>
        <v>0</v>
      </c>
      <c r="AJ80" s="86">
        <f t="shared" si="163"/>
        <v>0</v>
      </c>
      <c r="AK80" s="151">
        <f t="shared" si="164"/>
        <v>0</v>
      </c>
      <c r="AL80" s="95">
        <f t="shared" si="165"/>
        <v>0</v>
      </c>
      <c r="AM80" s="85">
        <f t="shared" si="135"/>
        <v>0</v>
      </c>
      <c r="AN80" s="86">
        <f t="shared" si="136"/>
        <v>0</v>
      </c>
      <c r="AO80" s="151">
        <f t="shared" si="137"/>
        <v>0</v>
      </c>
      <c r="AP80" s="95">
        <f t="shared" si="138"/>
        <v>0</v>
      </c>
      <c r="AQ80" s="145">
        <f t="shared" si="166"/>
        <v>0</v>
      </c>
      <c r="AR80" s="142">
        <f t="shared" si="167"/>
        <v>0</v>
      </c>
      <c r="AS80" s="151">
        <f t="shared" si="168"/>
        <v>0</v>
      </c>
      <c r="AT80" s="95">
        <f t="shared" si="169"/>
        <v>0</v>
      </c>
      <c r="AV80" s="10">
        <f t="shared" si="101"/>
        <v>2059</v>
      </c>
      <c r="AW80" s="85">
        <f t="shared" si="170"/>
        <v>0</v>
      </c>
      <c r="AX80" s="86">
        <f t="shared" si="172"/>
        <v>0</v>
      </c>
      <c r="AY80" s="151">
        <f t="shared" si="173"/>
        <v>0</v>
      </c>
      <c r="AZ80" s="95">
        <f t="shared" si="174"/>
        <v>0</v>
      </c>
      <c r="BA80" s="85">
        <f t="shared" si="139"/>
        <v>0</v>
      </c>
      <c r="BB80" s="86">
        <f t="shared" si="140"/>
        <v>0</v>
      </c>
      <c r="BC80" s="151">
        <f t="shared" si="141"/>
        <v>0</v>
      </c>
      <c r="BD80" s="95">
        <f t="shared" si="142"/>
        <v>0</v>
      </c>
      <c r="BE80" s="145">
        <f t="shared" si="175"/>
        <v>0</v>
      </c>
      <c r="BF80" s="142">
        <f t="shared" si="176"/>
        <v>0</v>
      </c>
      <c r="BG80" s="151">
        <f t="shared" si="177"/>
        <v>0</v>
      </c>
      <c r="BH80" s="95">
        <f t="shared" si="178"/>
        <v>0</v>
      </c>
    </row>
    <row r="81" spans="34:60">
      <c r="AH81" s="10">
        <f t="shared" si="92"/>
        <v>2060</v>
      </c>
      <c r="AI81" s="85">
        <f t="shared" si="179"/>
        <v>0</v>
      </c>
      <c r="AJ81" s="86">
        <f t="shared" si="163"/>
        <v>0</v>
      </c>
      <c r="AK81" s="151">
        <f t="shared" si="164"/>
        <v>0</v>
      </c>
      <c r="AL81" s="95">
        <f t="shared" si="165"/>
        <v>0</v>
      </c>
      <c r="AM81" s="85">
        <f t="shared" si="135"/>
        <v>0</v>
      </c>
      <c r="AN81" s="86">
        <f t="shared" si="136"/>
        <v>0</v>
      </c>
      <c r="AO81" s="151">
        <f t="shared" si="137"/>
        <v>0</v>
      </c>
      <c r="AP81" s="95">
        <f t="shared" si="138"/>
        <v>0</v>
      </c>
      <c r="AQ81" s="145">
        <f t="shared" si="166"/>
        <v>0</v>
      </c>
      <c r="AR81" s="142">
        <f t="shared" si="167"/>
        <v>0</v>
      </c>
      <c r="AS81" s="151">
        <f t="shared" si="168"/>
        <v>0</v>
      </c>
      <c r="AT81" s="95">
        <f t="shared" si="169"/>
        <v>0</v>
      </c>
      <c r="AV81" s="10">
        <f t="shared" si="101"/>
        <v>2060</v>
      </c>
      <c r="AW81" s="85">
        <f t="shared" si="170"/>
        <v>0</v>
      </c>
      <c r="AX81" s="86">
        <f t="shared" si="172"/>
        <v>0</v>
      </c>
      <c r="AY81" s="151">
        <f t="shared" si="173"/>
        <v>0</v>
      </c>
      <c r="AZ81" s="95">
        <f t="shared" si="174"/>
        <v>0</v>
      </c>
      <c r="BA81" s="85">
        <f t="shared" si="139"/>
        <v>0</v>
      </c>
      <c r="BB81" s="86">
        <f t="shared" si="140"/>
        <v>0</v>
      </c>
      <c r="BC81" s="151">
        <f t="shared" si="141"/>
        <v>0</v>
      </c>
      <c r="BD81" s="95">
        <f t="shared" si="142"/>
        <v>0</v>
      </c>
      <c r="BE81" s="145">
        <f t="shared" si="175"/>
        <v>0</v>
      </c>
      <c r="BF81" s="142">
        <f t="shared" si="176"/>
        <v>0</v>
      </c>
      <c r="BG81" s="151">
        <f t="shared" si="177"/>
        <v>0</v>
      </c>
      <c r="BH81" s="95">
        <f t="shared" si="178"/>
        <v>0</v>
      </c>
    </row>
    <row r="82" spans="34:60">
      <c r="AH82" s="10">
        <f t="shared" si="92"/>
        <v>2061</v>
      </c>
      <c r="AI82" s="85">
        <f t="shared" si="179"/>
        <v>0</v>
      </c>
      <c r="AJ82" s="86">
        <f t="shared" si="163"/>
        <v>0</v>
      </c>
      <c r="AK82" s="151">
        <f t="shared" si="164"/>
        <v>0</v>
      </c>
      <c r="AL82" s="95">
        <f t="shared" si="165"/>
        <v>0</v>
      </c>
      <c r="AM82" s="85">
        <f t="shared" si="135"/>
        <v>0</v>
      </c>
      <c r="AN82" s="86">
        <f t="shared" si="136"/>
        <v>0</v>
      </c>
      <c r="AO82" s="151">
        <f t="shared" si="137"/>
        <v>0</v>
      </c>
      <c r="AP82" s="95">
        <f t="shared" si="138"/>
        <v>0</v>
      </c>
      <c r="AQ82" s="145">
        <f t="shared" si="166"/>
        <v>0</v>
      </c>
      <c r="AR82" s="142">
        <f t="shared" si="167"/>
        <v>0</v>
      </c>
      <c r="AS82" s="151">
        <f t="shared" si="168"/>
        <v>0</v>
      </c>
      <c r="AT82" s="95">
        <f t="shared" si="169"/>
        <v>0</v>
      </c>
      <c r="AV82" s="10">
        <f t="shared" si="101"/>
        <v>2061</v>
      </c>
      <c r="AW82" s="85">
        <f t="shared" si="170"/>
        <v>0</v>
      </c>
      <c r="AX82" s="86">
        <f t="shared" si="172"/>
        <v>0</v>
      </c>
      <c r="AY82" s="151">
        <f t="shared" si="173"/>
        <v>0</v>
      </c>
      <c r="AZ82" s="95">
        <f t="shared" si="174"/>
        <v>0</v>
      </c>
      <c r="BA82" s="85">
        <f t="shared" si="139"/>
        <v>0</v>
      </c>
      <c r="BB82" s="86">
        <f t="shared" si="140"/>
        <v>0</v>
      </c>
      <c r="BC82" s="151">
        <f t="shared" si="141"/>
        <v>0</v>
      </c>
      <c r="BD82" s="95">
        <f t="shared" si="142"/>
        <v>0</v>
      </c>
      <c r="BE82" s="145">
        <f t="shared" si="175"/>
        <v>0</v>
      </c>
      <c r="BF82" s="142">
        <f t="shared" si="176"/>
        <v>0</v>
      </c>
      <c r="BG82" s="151">
        <f t="shared" si="177"/>
        <v>0</v>
      </c>
      <c r="BH82" s="95">
        <f t="shared" si="178"/>
        <v>0</v>
      </c>
    </row>
    <row r="83" spans="34:60">
      <c r="AH83" s="10">
        <f t="shared" si="92"/>
        <v>2062</v>
      </c>
      <c r="AI83" s="85">
        <f t="shared" si="179"/>
        <v>0</v>
      </c>
      <c r="AJ83" s="86">
        <f t="shared" si="163"/>
        <v>0</v>
      </c>
      <c r="AK83" s="151">
        <f t="shared" si="164"/>
        <v>0</v>
      </c>
      <c r="AL83" s="95">
        <f t="shared" si="165"/>
        <v>0</v>
      </c>
      <c r="AM83" s="85">
        <f t="shared" si="135"/>
        <v>0</v>
      </c>
      <c r="AN83" s="86">
        <f t="shared" si="136"/>
        <v>0</v>
      </c>
      <c r="AO83" s="151">
        <f t="shared" si="137"/>
        <v>0</v>
      </c>
      <c r="AP83" s="95">
        <f t="shared" si="138"/>
        <v>0</v>
      </c>
      <c r="AQ83" s="145">
        <f t="shared" si="166"/>
        <v>0</v>
      </c>
      <c r="AR83" s="142">
        <f t="shared" si="167"/>
        <v>0</v>
      </c>
      <c r="AS83" s="151">
        <f t="shared" si="168"/>
        <v>0</v>
      </c>
      <c r="AT83" s="95">
        <f t="shared" si="169"/>
        <v>0</v>
      </c>
      <c r="AV83" s="10">
        <f t="shared" si="101"/>
        <v>2062</v>
      </c>
      <c r="AW83" s="85">
        <f t="shared" si="170"/>
        <v>0</v>
      </c>
      <c r="AX83" s="86">
        <f t="shared" si="172"/>
        <v>0</v>
      </c>
      <c r="AY83" s="151">
        <f t="shared" si="173"/>
        <v>0</v>
      </c>
      <c r="AZ83" s="95">
        <f t="shared" si="174"/>
        <v>0</v>
      </c>
      <c r="BA83" s="85">
        <f t="shared" si="139"/>
        <v>0</v>
      </c>
      <c r="BB83" s="86">
        <f t="shared" si="140"/>
        <v>0</v>
      </c>
      <c r="BC83" s="151">
        <f t="shared" si="141"/>
        <v>0</v>
      </c>
      <c r="BD83" s="95">
        <f t="shared" si="142"/>
        <v>0</v>
      </c>
      <c r="BE83" s="145">
        <f t="shared" si="175"/>
        <v>0</v>
      </c>
      <c r="BF83" s="142">
        <f t="shared" si="176"/>
        <v>0</v>
      </c>
      <c r="BG83" s="151">
        <f t="shared" si="177"/>
        <v>0</v>
      </c>
      <c r="BH83" s="95">
        <f t="shared" si="178"/>
        <v>0</v>
      </c>
    </row>
    <row r="84" spans="34:60">
      <c r="AH84" s="10">
        <f t="shared" si="92"/>
        <v>2063</v>
      </c>
      <c r="AI84" s="85">
        <f t="shared" si="179"/>
        <v>0</v>
      </c>
      <c r="AJ84" s="86">
        <f t="shared" si="163"/>
        <v>0</v>
      </c>
      <c r="AK84" s="151">
        <f t="shared" si="164"/>
        <v>0</v>
      </c>
      <c r="AL84" s="95">
        <f t="shared" si="165"/>
        <v>0</v>
      </c>
      <c r="AM84" s="85">
        <f t="shared" si="135"/>
        <v>0</v>
      </c>
      <c r="AN84" s="86">
        <f t="shared" si="136"/>
        <v>0</v>
      </c>
      <c r="AO84" s="151">
        <f t="shared" si="137"/>
        <v>0</v>
      </c>
      <c r="AP84" s="95">
        <f t="shared" si="138"/>
        <v>0</v>
      </c>
      <c r="AQ84" s="145">
        <f t="shared" si="166"/>
        <v>0</v>
      </c>
      <c r="AR84" s="142">
        <f t="shared" si="167"/>
        <v>0</v>
      </c>
      <c r="AS84" s="151">
        <f t="shared" si="168"/>
        <v>0</v>
      </c>
      <c r="AT84" s="95">
        <f t="shared" si="169"/>
        <v>0</v>
      </c>
      <c r="AV84" s="10">
        <f t="shared" si="101"/>
        <v>2063</v>
      </c>
      <c r="AW84" s="85">
        <f t="shared" si="170"/>
        <v>0</v>
      </c>
      <c r="AX84" s="86">
        <f t="shared" si="172"/>
        <v>0</v>
      </c>
      <c r="AY84" s="151">
        <f t="shared" si="173"/>
        <v>0</v>
      </c>
      <c r="AZ84" s="95">
        <f t="shared" si="174"/>
        <v>0</v>
      </c>
      <c r="BA84" s="85">
        <f t="shared" si="139"/>
        <v>0</v>
      </c>
      <c r="BB84" s="86">
        <f t="shared" si="140"/>
        <v>0</v>
      </c>
      <c r="BC84" s="151">
        <f t="shared" si="141"/>
        <v>0</v>
      </c>
      <c r="BD84" s="95">
        <f t="shared" si="142"/>
        <v>0</v>
      </c>
      <c r="BE84" s="145">
        <f t="shared" si="175"/>
        <v>0</v>
      </c>
      <c r="BF84" s="142">
        <f t="shared" si="176"/>
        <v>0</v>
      </c>
      <c r="BG84" s="151">
        <f t="shared" si="177"/>
        <v>0</v>
      </c>
      <c r="BH84" s="95">
        <f t="shared" si="178"/>
        <v>0</v>
      </c>
    </row>
    <row r="85" spans="34:60">
      <c r="AH85" s="10">
        <f t="shared" si="92"/>
        <v>2064</v>
      </c>
      <c r="AI85" s="85">
        <f t="shared" si="179"/>
        <v>0</v>
      </c>
      <c r="AJ85" s="86">
        <f t="shared" si="163"/>
        <v>0</v>
      </c>
      <c r="AK85" s="151">
        <f t="shared" si="164"/>
        <v>0</v>
      </c>
      <c r="AL85" s="95">
        <f t="shared" si="165"/>
        <v>0</v>
      </c>
      <c r="AM85" s="85">
        <f t="shared" si="135"/>
        <v>0</v>
      </c>
      <c r="AN85" s="86">
        <f t="shared" si="136"/>
        <v>0</v>
      </c>
      <c r="AO85" s="151">
        <f t="shared" si="137"/>
        <v>0</v>
      </c>
      <c r="AP85" s="95">
        <f t="shared" si="138"/>
        <v>0</v>
      </c>
      <c r="AQ85" s="145">
        <f t="shared" si="166"/>
        <v>0</v>
      </c>
      <c r="AR85" s="142">
        <f t="shared" si="167"/>
        <v>0</v>
      </c>
      <c r="AS85" s="151">
        <f t="shared" si="168"/>
        <v>0</v>
      </c>
      <c r="AT85" s="95">
        <f t="shared" si="169"/>
        <v>0</v>
      </c>
      <c r="AV85" s="10">
        <f t="shared" si="101"/>
        <v>2064</v>
      </c>
      <c r="AW85" s="85">
        <f t="shared" si="170"/>
        <v>0</v>
      </c>
      <c r="AX85" s="86">
        <f t="shared" si="172"/>
        <v>0</v>
      </c>
      <c r="AY85" s="151">
        <f t="shared" si="173"/>
        <v>0</v>
      </c>
      <c r="AZ85" s="95">
        <f t="shared" si="174"/>
        <v>0</v>
      </c>
      <c r="BA85" s="85">
        <f t="shared" si="139"/>
        <v>0</v>
      </c>
      <c r="BB85" s="86">
        <f t="shared" si="140"/>
        <v>0</v>
      </c>
      <c r="BC85" s="151">
        <f t="shared" si="141"/>
        <v>0</v>
      </c>
      <c r="BD85" s="95">
        <f t="shared" si="142"/>
        <v>0</v>
      </c>
      <c r="BE85" s="145">
        <f t="shared" si="175"/>
        <v>0</v>
      </c>
      <c r="BF85" s="142">
        <f t="shared" si="176"/>
        <v>0</v>
      </c>
      <c r="BG85" s="151">
        <f t="shared" si="177"/>
        <v>0</v>
      </c>
      <c r="BH85" s="95">
        <f t="shared" si="178"/>
        <v>0</v>
      </c>
    </row>
    <row r="86" spans="34:60">
      <c r="AH86" s="10">
        <f t="shared" si="92"/>
        <v>2065</v>
      </c>
      <c r="AI86" s="85">
        <f>IF($AH86&gt;$D$5,0,-PMT(VLOOKUP(AI$40,$C$9:$D$10,2,FALSE),VLOOKUP(AI$40,$C$11:$D$12,2,FALSE),SUMIFS(U$41:U$61,$T$41:$T$61,"&gt;"&amp;($AH86-VLOOKUP(AI$40,$C$11:$D$12,2,FALSE)),$T$41:$T$61,"&lt;="&amp;($AH86))))</f>
        <v>0</v>
      </c>
      <c r="AJ86" s="86">
        <f t="shared" si="163"/>
        <v>0</v>
      </c>
      <c r="AK86" s="151">
        <f t="shared" si="164"/>
        <v>0</v>
      </c>
      <c r="AL86" s="95">
        <f t="shared" si="165"/>
        <v>0</v>
      </c>
      <c r="AM86" s="85">
        <f t="shared" si="135"/>
        <v>0</v>
      </c>
      <c r="AN86" s="86">
        <f t="shared" si="136"/>
        <v>0</v>
      </c>
      <c r="AO86" s="151">
        <f t="shared" si="137"/>
        <v>0</v>
      </c>
      <c r="AP86" s="95">
        <f t="shared" si="138"/>
        <v>0</v>
      </c>
      <c r="AQ86" s="145">
        <f t="shared" si="166"/>
        <v>0</v>
      </c>
      <c r="AR86" s="142">
        <f t="shared" si="167"/>
        <v>0</v>
      </c>
      <c r="AS86" s="151">
        <f t="shared" si="168"/>
        <v>0</v>
      </c>
      <c r="AT86" s="95">
        <f t="shared" si="169"/>
        <v>0</v>
      </c>
      <c r="AV86" s="10">
        <f t="shared" si="101"/>
        <v>2065</v>
      </c>
      <c r="AW86" s="85">
        <f>IF($AV86&gt;$D$5,0,SUMIFS(BK$41:BK$61,$BJ$41:$BJ$61,"&gt;"&amp;($AV86-VLOOKUP(AW$40,$C$11:$D$12,2,FALSE)),$BJ$41:$BJ$61,"&lt;="&amp;($AV86)))</f>
        <v>0</v>
      </c>
      <c r="AX86" s="86">
        <f t="shared" si="172"/>
        <v>0</v>
      </c>
      <c r="AY86" s="151">
        <f t="shared" si="173"/>
        <v>0</v>
      </c>
      <c r="AZ86" s="95">
        <f t="shared" si="174"/>
        <v>0</v>
      </c>
      <c r="BA86" s="85">
        <f t="shared" si="139"/>
        <v>0</v>
      </c>
      <c r="BB86" s="86">
        <f t="shared" si="140"/>
        <v>0</v>
      </c>
      <c r="BC86" s="151">
        <f t="shared" si="141"/>
        <v>0</v>
      </c>
      <c r="BD86" s="95">
        <f t="shared" si="142"/>
        <v>0</v>
      </c>
      <c r="BE86" s="145">
        <f t="shared" si="175"/>
        <v>0</v>
      </c>
      <c r="BF86" s="142">
        <f t="shared" si="176"/>
        <v>0</v>
      </c>
      <c r="BG86" s="151">
        <f t="shared" si="177"/>
        <v>0</v>
      </c>
      <c r="BH86" s="95">
        <f t="shared" si="178"/>
        <v>0</v>
      </c>
    </row>
    <row r="87" spans="34:60">
      <c r="AH87" s="10">
        <f t="shared" si="92"/>
        <v>2066</v>
      </c>
      <c r="AI87" s="85">
        <f t="shared" ref="AI87:AI92" si="180">IF($AH87&gt;$D$5,0,-PMT(VLOOKUP(AI$40,$C$9:$D$10,2,FALSE),VLOOKUP(AI$40,$C$11:$D$12,2,FALSE),SUMIFS(U$41:U$61,$T$41:$T$61,"&gt;"&amp;($AH87-VLOOKUP(AI$40,$C$11:$D$12,2,FALSE)),$T$41:$T$61,"&lt;="&amp;($AH87))))</f>
        <v>0</v>
      </c>
      <c r="AJ87" s="86">
        <f t="shared" si="163"/>
        <v>0</v>
      </c>
      <c r="AK87" s="151">
        <f t="shared" si="164"/>
        <v>0</v>
      </c>
      <c r="AL87" s="95">
        <f t="shared" si="165"/>
        <v>0</v>
      </c>
      <c r="AM87" s="85">
        <f t="shared" si="135"/>
        <v>0</v>
      </c>
      <c r="AN87" s="86">
        <f t="shared" si="136"/>
        <v>0</v>
      </c>
      <c r="AO87" s="151">
        <f t="shared" si="137"/>
        <v>0</v>
      </c>
      <c r="AP87" s="95">
        <f t="shared" si="138"/>
        <v>0</v>
      </c>
      <c r="AQ87" s="145">
        <f t="shared" si="166"/>
        <v>0</v>
      </c>
      <c r="AR87" s="142">
        <f t="shared" si="167"/>
        <v>0</v>
      </c>
      <c r="AS87" s="151">
        <f t="shared" si="168"/>
        <v>0</v>
      </c>
      <c r="AT87" s="95">
        <f t="shared" si="169"/>
        <v>0</v>
      </c>
      <c r="AV87" s="10">
        <f t="shared" si="101"/>
        <v>2066</v>
      </c>
      <c r="AW87" s="85">
        <f t="shared" ref="AW87:AW111" si="181">IF($AV87&gt;$D$5,0,SUMIFS(BK$41:BK$61,$BJ$41:$BJ$61,"&gt;"&amp;($AV87-VLOOKUP(AW$40,$C$11:$D$12,2,FALSE)),$BJ$41:$BJ$61,"&lt;="&amp;($AV87)))</f>
        <v>0</v>
      </c>
      <c r="AX87" s="86">
        <f t="shared" si="172"/>
        <v>0</v>
      </c>
      <c r="AY87" s="151">
        <f t="shared" si="173"/>
        <v>0</v>
      </c>
      <c r="AZ87" s="95">
        <f t="shared" si="174"/>
        <v>0</v>
      </c>
      <c r="BA87" s="85">
        <f t="shared" si="139"/>
        <v>0</v>
      </c>
      <c r="BB87" s="86">
        <f t="shared" si="140"/>
        <v>0</v>
      </c>
      <c r="BC87" s="151">
        <f t="shared" si="141"/>
        <v>0</v>
      </c>
      <c r="BD87" s="95">
        <f t="shared" si="142"/>
        <v>0</v>
      </c>
      <c r="BE87" s="145">
        <f t="shared" si="175"/>
        <v>0</v>
      </c>
      <c r="BF87" s="142">
        <f t="shared" si="176"/>
        <v>0</v>
      </c>
      <c r="BG87" s="151">
        <f t="shared" si="177"/>
        <v>0</v>
      </c>
      <c r="BH87" s="95">
        <f t="shared" si="178"/>
        <v>0</v>
      </c>
    </row>
    <row r="88" spans="34:60">
      <c r="AH88" s="10">
        <f t="shared" si="92"/>
        <v>2067</v>
      </c>
      <c r="AI88" s="85">
        <f t="shared" si="180"/>
        <v>0</v>
      </c>
      <c r="AJ88" s="86">
        <f t="shared" si="163"/>
        <v>0</v>
      </c>
      <c r="AK88" s="151">
        <f t="shared" si="164"/>
        <v>0</v>
      </c>
      <c r="AL88" s="95">
        <f t="shared" si="165"/>
        <v>0</v>
      </c>
      <c r="AM88" s="85">
        <f t="shared" si="135"/>
        <v>0</v>
      </c>
      <c r="AN88" s="86">
        <f t="shared" si="136"/>
        <v>0</v>
      </c>
      <c r="AO88" s="151">
        <f t="shared" si="137"/>
        <v>0</v>
      </c>
      <c r="AP88" s="95">
        <f t="shared" si="138"/>
        <v>0</v>
      </c>
      <c r="AQ88" s="145">
        <f t="shared" si="166"/>
        <v>0</v>
      </c>
      <c r="AR88" s="142">
        <f t="shared" si="167"/>
        <v>0</v>
      </c>
      <c r="AS88" s="151">
        <f t="shared" si="168"/>
        <v>0</v>
      </c>
      <c r="AT88" s="95">
        <f t="shared" si="169"/>
        <v>0</v>
      </c>
      <c r="AV88" s="10">
        <f t="shared" si="101"/>
        <v>2067</v>
      </c>
      <c r="AW88" s="85">
        <f t="shared" si="181"/>
        <v>0</v>
      </c>
      <c r="AX88" s="86">
        <f t="shared" si="172"/>
        <v>0</v>
      </c>
      <c r="AY88" s="151">
        <f t="shared" si="173"/>
        <v>0</v>
      </c>
      <c r="AZ88" s="95">
        <f t="shared" si="174"/>
        <v>0</v>
      </c>
      <c r="BA88" s="85">
        <f t="shared" si="139"/>
        <v>0</v>
      </c>
      <c r="BB88" s="86">
        <f t="shared" si="140"/>
        <v>0</v>
      </c>
      <c r="BC88" s="151">
        <f t="shared" si="141"/>
        <v>0</v>
      </c>
      <c r="BD88" s="95">
        <f t="shared" si="142"/>
        <v>0</v>
      </c>
      <c r="BE88" s="145">
        <f t="shared" si="175"/>
        <v>0</v>
      </c>
      <c r="BF88" s="142">
        <f t="shared" si="176"/>
        <v>0</v>
      </c>
      <c r="BG88" s="151">
        <f t="shared" si="177"/>
        <v>0</v>
      </c>
      <c r="BH88" s="95">
        <f t="shared" si="178"/>
        <v>0</v>
      </c>
    </row>
    <row r="89" spans="34:60">
      <c r="AH89" s="10">
        <f t="shared" si="92"/>
        <v>2068</v>
      </c>
      <c r="AI89" s="85">
        <f t="shared" si="180"/>
        <v>0</v>
      </c>
      <c r="AJ89" s="86">
        <f t="shared" si="163"/>
        <v>0</v>
      </c>
      <c r="AK89" s="151">
        <f t="shared" si="164"/>
        <v>0</v>
      </c>
      <c r="AL89" s="95">
        <f t="shared" si="165"/>
        <v>0</v>
      </c>
      <c r="AM89" s="85">
        <f t="shared" si="135"/>
        <v>0</v>
      </c>
      <c r="AN89" s="86">
        <f t="shared" si="136"/>
        <v>0</v>
      </c>
      <c r="AO89" s="151">
        <f t="shared" si="137"/>
        <v>0</v>
      </c>
      <c r="AP89" s="95">
        <f t="shared" si="138"/>
        <v>0</v>
      </c>
      <c r="AQ89" s="145">
        <f t="shared" si="166"/>
        <v>0</v>
      </c>
      <c r="AR89" s="142">
        <f t="shared" si="167"/>
        <v>0</v>
      </c>
      <c r="AS89" s="151">
        <f t="shared" si="168"/>
        <v>0</v>
      </c>
      <c r="AT89" s="95">
        <f t="shared" si="169"/>
        <v>0</v>
      </c>
      <c r="AV89" s="10">
        <f t="shared" si="101"/>
        <v>2068</v>
      </c>
      <c r="AW89" s="85">
        <f t="shared" si="181"/>
        <v>0</v>
      </c>
      <c r="AX89" s="86">
        <f t="shared" si="172"/>
        <v>0</v>
      </c>
      <c r="AY89" s="151">
        <f t="shared" si="173"/>
        <v>0</v>
      </c>
      <c r="AZ89" s="95">
        <f t="shared" si="174"/>
        <v>0</v>
      </c>
      <c r="BA89" s="85">
        <f t="shared" si="139"/>
        <v>0</v>
      </c>
      <c r="BB89" s="86">
        <f t="shared" si="140"/>
        <v>0</v>
      </c>
      <c r="BC89" s="151">
        <f t="shared" si="141"/>
        <v>0</v>
      </c>
      <c r="BD89" s="95">
        <f t="shared" si="142"/>
        <v>0</v>
      </c>
      <c r="BE89" s="145">
        <f t="shared" si="175"/>
        <v>0</v>
      </c>
      <c r="BF89" s="142">
        <f t="shared" si="176"/>
        <v>0</v>
      </c>
      <c r="BG89" s="151">
        <f t="shared" si="177"/>
        <v>0</v>
      </c>
      <c r="BH89" s="95">
        <f t="shared" si="178"/>
        <v>0</v>
      </c>
    </row>
    <row r="90" spans="34:60">
      <c r="AH90" s="10">
        <f t="shared" si="92"/>
        <v>2069</v>
      </c>
      <c r="AI90" s="85">
        <f t="shared" si="180"/>
        <v>0</v>
      </c>
      <c r="AJ90" s="86">
        <f t="shared" si="163"/>
        <v>0</v>
      </c>
      <c r="AK90" s="151">
        <f t="shared" si="164"/>
        <v>0</v>
      </c>
      <c r="AL90" s="95">
        <f t="shared" si="165"/>
        <v>0</v>
      </c>
      <c r="AM90" s="85">
        <f t="shared" si="135"/>
        <v>0</v>
      </c>
      <c r="AN90" s="86">
        <f t="shared" si="136"/>
        <v>0</v>
      </c>
      <c r="AO90" s="151">
        <f t="shared" si="137"/>
        <v>0</v>
      </c>
      <c r="AP90" s="95">
        <f t="shared" si="138"/>
        <v>0</v>
      </c>
      <c r="AQ90" s="145">
        <f t="shared" si="166"/>
        <v>0</v>
      </c>
      <c r="AR90" s="142">
        <f t="shared" si="167"/>
        <v>0</v>
      </c>
      <c r="AS90" s="151">
        <f t="shared" si="168"/>
        <v>0</v>
      </c>
      <c r="AT90" s="95">
        <f t="shared" si="169"/>
        <v>0</v>
      </c>
      <c r="AV90" s="10">
        <f t="shared" si="101"/>
        <v>2069</v>
      </c>
      <c r="AW90" s="85">
        <f t="shared" si="181"/>
        <v>0</v>
      </c>
      <c r="AX90" s="86">
        <f t="shared" si="172"/>
        <v>0</v>
      </c>
      <c r="AY90" s="151">
        <f t="shared" si="173"/>
        <v>0</v>
      </c>
      <c r="AZ90" s="95">
        <f t="shared" si="174"/>
        <v>0</v>
      </c>
      <c r="BA90" s="85">
        <f t="shared" si="139"/>
        <v>0</v>
      </c>
      <c r="BB90" s="86">
        <f t="shared" si="140"/>
        <v>0</v>
      </c>
      <c r="BC90" s="151">
        <f t="shared" si="141"/>
        <v>0</v>
      </c>
      <c r="BD90" s="95">
        <f t="shared" si="142"/>
        <v>0</v>
      </c>
      <c r="BE90" s="145">
        <f t="shared" si="175"/>
        <v>0</v>
      </c>
      <c r="BF90" s="142">
        <f t="shared" si="176"/>
        <v>0</v>
      </c>
      <c r="BG90" s="151">
        <f t="shared" si="177"/>
        <v>0</v>
      </c>
      <c r="BH90" s="95">
        <f t="shared" si="178"/>
        <v>0</v>
      </c>
    </row>
    <row r="91" spans="34:60">
      <c r="AH91" s="10">
        <f t="shared" si="92"/>
        <v>2070</v>
      </c>
      <c r="AI91" s="85">
        <f t="shared" si="180"/>
        <v>0</v>
      </c>
      <c r="AJ91" s="86">
        <f t="shared" si="163"/>
        <v>0</v>
      </c>
      <c r="AK91" s="151">
        <f t="shared" si="164"/>
        <v>0</v>
      </c>
      <c r="AL91" s="95">
        <f t="shared" si="165"/>
        <v>0</v>
      </c>
      <c r="AM91" s="85">
        <f t="shared" si="135"/>
        <v>0</v>
      </c>
      <c r="AN91" s="86">
        <f t="shared" si="136"/>
        <v>0</v>
      </c>
      <c r="AO91" s="151">
        <f t="shared" si="137"/>
        <v>0</v>
      </c>
      <c r="AP91" s="95">
        <f t="shared" si="138"/>
        <v>0</v>
      </c>
      <c r="AQ91" s="145">
        <f t="shared" si="166"/>
        <v>0</v>
      </c>
      <c r="AR91" s="142">
        <f t="shared" si="167"/>
        <v>0</v>
      </c>
      <c r="AS91" s="151">
        <f t="shared" si="168"/>
        <v>0</v>
      </c>
      <c r="AT91" s="95">
        <f t="shared" si="169"/>
        <v>0</v>
      </c>
      <c r="AV91" s="10">
        <f t="shared" si="101"/>
        <v>2070</v>
      </c>
      <c r="AW91" s="85">
        <f t="shared" si="181"/>
        <v>0</v>
      </c>
      <c r="AX91" s="86">
        <f t="shared" si="172"/>
        <v>0</v>
      </c>
      <c r="AY91" s="151">
        <f t="shared" si="173"/>
        <v>0</v>
      </c>
      <c r="AZ91" s="95">
        <f t="shared" si="174"/>
        <v>0</v>
      </c>
      <c r="BA91" s="85">
        <f t="shared" si="139"/>
        <v>0</v>
      </c>
      <c r="BB91" s="86">
        <f t="shared" si="140"/>
        <v>0</v>
      </c>
      <c r="BC91" s="151">
        <f t="shared" si="141"/>
        <v>0</v>
      </c>
      <c r="BD91" s="95">
        <f t="shared" si="142"/>
        <v>0</v>
      </c>
      <c r="BE91" s="145">
        <f t="shared" si="175"/>
        <v>0</v>
      </c>
      <c r="BF91" s="142">
        <f t="shared" si="176"/>
        <v>0</v>
      </c>
      <c r="BG91" s="151">
        <f t="shared" si="177"/>
        <v>0</v>
      </c>
      <c r="BH91" s="95">
        <f t="shared" si="178"/>
        <v>0</v>
      </c>
    </row>
    <row r="92" spans="34:60">
      <c r="AH92" s="10">
        <f t="shared" si="92"/>
        <v>2071</v>
      </c>
      <c r="AI92" s="85">
        <f t="shared" si="180"/>
        <v>0</v>
      </c>
      <c r="AJ92" s="86">
        <f t="shared" si="163"/>
        <v>0</v>
      </c>
      <c r="AK92" s="151">
        <f t="shared" si="164"/>
        <v>0</v>
      </c>
      <c r="AL92" s="95">
        <f t="shared" si="165"/>
        <v>0</v>
      </c>
      <c r="AM92" s="85">
        <f t="shared" si="135"/>
        <v>0</v>
      </c>
      <c r="AN92" s="86">
        <f t="shared" si="136"/>
        <v>0</v>
      </c>
      <c r="AO92" s="151">
        <f t="shared" si="137"/>
        <v>0</v>
      </c>
      <c r="AP92" s="95">
        <f t="shared" si="138"/>
        <v>0</v>
      </c>
      <c r="AQ92" s="145">
        <f t="shared" si="166"/>
        <v>0</v>
      </c>
      <c r="AR92" s="142">
        <f t="shared" si="167"/>
        <v>0</v>
      </c>
      <c r="AS92" s="151">
        <f t="shared" si="168"/>
        <v>0</v>
      </c>
      <c r="AT92" s="95">
        <f t="shared" si="169"/>
        <v>0</v>
      </c>
      <c r="AV92" s="10">
        <f t="shared" si="101"/>
        <v>2071</v>
      </c>
      <c r="AW92" s="85">
        <f t="shared" si="181"/>
        <v>0</v>
      </c>
      <c r="AX92" s="86">
        <f t="shared" si="172"/>
        <v>0</v>
      </c>
      <c r="AY92" s="151">
        <f t="shared" si="173"/>
        <v>0</v>
      </c>
      <c r="AZ92" s="95">
        <f t="shared" si="174"/>
        <v>0</v>
      </c>
      <c r="BA92" s="85">
        <f t="shared" si="139"/>
        <v>0</v>
      </c>
      <c r="BB92" s="86">
        <f t="shared" si="140"/>
        <v>0</v>
      </c>
      <c r="BC92" s="151">
        <f t="shared" si="141"/>
        <v>0</v>
      </c>
      <c r="BD92" s="95">
        <f t="shared" si="142"/>
        <v>0</v>
      </c>
      <c r="BE92" s="145">
        <f t="shared" si="175"/>
        <v>0</v>
      </c>
      <c r="BF92" s="142">
        <f t="shared" si="176"/>
        <v>0</v>
      </c>
      <c r="BG92" s="151">
        <f t="shared" si="177"/>
        <v>0</v>
      </c>
      <c r="BH92" s="95">
        <f t="shared" si="178"/>
        <v>0</v>
      </c>
    </row>
    <row r="93" spans="34:60">
      <c r="AH93" s="10">
        <f t="shared" si="92"/>
        <v>2072</v>
      </c>
      <c r="AI93" s="85">
        <f>IF($AH93&gt;$D$5,0,-PMT(VLOOKUP(AI$40,$C$9:$D$10,2,FALSE),VLOOKUP(AI$40,$C$11:$D$12,2,FALSE),SUMIFS(U$41:U$61,$T$41:$T$61,"&gt;"&amp;($AH93-VLOOKUP(AI$40,$C$11:$D$12,2,FALSE)),$T$41:$T$61,"&lt;="&amp;($AH93))))</f>
        <v>0</v>
      </c>
      <c r="AJ93" s="86">
        <f t="shared" si="163"/>
        <v>0</v>
      </c>
      <c r="AK93" s="151">
        <f t="shared" si="164"/>
        <v>0</v>
      </c>
      <c r="AL93" s="95">
        <f t="shared" si="165"/>
        <v>0</v>
      </c>
      <c r="AM93" s="85">
        <f t="shared" si="135"/>
        <v>0</v>
      </c>
      <c r="AN93" s="86">
        <f t="shared" si="136"/>
        <v>0</v>
      </c>
      <c r="AO93" s="151">
        <f t="shared" si="137"/>
        <v>0</v>
      </c>
      <c r="AP93" s="95">
        <f t="shared" si="138"/>
        <v>0</v>
      </c>
      <c r="AQ93" s="145">
        <f t="shared" si="166"/>
        <v>0</v>
      </c>
      <c r="AR93" s="142">
        <f t="shared" si="167"/>
        <v>0</v>
      </c>
      <c r="AS93" s="151">
        <f t="shared" si="168"/>
        <v>0</v>
      </c>
      <c r="AT93" s="95">
        <f t="shared" si="169"/>
        <v>0</v>
      </c>
      <c r="AV93" s="10">
        <f t="shared" si="101"/>
        <v>2072</v>
      </c>
      <c r="AW93" s="85">
        <f t="shared" si="181"/>
        <v>0</v>
      </c>
      <c r="AX93" s="86">
        <f t="shared" si="172"/>
        <v>0</v>
      </c>
      <c r="AY93" s="151">
        <f t="shared" si="173"/>
        <v>0</v>
      </c>
      <c r="AZ93" s="95">
        <f t="shared" si="174"/>
        <v>0</v>
      </c>
      <c r="BA93" s="85">
        <f t="shared" si="139"/>
        <v>0</v>
      </c>
      <c r="BB93" s="86">
        <f t="shared" si="140"/>
        <v>0</v>
      </c>
      <c r="BC93" s="151">
        <f t="shared" si="141"/>
        <v>0</v>
      </c>
      <c r="BD93" s="95">
        <f t="shared" si="142"/>
        <v>0</v>
      </c>
      <c r="BE93" s="145">
        <f t="shared" si="175"/>
        <v>0</v>
      </c>
      <c r="BF93" s="142">
        <f t="shared" si="176"/>
        <v>0</v>
      </c>
      <c r="BG93" s="151">
        <f t="shared" si="177"/>
        <v>0</v>
      </c>
      <c r="BH93" s="95">
        <f t="shared" si="178"/>
        <v>0</v>
      </c>
    </row>
    <row r="94" spans="34:60">
      <c r="AH94" s="10">
        <f t="shared" si="92"/>
        <v>2073</v>
      </c>
      <c r="AI94" s="85">
        <f t="shared" ref="AI94:AI103" si="182">IF($AH94&gt;$D$5,0,-PMT(VLOOKUP(AI$40,$C$9:$D$10,2,FALSE),VLOOKUP(AI$40,$C$11:$D$12,2,FALSE),SUMIFS(U$41:U$61,$T$41:$T$61,"&gt;"&amp;($AH94-VLOOKUP(AI$40,$C$11:$D$12,2,FALSE)),$T$41:$T$61,"&lt;="&amp;($AH94))))</f>
        <v>0</v>
      </c>
      <c r="AJ94" s="86">
        <f t="shared" si="163"/>
        <v>0</v>
      </c>
      <c r="AK94" s="151">
        <f t="shared" si="164"/>
        <v>0</v>
      </c>
      <c r="AL94" s="95">
        <f t="shared" si="165"/>
        <v>0</v>
      </c>
      <c r="AM94" s="85">
        <f t="shared" si="135"/>
        <v>0</v>
      </c>
      <c r="AN94" s="86">
        <f t="shared" si="136"/>
        <v>0</v>
      </c>
      <c r="AO94" s="151">
        <f t="shared" si="137"/>
        <v>0</v>
      </c>
      <c r="AP94" s="95">
        <f t="shared" si="138"/>
        <v>0</v>
      </c>
      <c r="AQ94" s="145">
        <f t="shared" si="166"/>
        <v>0</v>
      </c>
      <c r="AR94" s="142">
        <f t="shared" si="167"/>
        <v>0</v>
      </c>
      <c r="AS94" s="151">
        <f t="shared" si="168"/>
        <v>0</v>
      </c>
      <c r="AT94" s="95">
        <f t="shared" si="169"/>
        <v>0</v>
      </c>
      <c r="AV94" s="10">
        <f t="shared" si="101"/>
        <v>2073</v>
      </c>
      <c r="AW94" s="85">
        <f t="shared" si="181"/>
        <v>0</v>
      </c>
      <c r="AX94" s="86">
        <f t="shared" si="172"/>
        <v>0</v>
      </c>
      <c r="AY94" s="151">
        <f t="shared" si="173"/>
        <v>0</v>
      </c>
      <c r="AZ94" s="95">
        <f t="shared" si="174"/>
        <v>0</v>
      </c>
      <c r="BA94" s="85">
        <f t="shared" si="139"/>
        <v>0</v>
      </c>
      <c r="BB94" s="86">
        <f t="shared" si="140"/>
        <v>0</v>
      </c>
      <c r="BC94" s="151">
        <f t="shared" si="141"/>
        <v>0</v>
      </c>
      <c r="BD94" s="95">
        <f t="shared" si="142"/>
        <v>0</v>
      </c>
      <c r="BE94" s="145">
        <f t="shared" si="175"/>
        <v>0</v>
      </c>
      <c r="BF94" s="142">
        <f t="shared" si="176"/>
        <v>0</v>
      </c>
      <c r="BG94" s="151">
        <f t="shared" si="177"/>
        <v>0</v>
      </c>
      <c r="BH94" s="95">
        <f t="shared" si="178"/>
        <v>0</v>
      </c>
    </row>
    <row r="95" spans="34:60">
      <c r="AH95" s="10">
        <f t="shared" si="92"/>
        <v>2074</v>
      </c>
      <c r="AI95" s="85">
        <f t="shared" si="182"/>
        <v>0</v>
      </c>
      <c r="AJ95" s="86">
        <f t="shared" si="163"/>
        <v>0</v>
      </c>
      <c r="AK95" s="151">
        <f t="shared" si="164"/>
        <v>0</v>
      </c>
      <c r="AL95" s="95">
        <f t="shared" si="165"/>
        <v>0</v>
      </c>
      <c r="AM95" s="85">
        <f t="shared" si="135"/>
        <v>0</v>
      </c>
      <c r="AN95" s="86">
        <f t="shared" si="136"/>
        <v>0</v>
      </c>
      <c r="AO95" s="151">
        <f t="shared" si="137"/>
        <v>0</v>
      </c>
      <c r="AP95" s="95">
        <f t="shared" si="138"/>
        <v>0</v>
      </c>
      <c r="AQ95" s="145">
        <f t="shared" si="166"/>
        <v>0</v>
      </c>
      <c r="AR95" s="142">
        <f t="shared" si="167"/>
        <v>0</v>
      </c>
      <c r="AS95" s="151">
        <f t="shared" si="168"/>
        <v>0</v>
      </c>
      <c r="AT95" s="95">
        <f t="shared" si="169"/>
        <v>0</v>
      </c>
      <c r="AV95" s="10">
        <f t="shared" si="101"/>
        <v>2074</v>
      </c>
      <c r="AW95" s="85">
        <f t="shared" si="181"/>
        <v>0</v>
      </c>
      <c r="AX95" s="86">
        <f t="shared" si="172"/>
        <v>0</v>
      </c>
      <c r="AY95" s="151">
        <f t="shared" si="173"/>
        <v>0</v>
      </c>
      <c r="AZ95" s="95">
        <f t="shared" si="174"/>
        <v>0</v>
      </c>
      <c r="BA95" s="85">
        <f t="shared" si="139"/>
        <v>0</v>
      </c>
      <c r="BB95" s="86">
        <f t="shared" si="140"/>
        <v>0</v>
      </c>
      <c r="BC95" s="151">
        <f t="shared" si="141"/>
        <v>0</v>
      </c>
      <c r="BD95" s="95">
        <f t="shared" si="142"/>
        <v>0</v>
      </c>
      <c r="BE95" s="145">
        <f t="shared" si="175"/>
        <v>0</v>
      </c>
      <c r="BF95" s="142">
        <f t="shared" si="176"/>
        <v>0</v>
      </c>
      <c r="BG95" s="151">
        <f t="shared" si="177"/>
        <v>0</v>
      </c>
      <c r="BH95" s="95">
        <f t="shared" si="178"/>
        <v>0</v>
      </c>
    </row>
    <row r="96" spans="34:60">
      <c r="AH96" s="10">
        <f t="shared" si="92"/>
        <v>2075</v>
      </c>
      <c r="AI96" s="85">
        <f t="shared" si="182"/>
        <v>0</v>
      </c>
      <c r="AJ96" s="86">
        <f t="shared" si="163"/>
        <v>0</v>
      </c>
      <c r="AK96" s="151">
        <f t="shared" si="164"/>
        <v>0</v>
      </c>
      <c r="AL96" s="95">
        <f t="shared" si="165"/>
        <v>0</v>
      </c>
      <c r="AM96" s="85">
        <f t="shared" si="135"/>
        <v>0</v>
      </c>
      <c r="AN96" s="86">
        <f t="shared" si="136"/>
        <v>0</v>
      </c>
      <c r="AO96" s="151">
        <f t="shared" si="137"/>
        <v>0</v>
      </c>
      <c r="AP96" s="95">
        <f t="shared" si="138"/>
        <v>0</v>
      </c>
      <c r="AQ96" s="145">
        <f t="shared" si="166"/>
        <v>0</v>
      </c>
      <c r="AR96" s="142">
        <f t="shared" si="167"/>
        <v>0</v>
      </c>
      <c r="AS96" s="151">
        <f t="shared" si="168"/>
        <v>0</v>
      </c>
      <c r="AT96" s="95">
        <f t="shared" si="169"/>
        <v>0</v>
      </c>
      <c r="AV96" s="10">
        <f t="shared" si="101"/>
        <v>2075</v>
      </c>
      <c r="AW96" s="85">
        <f t="shared" si="181"/>
        <v>0</v>
      </c>
      <c r="AX96" s="86">
        <f t="shared" si="172"/>
        <v>0</v>
      </c>
      <c r="AY96" s="151">
        <f t="shared" si="173"/>
        <v>0</v>
      </c>
      <c r="AZ96" s="95">
        <f t="shared" si="174"/>
        <v>0</v>
      </c>
      <c r="BA96" s="85">
        <f t="shared" si="139"/>
        <v>0</v>
      </c>
      <c r="BB96" s="86">
        <f t="shared" si="140"/>
        <v>0</v>
      </c>
      <c r="BC96" s="151">
        <f t="shared" si="141"/>
        <v>0</v>
      </c>
      <c r="BD96" s="95">
        <f t="shared" si="142"/>
        <v>0</v>
      </c>
      <c r="BE96" s="145">
        <f t="shared" si="175"/>
        <v>0</v>
      </c>
      <c r="BF96" s="142">
        <f t="shared" si="176"/>
        <v>0</v>
      </c>
      <c r="BG96" s="151">
        <f t="shared" si="177"/>
        <v>0</v>
      </c>
      <c r="BH96" s="95">
        <f t="shared" si="178"/>
        <v>0</v>
      </c>
    </row>
    <row r="97" spans="34:60">
      <c r="AH97" s="10">
        <f t="shared" si="92"/>
        <v>2076</v>
      </c>
      <c r="AI97" s="85">
        <f t="shared" si="182"/>
        <v>0</v>
      </c>
      <c r="AJ97" s="86">
        <f t="shared" si="163"/>
        <v>0</v>
      </c>
      <c r="AK97" s="151">
        <f t="shared" si="164"/>
        <v>0</v>
      </c>
      <c r="AL97" s="95">
        <f t="shared" si="165"/>
        <v>0</v>
      </c>
      <c r="AM97" s="85">
        <f t="shared" si="135"/>
        <v>0</v>
      </c>
      <c r="AN97" s="86">
        <f t="shared" si="136"/>
        <v>0</v>
      </c>
      <c r="AO97" s="151">
        <f t="shared" si="137"/>
        <v>0</v>
      </c>
      <c r="AP97" s="95">
        <f t="shared" si="138"/>
        <v>0</v>
      </c>
      <c r="AQ97" s="145">
        <f t="shared" si="166"/>
        <v>0</v>
      </c>
      <c r="AR97" s="142">
        <f t="shared" si="167"/>
        <v>0</v>
      </c>
      <c r="AS97" s="151">
        <f t="shared" si="168"/>
        <v>0</v>
      </c>
      <c r="AT97" s="95">
        <f t="shared" si="169"/>
        <v>0</v>
      </c>
      <c r="AV97" s="10">
        <f t="shared" si="101"/>
        <v>2076</v>
      </c>
      <c r="AW97" s="85">
        <f t="shared" si="181"/>
        <v>0</v>
      </c>
      <c r="AX97" s="86">
        <f t="shared" si="172"/>
        <v>0</v>
      </c>
      <c r="AY97" s="151">
        <f t="shared" si="173"/>
        <v>0</v>
      </c>
      <c r="AZ97" s="95">
        <f t="shared" si="174"/>
        <v>0</v>
      </c>
      <c r="BA97" s="85">
        <f t="shared" si="139"/>
        <v>0</v>
      </c>
      <c r="BB97" s="86">
        <f t="shared" si="140"/>
        <v>0</v>
      </c>
      <c r="BC97" s="151">
        <f t="shared" si="141"/>
        <v>0</v>
      </c>
      <c r="BD97" s="95">
        <f t="shared" si="142"/>
        <v>0</v>
      </c>
      <c r="BE97" s="145">
        <f t="shared" si="175"/>
        <v>0</v>
      </c>
      <c r="BF97" s="142">
        <f t="shared" si="176"/>
        <v>0</v>
      </c>
      <c r="BG97" s="151">
        <f t="shared" si="177"/>
        <v>0</v>
      </c>
      <c r="BH97" s="95">
        <f t="shared" si="178"/>
        <v>0</v>
      </c>
    </row>
    <row r="98" spans="34:60">
      <c r="AH98" s="10">
        <f t="shared" si="92"/>
        <v>2077</v>
      </c>
      <c r="AI98" s="85">
        <f t="shared" si="182"/>
        <v>0</v>
      </c>
      <c r="AJ98" s="86">
        <f t="shared" si="163"/>
        <v>0</v>
      </c>
      <c r="AK98" s="151">
        <f t="shared" si="164"/>
        <v>0</v>
      </c>
      <c r="AL98" s="95">
        <f t="shared" si="165"/>
        <v>0</v>
      </c>
      <c r="AM98" s="85">
        <f t="shared" si="135"/>
        <v>0</v>
      </c>
      <c r="AN98" s="86">
        <f t="shared" si="136"/>
        <v>0</v>
      </c>
      <c r="AO98" s="151">
        <f t="shared" si="137"/>
        <v>0</v>
      </c>
      <c r="AP98" s="95">
        <f t="shared" si="138"/>
        <v>0</v>
      </c>
      <c r="AQ98" s="145">
        <f t="shared" si="166"/>
        <v>0</v>
      </c>
      <c r="AR98" s="142">
        <f t="shared" si="167"/>
        <v>0</v>
      </c>
      <c r="AS98" s="151">
        <f t="shared" si="168"/>
        <v>0</v>
      </c>
      <c r="AT98" s="95">
        <f t="shared" si="169"/>
        <v>0</v>
      </c>
      <c r="AV98" s="10">
        <f t="shared" si="101"/>
        <v>2077</v>
      </c>
      <c r="AW98" s="85">
        <f t="shared" si="181"/>
        <v>0</v>
      </c>
      <c r="AX98" s="86">
        <f t="shared" si="172"/>
        <v>0</v>
      </c>
      <c r="AY98" s="151">
        <f t="shared" si="173"/>
        <v>0</v>
      </c>
      <c r="AZ98" s="95">
        <f t="shared" si="174"/>
        <v>0</v>
      </c>
      <c r="BA98" s="85">
        <f t="shared" si="139"/>
        <v>0</v>
      </c>
      <c r="BB98" s="86">
        <f t="shared" si="140"/>
        <v>0</v>
      </c>
      <c r="BC98" s="151">
        <f t="shared" si="141"/>
        <v>0</v>
      </c>
      <c r="BD98" s="95">
        <f t="shared" si="142"/>
        <v>0</v>
      </c>
      <c r="BE98" s="145">
        <f t="shared" si="175"/>
        <v>0</v>
      </c>
      <c r="BF98" s="142">
        <f t="shared" si="176"/>
        <v>0</v>
      </c>
      <c r="BG98" s="151">
        <f t="shared" si="177"/>
        <v>0</v>
      </c>
      <c r="BH98" s="95">
        <f t="shared" si="178"/>
        <v>0</v>
      </c>
    </row>
    <row r="99" spans="34:60">
      <c r="AH99" s="10">
        <f t="shared" si="92"/>
        <v>2078</v>
      </c>
      <c r="AI99" s="85">
        <f t="shared" si="182"/>
        <v>0</v>
      </c>
      <c r="AJ99" s="86">
        <f t="shared" si="163"/>
        <v>0</v>
      </c>
      <c r="AK99" s="151">
        <f t="shared" si="164"/>
        <v>0</v>
      </c>
      <c r="AL99" s="95">
        <f t="shared" si="165"/>
        <v>0</v>
      </c>
      <c r="AM99" s="85">
        <f t="shared" si="135"/>
        <v>0</v>
      </c>
      <c r="AN99" s="86">
        <f t="shared" si="136"/>
        <v>0</v>
      </c>
      <c r="AO99" s="151">
        <f t="shared" si="137"/>
        <v>0</v>
      </c>
      <c r="AP99" s="95">
        <f t="shared" si="138"/>
        <v>0</v>
      </c>
      <c r="AQ99" s="145">
        <f t="shared" si="166"/>
        <v>0</v>
      </c>
      <c r="AR99" s="142">
        <f t="shared" si="167"/>
        <v>0</v>
      </c>
      <c r="AS99" s="151">
        <f t="shared" si="168"/>
        <v>0</v>
      </c>
      <c r="AT99" s="95">
        <f t="shared" si="169"/>
        <v>0</v>
      </c>
      <c r="AV99" s="10">
        <f t="shared" si="101"/>
        <v>2078</v>
      </c>
      <c r="AW99" s="85">
        <f t="shared" si="181"/>
        <v>0</v>
      </c>
      <c r="AX99" s="86">
        <f t="shared" si="172"/>
        <v>0</v>
      </c>
      <c r="AY99" s="151">
        <f t="shared" si="173"/>
        <v>0</v>
      </c>
      <c r="AZ99" s="95">
        <f t="shared" si="174"/>
        <v>0</v>
      </c>
      <c r="BA99" s="85">
        <f t="shared" si="139"/>
        <v>0</v>
      </c>
      <c r="BB99" s="86">
        <f t="shared" si="140"/>
        <v>0</v>
      </c>
      <c r="BC99" s="151">
        <f t="shared" si="141"/>
        <v>0</v>
      </c>
      <c r="BD99" s="95">
        <f t="shared" si="142"/>
        <v>0</v>
      </c>
      <c r="BE99" s="145">
        <f t="shared" si="175"/>
        <v>0</v>
      </c>
      <c r="BF99" s="142">
        <f t="shared" si="176"/>
        <v>0</v>
      </c>
      <c r="BG99" s="151">
        <f t="shared" si="177"/>
        <v>0</v>
      </c>
      <c r="BH99" s="95">
        <f t="shared" si="178"/>
        <v>0</v>
      </c>
    </row>
    <row r="100" spans="34:60">
      <c r="AH100" s="10">
        <f t="shared" si="92"/>
        <v>2079</v>
      </c>
      <c r="AI100" s="85">
        <f t="shared" si="182"/>
        <v>0</v>
      </c>
      <c r="AJ100" s="86">
        <f t="shared" si="163"/>
        <v>0</v>
      </c>
      <c r="AK100" s="151">
        <f t="shared" si="164"/>
        <v>0</v>
      </c>
      <c r="AL100" s="95">
        <f t="shared" si="165"/>
        <v>0</v>
      </c>
      <c r="AM100" s="85">
        <f t="shared" si="135"/>
        <v>0</v>
      </c>
      <c r="AN100" s="86">
        <f t="shared" si="136"/>
        <v>0</v>
      </c>
      <c r="AO100" s="151">
        <f t="shared" si="137"/>
        <v>0</v>
      </c>
      <c r="AP100" s="95">
        <f t="shared" si="138"/>
        <v>0</v>
      </c>
      <c r="AQ100" s="145">
        <f t="shared" si="166"/>
        <v>0</v>
      </c>
      <c r="AR100" s="142">
        <f t="shared" si="167"/>
        <v>0</v>
      </c>
      <c r="AS100" s="151">
        <f t="shared" si="168"/>
        <v>0</v>
      </c>
      <c r="AT100" s="95">
        <f t="shared" si="169"/>
        <v>0</v>
      </c>
      <c r="AV100" s="10">
        <f t="shared" si="101"/>
        <v>2079</v>
      </c>
      <c r="AW100" s="85">
        <f t="shared" si="181"/>
        <v>0</v>
      </c>
      <c r="AX100" s="86">
        <f t="shared" si="172"/>
        <v>0</v>
      </c>
      <c r="AY100" s="151">
        <f t="shared" si="173"/>
        <v>0</v>
      </c>
      <c r="AZ100" s="95">
        <f t="shared" si="174"/>
        <v>0</v>
      </c>
      <c r="BA100" s="85">
        <f t="shared" si="139"/>
        <v>0</v>
      </c>
      <c r="BB100" s="86">
        <f t="shared" si="140"/>
        <v>0</v>
      </c>
      <c r="BC100" s="151">
        <f t="shared" si="141"/>
        <v>0</v>
      </c>
      <c r="BD100" s="95">
        <f t="shared" si="142"/>
        <v>0</v>
      </c>
      <c r="BE100" s="145">
        <f t="shared" si="175"/>
        <v>0</v>
      </c>
      <c r="BF100" s="142">
        <f t="shared" si="176"/>
        <v>0</v>
      </c>
      <c r="BG100" s="151">
        <f t="shared" si="177"/>
        <v>0</v>
      </c>
      <c r="BH100" s="95">
        <f t="shared" si="178"/>
        <v>0</v>
      </c>
    </row>
    <row r="101" spans="34:60">
      <c r="AH101" s="10">
        <f t="shared" si="92"/>
        <v>2080</v>
      </c>
      <c r="AI101" s="85">
        <f t="shared" si="182"/>
        <v>0</v>
      </c>
      <c r="AJ101" s="86">
        <f t="shared" si="163"/>
        <v>0</v>
      </c>
      <c r="AK101" s="151">
        <f t="shared" si="164"/>
        <v>0</v>
      </c>
      <c r="AL101" s="95">
        <f t="shared" si="165"/>
        <v>0</v>
      </c>
      <c r="AM101" s="85">
        <f t="shared" si="135"/>
        <v>0</v>
      </c>
      <c r="AN101" s="86">
        <f t="shared" si="136"/>
        <v>0</v>
      </c>
      <c r="AO101" s="151">
        <f t="shared" si="137"/>
        <v>0</v>
      </c>
      <c r="AP101" s="95">
        <f t="shared" si="138"/>
        <v>0</v>
      </c>
      <c r="AQ101" s="145">
        <f t="shared" si="166"/>
        <v>0</v>
      </c>
      <c r="AR101" s="142">
        <f t="shared" si="167"/>
        <v>0</v>
      </c>
      <c r="AS101" s="151">
        <f t="shared" si="168"/>
        <v>0</v>
      </c>
      <c r="AT101" s="95">
        <f t="shared" si="169"/>
        <v>0</v>
      </c>
      <c r="AV101" s="10">
        <f t="shared" si="101"/>
        <v>2080</v>
      </c>
      <c r="AW101" s="85">
        <f t="shared" si="181"/>
        <v>0</v>
      </c>
      <c r="AX101" s="86">
        <f t="shared" si="172"/>
        <v>0</v>
      </c>
      <c r="AY101" s="151">
        <f t="shared" si="173"/>
        <v>0</v>
      </c>
      <c r="AZ101" s="95">
        <f t="shared" si="174"/>
        <v>0</v>
      </c>
      <c r="BA101" s="85">
        <f t="shared" si="139"/>
        <v>0</v>
      </c>
      <c r="BB101" s="86">
        <f t="shared" si="140"/>
        <v>0</v>
      </c>
      <c r="BC101" s="151">
        <f t="shared" si="141"/>
        <v>0</v>
      </c>
      <c r="BD101" s="95">
        <f t="shared" si="142"/>
        <v>0</v>
      </c>
      <c r="BE101" s="145">
        <f t="shared" si="175"/>
        <v>0</v>
      </c>
      <c r="BF101" s="142">
        <f t="shared" si="176"/>
        <v>0</v>
      </c>
      <c r="BG101" s="151">
        <f t="shared" si="177"/>
        <v>0</v>
      </c>
      <c r="BH101" s="95">
        <f t="shared" si="178"/>
        <v>0</v>
      </c>
    </row>
    <row r="102" spans="34:60">
      <c r="AH102" s="10">
        <f t="shared" si="92"/>
        <v>2081</v>
      </c>
      <c r="AI102" s="85">
        <f t="shared" si="182"/>
        <v>0</v>
      </c>
      <c r="AJ102" s="86">
        <f t="shared" si="163"/>
        <v>0</v>
      </c>
      <c r="AK102" s="151">
        <f t="shared" si="164"/>
        <v>0</v>
      </c>
      <c r="AL102" s="95">
        <f t="shared" si="165"/>
        <v>0</v>
      </c>
      <c r="AM102" s="85">
        <f t="shared" si="135"/>
        <v>0</v>
      </c>
      <c r="AN102" s="86">
        <f t="shared" si="136"/>
        <v>0</v>
      </c>
      <c r="AO102" s="151">
        <f t="shared" si="137"/>
        <v>0</v>
      </c>
      <c r="AP102" s="95">
        <f t="shared" si="138"/>
        <v>0</v>
      </c>
      <c r="AQ102" s="145">
        <f t="shared" si="166"/>
        <v>0</v>
      </c>
      <c r="AR102" s="142">
        <f t="shared" si="167"/>
        <v>0</v>
      </c>
      <c r="AS102" s="151">
        <f t="shared" si="168"/>
        <v>0</v>
      </c>
      <c r="AT102" s="95">
        <f t="shared" si="169"/>
        <v>0</v>
      </c>
      <c r="AV102" s="10">
        <f t="shared" si="101"/>
        <v>2081</v>
      </c>
      <c r="AW102" s="85">
        <f t="shared" si="181"/>
        <v>0</v>
      </c>
      <c r="AX102" s="86">
        <f t="shared" si="172"/>
        <v>0</v>
      </c>
      <c r="AY102" s="151">
        <f t="shared" si="173"/>
        <v>0</v>
      </c>
      <c r="AZ102" s="95">
        <f t="shared" si="174"/>
        <v>0</v>
      </c>
      <c r="BA102" s="85">
        <f t="shared" si="139"/>
        <v>0</v>
      </c>
      <c r="BB102" s="86">
        <f t="shared" si="140"/>
        <v>0</v>
      </c>
      <c r="BC102" s="151">
        <f t="shared" si="141"/>
        <v>0</v>
      </c>
      <c r="BD102" s="95">
        <f t="shared" si="142"/>
        <v>0</v>
      </c>
      <c r="BE102" s="145">
        <f t="shared" si="175"/>
        <v>0</v>
      </c>
      <c r="BF102" s="142">
        <f t="shared" si="176"/>
        <v>0</v>
      </c>
      <c r="BG102" s="151">
        <f t="shared" si="177"/>
        <v>0</v>
      </c>
      <c r="BH102" s="95">
        <f t="shared" si="178"/>
        <v>0</v>
      </c>
    </row>
    <row r="103" spans="34:60">
      <c r="AH103" s="10">
        <f t="shared" si="92"/>
        <v>2082</v>
      </c>
      <c r="AI103" s="85">
        <f t="shared" si="182"/>
        <v>0</v>
      </c>
      <c r="AJ103" s="86">
        <f t="shared" si="163"/>
        <v>0</v>
      </c>
      <c r="AK103" s="151">
        <f t="shared" si="164"/>
        <v>0</v>
      </c>
      <c r="AL103" s="95">
        <f t="shared" si="165"/>
        <v>0</v>
      </c>
      <c r="AM103" s="85">
        <f t="shared" si="135"/>
        <v>0</v>
      </c>
      <c r="AN103" s="86">
        <f t="shared" si="136"/>
        <v>0</v>
      </c>
      <c r="AO103" s="151">
        <f t="shared" si="137"/>
        <v>0</v>
      </c>
      <c r="AP103" s="95">
        <f t="shared" si="138"/>
        <v>0</v>
      </c>
      <c r="AQ103" s="145">
        <f t="shared" si="166"/>
        <v>0</v>
      </c>
      <c r="AR103" s="142">
        <f t="shared" si="167"/>
        <v>0</v>
      </c>
      <c r="AS103" s="151">
        <f t="shared" si="168"/>
        <v>0</v>
      </c>
      <c r="AT103" s="95">
        <f t="shared" si="169"/>
        <v>0</v>
      </c>
      <c r="AV103" s="10">
        <f t="shared" si="101"/>
        <v>2082</v>
      </c>
      <c r="AW103" s="85">
        <f t="shared" si="181"/>
        <v>0</v>
      </c>
      <c r="AX103" s="86">
        <f t="shared" si="172"/>
        <v>0</v>
      </c>
      <c r="AY103" s="151">
        <f t="shared" si="173"/>
        <v>0</v>
      </c>
      <c r="AZ103" s="95">
        <f t="shared" si="174"/>
        <v>0</v>
      </c>
      <c r="BA103" s="85">
        <f t="shared" si="139"/>
        <v>0</v>
      </c>
      <c r="BB103" s="86">
        <f t="shared" si="140"/>
        <v>0</v>
      </c>
      <c r="BC103" s="151">
        <f t="shared" si="141"/>
        <v>0</v>
      </c>
      <c r="BD103" s="95">
        <f t="shared" si="142"/>
        <v>0</v>
      </c>
      <c r="BE103" s="145">
        <f t="shared" si="175"/>
        <v>0</v>
      </c>
      <c r="BF103" s="142">
        <f t="shared" si="176"/>
        <v>0</v>
      </c>
      <c r="BG103" s="151">
        <f t="shared" si="177"/>
        <v>0</v>
      </c>
      <c r="BH103" s="95">
        <f t="shared" si="178"/>
        <v>0</v>
      </c>
    </row>
    <row r="104" spans="34:60">
      <c r="AH104" s="10">
        <f t="shared" si="92"/>
        <v>2083</v>
      </c>
      <c r="AI104" s="85">
        <f>IF($AH104&gt;$D$5,0,-PMT(VLOOKUP(AI$40,$C$9:$D$10,2,FALSE),VLOOKUP(AI$40,$C$11:$D$12,2,FALSE),SUMIFS(U$41:U$61,$T$41:$T$61,"&gt;"&amp;($AH104-VLOOKUP(AI$40,$C$11:$D$12,2,FALSE)),$T$41:$T$61,"&lt;="&amp;($AH104))))</f>
        <v>0</v>
      </c>
      <c r="AJ104" s="86">
        <f t="shared" si="163"/>
        <v>0</v>
      </c>
      <c r="AK104" s="151">
        <f t="shared" si="164"/>
        <v>0</v>
      </c>
      <c r="AL104" s="95">
        <f t="shared" si="165"/>
        <v>0</v>
      </c>
      <c r="AM104" s="85">
        <f t="shared" si="135"/>
        <v>0</v>
      </c>
      <c r="AN104" s="86">
        <f t="shared" si="136"/>
        <v>0</v>
      </c>
      <c r="AO104" s="151">
        <f t="shared" si="137"/>
        <v>0</v>
      </c>
      <c r="AP104" s="95">
        <f t="shared" si="138"/>
        <v>0</v>
      </c>
      <c r="AQ104" s="145">
        <f t="shared" si="166"/>
        <v>0</v>
      </c>
      <c r="AR104" s="142">
        <f t="shared" si="167"/>
        <v>0</v>
      </c>
      <c r="AS104" s="151">
        <f t="shared" si="168"/>
        <v>0</v>
      </c>
      <c r="AT104" s="95">
        <f t="shared" si="169"/>
        <v>0</v>
      </c>
      <c r="AV104" s="10">
        <f t="shared" si="101"/>
        <v>2083</v>
      </c>
      <c r="AW104" s="85">
        <f t="shared" si="181"/>
        <v>0</v>
      </c>
      <c r="AX104" s="86">
        <f t="shared" si="172"/>
        <v>0</v>
      </c>
      <c r="AY104" s="151">
        <f t="shared" si="173"/>
        <v>0</v>
      </c>
      <c r="AZ104" s="95">
        <f t="shared" si="174"/>
        <v>0</v>
      </c>
      <c r="BA104" s="85">
        <f t="shared" si="139"/>
        <v>0</v>
      </c>
      <c r="BB104" s="86">
        <f t="shared" si="140"/>
        <v>0</v>
      </c>
      <c r="BC104" s="151">
        <f t="shared" si="141"/>
        <v>0</v>
      </c>
      <c r="BD104" s="95">
        <f t="shared" si="142"/>
        <v>0</v>
      </c>
      <c r="BE104" s="145">
        <f t="shared" si="175"/>
        <v>0</v>
      </c>
      <c r="BF104" s="142">
        <f t="shared" si="176"/>
        <v>0</v>
      </c>
      <c r="BG104" s="151">
        <f t="shared" si="177"/>
        <v>0</v>
      </c>
      <c r="BH104" s="95">
        <f t="shared" si="178"/>
        <v>0</v>
      </c>
    </row>
    <row r="105" spans="34:60">
      <c r="AH105" s="10">
        <f t="shared" si="92"/>
        <v>2084</v>
      </c>
      <c r="AI105" s="85">
        <f t="shared" ref="AI105:AI110" si="183">IF($AH105&gt;$D$5,0,-PMT(VLOOKUP(AI$40,$C$9:$D$10,2,FALSE),VLOOKUP(AI$40,$C$11:$D$12,2,FALSE),SUMIFS(U$41:U$61,$T$41:$T$61,"&gt;"&amp;($AH105-VLOOKUP(AI$40,$C$11:$D$12,2,FALSE)),$T$41:$T$61,"&lt;="&amp;($AH105))))</f>
        <v>0</v>
      </c>
      <c r="AJ105" s="86">
        <f t="shared" si="163"/>
        <v>0</v>
      </c>
      <c r="AK105" s="151">
        <f t="shared" si="164"/>
        <v>0</v>
      </c>
      <c r="AL105" s="95">
        <f t="shared" si="165"/>
        <v>0</v>
      </c>
      <c r="AM105" s="85">
        <f t="shared" si="135"/>
        <v>0</v>
      </c>
      <c r="AN105" s="86">
        <f t="shared" si="136"/>
        <v>0</v>
      </c>
      <c r="AO105" s="151">
        <f t="shared" si="137"/>
        <v>0</v>
      </c>
      <c r="AP105" s="95">
        <f t="shared" si="138"/>
        <v>0</v>
      </c>
      <c r="AQ105" s="145">
        <f t="shared" si="166"/>
        <v>0</v>
      </c>
      <c r="AR105" s="142">
        <f t="shared" si="167"/>
        <v>0</v>
      </c>
      <c r="AS105" s="151">
        <f t="shared" si="168"/>
        <v>0</v>
      </c>
      <c r="AT105" s="95">
        <f t="shared" si="169"/>
        <v>0</v>
      </c>
      <c r="AV105" s="10">
        <f t="shared" si="101"/>
        <v>2084</v>
      </c>
      <c r="AW105" s="85">
        <f t="shared" si="181"/>
        <v>0</v>
      </c>
      <c r="AX105" s="86">
        <f t="shared" si="172"/>
        <v>0</v>
      </c>
      <c r="AY105" s="151">
        <f t="shared" si="173"/>
        <v>0</v>
      </c>
      <c r="AZ105" s="95">
        <f t="shared" si="174"/>
        <v>0</v>
      </c>
      <c r="BA105" s="85">
        <f t="shared" si="139"/>
        <v>0</v>
      </c>
      <c r="BB105" s="86">
        <f t="shared" si="140"/>
        <v>0</v>
      </c>
      <c r="BC105" s="151">
        <f t="shared" si="141"/>
        <v>0</v>
      </c>
      <c r="BD105" s="95">
        <f t="shared" si="142"/>
        <v>0</v>
      </c>
      <c r="BE105" s="145">
        <f t="shared" si="175"/>
        <v>0</v>
      </c>
      <c r="BF105" s="142">
        <f t="shared" si="176"/>
        <v>0</v>
      </c>
      <c r="BG105" s="151">
        <f t="shared" si="177"/>
        <v>0</v>
      </c>
      <c r="BH105" s="95">
        <f t="shared" si="178"/>
        <v>0</v>
      </c>
    </row>
    <row r="106" spans="34:60">
      <c r="AH106" s="10">
        <f t="shared" ref="AH106:AH118" si="184">+AH105+1</f>
        <v>2085</v>
      </c>
      <c r="AI106" s="85">
        <f t="shared" si="183"/>
        <v>0</v>
      </c>
      <c r="AJ106" s="86">
        <f t="shared" si="163"/>
        <v>0</v>
      </c>
      <c r="AK106" s="151">
        <f t="shared" si="164"/>
        <v>0</v>
      </c>
      <c r="AL106" s="95">
        <f t="shared" si="165"/>
        <v>0</v>
      </c>
      <c r="AM106" s="85">
        <f t="shared" si="135"/>
        <v>0</v>
      </c>
      <c r="AN106" s="86">
        <f t="shared" si="136"/>
        <v>0</v>
      </c>
      <c r="AO106" s="151">
        <f t="shared" si="137"/>
        <v>0</v>
      </c>
      <c r="AP106" s="95">
        <f t="shared" si="138"/>
        <v>0</v>
      </c>
      <c r="AQ106" s="145">
        <f t="shared" si="166"/>
        <v>0</v>
      </c>
      <c r="AR106" s="142">
        <f t="shared" si="167"/>
        <v>0</v>
      </c>
      <c r="AS106" s="151">
        <f t="shared" si="168"/>
        <v>0</v>
      </c>
      <c r="AT106" s="95">
        <f t="shared" si="169"/>
        <v>0</v>
      </c>
      <c r="AV106" s="10">
        <f t="shared" ref="AV106:AV118" si="185">+AV105+1</f>
        <v>2085</v>
      </c>
      <c r="AW106" s="85">
        <f t="shared" si="181"/>
        <v>0</v>
      </c>
      <c r="AX106" s="86">
        <f t="shared" si="172"/>
        <v>0</v>
      </c>
      <c r="AY106" s="151">
        <f t="shared" si="173"/>
        <v>0</v>
      </c>
      <c r="AZ106" s="95">
        <f t="shared" si="174"/>
        <v>0</v>
      </c>
      <c r="BA106" s="85">
        <f t="shared" si="139"/>
        <v>0</v>
      </c>
      <c r="BB106" s="86">
        <f t="shared" si="140"/>
        <v>0</v>
      </c>
      <c r="BC106" s="151">
        <f t="shared" si="141"/>
        <v>0</v>
      </c>
      <c r="BD106" s="95">
        <f t="shared" si="142"/>
        <v>0</v>
      </c>
      <c r="BE106" s="145">
        <f t="shared" si="175"/>
        <v>0</v>
      </c>
      <c r="BF106" s="142">
        <f t="shared" si="176"/>
        <v>0</v>
      </c>
      <c r="BG106" s="151">
        <f t="shared" si="177"/>
        <v>0</v>
      </c>
      <c r="BH106" s="95">
        <f t="shared" si="178"/>
        <v>0</v>
      </c>
    </row>
    <row r="107" spans="34:60">
      <c r="AH107" s="10">
        <f t="shared" si="184"/>
        <v>2086</v>
      </c>
      <c r="AI107" s="85">
        <f t="shared" si="183"/>
        <v>0</v>
      </c>
      <c r="AJ107" s="86">
        <f t="shared" si="163"/>
        <v>0</v>
      </c>
      <c r="AK107" s="151">
        <f t="shared" si="164"/>
        <v>0</v>
      </c>
      <c r="AL107" s="95">
        <f t="shared" si="165"/>
        <v>0</v>
      </c>
      <c r="AM107" s="85">
        <f t="shared" si="135"/>
        <v>0</v>
      </c>
      <c r="AN107" s="86">
        <f t="shared" si="136"/>
        <v>0</v>
      </c>
      <c r="AO107" s="151">
        <f t="shared" si="137"/>
        <v>0</v>
      </c>
      <c r="AP107" s="95">
        <f t="shared" si="138"/>
        <v>0</v>
      </c>
      <c r="AQ107" s="145">
        <f t="shared" si="166"/>
        <v>0</v>
      </c>
      <c r="AR107" s="142">
        <f t="shared" si="167"/>
        <v>0</v>
      </c>
      <c r="AS107" s="151">
        <f t="shared" si="168"/>
        <v>0</v>
      </c>
      <c r="AT107" s="95">
        <f t="shared" si="169"/>
        <v>0</v>
      </c>
      <c r="AV107" s="10">
        <f t="shared" si="185"/>
        <v>2086</v>
      </c>
      <c r="AW107" s="85">
        <f t="shared" si="181"/>
        <v>0</v>
      </c>
      <c r="AX107" s="86">
        <f t="shared" si="172"/>
        <v>0</v>
      </c>
      <c r="AY107" s="151">
        <f t="shared" si="173"/>
        <v>0</v>
      </c>
      <c r="AZ107" s="95">
        <f t="shared" si="174"/>
        <v>0</v>
      </c>
      <c r="BA107" s="85">
        <f t="shared" si="139"/>
        <v>0</v>
      </c>
      <c r="BB107" s="86">
        <f t="shared" si="140"/>
        <v>0</v>
      </c>
      <c r="BC107" s="151">
        <f t="shared" si="141"/>
        <v>0</v>
      </c>
      <c r="BD107" s="95">
        <f t="shared" si="142"/>
        <v>0</v>
      </c>
      <c r="BE107" s="145">
        <f t="shared" si="175"/>
        <v>0</v>
      </c>
      <c r="BF107" s="142">
        <f t="shared" si="176"/>
        <v>0</v>
      </c>
      <c r="BG107" s="151">
        <f t="shared" si="177"/>
        <v>0</v>
      </c>
      <c r="BH107" s="95">
        <f t="shared" si="178"/>
        <v>0</v>
      </c>
    </row>
    <row r="108" spans="34:60">
      <c r="AH108" s="10">
        <f t="shared" si="184"/>
        <v>2087</v>
      </c>
      <c r="AI108" s="85">
        <f t="shared" si="183"/>
        <v>0</v>
      </c>
      <c r="AJ108" s="86">
        <f t="shared" si="163"/>
        <v>0</v>
      </c>
      <c r="AK108" s="151">
        <f t="shared" si="164"/>
        <v>0</v>
      </c>
      <c r="AL108" s="95">
        <f t="shared" si="165"/>
        <v>0</v>
      </c>
      <c r="AM108" s="85">
        <f t="shared" si="135"/>
        <v>0</v>
      </c>
      <c r="AN108" s="86">
        <f t="shared" si="136"/>
        <v>0</v>
      </c>
      <c r="AO108" s="151">
        <f t="shared" si="137"/>
        <v>0</v>
      </c>
      <c r="AP108" s="95">
        <f t="shared" si="138"/>
        <v>0</v>
      </c>
      <c r="AQ108" s="145">
        <f t="shared" si="166"/>
        <v>0</v>
      </c>
      <c r="AR108" s="142">
        <f t="shared" si="167"/>
        <v>0</v>
      </c>
      <c r="AS108" s="151">
        <f t="shared" si="168"/>
        <v>0</v>
      </c>
      <c r="AT108" s="95">
        <f t="shared" si="169"/>
        <v>0</v>
      </c>
      <c r="AV108" s="10">
        <f t="shared" si="185"/>
        <v>2087</v>
      </c>
      <c r="AW108" s="85">
        <f t="shared" si="181"/>
        <v>0</v>
      </c>
      <c r="AX108" s="86">
        <f t="shared" si="172"/>
        <v>0</v>
      </c>
      <c r="AY108" s="151">
        <f t="shared" si="173"/>
        <v>0</v>
      </c>
      <c r="AZ108" s="95">
        <f t="shared" si="174"/>
        <v>0</v>
      </c>
      <c r="BA108" s="85">
        <f t="shared" si="139"/>
        <v>0</v>
      </c>
      <c r="BB108" s="86">
        <f t="shared" si="140"/>
        <v>0</v>
      </c>
      <c r="BC108" s="151">
        <f t="shared" si="141"/>
        <v>0</v>
      </c>
      <c r="BD108" s="95">
        <f t="shared" si="142"/>
        <v>0</v>
      </c>
      <c r="BE108" s="145">
        <f t="shared" si="175"/>
        <v>0</v>
      </c>
      <c r="BF108" s="142">
        <f t="shared" si="176"/>
        <v>0</v>
      </c>
      <c r="BG108" s="151">
        <f t="shared" si="177"/>
        <v>0</v>
      </c>
      <c r="BH108" s="95">
        <f t="shared" si="178"/>
        <v>0</v>
      </c>
    </row>
    <row r="109" spans="34:60">
      <c r="AH109" s="10">
        <f t="shared" si="184"/>
        <v>2088</v>
      </c>
      <c r="AI109" s="85">
        <f t="shared" si="183"/>
        <v>0</v>
      </c>
      <c r="AJ109" s="86">
        <f t="shared" si="163"/>
        <v>0</v>
      </c>
      <c r="AK109" s="151">
        <f t="shared" si="164"/>
        <v>0</v>
      </c>
      <c r="AL109" s="95">
        <f t="shared" si="165"/>
        <v>0</v>
      </c>
      <c r="AM109" s="85">
        <f t="shared" si="135"/>
        <v>0</v>
      </c>
      <c r="AN109" s="86">
        <f t="shared" si="136"/>
        <v>0</v>
      </c>
      <c r="AO109" s="151">
        <f t="shared" si="137"/>
        <v>0</v>
      </c>
      <c r="AP109" s="95">
        <f t="shared" si="138"/>
        <v>0</v>
      </c>
      <c r="AQ109" s="145">
        <f t="shared" si="166"/>
        <v>0</v>
      </c>
      <c r="AR109" s="142">
        <f t="shared" si="167"/>
        <v>0</v>
      </c>
      <c r="AS109" s="151">
        <f t="shared" si="168"/>
        <v>0</v>
      </c>
      <c r="AT109" s="95">
        <f t="shared" si="169"/>
        <v>0</v>
      </c>
      <c r="AV109" s="10">
        <f t="shared" si="185"/>
        <v>2088</v>
      </c>
      <c r="AW109" s="85">
        <f t="shared" si="181"/>
        <v>0</v>
      </c>
      <c r="AX109" s="86">
        <f t="shared" si="172"/>
        <v>0</v>
      </c>
      <c r="AY109" s="151">
        <f t="shared" si="173"/>
        <v>0</v>
      </c>
      <c r="AZ109" s="95">
        <f t="shared" si="174"/>
        <v>0</v>
      </c>
      <c r="BA109" s="85">
        <f t="shared" si="139"/>
        <v>0</v>
      </c>
      <c r="BB109" s="86">
        <f t="shared" si="140"/>
        <v>0</v>
      </c>
      <c r="BC109" s="151">
        <f t="shared" si="141"/>
        <v>0</v>
      </c>
      <c r="BD109" s="95">
        <f t="shared" si="142"/>
        <v>0</v>
      </c>
      <c r="BE109" s="145">
        <f t="shared" si="175"/>
        <v>0</v>
      </c>
      <c r="BF109" s="142">
        <f t="shared" si="176"/>
        <v>0</v>
      </c>
      <c r="BG109" s="151">
        <f t="shared" si="177"/>
        <v>0</v>
      </c>
      <c r="BH109" s="95">
        <f t="shared" si="178"/>
        <v>0</v>
      </c>
    </row>
    <row r="110" spans="34:60">
      <c r="AH110" s="10">
        <f t="shared" si="184"/>
        <v>2089</v>
      </c>
      <c r="AI110" s="85">
        <f t="shared" si="183"/>
        <v>0</v>
      </c>
      <c r="AJ110" s="86">
        <f t="shared" si="163"/>
        <v>0</v>
      </c>
      <c r="AK110" s="151">
        <f t="shared" si="164"/>
        <v>0</v>
      </c>
      <c r="AL110" s="95">
        <f t="shared" si="165"/>
        <v>0</v>
      </c>
      <c r="AM110" s="85">
        <f t="shared" si="135"/>
        <v>0</v>
      </c>
      <c r="AN110" s="86">
        <f t="shared" si="136"/>
        <v>0</v>
      </c>
      <c r="AO110" s="151">
        <f t="shared" si="137"/>
        <v>0</v>
      </c>
      <c r="AP110" s="95">
        <f t="shared" si="138"/>
        <v>0</v>
      </c>
      <c r="AQ110" s="145">
        <f t="shared" si="166"/>
        <v>0</v>
      </c>
      <c r="AR110" s="142">
        <f t="shared" si="167"/>
        <v>0</v>
      </c>
      <c r="AS110" s="151">
        <f t="shared" si="168"/>
        <v>0</v>
      </c>
      <c r="AT110" s="95">
        <f t="shared" si="169"/>
        <v>0</v>
      </c>
      <c r="AV110" s="10">
        <f t="shared" si="185"/>
        <v>2089</v>
      </c>
      <c r="AW110" s="85">
        <f t="shared" si="181"/>
        <v>0</v>
      </c>
      <c r="AX110" s="86">
        <f t="shared" si="172"/>
        <v>0</v>
      </c>
      <c r="AY110" s="151">
        <f t="shared" si="173"/>
        <v>0</v>
      </c>
      <c r="AZ110" s="95">
        <f t="shared" si="174"/>
        <v>0</v>
      </c>
      <c r="BA110" s="85">
        <f t="shared" si="139"/>
        <v>0</v>
      </c>
      <c r="BB110" s="86">
        <f t="shared" si="140"/>
        <v>0</v>
      </c>
      <c r="BC110" s="151">
        <f t="shared" si="141"/>
        <v>0</v>
      </c>
      <c r="BD110" s="95">
        <f t="shared" si="142"/>
        <v>0</v>
      </c>
      <c r="BE110" s="145">
        <f t="shared" si="175"/>
        <v>0</v>
      </c>
      <c r="BF110" s="142">
        <f t="shared" si="176"/>
        <v>0</v>
      </c>
      <c r="BG110" s="151">
        <f t="shared" si="177"/>
        <v>0</v>
      </c>
      <c r="BH110" s="95">
        <f t="shared" si="178"/>
        <v>0</v>
      </c>
    </row>
    <row r="111" spans="34:60">
      <c r="AH111" s="10">
        <f t="shared" si="184"/>
        <v>2090</v>
      </c>
      <c r="AI111" s="85">
        <f>IF($AH111&gt;$D$5,0,-PMT(VLOOKUP(AI$40,$C$9:$D$10,2,FALSE),VLOOKUP(AI$40,$C$11:$D$12,2,FALSE),SUMIFS(U$41:U$61,$T$41:$T$61,"&gt;"&amp;($AH111-VLOOKUP(AI$40,$C$11:$D$12,2,FALSE)),$T$41:$T$61,"&lt;="&amp;($AH111))))</f>
        <v>0</v>
      </c>
      <c r="AJ111" s="86">
        <f t="shared" si="163"/>
        <v>0</v>
      </c>
      <c r="AK111" s="151">
        <f t="shared" si="164"/>
        <v>0</v>
      </c>
      <c r="AL111" s="95">
        <f t="shared" si="165"/>
        <v>0</v>
      </c>
      <c r="AM111" s="85">
        <f t="shared" si="135"/>
        <v>0</v>
      </c>
      <c r="AN111" s="86">
        <f t="shared" si="136"/>
        <v>0</v>
      </c>
      <c r="AO111" s="151">
        <f t="shared" si="137"/>
        <v>0</v>
      </c>
      <c r="AP111" s="95">
        <f t="shared" si="138"/>
        <v>0</v>
      </c>
      <c r="AQ111" s="145">
        <f t="shared" si="166"/>
        <v>0</v>
      </c>
      <c r="AR111" s="142">
        <f t="shared" si="167"/>
        <v>0</v>
      </c>
      <c r="AS111" s="151">
        <f t="shared" si="168"/>
        <v>0</v>
      </c>
      <c r="AT111" s="95">
        <f t="shared" si="169"/>
        <v>0</v>
      </c>
      <c r="AV111" s="10">
        <f t="shared" si="185"/>
        <v>2090</v>
      </c>
      <c r="AW111" s="85">
        <f t="shared" si="181"/>
        <v>0</v>
      </c>
      <c r="AX111" s="86">
        <f t="shared" si="172"/>
        <v>0</v>
      </c>
      <c r="AY111" s="151">
        <f t="shared" si="173"/>
        <v>0</v>
      </c>
      <c r="AZ111" s="95">
        <f t="shared" si="174"/>
        <v>0</v>
      </c>
      <c r="BA111" s="85">
        <f t="shared" si="139"/>
        <v>0</v>
      </c>
      <c r="BB111" s="86">
        <f t="shared" si="140"/>
        <v>0</v>
      </c>
      <c r="BC111" s="151">
        <f t="shared" si="141"/>
        <v>0</v>
      </c>
      <c r="BD111" s="95">
        <f t="shared" si="142"/>
        <v>0</v>
      </c>
      <c r="BE111" s="145">
        <f t="shared" si="175"/>
        <v>0</v>
      </c>
      <c r="BF111" s="142">
        <f t="shared" si="176"/>
        <v>0</v>
      </c>
      <c r="BG111" s="151">
        <f t="shared" si="177"/>
        <v>0</v>
      </c>
      <c r="BH111" s="95">
        <f t="shared" si="178"/>
        <v>0</v>
      </c>
    </row>
    <row r="112" spans="34:60">
      <c r="AH112" s="10">
        <f t="shared" si="184"/>
        <v>2091</v>
      </c>
      <c r="AI112" s="85">
        <f t="shared" ref="AI112:AI118" si="186">IF($AH112&gt;$D$5,0,-PMT(VLOOKUP(AI$40,$C$9:$D$10,2,FALSE),VLOOKUP(AI$40,$C$11:$D$12,2,FALSE),SUMIFS(U$41:U$61,$T$41:$T$61,"&gt;"&amp;($AH112-VLOOKUP(AI$40,$C$11:$D$12,2,FALSE)),$T$41:$T$61,"&lt;="&amp;($AH112))))</f>
        <v>0</v>
      </c>
      <c r="AJ112" s="86">
        <f t="shared" si="163"/>
        <v>0</v>
      </c>
      <c r="AK112" s="151">
        <f t="shared" si="164"/>
        <v>0</v>
      </c>
      <c r="AL112" s="95">
        <f t="shared" si="165"/>
        <v>0</v>
      </c>
      <c r="AM112" s="85">
        <f t="shared" si="135"/>
        <v>0</v>
      </c>
      <c r="AN112" s="86">
        <f t="shared" si="136"/>
        <v>0</v>
      </c>
      <c r="AO112" s="151">
        <f t="shared" si="137"/>
        <v>0</v>
      </c>
      <c r="AP112" s="95">
        <f t="shared" si="138"/>
        <v>0</v>
      </c>
      <c r="AQ112" s="145">
        <f t="shared" si="166"/>
        <v>0</v>
      </c>
      <c r="AR112" s="142">
        <f t="shared" si="167"/>
        <v>0</v>
      </c>
      <c r="AS112" s="151">
        <f t="shared" si="168"/>
        <v>0</v>
      </c>
      <c r="AT112" s="95">
        <f t="shared" si="169"/>
        <v>0</v>
      </c>
      <c r="AV112" s="10">
        <f t="shared" si="185"/>
        <v>2091</v>
      </c>
      <c r="AW112" s="85">
        <f>IF($AV112&gt;$D$5,0,SUMIFS(BK$41:BK$61,$BJ$41:$BJ$61,"&gt;"&amp;($AV112-VLOOKUP(AW$40,$C$11:$D$12,2,FALSE)),$BJ$41:$BJ$61,"&lt;="&amp;($AV112)))</f>
        <v>0</v>
      </c>
      <c r="AX112" s="86">
        <f t="shared" si="172"/>
        <v>0</v>
      </c>
      <c r="AY112" s="151">
        <f t="shared" si="173"/>
        <v>0</v>
      </c>
      <c r="AZ112" s="95">
        <f t="shared" si="174"/>
        <v>0</v>
      </c>
      <c r="BA112" s="85">
        <f t="shared" si="139"/>
        <v>0</v>
      </c>
      <c r="BB112" s="86">
        <f t="shared" si="140"/>
        <v>0</v>
      </c>
      <c r="BC112" s="151">
        <f t="shared" si="141"/>
        <v>0</v>
      </c>
      <c r="BD112" s="95">
        <f t="shared" si="142"/>
        <v>0</v>
      </c>
      <c r="BE112" s="145">
        <f t="shared" si="175"/>
        <v>0</v>
      </c>
      <c r="BF112" s="142">
        <f t="shared" si="176"/>
        <v>0</v>
      </c>
      <c r="BG112" s="151">
        <f t="shared" si="177"/>
        <v>0</v>
      </c>
      <c r="BH112" s="95">
        <f t="shared" si="178"/>
        <v>0</v>
      </c>
    </row>
    <row r="113" spans="34:60">
      <c r="AH113" s="10">
        <f t="shared" si="184"/>
        <v>2092</v>
      </c>
      <c r="AI113" s="85">
        <f t="shared" si="186"/>
        <v>0</v>
      </c>
      <c r="AJ113" s="86">
        <f t="shared" si="163"/>
        <v>0</v>
      </c>
      <c r="AK113" s="151">
        <f t="shared" si="164"/>
        <v>0</v>
      </c>
      <c r="AL113" s="95">
        <f t="shared" si="165"/>
        <v>0</v>
      </c>
      <c r="AM113" s="85">
        <f t="shared" si="135"/>
        <v>0</v>
      </c>
      <c r="AN113" s="86">
        <f t="shared" si="136"/>
        <v>0</v>
      </c>
      <c r="AO113" s="151">
        <f t="shared" si="137"/>
        <v>0</v>
      </c>
      <c r="AP113" s="95">
        <f t="shared" si="138"/>
        <v>0</v>
      </c>
      <c r="AQ113" s="145">
        <f t="shared" si="166"/>
        <v>0</v>
      </c>
      <c r="AR113" s="142">
        <f t="shared" si="167"/>
        <v>0</v>
      </c>
      <c r="AS113" s="151">
        <f t="shared" si="168"/>
        <v>0</v>
      </c>
      <c r="AT113" s="95">
        <f t="shared" si="169"/>
        <v>0</v>
      </c>
      <c r="AV113" s="10">
        <f t="shared" si="185"/>
        <v>2092</v>
      </c>
      <c r="AW113" s="85">
        <f t="shared" ref="AW113:AW118" si="187">IF($AV113&gt;$D$5,0,SUMIFS(BK$41:BK$61,$BJ$41:$BJ$61,"&gt;"&amp;($AV113-VLOOKUP(AW$40,$C$11:$D$12,2,FALSE)),$BJ$41:$BJ$61,"&lt;="&amp;($AV113)))</f>
        <v>0</v>
      </c>
      <c r="AX113" s="86">
        <f t="shared" si="172"/>
        <v>0</v>
      </c>
      <c r="AY113" s="151">
        <f t="shared" si="173"/>
        <v>0</v>
      </c>
      <c r="AZ113" s="95">
        <f t="shared" si="174"/>
        <v>0</v>
      </c>
      <c r="BA113" s="85">
        <f t="shared" si="139"/>
        <v>0</v>
      </c>
      <c r="BB113" s="86">
        <f t="shared" si="140"/>
        <v>0</v>
      </c>
      <c r="BC113" s="151">
        <f t="shared" si="141"/>
        <v>0</v>
      </c>
      <c r="BD113" s="95">
        <f t="shared" si="142"/>
        <v>0</v>
      </c>
      <c r="BE113" s="145">
        <f t="shared" si="175"/>
        <v>0</v>
      </c>
      <c r="BF113" s="142">
        <f t="shared" si="176"/>
        <v>0</v>
      </c>
      <c r="BG113" s="151">
        <f t="shared" si="177"/>
        <v>0</v>
      </c>
      <c r="BH113" s="95">
        <f t="shared" si="178"/>
        <v>0</v>
      </c>
    </row>
    <row r="114" spans="34:60">
      <c r="AH114" s="10">
        <f t="shared" si="184"/>
        <v>2093</v>
      </c>
      <c r="AI114" s="85">
        <f t="shared" si="186"/>
        <v>0</v>
      </c>
      <c r="AJ114" s="86">
        <f t="shared" si="163"/>
        <v>0</v>
      </c>
      <c r="AK114" s="151">
        <f t="shared" si="164"/>
        <v>0</v>
      </c>
      <c r="AL114" s="95">
        <f t="shared" si="165"/>
        <v>0</v>
      </c>
      <c r="AM114" s="85">
        <f t="shared" si="135"/>
        <v>0</v>
      </c>
      <c r="AN114" s="86">
        <f t="shared" si="136"/>
        <v>0</v>
      </c>
      <c r="AO114" s="151">
        <f t="shared" si="137"/>
        <v>0</v>
      </c>
      <c r="AP114" s="95">
        <f t="shared" si="138"/>
        <v>0</v>
      </c>
      <c r="AQ114" s="145">
        <f t="shared" si="166"/>
        <v>0</v>
      </c>
      <c r="AR114" s="142">
        <f t="shared" si="167"/>
        <v>0</v>
      </c>
      <c r="AS114" s="151">
        <f t="shared" si="168"/>
        <v>0</v>
      </c>
      <c r="AT114" s="95">
        <f t="shared" si="169"/>
        <v>0</v>
      </c>
      <c r="AV114" s="10">
        <f t="shared" si="185"/>
        <v>2093</v>
      </c>
      <c r="AW114" s="85">
        <f t="shared" si="187"/>
        <v>0</v>
      </c>
      <c r="AX114" s="86">
        <f t="shared" si="172"/>
        <v>0</v>
      </c>
      <c r="AY114" s="151">
        <f t="shared" si="173"/>
        <v>0</v>
      </c>
      <c r="AZ114" s="95">
        <f t="shared" si="174"/>
        <v>0</v>
      </c>
      <c r="BA114" s="85">
        <f t="shared" si="139"/>
        <v>0</v>
      </c>
      <c r="BB114" s="86">
        <f t="shared" si="140"/>
        <v>0</v>
      </c>
      <c r="BC114" s="151">
        <f t="shared" si="141"/>
        <v>0</v>
      </c>
      <c r="BD114" s="95">
        <f t="shared" si="142"/>
        <v>0</v>
      </c>
      <c r="BE114" s="145">
        <f t="shared" si="175"/>
        <v>0</v>
      </c>
      <c r="BF114" s="142">
        <f t="shared" si="176"/>
        <v>0</v>
      </c>
      <c r="BG114" s="151">
        <f t="shared" si="177"/>
        <v>0</v>
      </c>
      <c r="BH114" s="95">
        <f t="shared" si="178"/>
        <v>0</v>
      </c>
    </row>
    <row r="115" spans="34:60">
      <c r="AH115" s="10">
        <f t="shared" si="184"/>
        <v>2094</v>
      </c>
      <c r="AI115" s="85">
        <f t="shared" si="186"/>
        <v>0</v>
      </c>
      <c r="AJ115" s="86">
        <f t="shared" si="163"/>
        <v>0</v>
      </c>
      <c r="AK115" s="151">
        <f t="shared" si="164"/>
        <v>0</v>
      </c>
      <c r="AL115" s="95">
        <f t="shared" si="165"/>
        <v>0</v>
      </c>
      <c r="AM115" s="85">
        <f t="shared" si="135"/>
        <v>0</v>
      </c>
      <c r="AN115" s="86">
        <f t="shared" si="136"/>
        <v>0</v>
      </c>
      <c r="AO115" s="151">
        <f t="shared" si="137"/>
        <v>0</v>
      </c>
      <c r="AP115" s="95">
        <f t="shared" si="138"/>
        <v>0</v>
      </c>
      <c r="AQ115" s="145">
        <f t="shared" si="166"/>
        <v>0</v>
      </c>
      <c r="AR115" s="142">
        <f t="shared" si="167"/>
        <v>0</v>
      </c>
      <c r="AS115" s="151">
        <f t="shared" si="168"/>
        <v>0</v>
      </c>
      <c r="AT115" s="95">
        <f t="shared" si="169"/>
        <v>0</v>
      </c>
      <c r="AV115" s="10">
        <f t="shared" si="185"/>
        <v>2094</v>
      </c>
      <c r="AW115" s="85">
        <f t="shared" si="187"/>
        <v>0</v>
      </c>
      <c r="AX115" s="86">
        <f t="shared" si="172"/>
        <v>0</v>
      </c>
      <c r="AY115" s="151">
        <f t="shared" si="173"/>
        <v>0</v>
      </c>
      <c r="AZ115" s="95">
        <f t="shared" si="174"/>
        <v>0</v>
      </c>
      <c r="BA115" s="85">
        <f t="shared" si="139"/>
        <v>0</v>
      </c>
      <c r="BB115" s="86">
        <f t="shared" si="140"/>
        <v>0</v>
      </c>
      <c r="BC115" s="151">
        <f t="shared" si="141"/>
        <v>0</v>
      </c>
      <c r="BD115" s="95">
        <f t="shared" si="142"/>
        <v>0</v>
      </c>
      <c r="BE115" s="145">
        <f t="shared" si="175"/>
        <v>0</v>
      </c>
      <c r="BF115" s="142">
        <f t="shared" si="176"/>
        <v>0</v>
      </c>
      <c r="BG115" s="151">
        <f t="shared" si="177"/>
        <v>0</v>
      </c>
      <c r="BH115" s="95">
        <f t="shared" si="178"/>
        <v>0</v>
      </c>
    </row>
    <row r="116" spans="34:60">
      <c r="AH116" s="10">
        <f t="shared" si="184"/>
        <v>2095</v>
      </c>
      <c r="AI116" s="85">
        <f t="shared" si="186"/>
        <v>0</v>
      </c>
      <c r="AJ116" s="86">
        <f t="shared" si="163"/>
        <v>0</v>
      </c>
      <c r="AK116" s="151">
        <f t="shared" si="164"/>
        <v>0</v>
      </c>
      <c r="AL116" s="95">
        <f t="shared" si="165"/>
        <v>0</v>
      </c>
      <c r="AM116" s="85">
        <f t="shared" si="135"/>
        <v>0</v>
      </c>
      <c r="AN116" s="86">
        <f t="shared" si="136"/>
        <v>0</v>
      </c>
      <c r="AO116" s="151">
        <f t="shared" si="137"/>
        <v>0</v>
      </c>
      <c r="AP116" s="95">
        <f t="shared" si="138"/>
        <v>0</v>
      </c>
      <c r="AQ116" s="145">
        <f t="shared" si="166"/>
        <v>0</v>
      </c>
      <c r="AR116" s="142">
        <f t="shared" si="167"/>
        <v>0</v>
      </c>
      <c r="AS116" s="151">
        <f t="shared" si="168"/>
        <v>0</v>
      </c>
      <c r="AT116" s="95">
        <f t="shared" si="169"/>
        <v>0</v>
      </c>
      <c r="AV116" s="10">
        <f t="shared" si="185"/>
        <v>2095</v>
      </c>
      <c r="AW116" s="85">
        <f t="shared" si="187"/>
        <v>0</v>
      </c>
      <c r="AX116" s="86">
        <f t="shared" si="172"/>
        <v>0</v>
      </c>
      <c r="AY116" s="151">
        <f t="shared" si="173"/>
        <v>0</v>
      </c>
      <c r="AZ116" s="95">
        <f t="shared" si="174"/>
        <v>0</v>
      </c>
      <c r="BA116" s="85">
        <f t="shared" si="139"/>
        <v>0</v>
      </c>
      <c r="BB116" s="86">
        <f t="shared" si="140"/>
        <v>0</v>
      </c>
      <c r="BC116" s="151">
        <f t="shared" si="141"/>
        <v>0</v>
      </c>
      <c r="BD116" s="95">
        <f t="shared" si="142"/>
        <v>0</v>
      </c>
      <c r="BE116" s="145">
        <f t="shared" si="175"/>
        <v>0</v>
      </c>
      <c r="BF116" s="142">
        <f t="shared" si="176"/>
        <v>0</v>
      </c>
      <c r="BG116" s="151">
        <f t="shared" si="177"/>
        <v>0</v>
      </c>
      <c r="BH116" s="95">
        <f t="shared" si="178"/>
        <v>0</v>
      </c>
    </row>
    <row r="117" spans="34:60">
      <c r="AH117" s="10">
        <f t="shared" si="184"/>
        <v>2096</v>
      </c>
      <c r="AI117" s="85">
        <f t="shared" si="186"/>
        <v>0</v>
      </c>
      <c r="AJ117" s="86">
        <f t="shared" si="163"/>
        <v>0</v>
      </c>
      <c r="AK117" s="151">
        <f t="shared" si="164"/>
        <v>0</v>
      </c>
      <c r="AL117" s="95">
        <f t="shared" si="165"/>
        <v>0</v>
      </c>
      <c r="AM117" s="85">
        <f t="shared" si="135"/>
        <v>0</v>
      </c>
      <c r="AN117" s="86">
        <f t="shared" si="136"/>
        <v>0</v>
      </c>
      <c r="AO117" s="151">
        <f t="shared" si="137"/>
        <v>0</v>
      </c>
      <c r="AP117" s="95">
        <f t="shared" si="138"/>
        <v>0</v>
      </c>
      <c r="AQ117" s="145">
        <f t="shared" si="166"/>
        <v>0</v>
      </c>
      <c r="AR117" s="142">
        <f t="shared" si="167"/>
        <v>0</v>
      </c>
      <c r="AS117" s="151">
        <f t="shared" si="168"/>
        <v>0</v>
      </c>
      <c r="AT117" s="95">
        <f t="shared" si="169"/>
        <v>0</v>
      </c>
      <c r="AV117" s="10">
        <f t="shared" si="185"/>
        <v>2096</v>
      </c>
      <c r="AW117" s="85">
        <f t="shared" si="187"/>
        <v>0</v>
      </c>
      <c r="AX117" s="86">
        <f t="shared" si="172"/>
        <v>0</v>
      </c>
      <c r="AY117" s="151">
        <f t="shared" si="173"/>
        <v>0</v>
      </c>
      <c r="AZ117" s="95">
        <f t="shared" si="174"/>
        <v>0</v>
      </c>
      <c r="BA117" s="85">
        <f t="shared" si="139"/>
        <v>0</v>
      </c>
      <c r="BB117" s="86">
        <f t="shared" si="140"/>
        <v>0</v>
      </c>
      <c r="BC117" s="151">
        <f t="shared" si="141"/>
        <v>0</v>
      </c>
      <c r="BD117" s="95">
        <f t="shared" si="142"/>
        <v>0</v>
      </c>
      <c r="BE117" s="145">
        <f t="shared" si="175"/>
        <v>0</v>
      </c>
      <c r="BF117" s="142">
        <f t="shared" si="176"/>
        <v>0</v>
      </c>
      <c r="BG117" s="151">
        <f t="shared" si="177"/>
        <v>0</v>
      </c>
      <c r="BH117" s="95">
        <f t="shared" si="178"/>
        <v>0</v>
      </c>
    </row>
    <row r="118" spans="34:60" ht="16.5" thickBot="1">
      <c r="AH118" s="11">
        <f t="shared" si="184"/>
        <v>2097</v>
      </c>
      <c r="AI118" s="87">
        <f t="shared" si="186"/>
        <v>0</v>
      </c>
      <c r="AJ118" s="88">
        <f t="shared" si="163"/>
        <v>0</v>
      </c>
      <c r="AK118" s="152">
        <f t="shared" si="164"/>
        <v>0</v>
      </c>
      <c r="AL118" s="96">
        <f t="shared" si="165"/>
        <v>0</v>
      </c>
      <c r="AM118" s="87">
        <f t="shared" si="135"/>
        <v>0</v>
      </c>
      <c r="AN118" s="88">
        <f t="shared" si="136"/>
        <v>0</v>
      </c>
      <c r="AO118" s="152">
        <f t="shared" si="137"/>
        <v>0</v>
      </c>
      <c r="AP118" s="96">
        <f t="shared" si="138"/>
        <v>0</v>
      </c>
      <c r="AQ118" s="146">
        <f t="shared" si="166"/>
        <v>0</v>
      </c>
      <c r="AR118" s="143">
        <f t="shared" si="167"/>
        <v>0</v>
      </c>
      <c r="AS118" s="152">
        <f t="shared" si="168"/>
        <v>0</v>
      </c>
      <c r="AT118" s="96">
        <f t="shared" si="169"/>
        <v>0</v>
      </c>
      <c r="AV118" s="11">
        <f t="shared" si="185"/>
        <v>2097</v>
      </c>
      <c r="AW118" s="87">
        <f t="shared" si="187"/>
        <v>0</v>
      </c>
      <c r="AX118" s="88">
        <f t="shared" si="172"/>
        <v>0</v>
      </c>
      <c r="AY118" s="152">
        <f t="shared" si="173"/>
        <v>0</v>
      </c>
      <c r="AZ118" s="96">
        <f t="shared" si="174"/>
        <v>0</v>
      </c>
      <c r="BA118" s="87">
        <f t="shared" si="139"/>
        <v>0</v>
      </c>
      <c r="BB118" s="88">
        <f t="shared" si="140"/>
        <v>0</v>
      </c>
      <c r="BC118" s="152">
        <f t="shared" si="141"/>
        <v>0</v>
      </c>
      <c r="BD118" s="96">
        <f t="shared" si="142"/>
        <v>0</v>
      </c>
      <c r="BE118" s="146">
        <f t="shared" si="175"/>
        <v>0</v>
      </c>
      <c r="BF118" s="143">
        <f t="shared" si="176"/>
        <v>0</v>
      </c>
      <c r="BG118" s="152">
        <f t="shared" si="177"/>
        <v>0</v>
      </c>
      <c r="BH118" s="96">
        <f t="shared" si="178"/>
        <v>0</v>
      </c>
    </row>
    <row r="119" spans="34:60" ht="16.5" thickBot="1">
      <c r="AH119" s="82" t="s">
        <v>4</v>
      </c>
      <c r="AI119" s="93">
        <f t="shared" ref="AI119:AS119" ca="1" si="188">NPV($D$6,AI41:AI118)</f>
        <v>10984.428904843409</v>
      </c>
      <c r="AJ119" s="93">
        <f t="shared" ref="AJ119" ca="1" si="189">NPV($D$6,AJ41:AJ118)</f>
        <v>1622.1870803168313</v>
      </c>
      <c r="AK119" s="104">
        <f t="shared" ca="1" si="188"/>
        <v>10984.428904843409</v>
      </c>
      <c r="AL119" s="104">
        <f t="shared" ref="AL119:AP119" ca="1" si="190">NPV($D$6,AL41:AL118)</f>
        <v>1622.1870803168313</v>
      </c>
      <c r="AM119" s="93">
        <f t="shared" ca="1" si="190"/>
        <v>10248.246890300212</v>
      </c>
      <c r="AN119" s="93">
        <f t="shared" ca="1" si="190"/>
        <v>2121.8194842735825</v>
      </c>
      <c r="AO119" s="104">
        <f t="shared" ca="1" si="190"/>
        <v>10248.246890300212</v>
      </c>
      <c r="AP119" s="104">
        <f t="shared" ca="1" si="190"/>
        <v>2121.8194842735825</v>
      </c>
      <c r="AQ119" s="93">
        <f t="shared" ca="1" si="188"/>
        <v>9341.7279713854823</v>
      </c>
      <c r="AR119" s="93">
        <f t="shared" ref="AR119" ca="1" si="191">NPV($D$6,AR41:AR118)</f>
        <v>2810.9233208974319</v>
      </c>
      <c r="AS119" s="104">
        <f t="shared" ca="1" si="188"/>
        <v>9341.7279713854823</v>
      </c>
      <c r="AT119" s="104">
        <f t="shared" ref="AT119" ca="1" si="192">NPV($D$6,AT41:AT118)</f>
        <v>2810.9233208974319</v>
      </c>
      <c r="AV119" s="82" t="s">
        <v>4</v>
      </c>
      <c r="AW119" s="93">
        <f t="shared" ref="AW119:BH119" ca="1" si="193">NPV($D$6,AW41:AW118)</f>
        <v>7070.6454175089075</v>
      </c>
      <c r="AX119" s="93">
        <f t="shared" ca="1" si="193"/>
        <v>1314.3077619424739</v>
      </c>
      <c r="AY119" s="104">
        <f t="shared" ca="1" si="193"/>
        <v>7070.6454175089075</v>
      </c>
      <c r="AZ119" s="104">
        <f t="shared" ca="1" si="193"/>
        <v>1314.3077619424739</v>
      </c>
      <c r="BA119" s="93">
        <f t="shared" ref="BA119:BD119" ca="1" si="194">NPV($D$6,BA41:BA118)</f>
        <v>6596.7671637849362</v>
      </c>
      <c r="BB119" s="93">
        <f t="shared" ca="1" si="194"/>
        <v>1719.1135667760814</v>
      </c>
      <c r="BC119" s="104">
        <f t="shared" ca="1" si="194"/>
        <v>6596.7671637849362</v>
      </c>
      <c r="BD119" s="104">
        <f t="shared" ca="1" si="194"/>
        <v>1719.1135667760814</v>
      </c>
      <c r="BE119" s="93">
        <f t="shared" ca="1" si="193"/>
        <v>6013.2435327035464</v>
      </c>
      <c r="BF119" s="93">
        <f t="shared" ca="1" si="193"/>
        <v>2277.4305033665096</v>
      </c>
      <c r="BG119" s="104">
        <f t="shared" ca="1" si="193"/>
        <v>6013.2435327035464</v>
      </c>
      <c r="BH119" s="104">
        <f t="shared" ca="1" si="193"/>
        <v>2277.4305033665096</v>
      </c>
    </row>
    <row r="120" spans="34:60" ht="16.5" thickBot="1">
      <c r="AI120" s="1309">
        <f ca="1">SUM(AI119:AJ119)</f>
        <v>12606.615985160241</v>
      </c>
      <c r="AJ120" s="1311"/>
      <c r="AK120" s="1309">
        <f ca="1">SUM(AK119:AL119)</f>
        <v>12606.615985160241</v>
      </c>
      <c r="AL120" s="1311"/>
      <c r="AM120" s="1309">
        <f t="shared" ref="AM120" ca="1" si="195">SUM(AM119:AN119)</f>
        <v>12370.066374573795</v>
      </c>
      <c r="AN120" s="1311"/>
      <c r="AO120" s="1309">
        <f t="shared" ref="AO120" ca="1" si="196">SUM(AO119:AP119)</f>
        <v>12370.066374573795</v>
      </c>
      <c r="AP120" s="1311"/>
      <c r="AQ120" s="1309">
        <f ca="1">SUM(AQ119:AR119)</f>
        <v>12152.651292282913</v>
      </c>
      <c r="AR120" s="1311"/>
      <c r="AS120" s="1309">
        <f ca="1">SUM(AS119:AT119)</f>
        <v>12152.651292282913</v>
      </c>
      <c r="AT120" s="1311"/>
      <c r="AW120" s="1309">
        <f ca="1">SUM(AW119:AX119)</f>
        <v>8384.9531794513823</v>
      </c>
      <c r="AX120" s="1311"/>
      <c r="AY120" s="1309">
        <f ca="1">SUM(AY119:AZ119)</f>
        <v>8384.9531794513823</v>
      </c>
      <c r="AZ120" s="1311"/>
      <c r="BA120" s="1309">
        <f t="shared" ref="BA120" ca="1" si="197">SUM(BA119:BB119)</f>
        <v>8315.8807305610171</v>
      </c>
      <c r="BB120" s="1311"/>
      <c r="BC120" s="1309">
        <f t="shared" ref="BC120" ca="1" si="198">SUM(BC119:BD119)</f>
        <v>8315.8807305610171</v>
      </c>
      <c r="BD120" s="1311"/>
      <c r="BE120" s="1309">
        <f ca="1">SUM(BE119:BF119)</f>
        <v>8290.6740360700569</v>
      </c>
      <c r="BF120" s="1311"/>
      <c r="BG120" s="1309">
        <f ca="1">SUM(BG119:BH119)</f>
        <v>8290.6740360700569</v>
      </c>
      <c r="BH120" s="1311"/>
    </row>
    <row r="121" spans="34:60" ht="16.5" thickBot="1">
      <c r="AH121" s="82" t="s">
        <v>304</v>
      </c>
      <c r="AI121" s="93">
        <f t="shared" ref="AI121:AT121" ca="1" si="199">SUM(AI41:AI118)</f>
        <v>16262.633353589514</v>
      </c>
      <c r="AJ121" s="93">
        <f t="shared" ca="1" si="199"/>
        <v>2343.5214368460402</v>
      </c>
      <c r="AK121" s="104">
        <f t="shared" ca="1" si="199"/>
        <v>16262.633353589514</v>
      </c>
      <c r="AL121" s="104">
        <f t="shared" ca="1" si="199"/>
        <v>2343.5214368460402</v>
      </c>
      <c r="AM121" s="93">
        <f t="shared" ca="1" si="199"/>
        <v>15072.690198413615</v>
      </c>
      <c r="AN121" s="93">
        <f t="shared" ca="1" si="199"/>
        <v>3121.0135986181854</v>
      </c>
      <c r="AO121" s="104">
        <f t="shared" ca="1" si="199"/>
        <v>15072.690198413615</v>
      </c>
      <c r="AP121" s="104">
        <f t="shared" ca="1" si="199"/>
        <v>3121.0135986181854</v>
      </c>
      <c r="AQ121" s="93">
        <f t="shared" ca="1" si="199"/>
        <v>13682.500696069692</v>
      </c>
      <c r="AR121" s="93">
        <f t="shared" ca="1" si="199"/>
        <v>4225.8708811365004</v>
      </c>
      <c r="AS121" s="104">
        <f t="shared" ca="1" si="199"/>
        <v>13682.500696069692</v>
      </c>
      <c r="AT121" s="104">
        <f t="shared" ca="1" si="199"/>
        <v>4225.8708811365004</v>
      </c>
      <c r="AV121" s="82" t="s">
        <v>304</v>
      </c>
      <c r="AW121" s="93">
        <f t="shared" ref="AW121:BH121" ca="1" si="200">SUM(AW41:AW118)</f>
        <v>10468.210499999999</v>
      </c>
      <c r="AX121" s="93">
        <f t="shared" ca="1" si="200"/>
        <v>1898.7381</v>
      </c>
      <c r="AY121" s="104">
        <f t="shared" ca="1" si="200"/>
        <v>10468.210499999999</v>
      </c>
      <c r="AZ121" s="104">
        <f t="shared" ca="1" si="200"/>
        <v>1898.7381</v>
      </c>
      <c r="BA121" s="93">
        <f t="shared" ca="1" si="200"/>
        <v>9702.2474999999959</v>
      </c>
      <c r="BB121" s="93">
        <f t="shared" ca="1" si="200"/>
        <v>2528.6678999999995</v>
      </c>
      <c r="BC121" s="104">
        <f t="shared" ca="1" si="200"/>
        <v>9702.2474999999959</v>
      </c>
      <c r="BD121" s="104">
        <f t="shared" ca="1" si="200"/>
        <v>2528.6678999999995</v>
      </c>
      <c r="BE121" s="93">
        <f t="shared" ca="1" si="200"/>
        <v>8807.3864999999969</v>
      </c>
      <c r="BF121" s="93">
        <f t="shared" ca="1" si="200"/>
        <v>3423.8313000000012</v>
      </c>
      <c r="BG121" s="104">
        <f t="shared" ca="1" si="200"/>
        <v>8807.3864999999969</v>
      </c>
      <c r="BH121" s="104">
        <f t="shared" ca="1" si="200"/>
        <v>3423.8313000000012</v>
      </c>
    </row>
    <row r="122" spans="34:60" ht="16.5" thickBot="1">
      <c r="AI122" s="1309">
        <f ca="1">SUM(AI121:AJ121)</f>
        <v>18606.154790435554</v>
      </c>
      <c r="AJ122" s="1311"/>
      <c r="AK122" s="1309">
        <f ca="1">SUM(AK121:AL121)</f>
        <v>18606.154790435554</v>
      </c>
      <c r="AL122" s="1311"/>
      <c r="AM122" s="1309">
        <f t="shared" ref="AM122" ca="1" si="201">SUM(AM121:AN121)</f>
        <v>18193.703797031802</v>
      </c>
      <c r="AN122" s="1311"/>
      <c r="AO122" s="1309">
        <f t="shared" ref="AO122" ca="1" si="202">SUM(AO121:AP121)</f>
        <v>18193.703797031802</v>
      </c>
      <c r="AP122" s="1311"/>
      <c r="AQ122" s="1309">
        <f ca="1">SUM(AQ121:AR121)</f>
        <v>17908.371577206191</v>
      </c>
      <c r="AR122" s="1311"/>
      <c r="AS122" s="1309">
        <f ca="1">SUM(AS121:AT121)</f>
        <v>17908.371577206191</v>
      </c>
      <c r="AT122" s="1311"/>
      <c r="AW122" s="1309">
        <f ca="1">SUM(AW121:AX121)</f>
        <v>12366.9486</v>
      </c>
      <c r="AX122" s="1311"/>
      <c r="AY122" s="1309">
        <f ca="1">SUM(AY121:AZ121)</f>
        <v>12366.9486</v>
      </c>
      <c r="AZ122" s="1311"/>
      <c r="BA122" s="1309">
        <f t="shared" ref="BA122" ca="1" si="203">SUM(BA121:BB121)</f>
        <v>12230.915399999994</v>
      </c>
      <c r="BB122" s="1311"/>
      <c r="BC122" s="1309">
        <f t="shared" ref="BC122" ca="1" si="204">SUM(BC121:BD121)</f>
        <v>12230.915399999994</v>
      </c>
      <c r="BD122" s="1311"/>
      <c r="BE122" s="1309">
        <f ca="1">SUM(BE121:BF121)</f>
        <v>12231.217799999999</v>
      </c>
      <c r="BF122" s="1311"/>
      <c r="BG122" s="1309">
        <f ca="1">SUM(BG121:BH121)</f>
        <v>12231.217799999999</v>
      </c>
      <c r="BH122" s="1311"/>
    </row>
  </sheetData>
  <mergeCells count="76">
    <mergeCell ref="W63:X63"/>
    <mergeCell ref="AC63:AD63"/>
    <mergeCell ref="AE63:AF63"/>
    <mergeCell ref="AI120:AJ120"/>
    <mergeCell ref="AK120:AL120"/>
    <mergeCell ref="Y63:Z63"/>
    <mergeCell ref="AA63:AB63"/>
    <mergeCell ref="G63:H63"/>
    <mergeCell ref="I63:J63"/>
    <mergeCell ref="O63:P63"/>
    <mergeCell ref="Q63:R63"/>
    <mergeCell ref="U63:V63"/>
    <mergeCell ref="K63:L63"/>
    <mergeCell ref="M63:N63"/>
    <mergeCell ref="BK39:BL39"/>
    <mergeCell ref="BJ38:BV38"/>
    <mergeCell ref="BM39:BN39"/>
    <mergeCell ref="BS39:BT39"/>
    <mergeCell ref="BU39:BV39"/>
    <mergeCell ref="BO39:BP39"/>
    <mergeCell ref="BQ39:BR39"/>
    <mergeCell ref="B6:B8"/>
    <mergeCell ref="G39:H39"/>
    <mergeCell ref="Q39:R39"/>
    <mergeCell ref="B11:B12"/>
    <mergeCell ref="I39:J39"/>
    <mergeCell ref="O39:P39"/>
    <mergeCell ref="G38:R38"/>
    <mergeCell ref="K14:L14"/>
    <mergeCell ref="G14:H14"/>
    <mergeCell ref="B9:B10"/>
    <mergeCell ref="K39:L39"/>
    <mergeCell ref="M39:N39"/>
    <mergeCell ref="T38:AF38"/>
    <mergeCell ref="AH38:AT38"/>
    <mergeCell ref="U39:V39"/>
    <mergeCell ref="AE39:AF39"/>
    <mergeCell ref="AI39:AJ39"/>
    <mergeCell ref="AS39:AT39"/>
    <mergeCell ref="W39:X39"/>
    <mergeCell ref="AC39:AD39"/>
    <mergeCell ref="AK39:AL39"/>
    <mergeCell ref="AQ39:AR39"/>
    <mergeCell ref="Y39:Z39"/>
    <mergeCell ref="AA39:AB39"/>
    <mergeCell ref="AM39:AN39"/>
    <mergeCell ref="AO39:AP39"/>
    <mergeCell ref="BE122:BF122"/>
    <mergeCell ref="BG122:BH122"/>
    <mergeCell ref="AV38:BH38"/>
    <mergeCell ref="AW39:AX39"/>
    <mergeCell ref="BG39:BH39"/>
    <mergeCell ref="AY39:AZ39"/>
    <mergeCell ref="BE39:BF39"/>
    <mergeCell ref="BG120:BH120"/>
    <mergeCell ref="BA39:BB39"/>
    <mergeCell ref="BC39:BD39"/>
    <mergeCell ref="BC122:BD122"/>
    <mergeCell ref="BC120:BD120"/>
    <mergeCell ref="AW120:AX120"/>
    <mergeCell ref="AY120:AZ120"/>
    <mergeCell ref="BE120:BF120"/>
    <mergeCell ref="AI122:AJ122"/>
    <mergeCell ref="AK122:AL122"/>
    <mergeCell ref="AQ122:AR122"/>
    <mergeCell ref="AS122:AT122"/>
    <mergeCell ref="AW122:AX122"/>
    <mergeCell ref="AM120:AN120"/>
    <mergeCell ref="AO120:AP120"/>
    <mergeCell ref="AM122:AN122"/>
    <mergeCell ref="AO122:AP122"/>
    <mergeCell ref="BA122:BB122"/>
    <mergeCell ref="BA120:BB120"/>
    <mergeCell ref="AY122:AZ122"/>
    <mergeCell ref="AQ120:AR120"/>
    <mergeCell ref="AS120:AT120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'הנחות עבודה'!$C$25:$C$32</xm:f>
          </x14:formula1>
          <xm:sqref>F9:F10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גרפים לוורד</vt:lpstr>
      <vt:lpstr>סיכום</vt:lpstr>
      <vt:lpstr>הנחות עבודה</vt:lpstr>
      <vt:lpstr>הספק קיים ותחזית יצור</vt:lpstr>
      <vt:lpstr>מטריצת ייצור מתחדשות</vt:lpstr>
      <vt:lpstr>הספק נוסף נדרש</vt:lpstr>
      <vt:lpstr>התפלגות ייצור וסל דלקים</vt:lpstr>
      <vt:lpstr>אנרגיה</vt:lpstr>
      <vt:lpstr>השקעות &amp; תפעול ק. - מ.יצור</vt:lpstr>
      <vt:lpstr>השקעות &amp; תפעול ק. -מתחדשות ואגי</vt:lpstr>
      <vt:lpstr>השקעות &amp; תפעול - רשת</vt:lpstr>
      <vt:lpstr>גזי חממה (CO2)</vt:lpstr>
      <vt:lpstr>מזהם מקומי- NOX</vt:lpstr>
      <vt:lpstr>מזהם מקומי- SOX</vt:lpstr>
      <vt:lpstr>מזהם מקומי- חלקיקים</vt:lpstr>
      <vt:lpstr>ביטחון אנרגטי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מוחמד חאג' יחיא</dc:creator>
  <cp:lastModifiedBy>talcordo@post.bgu.ac.il</cp:lastModifiedBy>
  <cp:lastPrinted>2020-05-03T09:25:53Z</cp:lastPrinted>
  <dcterms:created xsi:type="dcterms:W3CDTF">2020-01-27T12:38:59Z</dcterms:created>
  <dcterms:modified xsi:type="dcterms:W3CDTF">2022-03-01T07:59:56Z</dcterms:modified>
</cp:coreProperties>
</file>